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5405" windowHeight="6405"/>
  </bookViews>
  <sheets>
    <sheet name="Summary" sheetId="7" r:id="rId1"/>
    <sheet name="True-up" sheetId="1" r:id="rId2"/>
    <sheet name="Projected Zonal Load" sheetId="5" r:id="rId3"/>
    <sheet name="Actual Load" sheetId="6" r:id="rId4"/>
    <sheet name="Interest" sheetId="8" r:id="rId5"/>
  </sheets>
  <externalReferences>
    <externalReference r:id="rId6"/>
  </externalReferences>
  <definedNames>
    <definedName name="_xlnm.Print_Area" localSheetId="0">Summary!$A$1:$P$137</definedName>
    <definedName name="_xlnm.Print_Titles" localSheetId="2">'Projected Zonal Load'!$1:$3</definedName>
  </definedNames>
  <calcPr calcId="125725"/>
</workbook>
</file>

<file path=xl/calcChain.xml><?xml version="1.0" encoding="utf-8"?>
<calcChain xmlns="http://schemas.openxmlformats.org/spreadsheetml/2006/main">
  <c r="M2" i="1"/>
  <c r="J63"/>
  <c r="J75"/>
  <c r="J322" l="1"/>
  <c r="K322"/>
  <c r="N322"/>
  <c r="N366"/>
  <c r="K366"/>
  <c r="I410"/>
  <c r="J410"/>
  <c r="K410"/>
  <c r="N410"/>
  <c r="N454"/>
  <c r="K454"/>
  <c r="J454"/>
  <c r="I454"/>
  <c r="I498"/>
  <c r="J498"/>
  <c r="K498"/>
  <c r="N498"/>
  <c r="N76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409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7" l="1"/>
  <c r="K38"/>
  <c r="J36"/>
  <c r="J37"/>
  <c r="N37" s="1"/>
  <c r="K39"/>
  <c r="J39"/>
  <c r="N39" s="1"/>
  <c r="J38"/>
  <c r="N38" s="1"/>
  <c r="L352"/>
  <c r="L189"/>
  <c r="L354"/>
  <c r="L26"/>
  <c r="O100" i="7" l="1"/>
  <c r="O101"/>
  <c r="O102" l="1"/>
  <c r="I492" i="1"/>
  <c r="J497"/>
  <c r="J496"/>
  <c r="J495"/>
  <c r="J494"/>
  <c r="J493"/>
  <c r="N493" s="1"/>
  <c r="J492"/>
  <c r="L492" s="1"/>
  <c r="J491"/>
  <c r="J490"/>
  <c r="J489"/>
  <c r="J488"/>
  <c r="J487"/>
  <c r="J486"/>
  <c r="J485"/>
  <c r="J484"/>
  <c r="J483"/>
  <c r="J482"/>
  <c r="J481"/>
  <c r="J480"/>
  <c r="J479"/>
  <c r="J478"/>
  <c r="L478" s="1"/>
  <c r="J477"/>
  <c r="J476"/>
  <c r="J475"/>
  <c r="L475"/>
  <c r="N475"/>
  <c r="L476"/>
  <c r="N476"/>
  <c r="L477"/>
  <c r="N477"/>
  <c r="N478"/>
  <c r="L479"/>
  <c r="N479"/>
  <c r="L480"/>
  <c r="N480"/>
  <c r="L481"/>
  <c r="N481"/>
  <c r="L482"/>
  <c r="N482"/>
  <c r="L483"/>
  <c r="N483"/>
  <c r="N484"/>
  <c r="N485"/>
  <c r="L486"/>
  <c r="N486"/>
  <c r="L487"/>
  <c r="N487"/>
  <c r="L488"/>
  <c r="N488"/>
  <c r="L489"/>
  <c r="N489"/>
  <c r="L490"/>
  <c r="N490"/>
  <c r="L491"/>
  <c r="N491"/>
  <c r="L493"/>
  <c r="L494"/>
  <c r="N494"/>
  <c r="L495"/>
  <c r="N495"/>
  <c r="L496"/>
  <c r="N496"/>
  <c r="L497"/>
  <c r="N497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51"/>
  <c r="I350"/>
  <c r="I349"/>
  <c r="I348"/>
  <c r="I347"/>
  <c r="I346"/>
  <c r="I345"/>
  <c r="I344"/>
  <c r="I365"/>
  <c r="I364"/>
  <c r="I363"/>
  <c r="I362"/>
  <c r="I361"/>
  <c r="I360"/>
  <c r="I359"/>
  <c r="I358"/>
  <c r="I357"/>
  <c r="I356"/>
  <c r="I355"/>
  <c r="I354"/>
  <c r="I353"/>
  <c r="I352"/>
  <c r="I343"/>
  <c r="I342"/>
  <c r="I341"/>
  <c r="I340"/>
  <c r="N492" l="1"/>
  <c r="I366"/>
  <c r="B100" i="6" l="1"/>
  <c r="A95"/>
  <c r="B94"/>
  <c r="B95" s="1"/>
  <c r="B97" s="1"/>
  <c r="B47" s="1"/>
  <c r="B17" s="1"/>
  <c r="B89"/>
  <c r="B86"/>
  <c r="B26" s="1"/>
  <c r="B71"/>
  <c r="B77" s="1"/>
  <c r="B20" s="1"/>
  <c r="B70"/>
  <c r="B66"/>
  <c r="B57"/>
  <c r="B63" s="1"/>
  <c r="B4" s="1"/>
  <c r="B56"/>
  <c r="B50"/>
  <c r="B14" s="1"/>
  <c r="B40"/>
  <c r="B34"/>
  <c r="B37" s="1"/>
  <c r="B9" s="1"/>
  <c r="B28"/>
  <c r="B22"/>
  <c r="B18"/>
  <c r="B16"/>
  <c r="B12"/>
  <c r="A95" i="5"/>
  <c r="B94"/>
  <c r="B95" s="1"/>
  <c r="B97" s="1"/>
  <c r="B47" s="1"/>
  <c r="B17" s="1"/>
  <c r="D92"/>
  <c r="E92" s="1"/>
  <c r="C92"/>
  <c r="C94" s="1"/>
  <c r="M89"/>
  <c r="L89"/>
  <c r="K89"/>
  <c r="J89"/>
  <c r="I89"/>
  <c r="H89"/>
  <c r="G89"/>
  <c r="F89"/>
  <c r="E89"/>
  <c r="D89"/>
  <c r="C89"/>
  <c r="B89"/>
  <c r="M86"/>
  <c r="L86"/>
  <c r="K86"/>
  <c r="J86"/>
  <c r="I86"/>
  <c r="H86"/>
  <c r="G86"/>
  <c r="F86"/>
  <c r="E86"/>
  <c r="D86"/>
  <c r="C86"/>
  <c r="B86"/>
  <c r="B77"/>
  <c r="C76"/>
  <c r="D76" s="1"/>
  <c r="B70"/>
  <c r="D69"/>
  <c r="E69" s="1"/>
  <c r="F69" s="1"/>
  <c r="G69" s="1"/>
  <c r="H69" s="1"/>
  <c r="I69" s="1"/>
  <c r="J69" s="1"/>
  <c r="K69" s="1"/>
  <c r="L69" s="1"/>
  <c r="M69" s="1"/>
  <c r="C69"/>
  <c r="C67"/>
  <c r="C70" s="1"/>
  <c r="C22" s="1"/>
  <c r="B66"/>
  <c r="C65"/>
  <c r="D65" s="1"/>
  <c r="E65" s="1"/>
  <c r="F65" s="1"/>
  <c r="G65" s="1"/>
  <c r="H65" s="1"/>
  <c r="I65" s="1"/>
  <c r="J65" s="1"/>
  <c r="K65" s="1"/>
  <c r="L65" s="1"/>
  <c r="M65" s="1"/>
  <c r="C64"/>
  <c r="C66" s="1"/>
  <c r="C18" s="1"/>
  <c r="B63"/>
  <c r="D62"/>
  <c r="E62" s="1"/>
  <c r="C62"/>
  <c r="C63" s="1"/>
  <c r="C4" s="1"/>
  <c r="B56"/>
  <c r="C55"/>
  <c r="D55" s="1"/>
  <c r="B50"/>
  <c r="C48"/>
  <c r="C50" s="1"/>
  <c r="C14" s="1"/>
  <c r="M40"/>
  <c r="L40"/>
  <c r="K40"/>
  <c r="J40"/>
  <c r="I40"/>
  <c r="H40"/>
  <c r="G40"/>
  <c r="F40"/>
  <c r="E40"/>
  <c r="D40"/>
  <c r="C40"/>
  <c r="B40"/>
  <c r="M37"/>
  <c r="L37"/>
  <c r="K37"/>
  <c r="J37"/>
  <c r="I37"/>
  <c r="H37"/>
  <c r="G37"/>
  <c r="F37"/>
  <c r="E37"/>
  <c r="D37"/>
  <c r="C37"/>
  <c r="B37"/>
  <c r="N29"/>
  <c r="M28"/>
  <c r="L28"/>
  <c r="K28"/>
  <c r="J28"/>
  <c r="I28"/>
  <c r="H28"/>
  <c r="G28"/>
  <c r="F28"/>
  <c r="E28"/>
  <c r="D28"/>
  <c r="C28"/>
  <c r="B28"/>
  <c r="N28" s="1"/>
  <c r="N27"/>
  <c r="M26"/>
  <c r="L26"/>
  <c r="K26"/>
  <c r="J26"/>
  <c r="I26"/>
  <c r="H26"/>
  <c r="G26"/>
  <c r="F26"/>
  <c r="E26"/>
  <c r="D26"/>
  <c r="C26"/>
  <c r="B26"/>
  <c r="N26" s="1"/>
  <c r="D25"/>
  <c r="E25" s="1"/>
  <c r="F25" s="1"/>
  <c r="G25" s="1"/>
  <c r="H25" s="1"/>
  <c r="I25" s="1"/>
  <c r="J25" s="1"/>
  <c r="K25" s="1"/>
  <c r="L25" s="1"/>
  <c r="M25" s="1"/>
  <c r="C25"/>
  <c r="N25" s="1"/>
  <c r="N24"/>
  <c r="N23"/>
  <c r="B22"/>
  <c r="N21"/>
  <c r="B20"/>
  <c r="N19"/>
  <c r="B18"/>
  <c r="B16"/>
  <c r="N15"/>
  <c r="B14"/>
  <c r="N13"/>
  <c r="B12"/>
  <c r="N11"/>
  <c r="N10"/>
  <c r="M9"/>
  <c r="L9"/>
  <c r="K9"/>
  <c r="J9"/>
  <c r="I9"/>
  <c r="H9"/>
  <c r="G9"/>
  <c r="F9"/>
  <c r="E9"/>
  <c r="D9"/>
  <c r="C9"/>
  <c r="B9"/>
  <c r="N9" s="1"/>
  <c r="N8"/>
  <c r="N7"/>
  <c r="N6"/>
  <c r="C5"/>
  <c r="B4"/>
  <c r="D49" i="8"/>
  <c r="B31" i="6" l="1"/>
  <c r="E63" i="5"/>
  <c r="E4" s="1"/>
  <c r="F62"/>
  <c r="E94"/>
  <c r="F92"/>
  <c r="D56"/>
  <c r="D12" s="1"/>
  <c r="E55"/>
  <c r="D77"/>
  <c r="D20" s="1"/>
  <c r="E76"/>
  <c r="C95"/>
  <c r="C97" s="1"/>
  <c r="C47" s="1"/>
  <c r="C17" s="1"/>
  <c r="C16"/>
  <c r="B31"/>
  <c r="D5"/>
  <c r="E5" s="1"/>
  <c r="F5" s="1"/>
  <c r="G5" s="1"/>
  <c r="H5" s="1"/>
  <c r="I5" s="1"/>
  <c r="J5" s="1"/>
  <c r="K5" s="1"/>
  <c r="L5" s="1"/>
  <c r="M5" s="1"/>
  <c r="D48"/>
  <c r="C56"/>
  <c r="C12" s="1"/>
  <c r="D63"/>
  <c r="D4" s="1"/>
  <c r="C77"/>
  <c r="C20" s="1"/>
  <c r="D94"/>
  <c r="D64"/>
  <c r="D67"/>
  <c r="M503" i="1"/>
  <c r="I503"/>
  <c r="M459"/>
  <c r="I459"/>
  <c r="M415"/>
  <c r="I415"/>
  <c r="M371"/>
  <c r="I371"/>
  <c r="J364" s="1"/>
  <c r="J388" l="1"/>
  <c r="J389"/>
  <c r="J390"/>
  <c r="J391"/>
  <c r="J392"/>
  <c r="J393"/>
  <c r="J394"/>
  <c r="J395"/>
  <c r="J396"/>
  <c r="J397"/>
  <c r="J398"/>
  <c r="J399"/>
  <c r="J401"/>
  <c r="J402"/>
  <c r="J400"/>
  <c r="J403"/>
  <c r="J404"/>
  <c r="J405"/>
  <c r="J406"/>
  <c r="J443"/>
  <c r="J442"/>
  <c r="J441"/>
  <c r="J440"/>
  <c r="J439"/>
  <c r="J438"/>
  <c r="J437"/>
  <c r="J436"/>
  <c r="J435"/>
  <c r="J434"/>
  <c r="J351"/>
  <c r="J349"/>
  <c r="J347"/>
  <c r="J345"/>
  <c r="J350"/>
  <c r="J348"/>
  <c r="J346"/>
  <c r="J344"/>
  <c r="J362"/>
  <c r="J360"/>
  <c r="J358"/>
  <c r="J356"/>
  <c r="J354"/>
  <c r="J352"/>
  <c r="J342"/>
  <c r="J340"/>
  <c r="J365"/>
  <c r="J363"/>
  <c r="J361"/>
  <c r="J359"/>
  <c r="J357"/>
  <c r="J355"/>
  <c r="J353"/>
  <c r="J343"/>
  <c r="J341"/>
  <c r="J385"/>
  <c r="J387"/>
  <c r="J408"/>
  <c r="J384"/>
  <c r="J386"/>
  <c r="J407"/>
  <c r="J409"/>
  <c r="J453"/>
  <c r="J451"/>
  <c r="J449"/>
  <c r="J447"/>
  <c r="J445"/>
  <c r="J433"/>
  <c r="J431"/>
  <c r="J429"/>
  <c r="J452"/>
  <c r="J450"/>
  <c r="J448"/>
  <c r="J446"/>
  <c r="J444"/>
  <c r="J432"/>
  <c r="J430"/>
  <c r="J428"/>
  <c r="J473"/>
  <c r="J474"/>
  <c r="J472"/>
  <c r="D66" i="5"/>
  <c r="D18" s="1"/>
  <c r="E64"/>
  <c r="E95"/>
  <c r="E97" s="1"/>
  <c r="E47" s="1"/>
  <c r="E17" s="1"/>
  <c r="E16"/>
  <c r="N5"/>
  <c r="C31"/>
  <c r="D70"/>
  <c r="D22" s="1"/>
  <c r="E67"/>
  <c r="D95"/>
  <c r="D97" s="1"/>
  <c r="D47" s="1"/>
  <c r="D17" s="1"/>
  <c r="D16"/>
  <c r="E48"/>
  <c r="D50"/>
  <c r="D14" s="1"/>
  <c r="F76"/>
  <c r="E77"/>
  <c r="E20" s="1"/>
  <c r="F55"/>
  <c r="E56"/>
  <c r="E12" s="1"/>
  <c r="G92"/>
  <c r="F94"/>
  <c r="G62"/>
  <c r="F63"/>
  <c r="F4" s="1"/>
  <c r="N435" i="1" l="1"/>
  <c r="L435"/>
  <c r="N439"/>
  <c r="L439"/>
  <c r="N443"/>
  <c r="L443"/>
  <c r="N434"/>
  <c r="L434"/>
  <c r="N436"/>
  <c r="L436"/>
  <c r="N438"/>
  <c r="L438"/>
  <c r="N440"/>
  <c r="N442"/>
  <c r="L442"/>
  <c r="L406"/>
  <c r="N406"/>
  <c r="L404"/>
  <c r="N404"/>
  <c r="L400"/>
  <c r="N400"/>
  <c r="N401"/>
  <c r="L401"/>
  <c r="L398"/>
  <c r="N398"/>
  <c r="N396"/>
  <c r="L394"/>
  <c r="N394"/>
  <c r="L392"/>
  <c r="N392"/>
  <c r="L390"/>
  <c r="N390"/>
  <c r="L388"/>
  <c r="N388"/>
  <c r="N437"/>
  <c r="L437"/>
  <c r="N441"/>
  <c r="L405"/>
  <c r="N405"/>
  <c r="L403"/>
  <c r="N403"/>
  <c r="N402"/>
  <c r="L402"/>
  <c r="L399"/>
  <c r="N399"/>
  <c r="N397"/>
  <c r="L395"/>
  <c r="N395"/>
  <c r="L393"/>
  <c r="N393"/>
  <c r="L391"/>
  <c r="N391"/>
  <c r="L389"/>
  <c r="N389"/>
  <c r="L346"/>
  <c r="N346"/>
  <c r="N350"/>
  <c r="L350"/>
  <c r="N347"/>
  <c r="L347"/>
  <c r="N351"/>
  <c r="L351"/>
  <c r="L344"/>
  <c r="N344"/>
  <c r="N348"/>
  <c r="L348"/>
  <c r="N345"/>
  <c r="L345"/>
  <c r="L349"/>
  <c r="N349"/>
  <c r="G63" i="5"/>
  <c r="G4" s="1"/>
  <c r="H62"/>
  <c r="G94"/>
  <c r="H92"/>
  <c r="F56"/>
  <c r="F12" s="1"/>
  <c r="G55"/>
  <c r="F77"/>
  <c r="F20" s="1"/>
  <c r="G76"/>
  <c r="E50"/>
  <c r="E14" s="1"/>
  <c r="F48"/>
  <c r="D31"/>
  <c r="F95"/>
  <c r="F97" s="1"/>
  <c r="F47" s="1"/>
  <c r="F17" s="1"/>
  <c r="F16"/>
  <c r="E70"/>
  <c r="E22" s="1"/>
  <c r="F67"/>
  <c r="E66"/>
  <c r="E18" s="1"/>
  <c r="F64"/>
  <c r="G48" l="1"/>
  <c r="F50"/>
  <c r="F14" s="1"/>
  <c r="H76"/>
  <c r="G77"/>
  <c r="G20" s="1"/>
  <c r="H55"/>
  <c r="G56"/>
  <c r="G12" s="1"/>
  <c r="I92"/>
  <c r="H94"/>
  <c r="I62"/>
  <c r="H63"/>
  <c r="H4" s="1"/>
  <c r="F66"/>
  <c r="F18" s="1"/>
  <c r="G64"/>
  <c r="F70"/>
  <c r="F22" s="1"/>
  <c r="G67"/>
  <c r="G95"/>
  <c r="G97" s="1"/>
  <c r="G47" s="1"/>
  <c r="G17" s="1"/>
  <c r="G16"/>
  <c r="F31"/>
  <c r="E31"/>
  <c r="I63" l="1"/>
  <c r="I4" s="1"/>
  <c r="J62"/>
  <c r="I94"/>
  <c r="J92"/>
  <c r="H56"/>
  <c r="H12" s="1"/>
  <c r="I55"/>
  <c r="H77"/>
  <c r="H20" s="1"/>
  <c r="I76"/>
  <c r="G50"/>
  <c r="G14" s="1"/>
  <c r="H48"/>
  <c r="G70"/>
  <c r="G22" s="1"/>
  <c r="H67"/>
  <c r="G66"/>
  <c r="G18" s="1"/>
  <c r="H64"/>
  <c r="H95"/>
  <c r="H97" s="1"/>
  <c r="H47" s="1"/>
  <c r="H17" s="1"/>
  <c r="H16"/>
  <c r="G31"/>
  <c r="I95" l="1"/>
  <c r="I97" s="1"/>
  <c r="I47" s="1"/>
  <c r="I17" s="1"/>
  <c r="I16"/>
  <c r="H66"/>
  <c r="H18" s="1"/>
  <c r="I64"/>
  <c r="H70"/>
  <c r="H22" s="1"/>
  <c r="I67"/>
  <c r="I48"/>
  <c r="H50"/>
  <c r="H14" s="1"/>
  <c r="H31" s="1"/>
  <c r="J76"/>
  <c r="I77"/>
  <c r="I20" s="1"/>
  <c r="J55"/>
  <c r="I56"/>
  <c r="I12" s="1"/>
  <c r="K92"/>
  <c r="J94"/>
  <c r="K62"/>
  <c r="J63"/>
  <c r="J4" s="1"/>
  <c r="K63" l="1"/>
  <c r="K4" s="1"/>
  <c r="L62"/>
  <c r="K94"/>
  <c r="L92"/>
  <c r="J56"/>
  <c r="J12" s="1"/>
  <c r="K55"/>
  <c r="J77"/>
  <c r="J20" s="1"/>
  <c r="K76"/>
  <c r="I50"/>
  <c r="I14" s="1"/>
  <c r="J48"/>
  <c r="J95"/>
  <c r="J97" s="1"/>
  <c r="J47" s="1"/>
  <c r="J17" s="1"/>
  <c r="J16"/>
  <c r="I70"/>
  <c r="I22" s="1"/>
  <c r="J67"/>
  <c r="I66"/>
  <c r="I18" s="1"/>
  <c r="I31" s="1"/>
  <c r="J64"/>
  <c r="J66" l="1"/>
  <c r="J18" s="1"/>
  <c r="K64"/>
  <c r="J70"/>
  <c r="J22" s="1"/>
  <c r="K67"/>
  <c r="K95"/>
  <c r="K97" s="1"/>
  <c r="K47" s="1"/>
  <c r="K17" s="1"/>
  <c r="K16"/>
  <c r="K48"/>
  <c r="J50"/>
  <c r="J14" s="1"/>
  <c r="J31" s="1"/>
  <c r="L76"/>
  <c r="K77"/>
  <c r="K20" s="1"/>
  <c r="L55"/>
  <c r="K56"/>
  <c r="K12" s="1"/>
  <c r="M92"/>
  <c r="M94" s="1"/>
  <c r="L94"/>
  <c r="M62"/>
  <c r="M63" s="1"/>
  <c r="M4" s="1"/>
  <c r="L63"/>
  <c r="L4" s="1"/>
  <c r="M95" l="1"/>
  <c r="M97" s="1"/>
  <c r="M47" s="1"/>
  <c r="M17" s="1"/>
  <c r="M16"/>
  <c r="L56"/>
  <c r="L12" s="1"/>
  <c r="M55"/>
  <c r="M56" s="1"/>
  <c r="M12" s="1"/>
  <c r="N12" s="1"/>
  <c r="L77"/>
  <c r="L20" s="1"/>
  <c r="M76"/>
  <c r="M77" s="1"/>
  <c r="M20" s="1"/>
  <c r="N20" s="1"/>
  <c r="K50"/>
  <c r="K14" s="1"/>
  <c r="L48"/>
  <c r="N4"/>
  <c r="K31"/>
  <c r="L95"/>
  <c r="L97" s="1"/>
  <c r="L47" s="1"/>
  <c r="L17" s="1"/>
  <c r="L16"/>
  <c r="K70"/>
  <c r="K22" s="1"/>
  <c r="L67"/>
  <c r="K66"/>
  <c r="K18" s="1"/>
  <c r="L64"/>
  <c r="L66" l="1"/>
  <c r="L18" s="1"/>
  <c r="M64"/>
  <c r="M66" s="1"/>
  <c r="M18" s="1"/>
  <c r="N18" s="1"/>
  <c r="L70"/>
  <c r="L22" s="1"/>
  <c r="M67"/>
  <c r="M70" s="1"/>
  <c r="M22" s="1"/>
  <c r="N22" s="1"/>
  <c r="N17"/>
  <c r="M48"/>
  <c r="M50" s="1"/>
  <c r="M14" s="1"/>
  <c r="N14" s="1"/>
  <c r="L50"/>
  <c r="L14" s="1"/>
  <c r="L31" s="1"/>
  <c r="N16"/>
  <c r="M31" l="1"/>
  <c r="N31"/>
  <c r="M6" i="1" l="1"/>
  <c r="M327" l="1"/>
  <c r="I327"/>
  <c r="M287"/>
  <c r="I287"/>
  <c r="M246"/>
  <c r="I246"/>
  <c r="M205"/>
  <c r="I205"/>
  <c r="J177" s="1"/>
  <c r="M163"/>
  <c r="I163"/>
  <c r="M122"/>
  <c r="I122"/>
  <c r="M81"/>
  <c r="I81"/>
  <c r="K190" l="1"/>
  <c r="K74"/>
  <c r="K59"/>
  <c r="K60"/>
  <c r="K58"/>
  <c r="K56"/>
  <c r="K73"/>
  <c r="K61"/>
  <c r="K57"/>
  <c r="K55"/>
  <c r="K75"/>
  <c r="K72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18"/>
  <c r="K178"/>
  <c r="K179"/>
  <c r="K180"/>
  <c r="K181"/>
  <c r="K182"/>
  <c r="K183"/>
  <c r="K184"/>
  <c r="K185"/>
  <c r="K186"/>
  <c r="K187"/>
  <c r="K188"/>
  <c r="K189"/>
  <c r="K191"/>
  <c r="K192"/>
  <c r="K193"/>
  <c r="K194"/>
  <c r="K195"/>
  <c r="K196"/>
  <c r="K197"/>
  <c r="K198"/>
  <c r="K199"/>
  <c r="K177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N319" s="1"/>
  <c r="J320"/>
  <c r="J321"/>
  <c r="J30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61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18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136"/>
  <c r="J137"/>
  <c r="J138"/>
  <c r="J139"/>
  <c r="J140"/>
  <c r="J141"/>
  <c r="J142"/>
  <c r="J143"/>
  <c r="J144"/>
  <c r="J145"/>
  <c r="J146"/>
  <c r="J147"/>
  <c r="J26" s="1"/>
  <c r="J148"/>
  <c r="J27" s="1"/>
  <c r="J149"/>
  <c r="J150"/>
  <c r="J151"/>
  <c r="J152"/>
  <c r="J153"/>
  <c r="J154"/>
  <c r="J155"/>
  <c r="J156"/>
  <c r="J157"/>
  <c r="J135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96"/>
  <c r="N341" l="1"/>
  <c r="L341"/>
  <c r="N343"/>
  <c r="L343"/>
  <c r="N355"/>
  <c r="L355"/>
  <c r="N359"/>
  <c r="L359"/>
  <c r="N363"/>
  <c r="L363"/>
  <c r="N340"/>
  <c r="L340"/>
  <c r="J366"/>
  <c r="N342"/>
  <c r="L342"/>
  <c r="N352"/>
  <c r="N354"/>
  <c r="N356"/>
  <c r="L356"/>
  <c r="N358"/>
  <c r="L358"/>
  <c r="N360"/>
  <c r="L360"/>
  <c r="N362"/>
  <c r="L362"/>
  <c r="N364"/>
  <c r="L364"/>
  <c r="N385"/>
  <c r="L385"/>
  <c r="N387"/>
  <c r="L387"/>
  <c r="N408"/>
  <c r="L408"/>
  <c r="N428"/>
  <c r="L428"/>
  <c r="N430"/>
  <c r="L430"/>
  <c r="N432"/>
  <c r="L432"/>
  <c r="N444"/>
  <c r="L444"/>
  <c r="N446"/>
  <c r="L446"/>
  <c r="N448"/>
  <c r="L448"/>
  <c r="N450"/>
  <c r="L450"/>
  <c r="N452"/>
  <c r="L452"/>
  <c r="N473"/>
  <c r="L473"/>
  <c r="N353"/>
  <c r="N357"/>
  <c r="L357"/>
  <c r="N361"/>
  <c r="L361"/>
  <c r="N365"/>
  <c r="L365"/>
  <c r="N384"/>
  <c r="L384"/>
  <c r="N386"/>
  <c r="L386"/>
  <c r="N407"/>
  <c r="L407"/>
  <c r="N409"/>
  <c r="L409"/>
  <c r="N429"/>
  <c r="L429"/>
  <c r="N431"/>
  <c r="L431"/>
  <c r="N433"/>
  <c r="L433"/>
  <c r="N445"/>
  <c r="L445"/>
  <c r="N447"/>
  <c r="L447"/>
  <c r="N449"/>
  <c r="L449"/>
  <c r="N451"/>
  <c r="L451"/>
  <c r="N453"/>
  <c r="L453"/>
  <c r="N472"/>
  <c r="L472"/>
  <c r="N474"/>
  <c r="L474"/>
  <c r="J117"/>
  <c r="N26"/>
  <c r="L188"/>
  <c r="L27"/>
  <c r="N27"/>
  <c r="J282"/>
  <c r="J241"/>
  <c r="J158"/>
  <c r="J200"/>
  <c r="L410" l="1"/>
  <c r="L454"/>
  <c r="L38"/>
  <c r="L498"/>
  <c r="L39"/>
  <c r="L366"/>
  <c r="L37"/>
  <c r="N237"/>
  <c r="N238"/>
  <c r="N239"/>
  <c r="N240"/>
  <c r="D51" i="8"/>
  <c r="F135" i="7" l="1"/>
  <c r="N198" i="1"/>
  <c r="N199"/>
  <c r="N156"/>
  <c r="N157"/>
  <c r="C49" i="8"/>
  <c r="C51" s="1"/>
  <c r="C74" i="7"/>
  <c r="B73"/>
  <c r="B72"/>
  <c r="B71"/>
  <c r="B70"/>
  <c r="C64"/>
  <c r="B63"/>
  <c r="B62"/>
  <c r="B61"/>
  <c r="B60"/>
  <c r="F28"/>
  <c r="E28"/>
  <c r="F136" l="1"/>
  <c r="L227" i="1"/>
  <c r="L310"/>
  <c r="L270"/>
  <c r="L144"/>
  <c r="L186"/>
  <c r="L105"/>
  <c r="L240"/>
  <c r="L321"/>
  <c r="L199"/>
  <c r="L116"/>
  <c r="L281"/>
  <c r="L157"/>
  <c r="L221"/>
  <c r="L304"/>
  <c r="L264"/>
  <c r="L138"/>
  <c r="L180"/>
  <c r="L99"/>
  <c r="L228"/>
  <c r="L312"/>
  <c r="L272"/>
  <c r="L187"/>
  <c r="L145"/>
  <c r="L107"/>
  <c r="L223"/>
  <c r="L306"/>
  <c r="L266"/>
  <c r="L140"/>
  <c r="L182"/>
  <c r="L101"/>
  <c r="L233"/>
  <c r="L314"/>
  <c r="L274"/>
  <c r="L150"/>
  <c r="L192"/>
  <c r="L109"/>
  <c r="L229"/>
  <c r="L311"/>
  <c r="L146"/>
  <c r="L106"/>
  <c r="L271"/>
  <c r="L218"/>
  <c r="L301"/>
  <c r="L177"/>
  <c r="L96"/>
  <c r="L261"/>
  <c r="L135"/>
  <c r="L232"/>
  <c r="L313"/>
  <c r="L191"/>
  <c r="L108"/>
  <c r="L273"/>
  <c r="L149"/>
  <c r="L219"/>
  <c r="L302"/>
  <c r="L262"/>
  <c r="L136"/>
  <c r="L178"/>
  <c r="L97"/>
  <c r="L222"/>
  <c r="L305"/>
  <c r="L181"/>
  <c r="L100"/>
  <c r="L265"/>
  <c r="L139"/>
  <c r="L237"/>
  <c r="L318"/>
  <c r="L278"/>
  <c r="L154"/>
  <c r="L196"/>
  <c r="L113"/>
  <c r="L220" l="1"/>
  <c r="L303"/>
  <c r="L179"/>
  <c r="L263"/>
  <c r="L137"/>
  <c r="L98"/>
  <c r="L234" l="1"/>
  <c r="L315"/>
  <c r="L193"/>
  <c r="L110"/>
  <c r="L275"/>
  <c r="L151"/>
  <c r="L236" l="1"/>
  <c r="L317"/>
  <c r="L195"/>
  <c r="L112"/>
  <c r="L277"/>
  <c r="L153"/>
  <c r="L239"/>
  <c r="L320"/>
  <c r="L280"/>
  <c r="L156"/>
  <c r="L198"/>
  <c r="L115"/>
  <c r="L224"/>
  <c r="L307"/>
  <c r="L183"/>
  <c r="L102"/>
  <c r="L267"/>
  <c r="L141"/>
  <c r="L225"/>
  <c r="L308"/>
  <c r="L268"/>
  <c r="L142"/>
  <c r="L184"/>
  <c r="L103"/>
  <c r="L226"/>
  <c r="L309"/>
  <c r="L185"/>
  <c r="L104"/>
  <c r="L269"/>
  <c r="L143"/>
  <c r="L20" l="1"/>
  <c r="L235"/>
  <c r="L316"/>
  <c r="L276"/>
  <c r="L152"/>
  <c r="L194"/>
  <c r="L111"/>
  <c r="L238"/>
  <c r="L319"/>
  <c r="L197"/>
  <c r="L200" s="1"/>
  <c r="L114"/>
  <c r="L279"/>
  <c r="L155"/>
  <c r="L322" l="1"/>
  <c r="L158"/>
  <c r="N321"/>
  <c r="N320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L282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L241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K115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L117"/>
  <c r="F76"/>
  <c r="D76"/>
  <c r="H75"/>
  <c r="G75"/>
  <c r="E75"/>
  <c r="H74"/>
  <c r="J74" s="1"/>
  <c r="J35" s="1"/>
  <c r="G74"/>
  <c r="E74"/>
  <c r="H73"/>
  <c r="J73" s="1"/>
  <c r="J34" s="1"/>
  <c r="G73"/>
  <c r="E73"/>
  <c r="H72"/>
  <c r="J72" s="1"/>
  <c r="J33" s="1"/>
  <c r="G72"/>
  <c r="E72"/>
  <c r="H71"/>
  <c r="J71" s="1"/>
  <c r="J32" s="1"/>
  <c r="G71"/>
  <c r="E71"/>
  <c r="H70"/>
  <c r="J70" s="1"/>
  <c r="J31" s="1"/>
  <c r="G70"/>
  <c r="E70"/>
  <c r="H69"/>
  <c r="J69" s="1"/>
  <c r="J30" s="1"/>
  <c r="G69"/>
  <c r="E69"/>
  <c r="H68"/>
  <c r="J68" s="1"/>
  <c r="J29" s="1"/>
  <c r="G68"/>
  <c r="E68"/>
  <c r="H67"/>
  <c r="J67" s="1"/>
  <c r="J28" s="1"/>
  <c r="G67"/>
  <c r="E67"/>
  <c r="H66"/>
  <c r="J66" s="1"/>
  <c r="J25" s="1"/>
  <c r="G66"/>
  <c r="E66"/>
  <c r="H65"/>
  <c r="J65" s="1"/>
  <c r="J24" s="1"/>
  <c r="G65"/>
  <c r="E65"/>
  <c r="H64"/>
  <c r="J64" s="1"/>
  <c r="J23" s="1"/>
  <c r="G64"/>
  <c r="E64"/>
  <c r="H63"/>
  <c r="J22" s="1"/>
  <c r="G63"/>
  <c r="E63"/>
  <c r="H62"/>
  <c r="J62" s="1"/>
  <c r="J21" s="1"/>
  <c r="G62"/>
  <c r="E62"/>
  <c r="H61"/>
  <c r="J61" s="1"/>
  <c r="J20" s="1"/>
  <c r="G61"/>
  <c r="E61"/>
  <c r="H60"/>
  <c r="J60" s="1"/>
  <c r="J19" s="1"/>
  <c r="G60"/>
  <c r="E60"/>
  <c r="H59"/>
  <c r="J59" s="1"/>
  <c r="J18" s="1"/>
  <c r="G59"/>
  <c r="E59"/>
  <c r="H58"/>
  <c r="J58" s="1"/>
  <c r="J17" s="1"/>
  <c r="G58"/>
  <c r="E58"/>
  <c r="H57"/>
  <c r="J57" s="1"/>
  <c r="J16" s="1"/>
  <c r="G57"/>
  <c r="E57"/>
  <c r="H56"/>
  <c r="J56" s="1"/>
  <c r="J15" s="1"/>
  <c r="G56"/>
  <c r="E56"/>
  <c r="H55"/>
  <c r="J55" s="1"/>
  <c r="J14" s="1"/>
  <c r="G55"/>
  <c r="E55"/>
  <c r="K69"/>
  <c r="N14" l="1"/>
  <c r="J40"/>
  <c r="L59"/>
  <c r="L18" s="1"/>
  <c r="N18"/>
  <c r="N61"/>
  <c r="N20"/>
  <c r="L65"/>
  <c r="L24" s="1"/>
  <c r="N24"/>
  <c r="L67"/>
  <c r="L28" s="1"/>
  <c r="N28"/>
  <c r="L69"/>
  <c r="L30" s="1"/>
  <c r="N30"/>
  <c r="L71"/>
  <c r="L32" s="1"/>
  <c r="N32"/>
  <c r="L73"/>
  <c r="L34" s="1"/>
  <c r="N34"/>
  <c r="L56"/>
  <c r="L15" s="1"/>
  <c r="N15"/>
  <c r="L58"/>
  <c r="L17" s="1"/>
  <c r="N17"/>
  <c r="L60"/>
  <c r="L19" s="1"/>
  <c r="N19"/>
  <c r="L62"/>
  <c r="L21" s="1"/>
  <c r="N21"/>
  <c r="L64"/>
  <c r="L23" s="1"/>
  <c r="N23"/>
  <c r="L66"/>
  <c r="L25" s="1"/>
  <c r="N25"/>
  <c r="L68"/>
  <c r="L29" s="1"/>
  <c r="N29"/>
  <c r="L70"/>
  <c r="L31" s="1"/>
  <c r="N31"/>
  <c r="L72"/>
  <c r="L33" s="1"/>
  <c r="N33"/>
  <c r="L74"/>
  <c r="L35" s="1"/>
  <c r="N35"/>
  <c r="L57"/>
  <c r="L16" s="1"/>
  <c r="N16"/>
  <c r="L63"/>
  <c r="L22" s="1"/>
  <c r="N22"/>
  <c r="L75"/>
  <c r="L36" s="1"/>
  <c r="N36"/>
  <c r="N200"/>
  <c r="N158"/>
  <c r="K66"/>
  <c r="K71"/>
  <c r="K62"/>
  <c r="K63"/>
  <c r="K64"/>
  <c r="K65"/>
  <c r="K70"/>
  <c r="K67"/>
  <c r="K68"/>
  <c r="L55"/>
  <c r="L14" s="1"/>
  <c r="J76"/>
  <c r="K320"/>
  <c r="K316"/>
  <c r="K312"/>
  <c r="K308"/>
  <c r="K304"/>
  <c r="K321"/>
  <c r="K317"/>
  <c r="K313"/>
  <c r="K309"/>
  <c r="K305"/>
  <c r="K301"/>
  <c r="K318"/>
  <c r="K314"/>
  <c r="K310"/>
  <c r="K306"/>
  <c r="K302"/>
  <c r="K319"/>
  <c r="K315"/>
  <c r="K311"/>
  <c r="K307"/>
  <c r="K303"/>
  <c r="K106"/>
  <c r="K101"/>
  <c r="K100"/>
  <c r="K116"/>
  <c r="K111"/>
  <c r="K102"/>
  <c r="K97"/>
  <c r="K113"/>
  <c r="K112"/>
  <c r="K107"/>
  <c r="K98"/>
  <c r="K114"/>
  <c r="K109"/>
  <c r="K108"/>
  <c r="K103"/>
  <c r="K277"/>
  <c r="K273"/>
  <c r="K269"/>
  <c r="K265"/>
  <c r="K261"/>
  <c r="K278"/>
  <c r="K274"/>
  <c r="K270"/>
  <c r="K266"/>
  <c r="K262"/>
  <c r="K279"/>
  <c r="K275"/>
  <c r="K271"/>
  <c r="K267"/>
  <c r="K263"/>
  <c r="K280"/>
  <c r="K276"/>
  <c r="K272"/>
  <c r="K268"/>
  <c r="K264"/>
  <c r="K281"/>
  <c r="K96"/>
  <c r="K110"/>
  <c r="K105"/>
  <c r="K104"/>
  <c r="K99"/>
  <c r="K156"/>
  <c r="K35" s="1"/>
  <c r="K152"/>
  <c r="K31" s="1"/>
  <c r="K146"/>
  <c r="K24" s="1"/>
  <c r="K142"/>
  <c r="K21" s="1"/>
  <c r="K136"/>
  <c r="K15" s="1"/>
  <c r="K155"/>
  <c r="K34" s="1"/>
  <c r="K153"/>
  <c r="K32" s="1"/>
  <c r="K151"/>
  <c r="K30" s="1"/>
  <c r="K149"/>
  <c r="K28" s="1"/>
  <c r="K147"/>
  <c r="K26" s="1"/>
  <c r="K145"/>
  <c r="K25" s="1"/>
  <c r="K143"/>
  <c r="K22" s="1"/>
  <c r="K141"/>
  <c r="K20" s="1"/>
  <c r="K139"/>
  <c r="K18" s="1"/>
  <c r="K137"/>
  <c r="K16" s="1"/>
  <c r="K135"/>
  <c r="K14" s="1"/>
  <c r="K154"/>
  <c r="K33" s="1"/>
  <c r="K150"/>
  <c r="K29" s="1"/>
  <c r="K148"/>
  <c r="K27" s="1"/>
  <c r="K144"/>
  <c r="K23" s="1"/>
  <c r="K140"/>
  <c r="K19" s="1"/>
  <c r="K138"/>
  <c r="K17" s="1"/>
  <c r="K157"/>
  <c r="K36" s="1"/>
  <c r="I57"/>
  <c r="I59"/>
  <c r="I61"/>
  <c r="I63"/>
  <c r="I65"/>
  <c r="N282"/>
  <c r="I67"/>
  <c r="I69"/>
  <c r="I71"/>
  <c r="I73"/>
  <c r="I75"/>
  <c r="I55"/>
  <c r="H76"/>
  <c r="I56"/>
  <c r="I58"/>
  <c r="I60"/>
  <c r="I62"/>
  <c r="I64"/>
  <c r="I66"/>
  <c r="I68"/>
  <c r="I70"/>
  <c r="I72"/>
  <c r="I74"/>
  <c r="N117"/>
  <c r="N241"/>
  <c r="N58"/>
  <c r="N60"/>
  <c r="N62"/>
  <c r="N64"/>
  <c r="N66"/>
  <c r="N68"/>
  <c r="N70"/>
  <c r="N72"/>
  <c r="N74"/>
  <c r="N56"/>
  <c r="E76"/>
  <c r="G76"/>
  <c r="K76" l="1"/>
  <c r="K40"/>
  <c r="N40"/>
  <c r="L40"/>
  <c r="K158"/>
  <c r="K200"/>
  <c r="I76"/>
  <c r="K241"/>
  <c r="K282"/>
  <c r="K117"/>
  <c r="N75"/>
  <c r="N71"/>
  <c r="N63"/>
  <c r="N59"/>
  <c r="N55"/>
  <c r="N73"/>
  <c r="N69"/>
  <c r="N65"/>
  <c r="N57"/>
  <c r="N67"/>
  <c r="M353" l="1"/>
  <c r="M190"/>
  <c r="M68"/>
  <c r="M69"/>
  <c r="M354"/>
  <c r="M352"/>
  <c r="O352" s="1"/>
  <c r="P352" s="1"/>
  <c r="C100" i="7" s="1"/>
  <c r="M492" i="1"/>
  <c r="M475"/>
  <c r="O475" s="1"/>
  <c r="P475" s="1"/>
  <c r="M477"/>
  <c r="O477" s="1"/>
  <c r="P477" s="1"/>
  <c r="M478"/>
  <c r="O478" s="1"/>
  <c r="P478" s="1"/>
  <c r="M479"/>
  <c r="O479" s="1"/>
  <c r="P479" s="1"/>
  <c r="M481"/>
  <c r="O481" s="1"/>
  <c r="P481" s="1"/>
  <c r="M484"/>
  <c r="O484" s="1"/>
  <c r="P484" s="1"/>
  <c r="M486"/>
  <c r="O486" s="1"/>
  <c r="P486" s="1"/>
  <c r="M487"/>
  <c r="O487" s="1"/>
  <c r="P487" s="1"/>
  <c r="M489"/>
  <c r="O489" s="1"/>
  <c r="P489" s="1"/>
  <c r="M494"/>
  <c r="O494" s="1"/>
  <c r="P494" s="1"/>
  <c r="M495"/>
  <c r="O495" s="1"/>
  <c r="P495" s="1"/>
  <c r="M476"/>
  <c r="O476" s="1"/>
  <c r="P476" s="1"/>
  <c r="M480"/>
  <c r="O480" s="1"/>
  <c r="P480" s="1"/>
  <c r="M482"/>
  <c r="O482" s="1"/>
  <c r="P482" s="1"/>
  <c r="M483"/>
  <c r="O483" s="1"/>
  <c r="P483" s="1"/>
  <c r="M485"/>
  <c r="O485" s="1"/>
  <c r="P485" s="1"/>
  <c r="M488"/>
  <c r="O488" s="1"/>
  <c r="P488" s="1"/>
  <c r="M490"/>
  <c r="O490" s="1"/>
  <c r="P490" s="1"/>
  <c r="M491"/>
  <c r="O491" s="1"/>
  <c r="P491" s="1"/>
  <c r="O492"/>
  <c r="P492" s="1"/>
  <c r="M493"/>
  <c r="O493" s="1"/>
  <c r="P493" s="1"/>
  <c r="M496"/>
  <c r="O496" s="1"/>
  <c r="P496" s="1"/>
  <c r="M497"/>
  <c r="O497" s="1"/>
  <c r="P497" s="1"/>
  <c r="M443"/>
  <c r="O443" s="1"/>
  <c r="P443" s="1"/>
  <c r="M441"/>
  <c r="O441" s="1"/>
  <c r="P441" s="1"/>
  <c r="M439"/>
  <c r="O439" s="1"/>
  <c r="P439" s="1"/>
  <c r="M437"/>
  <c r="O437" s="1"/>
  <c r="P437" s="1"/>
  <c r="M435"/>
  <c r="O435" s="1"/>
  <c r="P435" s="1"/>
  <c r="M395"/>
  <c r="O395" s="1"/>
  <c r="P395" s="1"/>
  <c r="M396"/>
  <c r="O396" s="1"/>
  <c r="P396" s="1"/>
  <c r="M397"/>
  <c r="O397" s="1"/>
  <c r="P397" s="1"/>
  <c r="M398"/>
  <c r="O398" s="1"/>
  <c r="P398" s="1"/>
  <c r="M399"/>
  <c r="O399" s="1"/>
  <c r="P399" s="1"/>
  <c r="M400"/>
  <c r="O400" s="1"/>
  <c r="P400" s="1"/>
  <c r="M401"/>
  <c r="O401" s="1"/>
  <c r="P401" s="1"/>
  <c r="M402"/>
  <c r="O402" s="1"/>
  <c r="P402" s="1"/>
  <c r="M442"/>
  <c r="O442" s="1"/>
  <c r="P442" s="1"/>
  <c r="M440"/>
  <c r="O440" s="1"/>
  <c r="P440" s="1"/>
  <c r="M438"/>
  <c r="O438" s="1"/>
  <c r="P438" s="1"/>
  <c r="M436"/>
  <c r="O436" s="1"/>
  <c r="P436" s="1"/>
  <c r="M434"/>
  <c r="O434" s="1"/>
  <c r="P434" s="1"/>
  <c r="M388"/>
  <c r="O388" s="1"/>
  <c r="P388" s="1"/>
  <c r="M389"/>
  <c r="O389" s="1"/>
  <c r="P389" s="1"/>
  <c r="M390"/>
  <c r="O390" s="1"/>
  <c r="P390" s="1"/>
  <c r="M391"/>
  <c r="O391" s="1"/>
  <c r="P391" s="1"/>
  <c r="M392"/>
  <c r="O392" s="1"/>
  <c r="P392" s="1"/>
  <c r="M393"/>
  <c r="O393" s="1"/>
  <c r="P393" s="1"/>
  <c r="M394"/>
  <c r="O394" s="1"/>
  <c r="P394" s="1"/>
  <c r="M403"/>
  <c r="O403" s="1"/>
  <c r="P403" s="1"/>
  <c r="M404"/>
  <c r="O404" s="1"/>
  <c r="P404" s="1"/>
  <c r="M405"/>
  <c r="O405" s="1"/>
  <c r="P405" s="1"/>
  <c r="M406"/>
  <c r="O406" s="1"/>
  <c r="P406" s="1"/>
  <c r="M351"/>
  <c r="O351" s="1"/>
  <c r="P351" s="1"/>
  <c r="M350"/>
  <c r="O350" s="1"/>
  <c r="P350" s="1"/>
  <c r="M349"/>
  <c r="O349" s="1"/>
  <c r="P349" s="1"/>
  <c r="M348"/>
  <c r="O348" s="1"/>
  <c r="P348" s="1"/>
  <c r="M347"/>
  <c r="O347" s="1"/>
  <c r="P347" s="1"/>
  <c r="M346"/>
  <c r="O346" s="1"/>
  <c r="P346" s="1"/>
  <c r="M345"/>
  <c r="O345" s="1"/>
  <c r="P345" s="1"/>
  <c r="M344"/>
  <c r="O344" s="1"/>
  <c r="P344" s="1"/>
  <c r="M342"/>
  <c r="O342" s="1"/>
  <c r="P342" s="1"/>
  <c r="F95" i="7" s="1"/>
  <c r="M343" i="1"/>
  <c r="O343" s="1"/>
  <c r="P343" s="1"/>
  <c r="G95" i="7" s="1"/>
  <c r="M409" i="1"/>
  <c r="O409" s="1"/>
  <c r="P409" s="1"/>
  <c r="M408"/>
  <c r="O408" s="1"/>
  <c r="P408" s="1"/>
  <c r="M452"/>
  <c r="O452" s="1"/>
  <c r="P452" s="1"/>
  <c r="M444"/>
  <c r="O444" s="1"/>
  <c r="P444" s="1"/>
  <c r="M447"/>
  <c r="O447" s="1"/>
  <c r="P447" s="1"/>
  <c r="M429"/>
  <c r="O429" s="1"/>
  <c r="P429" s="1"/>
  <c r="M358"/>
  <c r="O358" s="1"/>
  <c r="P358" s="1"/>
  <c r="I100" i="7" s="1"/>
  <c r="M361" i="1"/>
  <c r="O361" s="1"/>
  <c r="P361" s="1"/>
  <c r="K100" i="7" s="1"/>
  <c r="O353" i="1"/>
  <c r="P353" s="1"/>
  <c r="D100" i="7" s="1"/>
  <c r="M385" i="1"/>
  <c r="O385" s="1"/>
  <c r="P385" s="1"/>
  <c r="M450"/>
  <c r="O450" s="1"/>
  <c r="P450" s="1"/>
  <c r="M449"/>
  <c r="O449" s="1"/>
  <c r="P449" s="1"/>
  <c r="M473"/>
  <c r="O473" s="1"/>
  <c r="P473" s="1"/>
  <c r="M359"/>
  <c r="O359" s="1"/>
  <c r="P359" s="1"/>
  <c r="J100" i="7" s="1"/>
  <c r="M387" i="1"/>
  <c r="O387" s="1"/>
  <c r="P387" s="1"/>
  <c r="M448"/>
  <c r="O448" s="1"/>
  <c r="P448" s="1"/>
  <c r="C120" i="7" s="1"/>
  <c r="M430" i="1"/>
  <c r="O430" s="1"/>
  <c r="P430" s="1"/>
  <c r="M451"/>
  <c r="O451" s="1"/>
  <c r="P451" s="1"/>
  <c r="M433"/>
  <c r="O433" s="1"/>
  <c r="P433" s="1"/>
  <c r="M362"/>
  <c r="O362" s="1"/>
  <c r="P362" s="1"/>
  <c r="L100" i="7" s="1"/>
  <c r="O354" i="1"/>
  <c r="P354" s="1"/>
  <c r="E100" i="7" s="1"/>
  <c r="M360" i="1"/>
  <c r="O360" s="1"/>
  <c r="P360" s="1"/>
  <c r="C95" i="7" s="1"/>
  <c r="M365" i="1"/>
  <c r="M357"/>
  <c r="O357" s="1"/>
  <c r="P357" s="1"/>
  <c r="H100" i="7" s="1"/>
  <c r="M341" i="1"/>
  <c r="O341" s="1"/>
  <c r="P341" s="1"/>
  <c r="E95" i="7" s="1"/>
  <c r="M407" i="1"/>
  <c r="O407" s="1"/>
  <c r="P407" s="1"/>
  <c r="M386"/>
  <c r="O386" s="1"/>
  <c r="P386" s="1"/>
  <c r="M432"/>
  <c r="O432" s="1"/>
  <c r="P432" s="1"/>
  <c r="M431"/>
  <c r="O431" s="1"/>
  <c r="P431" s="1"/>
  <c r="M474"/>
  <c r="O474" s="1"/>
  <c r="P474" s="1"/>
  <c r="M472"/>
  <c r="M428"/>
  <c r="M384"/>
  <c r="M340"/>
  <c r="M111"/>
  <c r="M363"/>
  <c r="M446"/>
  <c r="O446" s="1"/>
  <c r="P446" s="1"/>
  <c r="M453"/>
  <c r="O453" s="1"/>
  <c r="P453" s="1"/>
  <c r="M356"/>
  <c r="O356" s="1"/>
  <c r="P356" s="1"/>
  <c r="G100" i="7" s="1"/>
  <c r="M355" i="1"/>
  <c r="O355" s="1"/>
  <c r="P355" s="1"/>
  <c r="F100" i="7" s="1"/>
  <c r="M364" i="1"/>
  <c r="M445"/>
  <c r="O445" s="1"/>
  <c r="P445" s="1"/>
  <c r="M307"/>
  <c r="M315"/>
  <c r="M262"/>
  <c r="M270"/>
  <c r="M278"/>
  <c r="M222"/>
  <c r="M230"/>
  <c r="M238"/>
  <c r="O238" s="1"/>
  <c r="P238" s="1"/>
  <c r="C85" i="7" s="1"/>
  <c r="M182" i="1"/>
  <c r="M198"/>
  <c r="M141"/>
  <c r="M149"/>
  <c r="M157"/>
  <c r="M103"/>
  <c r="M57"/>
  <c r="M65"/>
  <c r="M73"/>
  <c r="M306"/>
  <c r="M314"/>
  <c r="M301"/>
  <c r="M269"/>
  <c r="M277"/>
  <c r="M221"/>
  <c r="M229"/>
  <c r="M237"/>
  <c r="O237" s="1"/>
  <c r="P237" s="1"/>
  <c r="M181"/>
  <c r="M189"/>
  <c r="M197"/>
  <c r="M140"/>
  <c r="M148"/>
  <c r="M156"/>
  <c r="M102"/>
  <c r="M110"/>
  <c r="M56"/>
  <c r="M64"/>
  <c r="M72"/>
  <c r="M305"/>
  <c r="M313"/>
  <c r="M321"/>
  <c r="M268"/>
  <c r="M276"/>
  <c r="M220"/>
  <c r="M228"/>
  <c r="M236"/>
  <c r="M180"/>
  <c r="M188"/>
  <c r="M196"/>
  <c r="M139"/>
  <c r="M147"/>
  <c r="M26" s="1"/>
  <c r="M155"/>
  <c r="M101"/>
  <c r="M109"/>
  <c r="M96"/>
  <c r="M63"/>
  <c r="O63" s="1"/>
  <c r="P63" s="1"/>
  <c r="M71"/>
  <c r="M304"/>
  <c r="M312"/>
  <c r="M320"/>
  <c r="M267"/>
  <c r="M275"/>
  <c r="M219"/>
  <c r="M227"/>
  <c r="M235"/>
  <c r="M179"/>
  <c r="M187"/>
  <c r="M195"/>
  <c r="M138"/>
  <c r="M146"/>
  <c r="M154"/>
  <c r="M100"/>
  <c r="M108"/>
  <c r="M116"/>
  <c r="M62"/>
  <c r="M70"/>
  <c r="M303"/>
  <c r="M311"/>
  <c r="M319"/>
  <c r="O319" s="1"/>
  <c r="M266"/>
  <c r="M274"/>
  <c r="M261"/>
  <c r="M226"/>
  <c r="M234"/>
  <c r="M178"/>
  <c r="M186"/>
  <c r="M194"/>
  <c r="M137"/>
  <c r="M145"/>
  <c r="M153"/>
  <c r="M99"/>
  <c r="M107"/>
  <c r="M115"/>
  <c r="M61"/>
  <c r="M302"/>
  <c r="M310"/>
  <c r="M318"/>
  <c r="M265"/>
  <c r="M273"/>
  <c r="M281"/>
  <c r="M225"/>
  <c r="M233"/>
  <c r="M218"/>
  <c r="M185"/>
  <c r="M193"/>
  <c r="M136"/>
  <c r="M144"/>
  <c r="M152"/>
  <c r="M98"/>
  <c r="M106"/>
  <c r="M114"/>
  <c r="M60"/>
  <c r="M55"/>
  <c r="M309"/>
  <c r="M317"/>
  <c r="M264"/>
  <c r="M272"/>
  <c r="M280"/>
  <c r="M224"/>
  <c r="M232"/>
  <c r="M240"/>
  <c r="O240" s="1"/>
  <c r="P240" s="1"/>
  <c r="M184"/>
  <c r="M192"/>
  <c r="M177"/>
  <c r="M143"/>
  <c r="M151"/>
  <c r="M97"/>
  <c r="M105"/>
  <c r="M113"/>
  <c r="M59"/>
  <c r="M67"/>
  <c r="M75"/>
  <c r="M308"/>
  <c r="M316"/>
  <c r="M263"/>
  <c r="M271"/>
  <c r="M279"/>
  <c r="M223"/>
  <c r="M231"/>
  <c r="M239"/>
  <c r="M183"/>
  <c r="M191"/>
  <c r="M199"/>
  <c r="M142"/>
  <c r="M150"/>
  <c r="M135"/>
  <c r="M104"/>
  <c r="M112"/>
  <c r="M58"/>
  <c r="M66"/>
  <c r="M74"/>
  <c r="O239"/>
  <c r="P239" s="1"/>
  <c r="L76"/>
  <c r="M38" l="1"/>
  <c r="M410"/>
  <c r="M498"/>
  <c r="O74"/>
  <c r="M35"/>
  <c r="M322"/>
  <c r="M366"/>
  <c r="M454"/>
  <c r="M76"/>
  <c r="O363"/>
  <c r="P363" s="1"/>
  <c r="M100" i="7" s="1"/>
  <c r="M37" i="1"/>
  <c r="O37" s="1"/>
  <c r="P37" s="1"/>
  <c r="O364"/>
  <c r="P364" s="1"/>
  <c r="N100" i="7" s="1"/>
  <c r="O38" i="1"/>
  <c r="P38" s="1"/>
  <c r="O365"/>
  <c r="P365" s="1"/>
  <c r="M39"/>
  <c r="O39" s="1"/>
  <c r="P39" s="1"/>
  <c r="M30"/>
  <c r="M19"/>
  <c r="O19" s="1"/>
  <c r="P19" s="1"/>
  <c r="M17"/>
  <c r="M28"/>
  <c r="M14"/>
  <c r="O14" s="1"/>
  <c r="P14" s="1"/>
  <c r="M25"/>
  <c r="M36"/>
  <c r="O36" s="1"/>
  <c r="P36" s="1"/>
  <c r="M18"/>
  <c r="M29"/>
  <c r="O29" s="1"/>
  <c r="P29" s="1"/>
  <c r="M20"/>
  <c r="M31"/>
  <c r="O31" s="1"/>
  <c r="P31" s="1"/>
  <c r="M22"/>
  <c r="M33"/>
  <c r="O33" s="1"/>
  <c r="P33" s="1"/>
  <c r="M15"/>
  <c r="M27"/>
  <c r="O27" s="1"/>
  <c r="P27" s="1"/>
  <c r="M24"/>
  <c r="O24" s="1"/>
  <c r="P24" s="1"/>
  <c r="M21"/>
  <c r="O21" s="1"/>
  <c r="P21" s="1"/>
  <c r="M32"/>
  <c r="O32" s="1"/>
  <c r="P32" s="1"/>
  <c r="M23"/>
  <c r="O23" s="1"/>
  <c r="P23" s="1"/>
  <c r="M34"/>
  <c r="O34" s="1"/>
  <c r="P34" s="1"/>
  <c r="M16"/>
  <c r="O16" s="1"/>
  <c r="P16" s="1"/>
  <c r="P74"/>
  <c r="O17"/>
  <c r="P17" s="1"/>
  <c r="O26"/>
  <c r="P26" s="1"/>
  <c r="I95" i="7"/>
  <c r="K95"/>
  <c r="M95"/>
  <c r="O95"/>
  <c r="D130"/>
  <c r="H95"/>
  <c r="J95"/>
  <c r="L95"/>
  <c r="N95"/>
  <c r="C110"/>
  <c r="C130"/>
  <c r="E130"/>
  <c r="O28" i="1"/>
  <c r="P28" s="1"/>
  <c r="M158"/>
  <c r="O20"/>
  <c r="P20" s="1"/>
  <c r="O15"/>
  <c r="P15" s="1"/>
  <c r="O384"/>
  <c r="O410" s="1"/>
  <c r="O472"/>
  <c r="O498" s="1"/>
  <c r="O340"/>
  <c r="O366" s="1"/>
  <c r="O428"/>
  <c r="O454" s="1"/>
  <c r="O18"/>
  <c r="P18" s="1"/>
  <c r="O30"/>
  <c r="P30" s="1"/>
  <c r="O25"/>
  <c r="P25" s="1"/>
  <c r="O35"/>
  <c r="P35" s="1"/>
  <c r="O22"/>
  <c r="P22" s="1"/>
  <c r="O307"/>
  <c r="P307" s="1"/>
  <c r="O310"/>
  <c r="P310" s="1"/>
  <c r="O321"/>
  <c r="P321" s="1"/>
  <c r="O197"/>
  <c r="P197" s="1"/>
  <c r="C50" i="7" s="1"/>
  <c r="O198" i="1"/>
  <c r="P198" s="1"/>
  <c r="K55" i="7" s="1"/>
  <c r="O187" i="1"/>
  <c r="P187" s="1"/>
  <c r="N50" i="7" s="1"/>
  <c r="O192" i="1"/>
  <c r="P192" s="1"/>
  <c r="F55" i="7" s="1"/>
  <c r="O199" i="1"/>
  <c r="P199" s="1"/>
  <c r="L55" i="7" s="1"/>
  <c r="O142" i="1"/>
  <c r="P142" s="1"/>
  <c r="O150"/>
  <c r="P150" s="1"/>
  <c r="O141"/>
  <c r="P141" s="1"/>
  <c r="O145"/>
  <c r="P145" s="1"/>
  <c r="O149"/>
  <c r="P149" s="1"/>
  <c r="O157"/>
  <c r="P157" s="1"/>
  <c r="O148"/>
  <c r="P148" s="1"/>
  <c r="O143"/>
  <c r="P143" s="1"/>
  <c r="O147"/>
  <c r="P147" s="1"/>
  <c r="O151"/>
  <c r="P151" s="1"/>
  <c r="O315"/>
  <c r="P315" s="1"/>
  <c r="O72"/>
  <c r="P72" s="1"/>
  <c r="O62"/>
  <c r="P62" s="1"/>
  <c r="O61"/>
  <c r="P61" s="1"/>
  <c r="O139"/>
  <c r="P139" s="1"/>
  <c r="O137"/>
  <c r="P137" s="1"/>
  <c r="O146"/>
  <c r="P146" s="1"/>
  <c r="O156"/>
  <c r="P156" s="1"/>
  <c r="O317"/>
  <c r="P317" s="1"/>
  <c r="O313"/>
  <c r="P313" s="1"/>
  <c r="O311"/>
  <c r="P311" s="1"/>
  <c r="O309"/>
  <c r="P309" s="1"/>
  <c r="O305"/>
  <c r="P305" s="1"/>
  <c r="O303"/>
  <c r="P303" s="1"/>
  <c r="O281"/>
  <c r="P281" s="1"/>
  <c r="O277"/>
  <c r="P277" s="1"/>
  <c r="O275"/>
  <c r="P275" s="1"/>
  <c r="O273"/>
  <c r="P273" s="1"/>
  <c r="O271"/>
  <c r="P271" s="1"/>
  <c r="O269"/>
  <c r="P269" s="1"/>
  <c r="O267"/>
  <c r="P267" s="1"/>
  <c r="O265"/>
  <c r="P265" s="1"/>
  <c r="O263"/>
  <c r="P263" s="1"/>
  <c r="O234"/>
  <c r="P234" s="1"/>
  <c r="O232"/>
  <c r="P232" s="1"/>
  <c r="O230"/>
  <c r="P230" s="1"/>
  <c r="O228"/>
  <c r="P228" s="1"/>
  <c r="O226"/>
  <c r="P226" s="1"/>
  <c r="D85" i="7" s="1"/>
  <c r="O224" i="1"/>
  <c r="P224" s="1"/>
  <c r="O222"/>
  <c r="P222" s="1"/>
  <c r="O220"/>
  <c r="P220" s="1"/>
  <c r="O193"/>
  <c r="P193" s="1"/>
  <c r="G55" i="7" s="1"/>
  <c r="O191" i="1"/>
  <c r="P191" s="1"/>
  <c r="E55" i="7" s="1"/>
  <c r="O189" i="1"/>
  <c r="P189" s="1"/>
  <c r="C55" i="7" s="1"/>
  <c r="O185" i="1"/>
  <c r="P185" s="1"/>
  <c r="L50" i="7" s="1"/>
  <c r="O183" i="1"/>
  <c r="P183" s="1"/>
  <c r="J50" i="7" s="1"/>
  <c r="O181" i="1"/>
  <c r="P181" s="1"/>
  <c r="H50" i="7" s="1"/>
  <c r="O155" i="1"/>
  <c r="P155" s="1"/>
  <c r="C40" i="7" s="1"/>
  <c r="O116" i="1"/>
  <c r="P116" s="1"/>
  <c r="O112"/>
  <c r="P112" s="1"/>
  <c r="E29" i="7" s="1"/>
  <c r="O110" i="1"/>
  <c r="P110" s="1"/>
  <c r="O108"/>
  <c r="P108" s="1"/>
  <c r="O106"/>
  <c r="P106" s="1"/>
  <c r="O104"/>
  <c r="P104" s="1"/>
  <c r="O102"/>
  <c r="P102" s="1"/>
  <c r="O100"/>
  <c r="P100" s="1"/>
  <c r="O98"/>
  <c r="P98" s="1"/>
  <c r="O320"/>
  <c r="P320" s="1"/>
  <c r="O318"/>
  <c r="P318" s="1"/>
  <c r="O316"/>
  <c r="P316" s="1"/>
  <c r="O314"/>
  <c r="P314" s="1"/>
  <c r="O312"/>
  <c r="P312" s="1"/>
  <c r="O308"/>
  <c r="P308" s="1"/>
  <c r="O306"/>
  <c r="P306" s="1"/>
  <c r="O304"/>
  <c r="P304" s="1"/>
  <c r="O302"/>
  <c r="P302" s="1"/>
  <c r="O280"/>
  <c r="P280" s="1"/>
  <c r="O278"/>
  <c r="P278" s="1"/>
  <c r="O276"/>
  <c r="P276" s="1"/>
  <c r="O274"/>
  <c r="P274" s="1"/>
  <c r="O272"/>
  <c r="P272" s="1"/>
  <c r="O270"/>
  <c r="P270" s="1"/>
  <c r="O268"/>
  <c r="P268" s="1"/>
  <c r="O266"/>
  <c r="P266" s="1"/>
  <c r="O264"/>
  <c r="P264" s="1"/>
  <c r="O262"/>
  <c r="P262" s="1"/>
  <c r="O235"/>
  <c r="P235" s="1"/>
  <c r="E85" i="7" s="1"/>
  <c r="O233" i="1"/>
  <c r="P233" s="1"/>
  <c r="O231"/>
  <c r="P231" s="1"/>
  <c r="O229"/>
  <c r="P229" s="1"/>
  <c r="O227"/>
  <c r="P227" s="1"/>
  <c r="O225"/>
  <c r="P225" s="1"/>
  <c r="O223"/>
  <c r="P223" s="1"/>
  <c r="O221"/>
  <c r="P221" s="1"/>
  <c r="O219"/>
  <c r="P219" s="1"/>
  <c r="O196"/>
  <c r="P196" s="1"/>
  <c r="J55" i="7" s="1"/>
  <c r="O194" i="1"/>
  <c r="P194" s="1"/>
  <c r="H55" i="7" s="1"/>
  <c r="O190" i="1"/>
  <c r="P190" s="1"/>
  <c r="D55" i="7" s="1"/>
  <c r="O188" i="1"/>
  <c r="P188" s="1"/>
  <c r="O50" i="7" s="1"/>
  <c r="O186" i="1"/>
  <c r="P186" s="1"/>
  <c r="M50" i="7" s="1"/>
  <c r="O184" i="1"/>
  <c r="P184" s="1"/>
  <c r="K50" i="7" s="1"/>
  <c r="O182" i="1"/>
  <c r="P182" s="1"/>
  <c r="I50" i="7" s="1"/>
  <c r="O180" i="1"/>
  <c r="P180" s="1"/>
  <c r="G50" i="7" s="1"/>
  <c r="O178" i="1"/>
  <c r="P178" s="1"/>
  <c r="E50" i="7" s="1"/>
  <c r="O154" i="1"/>
  <c r="P154" s="1"/>
  <c r="O152"/>
  <c r="P152" s="1"/>
  <c r="E40" i="7" s="1"/>
  <c r="O144" i="1"/>
  <c r="P144" s="1"/>
  <c r="O140"/>
  <c r="P140" s="1"/>
  <c r="O138"/>
  <c r="P138" s="1"/>
  <c r="O136"/>
  <c r="P136" s="1"/>
  <c r="O115"/>
  <c r="O113"/>
  <c r="P113" s="1"/>
  <c r="O111"/>
  <c r="P111" s="1"/>
  <c r="F29" i="7" s="1"/>
  <c r="O109" i="1"/>
  <c r="P109" s="1"/>
  <c r="O107"/>
  <c r="P107" s="1"/>
  <c r="O105"/>
  <c r="P105" s="1"/>
  <c r="O103"/>
  <c r="P103" s="1"/>
  <c r="O101"/>
  <c r="P101" s="1"/>
  <c r="O99"/>
  <c r="P99" s="1"/>
  <c r="O97"/>
  <c r="P97" s="1"/>
  <c r="O75"/>
  <c r="P75" s="1"/>
  <c r="O71"/>
  <c r="P71" s="1"/>
  <c r="O70"/>
  <c r="P70" s="1"/>
  <c r="H19" i="7" s="1"/>
  <c r="O69" i="1"/>
  <c r="P69" s="1"/>
  <c r="G19" i="7" s="1"/>
  <c r="O68" i="1"/>
  <c r="P68" s="1"/>
  <c r="O67"/>
  <c r="P67" s="1"/>
  <c r="O66"/>
  <c r="P66" s="1"/>
  <c r="F19" i="7" s="1"/>
  <c r="O65" i="1"/>
  <c r="P65" s="1"/>
  <c r="O64"/>
  <c r="P64" s="1"/>
  <c r="E19" i="7"/>
  <c r="O60" i="1"/>
  <c r="P60" s="1"/>
  <c r="O59"/>
  <c r="P59" s="1"/>
  <c r="O58"/>
  <c r="P58" s="1"/>
  <c r="O57"/>
  <c r="P57" s="1"/>
  <c r="O56"/>
  <c r="P56" s="1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J19" i="7" l="1"/>
  <c r="F130"/>
  <c r="I19"/>
  <c r="P40" i="1"/>
  <c r="F85" i="7"/>
  <c r="M40" i="1"/>
  <c r="O40"/>
  <c r="P428"/>
  <c r="P340"/>
  <c r="P366" s="1"/>
  <c r="P472"/>
  <c r="P384"/>
  <c r="P115"/>
  <c r="D29" i="7" s="1"/>
  <c r="D19"/>
  <c r="O179" i="1"/>
  <c r="P319"/>
  <c r="C75" i="7" s="1"/>
  <c r="O279" i="1"/>
  <c r="P279" s="1"/>
  <c r="C65" i="7" s="1"/>
  <c r="O236" i="1"/>
  <c r="P236" s="1"/>
  <c r="O195"/>
  <c r="P195" s="1"/>
  <c r="I55" i="7" s="1"/>
  <c r="O153" i="1"/>
  <c r="P153" s="1"/>
  <c r="D40" i="7" s="1"/>
  <c r="F40" s="1"/>
  <c r="O114" i="1"/>
  <c r="O73"/>
  <c r="P73" s="1"/>
  <c r="C76"/>
  <c r="P498" l="1"/>
  <c r="B23" i="8" s="1"/>
  <c r="P454" i="1"/>
  <c r="B18" i="8" s="1"/>
  <c r="P410" i="1"/>
  <c r="B22" i="8" s="1"/>
  <c r="B21"/>
  <c r="E21" s="1"/>
  <c r="D95" i="7"/>
  <c r="P100" s="1"/>
  <c r="P114" i="1"/>
  <c r="C29" i="7" s="1"/>
  <c r="G29" s="1"/>
  <c r="M200" i="1"/>
  <c r="C19" i="7"/>
  <c r="K19" s="1"/>
  <c r="P179" i="1"/>
  <c r="O301"/>
  <c r="O322" s="1"/>
  <c r="O261"/>
  <c r="M282"/>
  <c r="O218"/>
  <c r="M241"/>
  <c r="O177"/>
  <c r="O200" s="1"/>
  <c r="O135"/>
  <c r="O158" s="1"/>
  <c r="O96"/>
  <c r="M117"/>
  <c r="O55"/>
  <c r="O76" s="1"/>
  <c r="E18" i="8" l="1"/>
  <c r="C18"/>
  <c r="D18" s="1"/>
  <c r="E22"/>
  <c r="C22"/>
  <c r="D22" s="1"/>
  <c r="E23"/>
  <c r="C23"/>
  <c r="D23" s="1"/>
  <c r="C21"/>
  <c r="D21" s="1"/>
  <c r="F50" i="7"/>
  <c r="P55" i="1"/>
  <c r="P76" s="1"/>
  <c r="P96"/>
  <c r="P117" s="1"/>
  <c r="O117"/>
  <c r="P135"/>
  <c r="P158" s="1"/>
  <c r="B19" i="8" s="1"/>
  <c r="E19" s="1"/>
  <c r="P177" i="1"/>
  <c r="P218"/>
  <c r="O241"/>
  <c r="P261"/>
  <c r="O282"/>
  <c r="P301"/>
  <c r="P322" s="1"/>
  <c r="Q364" l="1"/>
  <c r="Q362"/>
  <c r="Q360"/>
  <c r="Q358"/>
  <c r="Q356"/>
  <c r="Q354"/>
  <c r="Q352"/>
  <c r="Q350"/>
  <c r="Q348"/>
  <c r="Q346"/>
  <c r="J96" i="7" s="1"/>
  <c r="J97" s="1"/>
  <c r="Q344" i="1"/>
  <c r="Q342"/>
  <c r="Q340"/>
  <c r="Q365"/>
  <c r="Q363"/>
  <c r="Q361"/>
  <c r="Q359"/>
  <c r="Q357"/>
  <c r="Q355"/>
  <c r="Q353"/>
  <c r="Q351"/>
  <c r="Q349"/>
  <c r="R349" s="1"/>
  <c r="Q347"/>
  <c r="Q345"/>
  <c r="R345" s="1"/>
  <c r="Q343"/>
  <c r="Q341"/>
  <c r="Q496"/>
  <c r="R496" s="1"/>
  <c r="Q494"/>
  <c r="Q492"/>
  <c r="C131" i="7" s="1"/>
  <c r="Q490" i="1"/>
  <c r="Q488"/>
  <c r="Q486"/>
  <c r="Q484"/>
  <c r="Q482"/>
  <c r="Q480"/>
  <c r="R480" s="1"/>
  <c r="Q478"/>
  <c r="Q476"/>
  <c r="R476" s="1"/>
  <c r="Q474"/>
  <c r="Q472"/>
  <c r="Q497"/>
  <c r="Q495"/>
  <c r="R495" s="1"/>
  <c r="Q493"/>
  <c r="Q491"/>
  <c r="Q489"/>
  <c r="Q487"/>
  <c r="R487" s="1"/>
  <c r="Q485"/>
  <c r="Q483"/>
  <c r="Q481"/>
  <c r="Q479"/>
  <c r="R479" s="1"/>
  <c r="Q477"/>
  <c r="Q475"/>
  <c r="Q473"/>
  <c r="Q408"/>
  <c r="Q406"/>
  <c r="Q404"/>
  <c r="C111" i="7" s="1"/>
  <c r="C112" s="1"/>
  <c r="Q402" i="1"/>
  <c r="Q400"/>
  <c r="R400" s="1"/>
  <c r="Q398"/>
  <c r="Q396"/>
  <c r="R396" s="1"/>
  <c r="Q394"/>
  <c r="Q392"/>
  <c r="R392" s="1"/>
  <c r="Q390"/>
  <c r="Q388"/>
  <c r="Q386"/>
  <c r="Q384"/>
  <c r="Q409"/>
  <c r="Q407"/>
  <c r="Q405"/>
  <c r="R405" s="1"/>
  <c r="Q403"/>
  <c r="R403" s="1"/>
  <c r="Q401"/>
  <c r="Q399"/>
  <c r="R399" s="1"/>
  <c r="Q397"/>
  <c r="R397" s="1"/>
  <c r="Q395"/>
  <c r="R395" s="1"/>
  <c r="Q393"/>
  <c r="Q391"/>
  <c r="Q389"/>
  <c r="R389" s="1"/>
  <c r="Q387"/>
  <c r="Q385"/>
  <c r="Q452"/>
  <c r="Q450"/>
  <c r="Q448"/>
  <c r="Q446"/>
  <c r="Q444"/>
  <c r="Q442"/>
  <c r="Q440"/>
  <c r="R440" s="1"/>
  <c r="Q438"/>
  <c r="Q436"/>
  <c r="R436" s="1"/>
  <c r="Q434"/>
  <c r="R434" s="1"/>
  <c r="Q432"/>
  <c r="Q430"/>
  <c r="Q428"/>
  <c r="Q453"/>
  <c r="Q451"/>
  <c r="Q449"/>
  <c r="Q447"/>
  <c r="Q445"/>
  <c r="Q443"/>
  <c r="R443" s="1"/>
  <c r="Q441"/>
  <c r="R441" s="1"/>
  <c r="Q439"/>
  <c r="R439" s="1"/>
  <c r="Q437"/>
  <c r="R437" s="1"/>
  <c r="Q435"/>
  <c r="R435" s="1"/>
  <c r="Q433"/>
  <c r="Q431"/>
  <c r="Q429"/>
  <c r="R484"/>
  <c r="R481"/>
  <c r="R489"/>
  <c r="R388"/>
  <c r="R391"/>
  <c r="R488"/>
  <c r="R477"/>
  <c r="R485"/>
  <c r="R438"/>
  <c r="R442"/>
  <c r="R406"/>
  <c r="R402"/>
  <c r="R398"/>
  <c r="R394"/>
  <c r="R390"/>
  <c r="R401"/>
  <c r="R393"/>
  <c r="R478"/>
  <c r="R482"/>
  <c r="R486"/>
  <c r="E131" i="7"/>
  <c r="R494" i="1"/>
  <c r="R497"/>
  <c r="R475"/>
  <c r="R483"/>
  <c r="R491"/>
  <c r="R350"/>
  <c r="R348"/>
  <c r="R346"/>
  <c r="R344"/>
  <c r="O96" i="7"/>
  <c r="O97" s="1"/>
  <c r="K96"/>
  <c r="K97" s="1"/>
  <c r="P200" i="1"/>
  <c r="B15" i="8" s="1"/>
  <c r="E15" s="1"/>
  <c r="D50" i="7"/>
  <c r="M55" s="1"/>
  <c r="C19" i="8"/>
  <c r="D19" s="1"/>
  <c r="R492" i="1"/>
  <c r="L96" i="7"/>
  <c r="L97" s="1"/>
  <c r="D131"/>
  <c r="R493" i="1"/>
  <c r="R404"/>
  <c r="B17" i="8"/>
  <c r="E17" s="1"/>
  <c r="P282" i="1"/>
  <c r="B16" i="8" s="1"/>
  <c r="E16" s="1"/>
  <c r="P241" i="1"/>
  <c r="B20" i="8" s="1"/>
  <c r="E20" s="1"/>
  <c r="B14"/>
  <c r="E14" s="1"/>
  <c r="B13"/>
  <c r="E13" s="1"/>
  <c r="Q156" i="1" l="1"/>
  <c r="Q154"/>
  <c r="Q152"/>
  <c r="Q150"/>
  <c r="Q148"/>
  <c r="Q146"/>
  <c r="Q144"/>
  <c r="Q142"/>
  <c r="Q140"/>
  <c r="Q138"/>
  <c r="Q136"/>
  <c r="Q157"/>
  <c r="Q155"/>
  <c r="Q153"/>
  <c r="Q151"/>
  <c r="Q149"/>
  <c r="Q147"/>
  <c r="Q145"/>
  <c r="Q143"/>
  <c r="Q141"/>
  <c r="Q139"/>
  <c r="Q137"/>
  <c r="Q135"/>
  <c r="R490"/>
  <c r="Q410"/>
  <c r="Q366"/>
  <c r="H96" i="7"/>
  <c r="H97" s="1"/>
  <c r="R347" i="1"/>
  <c r="R351"/>
  <c r="F131" i="7"/>
  <c r="C8"/>
  <c r="N96"/>
  <c r="N97" s="1"/>
  <c r="M96"/>
  <c r="M97" s="1"/>
  <c r="I96"/>
  <c r="I97" s="1"/>
  <c r="C15" i="8"/>
  <c r="D15" s="1"/>
  <c r="C16"/>
  <c r="D16" s="1"/>
  <c r="C14"/>
  <c r="D14" s="1"/>
  <c r="C13"/>
  <c r="D13" s="1"/>
  <c r="B25"/>
  <c r="C20"/>
  <c r="D20" s="1"/>
  <c r="C17"/>
  <c r="D17" s="1"/>
  <c r="R473" i="1"/>
  <c r="R452"/>
  <c r="R450"/>
  <c r="R446"/>
  <c r="R444"/>
  <c r="R432"/>
  <c r="R430"/>
  <c r="R408"/>
  <c r="R387"/>
  <c r="R385"/>
  <c r="R474"/>
  <c r="R453"/>
  <c r="R451"/>
  <c r="R449"/>
  <c r="R447"/>
  <c r="R445"/>
  <c r="R433"/>
  <c r="R431"/>
  <c r="R429"/>
  <c r="R409"/>
  <c r="R407"/>
  <c r="R386"/>
  <c r="R365"/>
  <c r="D96" i="7"/>
  <c r="D97" s="1"/>
  <c r="Q239" i="1" l="1"/>
  <c r="Q237"/>
  <c r="Q235"/>
  <c r="Q233"/>
  <c r="Q231"/>
  <c r="Q229"/>
  <c r="Q227"/>
  <c r="Q225"/>
  <c r="Q223"/>
  <c r="Q221"/>
  <c r="Q219"/>
  <c r="Q240"/>
  <c r="Q238"/>
  <c r="Q236"/>
  <c r="Q234"/>
  <c r="Q232"/>
  <c r="Q230"/>
  <c r="Q228"/>
  <c r="Q226"/>
  <c r="Q224"/>
  <c r="Q222"/>
  <c r="Q220"/>
  <c r="Q218"/>
  <c r="Q74"/>
  <c r="Q72"/>
  <c r="Q70"/>
  <c r="Q68"/>
  <c r="Q66"/>
  <c r="Q64"/>
  <c r="Q62"/>
  <c r="Q60"/>
  <c r="Q58"/>
  <c r="Q56"/>
  <c r="Q75"/>
  <c r="Q73"/>
  <c r="Q71"/>
  <c r="Q69"/>
  <c r="Q67"/>
  <c r="Q65"/>
  <c r="Q63"/>
  <c r="Q61"/>
  <c r="Q59"/>
  <c r="Q57"/>
  <c r="Q55"/>
  <c r="Q281"/>
  <c r="Q279"/>
  <c r="Q277"/>
  <c r="Q275"/>
  <c r="Q273"/>
  <c r="Q271"/>
  <c r="Q269"/>
  <c r="Q267"/>
  <c r="Q265"/>
  <c r="Q263"/>
  <c r="Q261"/>
  <c r="Q280"/>
  <c r="Q278"/>
  <c r="Q276"/>
  <c r="Q274"/>
  <c r="Q272"/>
  <c r="Q270"/>
  <c r="Q268"/>
  <c r="Q266"/>
  <c r="Q264"/>
  <c r="Q262"/>
  <c r="Q199"/>
  <c r="Q197"/>
  <c r="Q195"/>
  <c r="Q193"/>
  <c r="Q191"/>
  <c r="Q189"/>
  <c r="Q187"/>
  <c r="Q185"/>
  <c r="Q183"/>
  <c r="J51" i="7" s="1"/>
  <c r="J52" s="1"/>
  <c r="Q181" i="1"/>
  <c r="Q179"/>
  <c r="F51" i="7" s="1"/>
  <c r="F52" s="1"/>
  <c r="Q177" i="1"/>
  <c r="Q198"/>
  <c r="Q196"/>
  <c r="Q194"/>
  <c r="Q192"/>
  <c r="Q190"/>
  <c r="Q188"/>
  <c r="Q186"/>
  <c r="Q184"/>
  <c r="Q182"/>
  <c r="Q180"/>
  <c r="Q178"/>
  <c r="Q320"/>
  <c r="Q318"/>
  <c r="Q316"/>
  <c r="Q314"/>
  <c r="Q312"/>
  <c r="Q310"/>
  <c r="Q308"/>
  <c r="Q306"/>
  <c r="Q304"/>
  <c r="Q302"/>
  <c r="Q321"/>
  <c r="Q319"/>
  <c r="Q317"/>
  <c r="Q315"/>
  <c r="Q313"/>
  <c r="Q311"/>
  <c r="Q309"/>
  <c r="Q307"/>
  <c r="Q305"/>
  <c r="Q303"/>
  <c r="Q301"/>
  <c r="Q116"/>
  <c r="Q114"/>
  <c r="Q112"/>
  <c r="Q110"/>
  <c r="Q108"/>
  <c r="Q106"/>
  <c r="Q104"/>
  <c r="Q102"/>
  <c r="Q100"/>
  <c r="Q98"/>
  <c r="Q96"/>
  <c r="Q115"/>
  <c r="Q113"/>
  <c r="Q111"/>
  <c r="Q109"/>
  <c r="Q107"/>
  <c r="Q105"/>
  <c r="Q103"/>
  <c r="Q101"/>
  <c r="Q99"/>
  <c r="Q97"/>
  <c r="Q454"/>
  <c r="F56" i="7"/>
  <c r="F57" s="1"/>
  <c r="Q39" i="1"/>
  <c r="R39" s="1"/>
  <c r="Q37"/>
  <c r="R37" s="1"/>
  <c r="Q38"/>
  <c r="R38" s="1"/>
  <c r="J56" i="7"/>
  <c r="J57" s="1"/>
  <c r="I51"/>
  <c r="I52" s="1"/>
  <c r="M51"/>
  <c r="M52" s="1"/>
  <c r="C51"/>
  <c r="C56"/>
  <c r="C57" s="1"/>
  <c r="D51"/>
  <c r="R198" i="1"/>
  <c r="K56" i="7"/>
  <c r="K57" s="1"/>
  <c r="R265" i="1"/>
  <c r="R277"/>
  <c r="R281"/>
  <c r="R268"/>
  <c r="R272"/>
  <c r="R280"/>
  <c r="R196"/>
  <c r="E51" i="7"/>
  <c r="E52" s="1"/>
  <c r="G56"/>
  <c r="G57" s="1"/>
  <c r="I56"/>
  <c r="I57" s="1"/>
  <c r="L51"/>
  <c r="L52" s="1"/>
  <c r="D56"/>
  <c r="D57" s="1"/>
  <c r="H56"/>
  <c r="H57" s="1"/>
  <c r="H51"/>
  <c r="H52" s="1"/>
  <c r="R321" i="1"/>
  <c r="R317"/>
  <c r="R315"/>
  <c r="R313"/>
  <c r="R311"/>
  <c r="R309"/>
  <c r="R307"/>
  <c r="R305"/>
  <c r="R303"/>
  <c r="R320"/>
  <c r="R318"/>
  <c r="R316"/>
  <c r="R314"/>
  <c r="R312"/>
  <c r="R310"/>
  <c r="R308"/>
  <c r="R306"/>
  <c r="R304"/>
  <c r="R302"/>
  <c r="R182"/>
  <c r="R186"/>
  <c r="R192"/>
  <c r="R183"/>
  <c r="R189"/>
  <c r="R354"/>
  <c r="E101" i="7"/>
  <c r="E102" s="1"/>
  <c r="R195" i="1"/>
  <c r="R178"/>
  <c r="R190"/>
  <c r="R194"/>
  <c r="R114"/>
  <c r="R104"/>
  <c r="R116"/>
  <c r="R103"/>
  <c r="R106"/>
  <c r="R97"/>
  <c r="R105"/>
  <c r="R98"/>
  <c r="R109"/>
  <c r="R100"/>
  <c r="R108"/>
  <c r="R99"/>
  <c r="R107"/>
  <c r="R102"/>
  <c r="R110"/>
  <c r="R101"/>
  <c r="R113"/>
  <c r="R136"/>
  <c r="R140"/>
  <c r="R144"/>
  <c r="R148"/>
  <c r="E41" i="7"/>
  <c r="E42" s="1"/>
  <c r="R156" i="1"/>
  <c r="R137"/>
  <c r="R141"/>
  <c r="R145"/>
  <c r="R149"/>
  <c r="D41" i="7"/>
  <c r="D42" s="1"/>
  <c r="R157" i="1"/>
  <c r="R138"/>
  <c r="R142"/>
  <c r="R146"/>
  <c r="R150"/>
  <c r="R154"/>
  <c r="R139"/>
  <c r="R143"/>
  <c r="R147"/>
  <c r="R151"/>
  <c r="C41" i="7"/>
  <c r="R269" i="1"/>
  <c r="R267"/>
  <c r="R275"/>
  <c r="R262"/>
  <c r="R270"/>
  <c r="R278"/>
  <c r="R273"/>
  <c r="R263"/>
  <c r="R271"/>
  <c r="R279"/>
  <c r="R266"/>
  <c r="R274"/>
  <c r="R227"/>
  <c r="R229"/>
  <c r="R231"/>
  <c r="R233"/>
  <c r="E86" i="7"/>
  <c r="E87" s="1"/>
  <c r="R237" i="1"/>
  <c r="R239"/>
  <c r="R220"/>
  <c r="R222"/>
  <c r="R224"/>
  <c r="D86" i="7"/>
  <c r="D87" s="1"/>
  <c r="R228" i="1"/>
  <c r="R230"/>
  <c r="R232"/>
  <c r="R234"/>
  <c r="R236"/>
  <c r="R240"/>
  <c r="R219"/>
  <c r="R221"/>
  <c r="R223"/>
  <c r="R225"/>
  <c r="R352"/>
  <c r="C101" i="7"/>
  <c r="C102" s="1"/>
  <c r="R343" i="1"/>
  <c r="G96" i="7"/>
  <c r="G97" s="1"/>
  <c r="R355" i="1"/>
  <c r="F101" i="7"/>
  <c r="F102" s="1"/>
  <c r="R359" i="1"/>
  <c r="J101" i="7"/>
  <c r="J102" s="1"/>
  <c r="R363" i="1"/>
  <c r="M101" i="7"/>
  <c r="R342" i="1"/>
  <c r="F96" i="7"/>
  <c r="F97" s="1"/>
  <c r="R356" i="1"/>
  <c r="G101" i="7"/>
  <c r="G102" s="1"/>
  <c r="R360" i="1"/>
  <c r="C96" i="7"/>
  <c r="R364" i="1"/>
  <c r="N101" i="7"/>
  <c r="N102" s="1"/>
  <c r="D25" i="8"/>
  <c r="R341" i="1"/>
  <c r="E96" i="7"/>
  <c r="E97" s="1"/>
  <c r="R353" i="1"/>
  <c r="D101" i="7"/>
  <c r="D102" s="1"/>
  <c r="R357" i="1"/>
  <c r="H101" i="7"/>
  <c r="H102" s="1"/>
  <c r="R361" i="1"/>
  <c r="K101" i="7"/>
  <c r="K102" s="1"/>
  <c r="R358" i="1"/>
  <c r="I101" i="7"/>
  <c r="I102" s="1"/>
  <c r="R362" i="1"/>
  <c r="L101" i="7"/>
  <c r="L102" s="1"/>
  <c r="R448" i="1"/>
  <c r="C121" i="7"/>
  <c r="R199" i="1"/>
  <c r="L56" i="7"/>
  <c r="L57" s="1"/>
  <c r="R276" i="1"/>
  <c r="C132" i="7"/>
  <c r="R264" i="1"/>
  <c r="Q498"/>
  <c r="R472"/>
  <c r="R498" s="1"/>
  <c r="R428"/>
  <c r="E132" i="7"/>
  <c r="R340" i="1"/>
  <c r="R384"/>
  <c r="R410" s="1"/>
  <c r="R71"/>
  <c r="R66"/>
  <c r="R74"/>
  <c r="R155"/>
  <c r="R75"/>
  <c r="Q24"/>
  <c r="F20" i="7"/>
  <c r="F21" s="1"/>
  <c r="Q22" i="1"/>
  <c r="Q29"/>
  <c r="Q30"/>
  <c r="Q17"/>
  <c r="Q28"/>
  <c r="Q18"/>
  <c r="Q23"/>
  <c r="Q15"/>
  <c r="Q20"/>
  <c r="Q21"/>
  <c r="Q31"/>
  <c r="R226"/>
  <c r="C86" i="7"/>
  <c r="F86" s="1"/>
  <c r="R238" i="1"/>
  <c r="R179"/>
  <c r="R111"/>
  <c r="F30" i="7"/>
  <c r="F31" s="1"/>
  <c r="R115" i="1"/>
  <c r="D30" i="7"/>
  <c r="D31" s="1"/>
  <c r="C30"/>
  <c r="R112" i="1"/>
  <c r="E30" i="7"/>
  <c r="E31" s="1"/>
  <c r="R319" i="1"/>
  <c r="C76" i="7"/>
  <c r="C77" s="1"/>
  <c r="R135" i="1"/>
  <c r="Q241"/>
  <c r="R218"/>
  <c r="R301"/>
  <c r="Q117"/>
  <c r="R96"/>
  <c r="R177"/>
  <c r="R261"/>
  <c r="R322" l="1"/>
  <c r="Q36"/>
  <c r="R36" s="1"/>
  <c r="Q34"/>
  <c r="R73"/>
  <c r="Q16"/>
  <c r="R366"/>
  <c r="R454"/>
  <c r="Q33"/>
  <c r="R72"/>
  <c r="Q76"/>
  <c r="Q19"/>
  <c r="R19" s="1"/>
  <c r="Q322"/>
  <c r="G51" i="7"/>
  <c r="G52" s="1"/>
  <c r="R180" i="1"/>
  <c r="N51" i="7"/>
  <c r="N52" s="1"/>
  <c r="R187" i="1"/>
  <c r="Q32"/>
  <c r="R32" s="1"/>
  <c r="F41" i="7"/>
  <c r="O51"/>
  <c r="O52" s="1"/>
  <c r="R188" i="1"/>
  <c r="Q14"/>
  <c r="R14" s="1"/>
  <c r="G30" i="7"/>
  <c r="R181" i="1"/>
  <c r="C97" i="7"/>
  <c r="P101"/>
  <c r="P102" s="1"/>
  <c r="Q200" i="1"/>
  <c r="R197"/>
  <c r="R193"/>
  <c r="Q26"/>
  <c r="R26" s="1"/>
  <c r="Q27"/>
  <c r="Q25"/>
  <c r="R25" s="1"/>
  <c r="R185"/>
  <c r="D20" i="7"/>
  <c r="D21" s="1"/>
  <c r="Q35" i="1"/>
  <c r="R35" s="1"/>
  <c r="K51" i="7"/>
  <c r="K52" s="1"/>
  <c r="R184" i="1"/>
  <c r="E56" i="7"/>
  <c r="E57" s="1"/>
  <c r="R191" i="1"/>
  <c r="C42" i="7"/>
  <c r="F42" s="1"/>
  <c r="R27" i="1"/>
  <c r="Q282"/>
  <c r="C66" i="7" s="1"/>
  <c r="C67" s="1"/>
  <c r="Q158" i="1"/>
  <c r="R153"/>
  <c r="R152"/>
  <c r="R235"/>
  <c r="R241" s="1"/>
  <c r="M102" i="7"/>
  <c r="R282" i="1"/>
  <c r="D132" i="7"/>
  <c r="F132" s="1"/>
  <c r="C122"/>
  <c r="R61" i="1"/>
  <c r="R20"/>
  <c r="R59"/>
  <c r="R18"/>
  <c r="R65"/>
  <c r="R24"/>
  <c r="H20" i="7"/>
  <c r="H21" s="1"/>
  <c r="R31" i="1"/>
  <c r="R64"/>
  <c r="R23"/>
  <c r="E20" i="7"/>
  <c r="E21" s="1"/>
  <c r="R22" i="1"/>
  <c r="C20" i="7"/>
  <c r="R34" i="1"/>
  <c r="R56"/>
  <c r="R15"/>
  <c r="R67"/>
  <c r="R28"/>
  <c r="R68"/>
  <c r="R29"/>
  <c r="J20" i="7"/>
  <c r="J21" s="1"/>
  <c r="R57" i="1"/>
  <c r="R16"/>
  <c r="I20" i="7"/>
  <c r="I21" s="1"/>
  <c r="R60" i="1"/>
  <c r="G20" i="7"/>
  <c r="G21" s="1"/>
  <c r="R30" i="1"/>
  <c r="R62"/>
  <c r="R21"/>
  <c r="R33"/>
  <c r="R58"/>
  <c r="R17"/>
  <c r="R55"/>
  <c r="D52" i="7"/>
  <c r="R63" i="1"/>
  <c r="R70"/>
  <c r="R69"/>
  <c r="C52" i="7"/>
  <c r="C87"/>
  <c r="F87" s="1"/>
  <c r="R117" i="1"/>
  <c r="C31" i="7"/>
  <c r="G31" s="1"/>
  <c r="R76" i="1" l="1"/>
  <c r="R200"/>
  <c r="K20" i="7"/>
  <c r="R158" i="1"/>
  <c r="C21" i="7"/>
  <c r="K21" s="1"/>
  <c r="M56"/>
  <c r="M57" s="1"/>
  <c r="Q40" i="1"/>
  <c r="R40"/>
  <c r="C9" i="7" l="1"/>
  <c r="C10" l="1"/>
</calcChain>
</file>

<file path=xl/comments1.xml><?xml version="1.0" encoding="utf-8"?>
<comments xmlns="http://schemas.openxmlformats.org/spreadsheetml/2006/main">
  <authors>
    <author>Michael Gard</author>
  </authors>
  <commentList>
    <comment ref="B54" authorId="0">
      <text>
        <r>
          <rPr>
            <b/>
            <sz val="8"/>
            <color indexed="81"/>
            <rFont val="Tahoma"/>
            <family val="2"/>
          </rPr>
          <t>Michael Gard:</t>
        </r>
        <r>
          <rPr>
            <sz val="8"/>
            <color indexed="81"/>
            <rFont val="Tahoma"/>
            <family val="2"/>
          </rPr>
          <t xml:space="preserve">
Was not included in the 2011 rate development.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>Michael Gard:</t>
        </r>
        <r>
          <rPr>
            <sz val="8"/>
            <color indexed="81"/>
            <rFont val="Tahoma"/>
            <family val="2"/>
          </rPr>
          <t xml:space="preserve">
ITCM load as reported on Attachment O less loads of other Transmission Oweners in ITCM zone.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Michael Gard:</t>
        </r>
        <r>
          <rPr>
            <sz val="8"/>
            <color indexed="81"/>
            <rFont val="Tahoma"/>
            <family val="2"/>
          </rPr>
          <t xml:space="preserve">
Total will match amount reported on line 15, page 1 of 5, of the Actual ITCM Attachment O.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>Michael Gard:</t>
        </r>
        <r>
          <rPr>
            <sz val="8"/>
            <color indexed="81"/>
            <rFont val="Tahoma"/>
            <family val="2"/>
          </rPr>
          <t xml:space="preserve">
Includes only AC System load as reported on line 15, page 1 of 6, of the Actual Attachment O.</t>
        </r>
      </text>
    </comment>
    <comment ref="B71" authorId="0">
      <text>
        <r>
          <rPr>
            <b/>
            <sz val="8"/>
            <color indexed="81"/>
            <rFont val="Tahoma"/>
            <family val="2"/>
          </rPr>
          <t>Michael Gard:</t>
        </r>
        <r>
          <rPr>
            <sz val="8"/>
            <color indexed="81"/>
            <rFont val="Tahoma"/>
            <family val="2"/>
          </rPr>
          <t xml:space="preserve">
NSP load as reported on line 15, page 1 of 5, of the Actual Attachment O less NWEC, Blue Earth and Delano; as the loads for these three Transmission Owners are included in the load NSP has reported in line 15.</t>
        </r>
      </text>
    </comment>
  </commentList>
</comments>
</file>

<file path=xl/sharedStrings.xml><?xml version="1.0" encoding="utf-8"?>
<sst xmlns="http://schemas.openxmlformats.org/spreadsheetml/2006/main" count="1488" uniqueCount="235">
  <si>
    <t>Project ID:</t>
  </si>
  <si>
    <t>1472  GIP</t>
  </si>
  <si>
    <t>Project Name:</t>
  </si>
  <si>
    <t>G536 19.95 MW wind farm in Jackson County, MN</t>
  </si>
  <si>
    <t>Voltage Class</t>
  </si>
  <si>
    <t>69 kV</t>
  </si>
  <si>
    <t>Project Cost</t>
  </si>
  <si>
    <t xml:space="preserve">Region / Zone: </t>
  </si>
  <si>
    <t>West / GRE</t>
  </si>
  <si>
    <t>ARR</t>
  </si>
  <si>
    <t>Postage Stamp</t>
  </si>
  <si>
    <t>Sub-regional</t>
  </si>
  <si>
    <t>Allocation Total</t>
  </si>
  <si>
    <t>Allocation</t>
  </si>
  <si>
    <t>Pricing Zone</t>
  </si>
  <si>
    <t>12 CP Load kW</t>
  </si>
  <si>
    <t xml:space="preserve">Load Ratio Share </t>
  </si>
  <si>
    <t>%</t>
  </si>
  <si>
    <t>$</t>
  </si>
  <si>
    <t>FE</t>
  </si>
  <si>
    <t>HE</t>
  </si>
  <si>
    <t>CIN</t>
  </si>
  <si>
    <t>VECT</t>
  </si>
  <si>
    <t>IPL</t>
  </si>
  <si>
    <t>NIPS</t>
  </si>
  <si>
    <t>METC</t>
  </si>
  <si>
    <t>ITC</t>
  </si>
  <si>
    <t>ITCM</t>
  </si>
  <si>
    <t>CWLD</t>
  </si>
  <si>
    <t>AMIL</t>
  </si>
  <si>
    <t>AMMO</t>
  </si>
  <si>
    <t>CWLP</t>
  </si>
  <si>
    <t>SIPC</t>
  </si>
  <si>
    <t>ATC</t>
  </si>
  <si>
    <t>NSP</t>
  </si>
  <si>
    <t>MP</t>
  </si>
  <si>
    <t>SMMPA</t>
  </si>
  <si>
    <t>GRE</t>
  </si>
  <si>
    <t>OTP</t>
  </si>
  <si>
    <t>MDU</t>
  </si>
  <si>
    <t>Note: This is a Generation Interconnection Project.  Therefore, only 50% of project cost is included in Pricing Zone/s.</t>
  </si>
  <si>
    <t>D</t>
  </si>
  <si>
    <t>F</t>
  </si>
  <si>
    <t>G</t>
  </si>
  <si>
    <t>A</t>
  </si>
  <si>
    <t>B</t>
  </si>
  <si>
    <t>E</t>
  </si>
  <si>
    <t>H</t>
  </si>
  <si>
    <t>Revenue True-Up Adjustment</t>
  </si>
  <si>
    <t>Attachment GG</t>
  </si>
  <si>
    <t xml:space="preserve">Total </t>
  </si>
  <si>
    <t>Cost True-Up</t>
  </si>
  <si>
    <t>Actual Revenue Calculation</t>
  </si>
  <si>
    <t>Revenue True-Up</t>
  </si>
  <si>
    <t>Zonal True-Up</t>
  </si>
  <si>
    <t>True-Up</t>
  </si>
  <si>
    <t>Adjustment</t>
  </si>
  <si>
    <t>Projected Rev.</t>
  </si>
  <si>
    <t>Interest</t>
  </si>
  <si>
    <t>Amount</t>
  </si>
  <si>
    <t>Over/(Under) collection</t>
  </si>
  <si>
    <t>279 - GRE portion</t>
  </si>
  <si>
    <t>Boswell - Wilton 230 kV Line</t>
  </si>
  <si>
    <t>230 kV</t>
  </si>
  <si>
    <t>West / MPC, NSP, OTP, MP</t>
  </si>
  <si>
    <t>277, 1022  -  1022 is GRE portion</t>
  </si>
  <si>
    <t>Badoura Area Upgrades</t>
  </si>
  <si>
    <t>115kV</t>
  </si>
  <si>
    <t>West - MP</t>
  </si>
  <si>
    <t>2097   GIP</t>
  </si>
  <si>
    <t>GRE2097_GIP</t>
  </si>
  <si>
    <t>69 kV, 230kV</t>
  </si>
  <si>
    <t>MI13AG</t>
  </si>
  <si>
    <t>MI13ANG</t>
  </si>
  <si>
    <t>286 - GRE portion - see below for NSP, OTP &amp; MP</t>
  </si>
  <si>
    <t>Capx_Twin Cities - Fargo 345kV project</t>
  </si>
  <si>
    <t>345 kV, 115 kV</t>
  </si>
  <si>
    <t>West / GRE/NSP/OTP/MP</t>
  </si>
  <si>
    <t>2562 GIP</t>
  </si>
  <si>
    <t>1471  GIP</t>
  </si>
  <si>
    <t>G518 8 MWI wind farm in Jackson County, MN</t>
  </si>
  <si>
    <t>Loads for Attachment GG True-Ups</t>
  </si>
  <si>
    <t>Jan.</t>
  </si>
  <si>
    <t>Feb.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</si>
  <si>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</si>
  <si>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</si>
  <si>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</si>
  <si>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</si>
  <si>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</si>
  <si>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</si>
  <si>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</si>
  <si>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</si>
  <si>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</si>
  <si>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</si>
  <si>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12 CP</t>
  </si>
  <si>
    <t>DUK</t>
  </si>
  <si>
    <t>MEC</t>
  </si>
  <si>
    <t>MPW</t>
  </si>
  <si>
    <t>DPC</t>
  </si>
  <si>
    <t>BREC</t>
  </si>
  <si>
    <t>Total</t>
  </si>
  <si>
    <t>WVPA</t>
  </si>
  <si>
    <t>IMPA</t>
  </si>
  <si>
    <t>Joint Transmission System</t>
  </si>
  <si>
    <t>Michigan Joint Sub-Zone</t>
  </si>
  <si>
    <t xml:space="preserve">     Michigan Joint Zone</t>
  </si>
  <si>
    <t>MPPA</t>
  </si>
  <si>
    <t>Wolverine</t>
  </si>
  <si>
    <t>MSCPA</t>
  </si>
  <si>
    <t>Traverse City</t>
  </si>
  <si>
    <t>Grand Haven</t>
  </si>
  <si>
    <t>Zeeland</t>
  </si>
  <si>
    <t>Mich Joint Zone</t>
  </si>
  <si>
    <t>International</t>
  </si>
  <si>
    <t>Great River Energy</t>
  </si>
  <si>
    <t>Elk River</t>
  </si>
  <si>
    <t>Northern States</t>
  </si>
  <si>
    <t>ITC Midwest</t>
  </si>
  <si>
    <t>Tipton</t>
  </si>
  <si>
    <t>Mountian Lake</t>
  </si>
  <si>
    <t>Windom</t>
  </si>
  <si>
    <t>Minnesota Power</t>
  </si>
  <si>
    <t>Otter Tail</t>
  </si>
  <si>
    <t>MRES</t>
  </si>
  <si>
    <t>NWEC</t>
  </si>
  <si>
    <t>Blue Earth</t>
  </si>
  <si>
    <t>Delano</t>
  </si>
  <si>
    <t>CFU</t>
  </si>
  <si>
    <t>Atlantic</t>
  </si>
  <si>
    <t>IPPA</t>
  </si>
  <si>
    <t>Eldridge</t>
  </si>
  <si>
    <t>Pella</t>
  </si>
  <si>
    <t>Montezuma</t>
  </si>
  <si>
    <t>Non-GFA</t>
  </si>
  <si>
    <t>Mi Joint Zone (Zone 13)</t>
  </si>
  <si>
    <t>GFA</t>
  </si>
  <si>
    <t>Mi Joint Zone Subzone (Zone 13A)</t>
  </si>
  <si>
    <t xml:space="preserve"> </t>
  </si>
  <si>
    <t>Formula</t>
  </si>
  <si>
    <t>MTEP:</t>
  </si>
  <si>
    <t>06</t>
  </si>
  <si>
    <t>07</t>
  </si>
  <si>
    <t>MTEP</t>
  </si>
  <si>
    <t>From 26 File does not change</t>
  </si>
  <si>
    <t>08</t>
  </si>
  <si>
    <t>FROM MTEP</t>
  </si>
  <si>
    <t>09</t>
  </si>
  <si>
    <t>Attachment GG True-up Summary</t>
  </si>
  <si>
    <t>Total Over (Under) Collection</t>
  </si>
  <si>
    <t xml:space="preserve">Total Interest </t>
  </si>
  <si>
    <t>Total Annual True Up Amount</t>
  </si>
  <si>
    <t>Individual Project Listing:</t>
  </si>
  <si>
    <t>Annual Over (Under) Collection</t>
  </si>
  <si>
    <t xml:space="preserve">Interest </t>
  </si>
  <si>
    <t>Total True Up Amount</t>
  </si>
  <si>
    <t>Interest Information:</t>
  </si>
  <si>
    <t>Project</t>
  </si>
  <si>
    <t>Int</t>
  </si>
  <si>
    <t>Total Int</t>
  </si>
  <si>
    <t>Month</t>
  </si>
  <si>
    <t>Year</t>
  </si>
  <si>
    <t>FERC Monthly
 Interest Rate</t>
  </si>
  <si>
    <t>GRE Monthly 
Interest Rate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</si>
  <si>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</si>
  <si>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</si>
  <si>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</si>
  <si>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</si>
  <si>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</si>
  <si>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</si>
  <si>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</si>
  <si>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</si>
  <si>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</si>
  <si>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</si>
  <si>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</si>
  <si>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Average Monthly Rate</t>
  </si>
  <si>
    <t>Times 12</t>
  </si>
  <si>
    <t>Annual Rate</t>
  </si>
  <si>
    <t>277/1022</t>
  </si>
  <si>
    <t xml:space="preserve">286 GRE portion </t>
  </si>
  <si>
    <t>Capx_TwinCities_Fargo 345kV Project</t>
  </si>
  <si>
    <t>West/GRE.NSP.OTP MP</t>
  </si>
  <si>
    <t xml:space="preserve">2097 GRE portion </t>
  </si>
  <si>
    <t>60kV, 230kV</t>
  </si>
  <si>
    <t>West/GRE</t>
  </si>
  <si>
    <t>Over Recover</t>
  </si>
  <si>
    <t>Under Recover</t>
  </si>
  <si>
    <t>Total Projected Revenue Requirement</t>
  </si>
  <si>
    <t>Projected Revenue Requirement</t>
  </si>
  <si>
    <t>Net Revenue Requirement</t>
  </si>
  <si>
    <t>True-Up Adjustment</t>
  </si>
  <si>
    <t>Actual Revenue Requirement</t>
  </si>
  <si>
    <t>Calculated Revenue Allocation</t>
  </si>
  <si>
    <t>Actual Total Revenue Allocated</t>
  </si>
  <si>
    <t>Over(Under) Recovery</t>
  </si>
  <si>
    <t>C</t>
  </si>
  <si>
    <t>C-D</t>
  </si>
  <si>
    <t>A+E</t>
  </si>
  <si>
    <t>F+G</t>
  </si>
  <si>
    <t>Over/(Under)</t>
  </si>
  <si>
    <t>Interest Calculation</t>
  </si>
  <si>
    <t>True Up Calculation</t>
  </si>
  <si>
    <t>True Up Amounts</t>
  </si>
  <si>
    <t>Annual True-Up for Fiscal Year Ended 2011</t>
  </si>
  <si>
    <t>3104 GIP</t>
  </si>
  <si>
    <t>3105 GIP</t>
  </si>
  <si>
    <t>1542 GIP</t>
  </si>
  <si>
    <t>3106 GIP</t>
  </si>
  <si>
    <t>3104  GIP</t>
  </si>
  <si>
    <t>3105  GIP</t>
  </si>
  <si>
    <t>1542  GIP</t>
  </si>
  <si>
    <t>3106  GIP</t>
  </si>
  <si>
    <t>Note 4, 6, 8, 10 and 12 Divisor, from Schedule 26 True-Up Procedures</t>
  </si>
  <si>
    <t>2011 Projected Load</t>
  </si>
  <si>
    <t>ATSI = FE</t>
  </si>
  <si>
    <t>Hutchinson</t>
  </si>
  <si>
    <t>Note 3, 5, 7, 9 and 11 Divisor, from Schedule 26 True-Up Procedure</t>
  </si>
  <si>
    <t>2011 Actual Load</t>
  </si>
  <si>
    <t>GRE Total</t>
  </si>
  <si>
    <t>Actual 2011 Sched 26 Revenue Req</t>
  </si>
  <si>
    <t>Actual 2011 Schedule 26 Revenue</t>
  </si>
  <si>
    <t>Project was cancelled</t>
  </si>
  <si>
    <t>GRE's Short Term Interest Rate (Avg Rate Jan '11 - July '12)</t>
  </si>
  <si>
    <t>FERC Interest Rate (Avg Rate Jan '11 - July '12)</t>
  </si>
  <si>
    <t>Allocation was revised 6/11 to reflect the inclusion of MRES per Docket ER11-3276</t>
  </si>
  <si>
    <t>TAREA - Pleasant Valley Substation: Generation Network Upgrades</t>
  </si>
  <si>
    <t>TAREA - Wilmarth replace circuit breakers 8S23 &amp; 8S25</t>
  </si>
  <si>
    <t>TAREA - G252: Valley View Wind Interconnection</t>
  </si>
  <si>
    <t>TAREA - SC-ODT Line - Modify Strs to meet 212 Deg F</t>
  </si>
  <si>
    <t>TAREA - Upgrade 115kV LR-PC line between Tamarac &amp; Cormorant Junction</t>
  </si>
  <si>
    <t xml:space="preserve">  </t>
  </si>
  <si>
    <t>Upgrade 115kV LR-PC line between Tamarac &amp; Cormorant Junction</t>
  </si>
  <si>
    <t>SC-ODT Line - Modify Strs to meet 212 Deg F</t>
  </si>
  <si>
    <t>G252: Valley View Wind Interconnection</t>
  </si>
  <si>
    <t>Wilmarth replace circuit breakers 8S23 &amp; 8S25</t>
  </si>
  <si>
    <t>Interest Summary</t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</si>
</sst>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0.0000%"/>
    <numFmt numFmtId="168" formatCode="_(* #,##0_);_(* \(#,##0\);_(* &quot;-&quot;??_);_(@_)"/>
    <numFmt numFmtId="169" formatCode="0.00000%"/>
    <numFmt numFmtId="170" formatCode="_(* #,##0.00000_);_(* \(#,##0.000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u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44" fontId="13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3" applyFont="1" applyBorder="1" applyAlignment="1">
      <alignment vertical="center" wrapText="1"/>
    </xf>
    <xf numFmtId="0" fontId="2" fillId="0" borderId="0" xfId="3"/>
    <xf numFmtId="0" fontId="5" fillId="2" borderId="14" xfId="3" applyFont="1" applyFill="1" applyBorder="1"/>
    <xf numFmtId="0" fontId="5" fillId="2" borderId="15" xfId="3" applyFont="1" applyFill="1" applyBorder="1"/>
    <xf numFmtId="0" fontId="5" fillId="2" borderId="16" xfId="3" applyFont="1" applyFill="1" applyBorder="1"/>
    <xf numFmtId="9" fontId="6" fillId="3" borderId="14" xfId="3" applyNumberFormat="1" applyFont="1" applyFill="1" applyBorder="1" applyAlignment="1">
      <alignment horizontal="center"/>
    </xf>
    <xf numFmtId="9" fontId="6" fillId="3" borderId="15" xfId="3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5" fillId="2" borderId="18" xfId="3" applyFont="1" applyFill="1" applyBorder="1" applyAlignment="1">
      <alignment vertical="top"/>
    </xf>
    <xf numFmtId="0" fontId="5" fillId="2" borderId="19" xfId="3" applyFont="1" applyFill="1" applyBorder="1" applyAlignment="1">
      <alignment vertical="top"/>
    </xf>
    <xf numFmtId="0" fontId="5" fillId="2" borderId="20" xfId="3" applyFont="1" applyFill="1" applyBorder="1" applyAlignment="1">
      <alignment vertical="top"/>
    </xf>
    <xf numFmtId="0" fontId="7" fillId="3" borderId="21" xfId="0" applyFont="1" applyFill="1" applyBorder="1" applyAlignment="1">
      <alignment horizontal="center"/>
    </xf>
    <xf numFmtId="0" fontId="6" fillId="0" borderId="22" xfId="3" applyFont="1" applyBorder="1" applyAlignment="1">
      <alignment vertical="top" wrapText="1"/>
    </xf>
    <xf numFmtId="0" fontId="8" fillId="0" borderId="22" xfId="3" applyFont="1" applyFill="1" applyBorder="1" applyAlignment="1">
      <alignment horizontal="center" vertical="top" wrapText="1"/>
    </xf>
    <xf numFmtId="0" fontId="6" fillId="0" borderId="22" xfId="3" applyFont="1" applyFill="1" applyBorder="1" applyAlignment="1">
      <alignment horizontal="center" vertical="top" wrapText="1"/>
    </xf>
    <xf numFmtId="0" fontId="6" fillId="0" borderId="23" xfId="3" applyFont="1" applyFill="1" applyBorder="1" applyAlignment="1">
      <alignment horizontal="center" vertical="top" wrapText="1"/>
    </xf>
    <xf numFmtId="0" fontId="6" fillId="0" borderId="24" xfId="3" applyFont="1" applyFill="1" applyBorder="1" applyAlignment="1">
      <alignment horizontal="center" vertical="top" wrapText="1"/>
    </xf>
    <xf numFmtId="0" fontId="6" fillId="0" borderId="25" xfId="3" applyFont="1" applyFill="1" applyBorder="1" applyAlignment="1">
      <alignment horizontal="center" vertical="top" wrapText="1"/>
    </xf>
    <xf numFmtId="0" fontId="6" fillId="0" borderId="17" xfId="3" applyFont="1" applyFill="1" applyBorder="1" applyAlignment="1">
      <alignment horizontal="center" vertical="top" wrapText="1"/>
    </xf>
    <xf numFmtId="0" fontId="2" fillId="0" borderId="26" xfId="4" applyFont="1" applyFill="1" applyBorder="1" applyAlignment="1">
      <alignment vertical="top"/>
    </xf>
    <xf numFmtId="3" fontId="5" fillId="0" borderId="27" xfId="3" applyNumberFormat="1" applyFont="1" applyBorder="1" applyAlignment="1">
      <alignment vertical="top"/>
    </xf>
    <xf numFmtId="10" fontId="5" fillId="0" borderId="28" xfId="2" applyNumberFormat="1" applyFont="1" applyBorder="1" applyAlignment="1">
      <alignment vertical="top"/>
    </xf>
    <xf numFmtId="10" fontId="11" fillId="0" borderId="29" xfId="2" applyNumberFormat="1" applyFont="1" applyBorder="1" applyAlignment="1">
      <alignment vertical="top"/>
    </xf>
    <xf numFmtId="165" fontId="5" fillId="0" borderId="30" xfId="1" applyNumberFormat="1" applyFont="1" applyBorder="1" applyAlignment="1">
      <alignment vertical="top"/>
    </xf>
    <xf numFmtId="10" fontId="11" fillId="0" borderId="31" xfId="2" applyNumberFormat="1" applyFont="1" applyBorder="1" applyAlignment="1">
      <alignment vertical="top"/>
    </xf>
    <xf numFmtId="165" fontId="5" fillId="0" borderId="32" xfId="1" applyNumberFormat="1" applyFont="1" applyBorder="1" applyAlignment="1">
      <alignment vertical="top"/>
    </xf>
    <xf numFmtId="10" fontId="5" fillId="0" borderId="29" xfId="2" applyNumberFormat="1" applyFont="1" applyBorder="1" applyAlignment="1">
      <alignment vertical="top"/>
    </xf>
    <xf numFmtId="165" fontId="5" fillId="0" borderId="17" xfId="1" applyNumberFormat="1" applyFont="1" applyBorder="1" applyAlignment="1">
      <alignment vertical="top"/>
    </xf>
    <xf numFmtId="44" fontId="5" fillId="0" borderId="33" xfId="0" applyNumberFormat="1" applyFont="1" applyBorder="1"/>
    <xf numFmtId="0" fontId="2" fillId="0" borderId="4" xfId="4" applyFont="1" applyFill="1" applyBorder="1" applyAlignment="1">
      <alignment vertical="top"/>
    </xf>
    <xf numFmtId="165" fontId="5" fillId="0" borderId="21" xfId="1" applyNumberFormat="1" applyFont="1" applyBorder="1" applyAlignment="1">
      <alignment vertical="top"/>
    </xf>
    <xf numFmtId="0" fontId="2" fillId="0" borderId="9" xfId="4" applyFont="1" applyFill="1" applyBorder="1" applyAlignment="1">
      <alignment vertical="top"/>
    </xf>
    <xf numFmtId="165" fontId="5" fillId="0" borderId="20" xfId="1" applyNumberFormat="1" applyFont="1" applyBorder="1" applyAlignment="1">
      <alignment vertical="top"/>
    </xf>
    <xf numFmtId="10" fontId="5" fillId="0" borderId="13" xfId="2" applyNumberFormat="1" applyFont="1" applyBorder="1" applyAlignment="1">
      <alignment vertical="top"/>
    </xf>
    <xf numFmtId="165" fontId="5" fillId="0" borderId="34" xfId="1" applyNumberFormat="1" applyFont="1" applyBorder="1" applyAlignment="1">
      <alignment vertical="top"/>
    </xf>
    <xf numFmtId="0" fontId="5" fillId="0" borderId="35" xfId="3" applyFont="1" applyFill="1" applyBorder="1" applyAlignment="1">
      <alignment vertical="top"/>
    </xf>
    <xf numFmtId="3" fontId="5" fillId="0" borderId="36" xfId="3" applyNumberFormat="1" applyFont="1" applyFill="1" applyBorder="1" applyAlignment="1">
      <alignment vertical="top"/>
    </xf>
    <xf numFmtId="10" fontId="5" fillId="0" borderId="36" xfId="2" applyNumberFormat="1" applyFont="1" applyFill="1" applyBorder="1" applyAlignment="1">
      <alignment vertical="top"/>
    </xf>
    <xf numFmtId="10" fontId="5" fillId="0" borderId="37" xfId="2" applyNumberFormat="1" applyFont="1" applyFill="1" applyBorder="1" applyAlignment="1">
      <alignment vertical="top"/>
    </xf>
    <xf numFmtId="165" fontId="5" fillId="0" borderId="23" xfId="1" applyNumberFormat="1" applyFont="1" applyFill="1" applyBorder="1" applyAlignment="1">
      <alignment vertical="top"/>
    </xf>
    <xf numFmtId="10" fontId="5" fillId="0" borderId="25" xfId="2" applyNumberFormat="1" applyFont="1" applyFill="1" applyBorder="1" applyAlignment="1">
      <alignment vertical="top"/>
    </xf>
    <xf numFmtId="10" fontId="5" fillId="0" borderId="18" xfId="2" applyNumberFormat="1" applyFont="1" applyFill="1" applyBorder="1" applyAlignment="1">
      <alignment vertical="top"/>
    </xf>
    <xf numFmtId="165" fontId="5" fillId="0" borderId="19" xfId="1" applyNumberFormat="1" applyFont="1" applyFill="1" applyBorder="1" applyAlignment="1">
      <alignment vertical="top"/>
    </xf>
    <xf numFmtId="44" fontId="5" fillId="0" borderId="22" xfId="0" applyNumberFormat="1" applyFont="1" applyBorder="1"/>
    <xf numFmtId="0" fontId="10" fillId="0" borderId="0" xfId="0" applyFont="1"/>
    <xf numFmtId="3" fontId="10" fillId="0" borderId="0" xfId="0" applyNumberFormat="1" applyFont="1"/>
    <xf numFmtId="0" fontId="2" fillId="0" borderId="0" xfId="4" applyFont="1" applyFill="1" applyBorder="1" applyAlignment="1">
      <alignment vertical="top"/>
    </xf>
    <xf numFmtId="165" fontId="0" fillId="0" borderId="0" xfId="0" applyNumberFormat="1"/>
    <xf numFmtId="165" fontId="7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7" xfId="0" applyNumberFormat="1" applyBorder="1" applyAlignment="1"/>
    <xf numFmtId="166" fontId="0" fillId="0" borderId="17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1" xfId="0" applyNumberFormat="1" applyBorder="1" applyAlignment="1"/>
    <xf numFmtId="166" fontId="0" fillId="0" borderId="34" xfId="0" applyNumberFormat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top" wrapText="1"/>
    </xf>
    <xf numFmtId="166" fontId="0" fillId="0" borderId="0" xfId="0" applyNumberFormat="1" applyAlignment="1"/>
    <xf numFmtId="0" fontId="6" fillId="0" borderId="16" xfId="3" applyFont="1" applyFill="1" applyBorder="1" applyAlignment="1">
      <alignment horizontal="center" vertical="top" wrapText="1"/>
    </xf>
    <xf numFmtId="165" fontId="0" fillId="0" borderId="0" xfId="0" applyNumberFormat="1" applyAlignment="1"/>
    <xf numFmtId="165" fontId="0" fillId="0" borderId="0" xfId="1" applyNumberFormat="1" applyFont="1"/>
    <xf numFmtId="165" fontId="0" fillId="0" borderId="33" xfId="0" applyNumberFormat="1" applyBorder="1"/>
    <xf numFmtId="165" fontId="0" fillId="0" borderId="25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0" fontId="0" fillId="4" borderId="0" xfId="0" applyFill="1"/>
    <xf numFmtId="44" fontId="7" fillId="0" borderId="0" xfId="1" applyFont="1" applyBorder="1"/>
    <xf numFmtId="10" fontId="11" fillId="0" borderId="13" xfId="2" applyNumberFormat="1" applyFont="1" applyBorder="1" applyAlignment="1">
      <alignment vertical="top"/>
    </xf>
    <xf numFmtId="165" fontId="5" fillId="0" borderId="22" xfId="1" applyNumberFormat="1" applyFont="1" applyFill="1" applyBorder="1" applyAlignment="1">
      <alignment vertical="top"/>
    </xf>
    <xf numFmtId="167" fontId="0" fillId="0" borderId="0" xfId="0" applyNumberForma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168" fontId="15" fillId="0" borderId="0" xfId="8" applyNumberFormat="1" applyFont="1"/>
    <xf numFmtId="168" fontId="15" fillId="0" borderId="0" xfId="0" applyNumberFormat="1" applyFont="1"/>
    <xf numFmtId="168" fontId="16" fillId="0" borderId="0" xfId="8" applyNumberFormat="1" applyFont="1"/>
    <xf numFmtId="168" fontId="17" fillId="0" borderId="0" xfId="8" applyNumberFormat="1" applyFont="1"/>
    <xf numFmtId="3" fontId="15" fillId="0" borderId="0" xfId="0" applyNumberFormat="1" applyFont="1" applyFill="1" applyAlignment="1">
      <alignment horizontal="center"/>
    </xf>
    <xf numFmtId="168" fontId="18" fillId="0" borderId="0" xfId="8" applyNumberFormat="1" applyFont="1"/>
    <xf numFmtId="168" fontId="15" fillId="0" borderId="0" xfId="0" applyNumberFormat="1" applyFont="1" applyFill="1"/>
    <xf numFmtId="168" fontId="15" fillId="0" borderId="48" xfId="8" applyNumberFormat="1" applyFont="1" applyBorder="1"/>
    <xf numFmtId="166" fontId="17" fillId="0" borderId="14" xfId="0" applyNumberFormat="1" applyFont="1" applyBorder="1" applyAlignment="1">
      <alignment horizontal="center"/>
    </xf>
    <xf numFmtId="168" fontId="16" fillId="0" borderId="0" xfId="8" applyNumberFormat="1" applyFont="1" applyFill="1" applyBorder="1" applyAlignment="1"/>
    <xf numFmtId="166" fontId="17" fillId="0" borderId="49" xfId="0" applyNumberFormat="1" applyFont="1" applyBorder="1" applyAlignment="1">
      <alignment horizontal="center"/>
    </xf>
    <xf numFmtId="168" fontId="16" fillId="0" borderId="19" xfId="8" applyNumberFormat="1" applyFont="1" applyBorder="1"/>
    <xf numFmtId="168" fontId="16" fillId="0" borderId="19" xfId="8" applyNumberFormat="1" applyFont="1" applyBorder="1" applyAlignment="1"/>
    <xf numFmtId="166" fontId="19" fillId="0" borderId="18" xfId="0" applyNumberFormat="1" applyFont="1" applyBorder="1" applyAlignment="1">
      <alignment horizontal="center" wrapText="1"/>
    </xf>
    <xf numFmtId="168" fontId="17" fillId="0" borderId="19" xfId="8" applyNumberFormat="1" applyFont="1" applyBorder="1" applyAlignment="1"/>
    <xf numFmtId="166" fontId="17" fillId="0" borderId="14" xfId="0" applyNumberFormat="1" applyFont="1" applyFill="1" applyBorder="1" applyAlignment="1">
      <alignment horizontal="right"/>
    </xf>
    <xf numFmtId="168" fontId="16" fillId="0" borderId="15" xfId="8" applyNumberFormat="1" applyFont="1" applyFill="1" applyBorder="1" applyAlignment="1"/>
    <xf numFmtId="166" fontId="17" fillId="0" borderId="49" xfId="0" applyNumberFormat="1" applyFont="1" applyFill="1" applyBorder="1" applyAlignment="1">
      <alignment horizontal="right" wrapText="1"/>
    </xf>
    <xf numFmtId="168" fontId="15" fillId="0" borderId="19" xfId="8" applyNumberFormat="1" applyFont="1" applyBorder="1"/>
    <xf numFmtId="168" fontId="15" fillId="0" borderId="19" xfId="8" applyNumberFormat="1" applyFont="1" applyFill="1" applyBorder="1" applyAlignment="1"/>
    <xf numFmtId="166" fontId="17" fillId="0" borderId="18" xfId="0" applyNumberFormat="1" applyFont="1" applyFill="1" applyBorder="1" applyAlignment="1">
      <alignment horizontal="left"/>
    </xf>
    <xf numFmtId="168" fontId="17" fillId="0" borderId="19" xfId="8" applyNumberFormat="1" applyFont="1" applyFill="1" applyBorder="1" applyAlignment="1"/>
    <xf numFmtId="166" fontId="17" fillId="0" borderId="49" xfId="0" applyNumberFormat="1" applyFont="1" applyFill="1" applyBorder="1" applyAlignment="1">
      <alignment horizontal="right"/>
    </xf>
    <xf numFmtId="168" fontId="16" fillId="0" borderId="19" xfId="8" applyNumberFormat="1" applyFont="1" applyFill="1" applyBorder="1" applyAlignment="1"/>
    <xf numFmtId="166" fontId="19" fillId="0" borderId="18" xfId="0" applyNumberFormat="1" applyFont="1" applyFill="1" applyBorder="1" applyAlignment="1">
      <alignment horizontal="right" wrapText="1"/>
    </xf>
    <xf numFmtId="168" fontId="17" fillId="0" borderId="23" xfId="8" applyNumberFormat="1" applyFont="1" applyBorder="1"/>
    <xf numFmtId="166" fontId="17" fillId="0" borderId="14" xfId="0" applyNumberFormat="1" applyFont="1" applyFill="1" applyBorder="1" applyAlignment="1">
      <alignment horizontal="right" wrapText="1"/>
    </xf>
    <xf numFmtId="166" fontId="17" fillId="0" borderId="49" xfId="0" applyNumberFormat="1" applyFont="1" applyBorder="1" applyAlignment="1">
      <alignment horizontal="right" wrapText="1"/>
    </xf>
    <xf numFmtId="166" fontId="19" fillId="0" borderId="18" xfId="0" applyNumberFormat="1" applyFont="1" applyBorder="1" applyAlignment="1">
      <alignment horizontal="right" wrapText="1"/>
    </xf>
    <xf numFmtId="166" fontId="17" fillId="0" borderId="14" xfId="0" applyNumberFormat="1" applyFont="1" applyBorder="1" applyAlignment="1">
      <alignment horizontal="right" wrapText="1"/>
    </xf>
    <xf numFmtId="168" fontId="16" fillId="0" borderId="0" xfId="8" applyNumberFormat="1" applyFont="1" applyBorder="1" applyAlignment="1"/>
    <xf numFmtId="168" fontId="17" fillId="0" borderId="19" xfId="8" applyNumberFormat="1" applyFont="1" applyBorder="1"/>
    <xf numFmtId="3" fontId="17" fillId="0" borderId="49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3" fontId="15" fillId="0" borderId="49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3" fontId="17" fillId="0" borderId="14" xfId="0" applyNumberFormat="1" applyFont="1" applyBorder="1" applyAlignment="1">
      <alignment horizontal="right"/>
    </xf>
    <xf numFmtId="3" fontId="19" fillId="0" borderId="49" xfId="0" applyNumberFormat="1" applyFont="1" applyBorder="1" applyAlignment="1">
      <alignment horizontal="right"/>
    </xf>
    <xf numFmtId="168" fontId="17" fillId="0" borderId="0" xfId="8" applyNumberFormat="1" applyFont="1" applyBorder="1" applyAlignment="1"/>
    <xf numFmtId="3" fontId="17" fillId="0" borderId="49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8" fontId="16" fillId="0" borderId="0" xfId="8" applyNumberFormat="1" applyFont="1" applyFill="1"/>
    <xf numFmtId="168" fontId="15" fillId="0" borderId="0" xfId="8" applyNumberFormat="1" applyFont="1" applyFill="1"/>
    <xf numFmtId="168" fontId="17" fillId="0" borderId="0" xfId="8" applyNumberFormat="1" applyFont="1" applyFill="1"/>
    <xf numFmtId="168" fontId="15" fillId="0" borderId="19" xfId="8" applyNumberFormat="1" applyFont="1" applyFill="1" applyBorder="1"/>
    <xf numFmtId="168" fontId="17" fillId="0" borderId="23" xfId="8" applyNumberFormat="1" applyFont="1" applyFill="1" applyBorder="1"/>
    <xf numFmtId="168" fontId="16" fillId="0" borderId="19" xfId="8" applyNumberFormat="1" applyFont="1" applyFill="1" applyBorder="1"/>
    <xf numFmtId="168" fontId="0" fillId="0" borderId="0" xfId="0" applyNumberFormat="1"/>
    <xf numFmtId="168" fontId="16" fillId="0" borderId="0" xfId="8" applyNumberFormat="1" applyFont="1" applyFill="1" applyBorder="1"/>
    <xf numFmtId="168" fontId="15" fillId="0" borderId="19" xfId="0" applyNumberFormat="1" applyFont="1" applyBorder="1"/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0" borderId="26" xfId="3" applyFont="1" applyBorder="1" applyAlignment="1">
      <alignment horizontal="left" vertical="center" wrapText="1"/>
    </xf>
    <xf numFmtId="0" fontId="3" fillId="0" borderId="27" xfId="3" applyFont="1" applyBorder="1" applyAlignment="1">
      <alignment horizontal="left" vertical="center" wrapText="1"/>
    </xf>
    <xf numFmtId="0" fontId="3" fillId="0" borderId="29" xfId="3" applyFont="1" applyBorder="1" applyAlignment="1">
      <alignment horizontal="left" vertical="center" wrapText="1"/>
    </xf>
    <xf numFmtId="0" fontId="3" fillId="0" borderId="30" xfId="3" applyFont="1" applyBorder="1" applyAlignment="1">
      <alignment horizontal="left" vertical="center" wrapText="1"/>
    </xf>
    <xf numFmtId="0" fontId="3" fillId="0" borderId="50" xfId="3" quotePrefix="1" applyFont="1" applyBorder="1" applyAlignment="1">
      <alignment horizontal="left" vertical="center" wrapText="1"/>
    </xf>
    <xf numFmtId="0" fontId="3" fillId="0" borderId="28" xfId="3" applyFont="1" applyBorder="1" applyAlignment="1">
      <alignment horizontal="left" vertical="center" wrapText="1"/>
    </xf>
    <xf numFmtId="0" fontId="3" fillId="0" borderId="31" xfId="3" applyFont="1" applyBorder="1" applyAlignment="1">
      <alignment horizontal="left" vertical="center" wrapText="1"/>
    </xf>
    <xf numFmtId="0" fontId="3" fillId="0" borderId="51" xfId="3" applyFont="1" applyBorder="1" applyAlignment="1">
      <alignment horizontal="left" vertical="center" wrapText="1"/>
    </xf>
    <xf numFmtId="0" fontId="3" fillId="0" borderId="27" xfId="3" quotePrefix="1" applyFont="1" applyBorder="1" applyAlignment="1">
      <alignment horizontal="left" vertical="center" wrapText="1"/>
    </xf>
    <xf numFmtId="3" fontId="12" fillId="0" borderId="27" xfId="3" applyNumberFormat="1" applyFont="1" applyBorder="1" applyAlignment="1">
      <alignment vertical="top"/>
    </xf>
    <xf numFmtId="0" fontId="23" fillId="0" borderId="0" xfId="9"/>
    <xf numFmtId="0" fontId="23" fillId="0" borderId="0" xfId="9" applyBorder="1"/>
    <xf numFmtId="0" fontId="13" fillId="0" borderId="0" xfId="9" applyFont="1"/>
    <xf numFmtId="0" fontId="24" fillId="0" borderId="0" xfId="3" applyFont="1" applyBorder="1" applyAlignment="1">
      <alignment horizontal="left" vertical="center" wrapText="1"/>
    </xf>
    <xf numFmtId="0" fontId="13" fillId="0" borderId="0" xfId="3" applyFont="1" applyBorder="1" applyAlignment="1">
      <alignment horizontal="left" vertical="center" wrapText="1"/>
    </xf>
    <xf numFmtId="0" fontId="23" fillId="0" borderId="22" xfId="9" applyBorder="1" applyAlignment="1">
      <alignment horizontal="center"/>
    </xf>
    <xf numFmtId="165" fontId="0" fillId="0" borderId="0" xfId="10" applyNumberFormat="1" applyFont="1"/>
    <xf numFmtId="165" fontId="0" fillId="0" borderId="48" xfId="10" applyNumberFormat="1" applyFont="1" applyBorder="1"/>
    <xf numFmtId="0" fontId="24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left" vertical="center"/>
    </xf>
    <xf numFmtId="0" fontId="24" fillId="0" borderId="0" xfId="9" applyFont="1"/>
    <xf numFmtId="10" fontId="23" fillId="0" borderId="0" xfId="2" applyNumberFormat="1" applyFont="1"/>
    <xf numFmtId="43" fontId="0" fillId="0" borderId="0" xfId="8" applyFont="1"/>
    <xf numFmtId="43" fontId="0" fillId="0" borderId="0" xfId="0" applyNumberFormat="1"/>
    <xf numFmtId="169" fontId="0" fillId="0" borderId="0" xfId="2" applyNumberFormat="1" applyFont="1"/>
    <xf numFmtId="0" fontId="22" fillId="0" borderId="0" xfId="0" applyFont="1"/>
    <xf numFmtId="0" fontId="22" fillId="0" borderId="52" xfId="0" applyFont="1" applyBorder="1" applyAlignment="1">
      <alignment horizontal="center"/>
    </xf>
    <xf numFmtId="0" fontId="22" fillId="0" borderId="52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/>
    <xf numFmtId="3" fontId="5" fillId="0" borderId="27" xfId="3" applyNumberFormat="1" applyFont="1" applyFill="1" applyBorder="1" applyAlignment="1">
      <alignment vertical="top"/>
    </xf>
    <xf numFmtId="0" fontId="0" fillId="0" borderId="0" xfId="0" applyFill="1"/>
    <xf numFmtId="167" fontId="0" fillId="0" borderId="0" xfId="2" applyNumberFormat="1" applyFont="1" applyFill="1"/>
    <xf numFmtId="10" fontId="23" fillId="0" borderId="0" xfId="2" applyNumberFormat="1" applyFont="1" applyFill="1"/>
    <xf numFmtId="165" fontId="0" fillId="0" borderId="0" xfId="0" applyNumberFormat="1" applyFill="1"/>
    <xf numFmtId="0" fontId="0" fillId="0" borderId="0" xfId="0" applyFill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166" fontId="0" fillId="0" borderId="0" xfId="0" applyNumberFormat="1" applyFill="1" applyAlignment="1"/>
    <xf numFmtId="165" fontId="0" fillId="0" borderId="23" xfId="0" applyNumberFormat="1" applyFill="1" applyBorder="1"/>
    <xf numFmtId="0" fontId="24" fillId="0" borderId="0" xfId="3" applyFont="1" applyFill="1" applyBorder="1" applyAlignment="1">
      <alignment horizontal="left" vertical="center" wrapText="1"/>
    </xf>
    <xf numFmtId="0" fontId="23" fillId="0" borderId="0" xfId="9" applyFill="1"/>
    <xf numFmtId="0" fontId="13" fillId="0" borderId="0" xfId="3" applyFont="1" applyFill="1" applyBorder="1" applyAlignment="1">
      <alignment horizontal="left" vertical="center" wrapText="1"/>
    </xf>
    <xf numFmtId="0" fontId="23" fillId="0" borderId="22" xfId="9" applyFill="1" applyBorder="1" applyAlignment="1">
      <alignment horizontal="center"/>
    </xf>
    <xf numFmtId="165" fontId="0" fillId="0" borderId="0" xfId="10" applyNumberFormat="1" applyFont="1" applyFill="1"/>
    <xf numFmtId="0" fontId="13" fillId="0" borderId="0" xfId="9" applyFont="1" applyFill="1"/>
    <xf numFmtId="165" fontId="0" fillId="0" borderId="48" xfId="10" applyNumberFormat="1" applyFont="1" applyFill="1" applyBorder="1"/>
    <xf numFmtId="0" fontId="23" fillId="0" borderId="0" xfId="9" applyFill="1" applyBorder="1"/>
    <xf numFmtId="0" fontId="24" fillId="0" borderId="0" xfId="3" applyFont="1" applyFill="1" applyBorder="1" applyAlignment="1">
      <alignment horizontal="left" vertical="center" wrapText="1"/>
    </xf>
    <xf numFmtId="165" fontId="0" fillId="0" borderId="0" xfId="10" applyNumberFormat="1" applyFont="1" applyBorder="1"/>
    <xf numFmtId="165" fontId="0" fillId="0" borderId="0" xfId="10" applyNumberFormat="1" applyFont="1" applyFill="1" applyBorder="1"/>
    <xf numFmtId="0" fontId="24" fillId="0" borderId="0" xfId="9" applyFont="1" applyFill="1" applyBorder="1"/>
    <xf numFmtId="165" fontId="23" fillId="0" borderId="0" xfId="9" applyNumberFormat="1" applyFill="1" applyBorder="1"/>
    <xf numFmtId="165" fontId="23" fillId="0" borderId="19" xfId="9" applyNumberFormat="1" applyFill="1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168" fontId="0" fillId="0" borderId="0" xfId="0" applyNumberFormat="1" applyFill="1"/>
    <xf numFmtId="165" fontId="0" fillId="4" borderId="0" xfId="0" applyNumberFormat="1" applyFill="1"/>
    <xf numFmtId="9" fontId="6" fillId="3" borderId="14" xfId="3" applyNumberFormat="1" applyFont="1" applyFill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44" fontId="5" fillId="0" borderId="34" xfId="0" applyNumberFormat="1" applyFont="1" applyBorder="1"/>
    <xf numFmtId="14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42" fontId="10" fillId="0" borderId="0" xfId="1" applyNumberFormat="1" applyFont="1" applyFill="1" applyBorder="1" applyAlignment="1">
      <alignment vertical="top"/>
    </xf>
    <xf numFmtId="42" fontId="7" fillId="4" borderId="22" xfId="1" applyNumberFormat="1" applyFont="1" applyFill="1" applyBorder="1"/>
    <xf numFmtId="42" fontId="0" fillId="4" borderId="0" xfId="0" applyNumberFormat="1" applyFill="1"/>
    <xf numFmtId="165" fontId="0" fillId="0" borderId="21" xfId="0" applyNumberFormat="1" applyFill="1" applyBorder="1"/>
    <xf numFmtId="165" fontId="0" fillId="0" borderId="34" xfId="0" applyNumberFormat="1" applyFill="1" applyBorder="1"/>
    <xf numFmtId="165" fontId="5" fillId="0" borderId="14" xfId="1" applyNumberFormat="1" applyFont="1" applyBorder="1" applyAlignment="1">
      <alignment vertical="top"/>
    </xf>
    <xf numFmtId="165" fontId="5" fillId="0" borderId="49" xfId="1" applyNumberFormat="1" applyFont="1" applyBorder="1" applyAlignment="1">
      <alignment vertical="top"/>
    </xf>
    <xf numFmtId="165" fontId="5" fillId="0" borderId="18" xfId="1" applyNumberFormat="1" applyFont="1" applyBorder="1" applyAlignment="1">
      <alignment vertical="top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right"/>
    </xf>
    <xf numFmtId="42" fontId="0" fillId="0" borderId="0" xfId="0" applyNumberFormat="1"/>
    <xf numFmtId="42" fontId="0" fillId="0" borderId="0" xfId="0" applyNumberFormat="1" applyFill="1"/>
    <xf numFmtId="0" fontId="26" fillId="7" borderId="53" xfId="0" applyFont="1" applyFill="1" applyBorder="1" applyAlignment="1">
      <alignment horizontal="centerContinuous"/>
    </xf>
    <xf numFmtId="0" fontId="26" fillId="7" borderId="54" xfId="0" applyFont="1" applyFill="1" applyBorder="1" applyAlignment="1">
      <alignment horizontal="centerContinuous"/>
    </xf>
    <xf numFmtId="0" fontId="26" fillId="8" borderId="53" xfId="0" applyFont="1" applyFill="1" applyBorder="1" applyAlignment="1">
      <alignment horizontal="centerContinuous"/>
    </xf>
    <xf numFmtId="0" fontId="26" fillId="8" borderId="54" xfId="0" applyFont="1" applyFill="1" applyBorder="1" applyAlignment="1">
      <alignment horizontal="centerContinuous"/>
    </xf>
    <xf numFmtId="0" fontId="26" fillId="8" borderId="55" xfId="0" applyFont="1" applyFill="1" applyBorder="1" applyAlignment="1">
      <alignment horizontal="centerContinuous"/>
    </xf>
    <xf numFmtId="165" fontId="0" fillId="0" borderId="0" xfId="1" applyNumberFormat="1" applyFont="1" applyFill="1"/>
    <xf numFmtId="166" fontId="0" fillId="0" borderId="17" xfId="0" applyNumberFormat="1" applyFill="1" applyBorder="1" applyAlignment="1"/>
    <xf numFmtId="165" fontId="0" fillId="0" borderId="25" xfId="0" applyNumberFormat="1" applyFill="1" applyBorder="1"/>
    <xf numFmtId="0" fontId="24" fillId="0" borderId="0" xfId="3" applyFont="1" applyFill="1" applyBorder="1" applyAlignment="1">
      <alignment horizontal="left" vertical="center" wrapText="1"/>
    </xf>
    <xf numFmtId="166" fontId="0" fillId="0" borderId="25" xfId="0" applyNumberFormat="1" applyBorder="1" applyAlignment="1">
      <alignment horizontal="center"/>
    </xf>
    <xf numFmtId="9" fontId="6" fillId="3" borderId="14" xfId="3" applyNumberFormat="1" applyFont="1" applyFill="1" applyBorder="1" applyAlignment="1">
      <alignment horizontal="center"/>
    </xf>
    <xf numFmtId="166" fontId="17" fillId="9" borderId="14" xfId="0" applyNumberFormat="1" applyFont="1" applyFill="1" applyBorder="1" applyAlignment="1">
      <alignment horizontal="right" wrapText="1"/>
    </xf>
    <xf numFmtId="166" fontId="17" fillId="9" borderId="49" xfId="0" applyNumberFormat="1" applyFont="1" applyFill="1" applyBorder="1" applyAlignment="1">
      <alignment horizontal="right" wrapText="1"/>
    </xf>
    <xf numFmtId="168" fontId="16" fillId="10" borderId="0" xfId="8" applyNumberFormat="1" applyFont="1" applyFill="1"/>
    <xf numFmtId="3" fontId="15" fillId="9" borderId="14" xfId="0" applyNumberFormat="1" applyFont="1" applyFill="1" applyBorder="1" applyAlignment="1">
      <alignment horizontal="right"/>
    </xf>
    <xf numFmtId="3" fontId="17" fillId="9" borderId="14" xfId="0" applyNumberFormat="1" applyFont="1" applyFill="1" applyBorder="1" applyAlignment="1">
      <alignment horizontal="right"/>
    </xf>
    <xf numFmtId="3" fontId="17" fillId="9" borderId="49" xfId="0" applyNumberFormat="1" applyFont="1" applyFill="1" applyBorder="1" applyAlignment="1">
      <alignment horizontal="right"/>
    </xf>
    <xf numFmtId="16" fontId="0" fillId="0" borderId="0" xfId="0" applyNumberFormat="1"/>
    <xf numFmtId="0" fontId="2" fillId="0" borderId="56" xfId="4" applyFont="1" applyFill="1" applyBorder="1" applyAlignment="1">
      <alignment vertical="top"/>
    </xf>
    <xf numFmtId="10" fontId="5" fillId="0" borderId="19" xfId="2" applyNumberFormat="1" applyFont="1" applyBorder="1" applyAlignment="1">
      <alignment vertical="top"/>
    </xf>
    <xf numFmtId="44" fontId="5" fillId="0" borderId="20" xfId="0" applyNumberFormat="1" applyFont="1" applyBorder="1"/>
    <xf numFmtId="10" fontId="11" fillId="0" borderId="18" xfId="2" applyNumberFormat="1" applyFont="1" applyBorder="1" applyAlignment="1">
      <alignment vertical="top"/>
    </xf>
    <xf numFmtId="165" fontId="0" fillId="0" borderId="18" xfId="0" applyNumberFormat="1" applyFill="1" applyBorder="1"/>
    <xf numFmtId="0" fontId="0" fillId="0" borderId="19" xfId="0" applyFill="1" applyBorder="1"/>
    <xf numFmtId="0" fontId="25" fillId="0" borderId="19" xfId="0" quotePrefix="1" applyFont="1" applyFill="1" applyBorder="1"/>
    <xf numFmtId="0" fontId="23" fillId="0" borderId="0" xfId="9" applyFill="1" applyBorder="1" applyAlignment="1">
      <alignment horizontal="center"/>
    </xf>
    <xf numFmtId="0" fontId="13" fillId="0" borderId="22" xfId="9" applyFont="1" applyFill="1" applyBorder="1" applyAlignment="1">
      <alignment horizontal="center"/>
    </xf>
    <xf numFmtId="168" fontId="0" fillId="0" borderId="0" xfId="8" applyNumberFormat="1" applyFont="1" applyFill="1"/>
    <xf numFmtId="168" fontId="0" fillId="0" borderId="0" xfId="8" applyNumberFormat="1" applyFont="1" applyFill="1" applyAlignment="1">
      <alignment horizontal="center"/>
    </xf>
    <xf numFmtId="168" fontId="0" fillId="0" borderId="19" xfId="8" applyNumberFormat="1" applyFont="1" applyFill="1" applyBorder="1"/>
    <xf numFmtId="167" fontId="0" fillId="0" borderId="19" xfId="2" applyNumberFormat="1" applyFont="1" applyFill="1" applyBorder="1"/>
    <xf numFmtId="168" fontId="0" fillId="0" borderId="19" xfId="0" applyNumberFormat="1" applyFill="1" applyBorder="1"/>
    <xf numFmtId="168" fontId="0" fillId="0" borderId="0" xfId="8" applyNumberFormat="1" applyFont="1" applyFill="1" applyBorder="1"/>
    <xf numFmtId="167" fontId="0" fillId="0" borderId="0" xfId="2" applyNumberFormat="1" applyFont="1" applyFill="1" applyBorder="1"/>
    <xf numFmtId="168" fontId="0" fillId="0" borderId="0" xfId="0" applyNumberFormat="1" applyFill="1" applyBorder="1"/>
    <xf numFmtId="0" fontId="0" fillId="0" borderId="0" xfId="0" applyFill="1" applyBorder="1"/>
    <xf numFmtId="0" fontId="13" fillId="0" borderId="0" xfId="9" applyFont="1" applyFill="1" applyBorder="1"/>
    <xf numFmtId="165" fontId="0" fillId="0" borderId="0" xfId="0" applyNumberFormat="1" applyFill="1" applyAlignment="1"/>
    <xf numFmtId="165" fontId="5" fillId="0" borderId="33" xfId="1" applyNumberFormat="1" applyFont="1" applyBorder="1" applyAlignment="1">
      <alignment vertical="top"/>
    </xf>
    <xf numFmtId="10" fontId="5" fillId="0" borderId="0" xfId="2" applyNumberFormat="1" applyFont="1" applyBorder="1" applyAlignment="1">
      <alignment vertical="top"/>
    </xf>
    <xf numFmtId="3" fontId="5" fillId="0" borderId="51" xfId="3" applyNumberFormat="1" applyFont="1" applyFill="1" applyBorder="1" applyAlignment="1">
      <alignment vertical="top"/>
    </xf>
    <xf numFmtId="0" fontId="2" fillId="0" borderId="49" xfId="4" applyFont="1" applyFill="1" applyBorder="1" applyAlignment="1">
      <alignment vertical="top"/>
    </xf>
    <xf numFmtId="43" fontId="23" fillId="0" borderId="0" xfId="8" applyFont="1" applyFill="1" applyBorder="1"/>
    <xf numFmtId="44" fontId="23" fillId="0" borderId="0" xfId="9" applyNumberFormat="1" applyFill="1" applyBorder="1"/>
    <xf numFmtId="165" fontId="0" fillId="0" borderId="33" xfId="0" applyNumberFormat="1" applyFill="1" applyBorder="1"/>
    <xf numFmtId="165" fontId="0" fillId="0" borderId="24" xfId="0" applyNumberFormat="1" applyFill="1" applyBorder="1"/>
    <xf numFmtId="0" fontId="28" fillId="0" borderId="0" xfId="0" applyFont="1"/>
    <xf numFmtId="0" fontId="27" fillId="0" borderId="52" xfId="0" applyFont="1" applyFill="1" applyBorder="1" applyAlignment="1">
      <alignment horizontal="center" wrapText="1"/>
    </xf>
    <xf numFmtId="170" fontId="28" fillId="0" borderId="0" xfId="8" applyNumberFormat="1" applyFont="1" applyFill="1"/>
    <xf numFmtId="170" fontId="28" fillId="0" borderId="19" xfId="8" quotePrefix="1" applyNumberFormat="1" applyFont="1" applyFill="1" applyBorder="1"/>
    <xf numFmtId="167" fontId="28" fillId="0" borderId="0" xfId="0" applyNumberFormat="1" applyFont="1"/>
    <xf numFmtId="1" fontId="28" fillId="0" borderId="0" xfId="0" applyNumberFormat="1" applyFont="1"/>
    <xf numFmtId="0" fontId="28" fillId="0" borderId="0" xfId="0" applyFont="1" applyAlignment="1">
      <alignment horizontal="center"/>
    </xf>
    <xf numFmtId="0" fontId="0" fillId="0" borderId="22" xfId="0" applyBorder="1"/>
    <xf numFmtId="0" fontId="0" fillId="4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0" xfId="9" applyFont="1"/>
    <xf numFmtId="10" fontId="29" fillId="0" borderId="0" xfId="2" applyNumberFormat="1" applyFont="1" applyFill="1"/>
    <xf numFmtId="0" fontId="24" fillId="0" borderId="0" xfId="9" applyFont="1" applyAlignment="1">
      <alignment horizont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164" fontId="4" fillId="0" borderId="6" xfId="3" applyNumberFormat="1" applyFont="1" applyBorder="1" applyAlignment="1">
      <alignment horizontal="left" vertical="center" wrapText="1"/>
    </xf>
    <xf numFmtId="164" fontId="4" fillId="0" borderId="7" xfId="3" applyNumberFormat="1" applyFont="1" applyBorder="1" applyAlignment="1">
      <alignment horizontal="left" vertical="center" wrapText="1"/>
    </xf>
    <xf numFmtId="164" fontId="4" fillId="0" borderId="8" xfId="3" applyNumberFormat="1" applyFont="1" applyBorder="1" applyAlignment="1">
      <alignment horizontal="left" vertical="center" wrapText="1"/>
    </xf>
    <xf numFmtId="0" fontId="3" fillId="0" borderId="9" xfId="3" applyFont="1" applyBorder="1" applyAlignment="1">
      <alignment horizontal="left" vertical="center" wrapText="1"/>
    </xf>
    <xf numFmtId="0" fontId="3" fillId="0" borderId="10" xfId="3" applyFont="1" applyBorder="1" applyAlignment="1">
      <alignment horizontal="left" vertical="center" wrapText="1"/>
    </xf>
    <xf numFmtId="164" fontId="3" fillId="0" borderId="11" xfId="3" applyNumberFormat="1" applyFont="1" applyBorder="1" applyAlignment="1">
      <alignment horizontal="left" vertical="center" wrapText="1"/>
    </xf>
    <xf numFmtId="164" fontId="3" fillId="0" borderId="12" xfId="3" applyNumberFormat="1" applyFont="1" applyBorder="1" applyAlignment="1">
      <alignment horizontal="left" vertical="center" wrapText="1"/>
    </xf>
    <xf numFmtId="164" fontId="3" fillId="0" borderId="13" xfId="3" applyNumberFormat="1" applyFont="1" applyBorder="1" applyAlignment="1">
      <alignment horizontal="left" vertical="center" wrapText="1"/>
    </xf>
    <xf numFmtId="9" fontId="6" fillId="3" borderId="14" xfId="3" applyNumberFormat="1" applyFont="1" applyFill="1" applyBorder="1" applyAlignment="1">
      <alignment horizontal="center"/>
    </xf>
    <xf numFmtId="9" fontId="6" fillId="3" borderId="16" xfId="3" applyNumberFormat="1" applyFont="1" applyFill="1" applyBorder="1" applyAlignment="1">
      <alignment horizontal="center"/>
    </xf>
    <xf numFmtId="0" fontId="3" fillId="0" borderId="1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3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7" xfId="3" applyFont="1" applyBorder="1" applyAlignment="1">
      <alignment horizontal="left" vertical="center" wrapText="1"/>
    </xf>
    <xf numFmtId="0" fontId="3" fillId="0" borderId="8" xfId="3" applyFont="1" applyBorder="1" applyAlignment="1">
      <alignment horizontal="left" vertical="center" wrapText="1"/>
    </xf>
    <xf numFmtId="166" fontId="0" fillId="0" borderId="25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6" fillId="3" borderId="18" xfId="3" applyFont="1" applyFill="1" applyBorder="1" applyAlignment="1">
      <alignment horizontal="center" vertical="top" wrapText="1"/>
    </xf>
    <xf numFmtId="0" fontId="6" fillId="3" borderId="20" xfId="3" applyFont="1" applyFill="1" applyBorder="1" applyAlignment="1">
      <alignment horizontal="center" vertical="top" wrapText="1"/>
    </xf>
    <xf numFmtId="0" fontId="6" fillId="3" borderId="19" xfId="3" applyFont="1" applyFill="1" applyBorder="1" applyAlignment="1">
      <alignment horizontal="center" vertical="top" wrapText="1"/>
    </xf>
    <xf numFmtId="164" fontId="3" fillId="0" borderId="10" xfId="5" applyNumberFormat="1" applyFont="1" applyBorder="1" applyAlignment="1">
      <alignment horizontal="left" vertical="center" wrapText="1"/>
    </xf>
    <xf numFmtId="164" fontId="3" fillId="0" borderId="39" xfId="5" applyNumberFormat="1" applyFont="1" applyBorder="1" applyAlignment="1">
      <alignment horizontal="left" vertical="center" wrapText="1"/>
    </xf>
    <xf numFmtId="0" fontId="3" fillId="0" borderId="5" xfId="5" applyNumberFormat="1" applyFont="1" applyBorder="1" applyAlignment="1">
      <alignment horizontal="left" vertical="center" wrapText="1"/>
    </xf>
    <xf numFmtId="0" fontId="3" fillId="0" borderId="38" xfId="5" applyNumberFormat="1" applyFont="1" applyBorder="1" applyAlignment="1">
      <alignment horizontal="left" vertical="center" wrapText="1"/>
    </xf>
    <xf numFmtId="0" fontId="3" fillId="0" borderId="5" xfId="5" applyFont="1" applyBorder="1" applyAlignment="1">
      <alignment horizontal="left" vertical="center" wrapText="1"/>
    </xf>
    <xf numFmtId="0" fontId="3" fillId="0" borderId="38" xfId="5" applyFont="1" applyBorder="1" applyAlignment="1">
      <alignment horizontal="left" vertical="center" wrapText="1"/>
    </xf>
    <xf numFmtId="0" fontId="3" fillId="0" borderId="27" xfId="5" applyNumberFormat="1" applyFont="1" applyBorder="1" applyAlignment="1">
      <alignment horizontal="left" vertical="center" wrapText="1"/>
    </xf>
    <xf numFmtId="0" fontId="3" fillId="0" borderId="28" xfId="5" applyNumberFormat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left" vertical="center" wrapText="1"/>
    </xf>
    <xf numFmtId="164" fontId="4" fillId="0" borderId="8" xfId="1" applyNumberFormat="1" applyFont="1" applyBorder="1" applyAlignment="1">
      <alignment horizontal="left" vertical="center" wrapText="1"/>
    </xf>
    <xf numFmtId="0" fontId="3" fillId="0" borderId="40" xfId="3" applyFont="1" applyBorder="1" applyAlignment="1">
      <alignment horizontal="left" vertical="center" wrapText="1"/>
    </xf>
    <xf numFmtId="0" fontId="3" fillId="0" borderId="41" xfId="3" applyFont="1" applyBorder="1" applyAlignment="1">
      <alignment horizontal="left" vertical="center" wrapText="1"/>
    </xf>
    <xf numFmtId="0" fontId="3" fillId="0" borderId="6" xfId="5" applyFont="1" applyBorder="1" applyAlignment="1">
      <alignment horizontal="left" vertical="center" wrapText="1"/>
    </xf>
    <xf numFmtId="0" fontId="3" fillId="0" borderId="7" xfId="5" applyFont="1" applyBorder="1" applyAlignment="1">
      <alignment horizontal="left" vertical="center" wrapText="1"/>
    </xf>
    <xf numFmtId="0" fontId="3" fillId="0" borderId="8" xfId="5" applyFont="1" applyBorder="1" applyAlignment="1">
      <alignment horizontal="left" vertical="center" wrapText="1"/>
    </xf>
    <xf numFmtId="0" fontId="3" fillId="0" borderId="46" xfId="3" applyFont="1" applyBorder="1" applyAlignment="1">
      <alignment horizontal="left" vertical="center" wrapText="1"/>
    </xf>
    <xf numFmtId="0" fontId="3" fillId="0" borderId="47" xfId="3" applyFont="1" applyBorder="1" applyAlignment="1">
      <alignment horizontal="left" vertical="center" wrapText="1"/>
    </xf>
    <xf numFmtId="164" fontId="3" fillId="0" borderId="11" xfId="5" applyNumberFormat="1" applyFont="1" applyBorder="1" applyAlignment="1">
      <alignment horizontal="left" vertical="center" wrapText="1"/>
    </xf>
    <xf numFmtId="164" fontId="3" fillId="0" borderId="12" xfId="5" applyNumberFormat="1" applyFont="1" applyBorder="1" applyAlignment="1">
      <alignment horizontal="left" vertical="center" wrapText="1"/>
    </xf>
    <xf numFmtId="164" fontId="3" fillId="0" borderId="13" xfId="5" applyNumberFormat="1" applyFont="1" applyBorder="1" applyAlignment="1">
      <alignment horizontal="left" vertical="center" wrapText="1"/>
    </xf>
    <xf numFmtId="0" fontId="3" fillId="0" borderId="44" xfId="3" applyFont="1" applyBorder="1" applyAlignment="1">
      <alignment horizontal="left" vertical="center" wrapText="1"/>
    </xf>
    <xf numFmtId="0" fontId="3" fillId="0" borderId="45" xfId="3" applyFont="1" applyBorder="1" applyAlignment="1">
      <alignment horizontal="left" vertical="center" wrapText="1"/>
    </xf>
    <xf numFmtId="0" fontId="3" fillId="0" borderId="42" xfId="3" applyFont="1" applyBorder="1" applyAlignment="1">
      <alignment horizontal="left" vertical="center" wrapText="1"/>
    </xf>
    <xf numFmtId="0" fontId="3" fillId="0" borderId="43" xfId="3" applyFont="1" applyBorder="1" applyAlignment="1">
      <alignment horizontal="left" vertical="center" wrapText="1"/>
    </xf>
    <xf numFmtId="0" fontId="3" fillId="0" borderId="32" xfId="3" applyFont="1" applyBorder="1" applyAlignment="1">
      <alignment horizontal="left" vertical="center" wrapText="1"/>
    </xf>
    <xf numFmtId="9" fontId="6" fillId="3" borderId="53" xfId="3" applyNumberFormat="1" applyFont="1" applyFill="1" applyBorder="1" applyAlignment="1">
      <alignment horizontal="center"/>
    </xf>
    <xf numFmtId="9" fontId="6" fillId="3" borderId="54" xfId="3" applyNumberFormat="1" applyFont="1" applyFill="1" applyBorder="1" applyAlignment="1">
      <alignment horizontal="center"/>
    </xf>
    <xf numFmtId="9" fontId="6" fillId="3" borderId="55" xfId="3" applyNumberFormat="1" applyFont="1" applyFill="1" applyBorder="1" applyAlignment="1">
      <alignment horizontal="center"/>
    </xf>
    <xf numFmtId="0" fontId="3" fillId="0" borderId="6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left" vertical="center" wrapText="1"/>
    </xf>
    <xf numFmtId="164" fontId="4" fillId="0" borderId="6" xfId="3" applyNumberFormat="1" applyFont="1" applyFill="1" applyBorder="1" applyAlignment="1">
      <alignment horizontal="left" vertical="center" wrapText="1"/>
    </xf>
    <xf numFmtId="164" fontId="4" fillId="0" borderId="7" xfId="3" applyNumberFormat="1" applyFont="1" applyFill="1" applyBorder="1" applyAlignment="1">
      <alignment horizontal="left" vertical="center" wrapText="1"/>
    </xf>
    <xf numFmtId="164" fontId="4" fillId="0" borderId="8" xfId="3" applyNumberFormat="1" applyFont="1" applyFill="1" applyBorder="1" applyAlignment="1">
      <alignment horizontal="left" vertical="center" wrapText="1"/>
    </xf>
  </cellXfs>
  <cellStyles count="11">
    <cellStyle name="Comma" xfId="8" builtinId="3"/>
    <cellStyle name="Currency" xfId="1" builtinId="4"/>
    <cellStyle name="Currency 2" xfId="6"/>
    <cellStyle name="Currency 2 2" xfId="10"/>
    <cellStyle name="Normal" xfId="0" builtinId="0"/>
    <cellStyle name="Normal 2" xfId="7"/>
    <cellStyle name="Normal 2 2" xfId="9"/>
    <cellStyle name="Normal_East_Central_West Project_costsharing_0207 with Summary_June07_Rev3" xfId="5"/>
    <cellStyle name="Normal_Sheet1" xfId="3"/>
    <cellStyle name="Normal_Sheet1_Capx_pricingzone_051201" xfId="4"/>
    <cellStyle name="Percent" xfId="2" builtin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Wagner/Local%20Settings/Temporary%20Internet%20Files/Content.Outlook/Y87X77WT/GRE%20GG%20True-up%20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ue-up"/>
      <sheetName val="Zonal Load"/>
      <sheetName val="Actual Load"/>
      <sheetName val="Thru &amp; Out"/>
      <sheetName val="Interest"/>
    </sheetNames>
    <sheetDataSet>
      <sheetData sheetId="0"/>
      <sheetData sheetId="1">
        <row r="31">
          <cell r="A31" t="str">
            <v>NSP</v>
          </cell>
        </row>
        <row r="32">
          <cell r="A32" t="str">
            <v>MP</v>
          </cell>
        </row>
        <row r="123">
          <cell r="C123" t="str">
            <v>1471  GIP</v>
          </cell>
        </row>
        <row r="124">
          <cell r="C124" t="str">
            <v>G518 8 MWI wind farm in Jackson County, MN</v>
          </cell>
        </row>
        <row r="125">
          <cell r="C125" t="str">
            <v>69 kV</v>
          </cell>
        </row>
        <row r="127">
          <cell r="C127" t="str">
            <v>West / GRE</v>
          </cell>
        </row>
        <row r="150">
          <cell r="A150" t="str">
            <v>GRE</v>
          </cell>
        </row>
        <row r="162">
          <cell r="C162" t="str">
            <v>1472  GIP</v>
          </cell>
        </row>
        <row r="163">
          <cell r="C163" t="str">
            <v>G536 19.95 MW wind farm in Jackson County, MN</v>
          </cell>
        </row>
        <row r="164">
          <cell r="C164" t="str">
            <v>69 kV</v>
          </cell>
        </row>
        <row r="166">
          <cell r="C166" t="str">
            <v>West / GRE</v>
          </cell>
        </row>
        <row r="190">
          <cell r="A190" t="str">
            <v>GRE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showGridLines="0" tabSelected="1" zoomScaleNormal="100" zoomScaleSheetLayoutView="100" workbookViewId="0">
      <selection activeCell="T118" sqref="T118"/>
    </sheetView>
  </sheetViews>
  <sheetFormatPr defaultRowHeight="15.75"/>
  <cols>
    <col min="1" max="1" width="14.42578125" style="142" customWidth="1"/>
    <col min="2" max="2" width="13.42578125" style="142" customWidth="1"/>
    <col min="3" max="16" width="11.140625" style="142" customWidth="1"/>
    <col min="17" max="16384" width="9.140625" style="142"/>
  </cols>
  <sheetData>
    <row r="1" spans="1:15">
      <c r="A1" s="266" t="s">
        <v>114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>
      <c r="A2" s="266" t="s">
        <v>49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>
      <c r="A3" s="266" t="s">
        <v>202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6" spans="1:15">
      <c r="B6" s="143"/>
      <c r="C6" s="143"/>
      <c r="D6" s="143"/>
      <c r="E6" s="143"/>
      <c r="F6" s="143"/>
      <c r="G6" s="143"/>
    </row>
    <row r="7" spans="1:15" s="173" customFormat="1">
      <c r="A7" s="183" t="s">
        <v>147</v>
      </c>
      <c r="B7" s="179"/>
      <c r="C7" s="179"/>
      <c r="D7" s="179"/>
      <c r="E7" s="179"/>
      <c r="F7" s="179"/>
      <c r="G7" s="179"/>
    </row>
    <row r="8" spans="1:15" s="173" customFormat="1">
      <c r="A8" s="173" t="s">
        <v>148</v>
      </c>
      <c r="B8" s="179"/>
      <c r="C8" s="184">
        <f>K19+G29+M55+F40+C65+C75+F85+P100+C110+C120+F130</f>
        <v>1114187.0000000002</v>
      </c>
      <c r="D8" s="184"/>
      <c r="E8" s="244"/>
      <c r="F8" s="179"/>
      <c r="G8" s="179"/>
    </row>
    <row r="9" spans="1:15" s="173" customFormat="1">
      <c r="A9" s="177" t="s">
        <v>149</v>
      </c>
      <c r="B9" s="179"/>
      <c r="C9" s="185">
        <f>K20+G30+M56+F41+C66+C76+F86+P101+C111+C121+F131</f>
        <v>73184.493473684226</v>
      </c>
      <c r="D9" s="250"/>
      <c r="E9" s="251"/>
      <c r="F9" s="179"/>
      <c r="G9" s="179"/>
    </row>
    <row r="10" spans="1:15" s="173" customFormat="1">
      <c r="A10" s="173" t="s">
        <v>150</v>
      </c>
      <c r="B10" s="179"/>
      <c r="C10" s="184">
        <f>SUM(C8:C9)</f>
        <v>1187371.4934736844</v>
      </c>
      <c r="D10" s="179"/>
      <c r="E10" s="179"/>
      <c r="F10" s="179"/>
      <c r="G10" s="179"/>
    </row>
    <row r="11" spans="1:15">
      <c r="A11" s="143"/>
      <c r="B11" s="143"/>
      <c r="C11" s="143"/>
      <c r="D11" s="143"/>
      <c r="E11" s="143"/>
      <c r="F11" s="143"/>
      <c r="G11" s="143"/>
    </row>
    <row r="12" spans="1:15">
      <c r="A12" s="143"/>
      <c r="B12" s="143"/>
      <c r="C12" s="143"/>
      <c r="D12" s="143"/>
      <c r="E12" s="143"/>
      <c r="F12" s="143"/>
      <c r="G12" s="143"/>
    </row>
    <row r="13" spans="1:15" s="173" customFormat="1">
      <c r="A13" s="179" t="s">
        <v>151</v>
      </c>
      <c r="B13" s="179"/>
      <c r="C13" s="179"/>
      <c r="D13" s="179"/>
      <c r="E13" s="179"/>
      <c r="F13" s="179"/>
      <c r="G13" s="179"/>
    </row>
    <row r="14" spans="1:15" s="173" customFormat="1">
      <c r="A14" s="172" t="s">
        <v>0</v>
      </c>
      <c r="B14" s="267" t="s">
        <v>61</v>
      </c>
      <c r="C14" s="267"/>
      <c r="D14" s="267"/>
      <c r="E14" s="267"/>
      <c r="F14" s="267"/>
      <c r="G14" s="267"/>
    </row>
    <row r="15" spans="1:15" s="173" customFormat="1" ht="15.75" customHeight="1">
      <c r="A15" s="174" t="s">
        <v>2</v>
      </c>
      <c r="B15" s="267" t="s">
        <v>62</v>
      </c>
      <c r="C15" s="267"/>
      <c r="D15" s="267"/>
      <c r="E15" s="267"/>
      <c r="F15" s="267"/>
      <c r="G15" s="267"/>
    </row>
    <row r="16" spans="1:15" s="173" customFormat="1" ht="15.75" customHeight="1">
      <c r="A16" s="174" t="s">
        <v>4</v>
      </c>
      <c r="B16" s="267" t="s">
        <v>63</v>
      </c>
      <c r="C16" s="267"/>
      <c r="D16" s="267"/>
      <c r="E16" s="267"/>
      <c r="F16" s="267"/>
      <c r="G16" s="267"/>
    </row>
    <row r="17" spans="1:11" s="173" customFormat="1">
      <c r="A17" s="174" t="s">
        <v>7</v>
      </c>
      <c r="B17" s="267" t="s">
        <v>64</v>
      </c>
      <c r="C17" s="267"/>
      <c r="D17" s="267"/>
      <c r="E17" s="267"/>
      <c r="F17" s="267"/>
      <c r="G17" s="267"/>
    </row>
    <row r="18" spans="1:11" s="173" customFormat="1">
      <c r="A18" s="179"/>
      <c r="B18" s="179"/>
      <c r="C18" s="175" t="s">
        <v>37</v>
      </c>
      <c r="D18" s="175" t="s">
        <v>38</v>
      </c>
      <c r="E18" s="175" t="s">
        <v>27</v>
      </c>
      <c r="F18" s="175" t="s">
        <v>30</v>
      </c>
      <c r="G18" s="175" t="s">
        <v>33</v>
      </c>
      <c r="H18" s="175" t="s">
        <v>34</v>
      </c>
      <c r="I18" s="175" t="s">
        <v>35</v>
      </c>
      <c r="J18" s="175" t="s">
        <v>39</v>
      </c>
      <c r="K18" s="175" t="s">
        <v>100</v>
      </c>
    </row>
    <row r="19" spans="1:11" s="173" customFormat="1">
      <c r="A19" s="173" t="s">
        <v>152</v>
      </c>
      <c r="C19" s="176">
        <f>'True-up'!P73</f>
        <v>6315.6025037568343</v>
      </c>
      <c r="D19" s="176">
        <f>'True-up'!P74</f>
        <v>149904.52283146253</v>
      </c>
      <c r="E19" s="176">
        <f>'True-up'!P63</f>
        <v>1643.0865458347273</v>
      </c>
      <c r="F19" s="176">
        <f>'True-up'!P66</f>
        <v>253.07052513220992</v>
      </c>
      <c r="G19" s="176">
        <f>'True-up'!P69</f>
        <v>17081.482053267922</v>
      </c>
      <c r="H19" s="176">
        <f>'True-up'!P70</f>
        <v>110005.7355713806</v>
      </c>
      <c r="I19" s="176">
        <f>'True-up'!P71</f>
        <v>87368.579973116459</v>
      </c>
      <c r="J19" s="176">
        <f>'True-up'!P75</f>
        <v>41.110051947754599</v>
      </c>
      <c r="K19" s="176">
        <f>SUM(C19:J19)</f>
        <v>372613.19005589903</v>
      </c>
    </row>
    <row r="20" spans="1:11" s="173" customFormat="1">
      <c r="A20" s="177" t="s">
        <v>153</v>
      </c>
      <c r="C20" s="176">
        <f>'True-up'!Q73</f>
        <v>449.3778144869288</v>
      </c>
      <c r="D20" s="176">
        <f>'True-up'!Q74</f>
        <v>8628.0087987343541</v>
      </c>
      <c r="E20" s="176">
        <f>'True-up'!Q63</f>
        <v>107.47444941712217</v>
      </c>
      <c r="F20" s="176">
        <f>'True-up'!Q66</f>
        <v>16.56170730966392</v>
      </c>
      <c r="G20" s="176">
        <f>'True-up'!Q69</f>
        <v>1085.6435126577476</v>
      </c>
      <c r="H20" s="176">
        <f>'True-up'!Q70</f>
        <v>7936.5911516953902</v>
      </c>
      <c r="I20" s="176">
        <f>'True-up'!Q71</f>
        <v>6248.5103728427966</v>
      </c>
      <c r="J20" s="176">
        <f>'True-up'!Q75</f>
        <v>2.6354133697903208</v>
      </c>
      <c r="K20" s="176">
        <f>SUM(C20:J20)</f>
        <v>24474.803220513793</v>
      </c>
    </row>
    <row r="21" spans="1:11" s="173" customFormat="1" ht="16.5" thickBot="1">
      <c r="A21" s="173" t="s">
        <v>154</v>
      </c>
      <c r="C21" s="178">
        <f>SUM(C19:C20)</f>
        <v>6764.9803182437627</v>
      </c>
      <c r="D21" s="178">
        <f t="shared" ref="D21" si="0">SUM(D19:D20)</f>
        <v>158532.53163019687</v>
      </c>
      <c r="E21" s="178">
        <f t="shared" ref="E21:G21" si="1">SUM(E19:E20)</f>
        <v>1750.5609952518494</v>
      </c>
      <c r="F21" s="178">
        <f t="shared" si="1"/>
        <v>269.63223244187384</v>
      </c>
      <c r="G21" s="178">
        <f t="shared" si="1"/>
        <v>18167.125565925671</v>
      </c>
      <c r="H21" s="178">
        <f>SUM(H19:H20)</f>
        <v>117942.326723076</v>
      </c>
      <c r="I21" s="178">
        <f>SUM(I19:I20)</f>
        <v>93617.090345959252</v>
      </c>
      <c r="J21" s="178">
        <f>SUM(J19:J20)</f>
        <v>43.74546531754492</v>
      </c>
      <c r="K21" s="178">
        <f>SUM(C21:J21)</f>
        <v>397087.99327641283</v>
      </c>
    </row>
    <row r="22" spans="1:11" ht="16.5" thickTop="1"/>
    <row r="23" spans="1:11" ht="12.75" customHeight="1">
      <c r="A23" s="143"/>
      <c r="B23" s="143"/>
      <c r="C23" s="143"/>
      <c r="D23" s="143"/>
      <c r="E23" s="143"/>
      <c r="F23" s="143"/>
      <c r="G23" s="143"/>
    </row>
    <row r="24" spans="1:11">
      <c r="A24" s="145" t="s">
        <v>0</v>
      </c>
      <c r="B24" s="268" t="s">
        <v>65</v>
      </c>
      <c r="C24" s="268"/>
      <c r="D24" s="268"/>
      <c r="E24" s="268"/>
      <c r="F24" s="268"/>
      <c r="G24" s="268"/>
    </row>
    <row r="25" spans="1:11" ht="15.75" customHeight="1">
      <c r="A25" s="146" t="s">
        <v>2</v>
      </c>
      <c r="B25" s="268" t="s">
        <v>66</v>
      </c>
      <c r="C25" s="268"/>
      <c r="D25" s="268"/>
      <c r="E25" s="268"/>
      <c r="F25" s="268"/>
      <c r="G25" s="268"/>
    </row>
    <row r="26" spans="1:11" ht="15.75" customHeight="1">
      <c r="A26" s="146" t="s">
        <v>4</v>
      </c>
      <c r="B26" s="268" t="s">
        <v>67</v>
      </c>
      <c r="C26" s="268"/>
      <c r="D26" s="268"/>
      <c r="E26" s="268"/>
      <c r="F26" s="268"/>
      <c r="G26" s="268"/>
    </row>
    <row r="27" spans="1:11">
      <c r="A27" s="146" t="s">
        <v>7</v>
      </c>
      <c r="B27" s="268" t="s">
        <v>68</v>
      </c>
      <c r="C27" s="268"/>
      <c r="D27" s="268"/>
      <c r="E27" s="268"/>
      <c r="F27" s="268"/>
      <c r="G27" s="268"/>
    </row>
    <row r="28" spans="1:11">
      <c r="A28" s="143"/>
      <c r="B28" s="143"/>
      <c r="C28" s="147" t="s">
        <v>37</v>
      </c>
      <c r="D28" s="147" t="s">
        <v>38</v>
      </c>
      <c r="E28" s="147" t="str">
        <f>'[1]True-up'!A32</f>
        <v>MP</v>
      </c>
      <c r="F28" s="147" t="str">
        <f>'[1]True-up'!A31</f>
        <v>NSP</v>
      </c>
      <c r="G28" s="147" t="s">
        <v>100</v>
      </c>
    </row>
    <row r="29" spans="1:11">
      <c r="A29" s="142" t="s">
        <v>152</v>
      </c>
      <c r="C29" s="148">
        <f>'True-up'!P114</f>
        <v>226.41246936931898</v>
      </c>
      <c r="D29" s="148">
        <f>'True-up'!P115</f>
        <v>12958.680548090724</v>
      </c>
      <c r="E29" s="148">
        <f>'True-up'!P112</f>
        <v>58070.407719138188</v>
      </c>
      <c r="F29" s="148">
        <f>'True-up'!P111</f>
        <v>8971.7843558554086</v>
      </c>
      <c r="G29" s="148">
        <f>SUM(C29:F29)</f>
        <v>80227.285092453647</v>
      </c>
    </row>
    <row r="30" spans="1:11">
      <c r="A30" s="144" t="s">
        <v>153</v>
      </c>
      <c r="C30" s="148">
        <f>'True-up'!Q114</f>
        <v>15.528740243978794</v>
      </c>
      <c r="D30" s="148">
        <f>'True-up'!Q115</f>
        <v>598.24828259555329</v>
      </c>
      <c r="E30" s="148">
        <f>'True-up'!Q112</f>
        <v>4023.000300121188</v>
      </c>
      <c r="F30" s="148">
        <f>'True-up'!Q111</f>
        <v>632.88856100676128</v>
      </c>
      <c r="G30" s="148">
        <f>SUM(C30:F30)</f>
        <v>5269.665883967481</v>
      </c>
    </row>
    <row r="31" spans="1:11" ht="16.5" thickBot="1">
      <c r="A31" s="142" t="s">
        <v>154</v>
      </c>
      <c r="C31" s="149">
        <f>SUM(C29:C30)</f>
        <v>241.94120961329779</v>
      </c>
      <c r="D31" s="149">
        <f t="shared" ref="D31:F31" si="2">SUM(D29:D30)</f>
        <v>13556.928830686278</v>
      </c>
      <c r="E31" s="149">
        <f t="shared" si="2"/>
        <v>62093.408019259376</v>
      </c>
      <c r="F31" s="149">
        <f t="shared" si="2"/>
        <v>9604.6729168621696</v>
      </c>
      <c r="G31" s="149">
        <f>SUM(C31:F31)</f>
        <v>85496.950976421125</v>
      </c>
    </row>
    <row r="32" spans="1:11" ht="16.5" thickTop="1">
      <c r="C32" s="181"/>
      <c r="D32" s="181"/>
      <c r="E32" s="181"/>
      <c r="F32" s="181"/>
      <c r="G32" s="181"/>
    </row>
    <row r="33" spans="1:10" s="173" customFormat="1">
      <c r="C33" s="182"/>
      <c r="D33" s="182"/>
      <c r="E33" s="182"/>
      <c r="F33" s="182"/>
    </row>
    <row r="34" spans="1:10" s="173" customFormat="1">
      <c r="A34" s="180" t="s">
        <v>0</v>
      </c>
      <c r="B34" s="267" t="s">
        <v>181</v>
      </c>
      <c r="C34" s="267"/>
      <c r="D34" s="267"/>
      <c r="E34" s="267"/>
      <c r="F34" s="267"/>
      <c r="G34" s="267"/>
    </row>
    <row r="35" spans="1:10" s="173" customFormat="1" ht="15.75" customHeight="1">
      <c r="A35" s="174" t="s">
        <v>2</v>
      </c>
      <c r="B35" s="267" t="s">
        <v>70</v>
      </c>
      <c r="C35" s="267"/>
      <c r="D35" s="267"/>
      <c r="E35" s="267"/>
      <c r="F35" s="267"/>
      <c r="G35" s="267"/>
    </row>
    <row r="36" spans="1:10" s="173" customFormat="1" ht="15.75" customHeight="1">
      <c r="A36" s="174" t="s">
        <v>4</v>
      </c>
      <c r="B36" s="267" t="s">
        <v>182</v>
      </c>
      <c r="C36" s="267"/>
      <c r="D36" s="267"/>
      <c r="E36" s="267"/>
      <c r="F36" s="267"/>
      <c r="G36" s="267"/>
    </row>
    <row r="37" spans="1:10" s="173" customFormat="1">
      <c r="A37" s="174" t="s">
        <v>7</v>
      </c>
      <c r="B37" s="267" t="s">
        <v>183</v>
      </c>
      <c r="C37" s="267"/>
      <c r="D37" s="267"/>
      <c r="E37" s="267"/>
      <c r="F37" s="267"/>
      <c r="G37" s="267"/>
    </row>
    <row r="38" spans="1:10" s="173" customFormat="1">
      <c r="C38" s="182"/>
      <c r="D38" s="182"/>
      <c r="E38" s="182"/>
      <c r="F38" s="182"/>
      <c r="G38" s="182"/>
      <c r="H38" s="182"/>
      <c r="I38" s="182"/>
      <c r="J38" s="182"/>
    </row>
    <row r="39" spans="1:10" s="173" customFormat="1">
      <c r="C39" s="175" t="s">
        <v>37</v>
      </c>
      <c r="D39" s="175" t="s">
        <v>35</v>
      </c>
      <c r="E39" s="175" t="s">
        <v>34</v>
      </c>
      <c r="F39" s="175" t="s">
        <v>100</v>
      </c>
    </row>
    <row r="40" spans="1:10" s="173" customFormat="1">
      <c r="A40" s="173" t="s">
        <v>152</v>
      </c>
      <c r="C40" s="176">
        <f>'True-up'!P155</f>
        <v>23096.267539388398</v>
      </c>
      <c r="D40" s="176">
        <f>'True-up'!P153</f>
        <v>22.797643318752229</v>
      </c>
      <c r="E40" s="176">
        <f>'True-up'!P152</f>
        <v>288.70315932308591</v>
      </c>
      <c r="F40" s="176">
        <f>SUM(C40:E40)</f>
        <v>23407.768342030235</v>
      </c>
    </row>
    <row r="41" spans="1:10" s="173" customFormat="1">
      <c r="A41" s="177" t="s">
        <v>153</v>
      </c>
      <c r="C41" s="176">
        <f>'True-up'!Q155</f>
        <v>1516.0823713290279</v>
      </c>
      <c r="D41" s="176">
        <f>'True-up'!Q153</f>
        <v>1.4970905401803349</v>
      </c>
      <c r="E41" s="176">
        <f>'True-up'!Q152</f>
        <v>19.941321859935972</v>
      </c>
      <c r="F41" s="176">
        <f>SUM(C41:E41)</f>
        <v>1537.5207837291441</v>
      </c>
    </row>
    <row r="42" spans="1:10" s="173" customFormat="1" ht="16.5" thickBot="1">
      <c r="A42" s="173" t="s">
        <v>154</v>
      </c>
      <c r="C42" s="178">
        <f>SUM(C40:C41)</f>
        <v>24612.349910717425</v>
      </c>
      <c r="D42" s="178">
        <f>SUM(D40:D41)</f>
        <v>24.294733858932563</v>
      </c>
      <c r="E42" s="178">
        <f>SUM(E40:E41)</f>
        <v>308.64448118302187</v>
      </c>
      <c r="F42" s="178">
        <f>SUM(C42:E42)</f>
        <v>24945.28912575938</v>
      </c>
    </row>
    <row r="43" spans="1:10" ht="16.5" thickTop="1"/>
    <row r="45" spans="1:10" s="173" customFormat="1">
      <c r="A45" s="172" t="s">
        <v>0</v>
      </c>
      <c r="B45" s="267" t="s">
        <v>178</v>
      </c>
      <c r="C45" s="267"/>
      <c r="D45" s="267"/>
      <c r="E45" s="267"/>
      <c r="F45" s="267"/>
      <c r="G45" s="267"/>
    </row>
    <row r="46" spans="1:10" s="173" customFormat="1" ht="15.75" customHeight="1">
      <c r="A46" s="174" t="s">
        <v>2</v>
      </c>
      <c r="B46" s="267" t="s">
        <v>179</v>
      </c>
      <c r="C46" s="267"/>
      <c r="D46" s="267"/>
      <c r="E46" s="267"/>
      <c r="F46" s="267"/>
      <c r="G46" s="267"/>
    </row>
    <row r="47" spans="1:10" s="173" customFormat="1" ht="15.75" customHeight="1">
      <c r="A47" s="174" t="s">
        <v>4</v>
      </c>
      <c r="B47" s="267" t="s">
        <v>76</v>
      </c>
      <c r="C47" s="267"/>
      <c r="D47" s="267"/>
      <c r="E47" s="267"/>
      <c r="F47" s="267"/>
      <c r="G47" s="267"/>
    </row>
    <row r="48" spans="1:10" s="173" customFormat="1">
      <c r="A48" s="174" t="s">
        <v>7</v>
      </c>
      <c r="B48" s="267" t="s">
        <v>180</v>
      </c>
      <c r="C48" s="267"/>
      <c r="D48" s="267"/>
      <c r="E48" s="267"/>
      <c r="F48" s="267"/>
      <c r="G48" s="267"/>
    </row>
    <row r="49" spans="1:15" s="173" customFormat="1">
      <c r="A49" s="179"/>
      <c r="B49" s="179"/>
      <c r="C49" s="175" t="s">
        <v>37</v>
      </c>
      <c r="D49" s="175" t="s">
        <v>19</v>
      </c>
      <c r="E49" s="175" t="s">
        <v>20</v>
      </c>
      <c r="F49" s="175" t="s">
        <v>21</v>
      </c>
      <c r="G49" s="175" t="s">
        <v>22</v>
      </c>
      <c r="H49" s="175" t="s">
        <v>23</v>
      </c>
      <c r="I49" s="175" t="s">
        <v>24</v>
      </c>
      <c r="J49" s="234" t="s">
        <v>25</v>
      </c>
      <c r="K49" s="175" t="s">
        <v>26</v>
      </c>
      <c r="L49" s="175" t="s">
        <v>27</v>
      </c>
      <c r="M49" s="175" t="s">
        <v>28</v>
      </c>
      <c r="N49" s="175" t="s">
        <v>30</v>
      </c>
      <c r="O49" s="175" t="s">
        <v>29</v>
      </c>
    </row>
    <row r="50" spans="1:15" s="173" customFormat="1">
      <c r="A50" s="173" t="s">
        <v>152</v>
      </c>
      <c r="C50" s="176">
        <f>'True-up'!P197</f>
        <v>10751.041571078325</v>
      </c>
      <c r="D50" s="176">
        <f>'True-up'!P177</f>
        <v>15668.087018947837</v>
      </c>
      <c r="E50" s="176">
        <f>'True-up'!P178</f>
        <v>567.77271048548164</v>
      </c>
      <c r="F50" s="176">
        <f>'True-up'!P179</f>
        <v>12877.996369707042</v>
      </c>
      <c r="G50" s="176">
        <f>'True-up'!P180</f>
        <v>1332.4855175937655</v>
      </c>
      <c r="H50" s="176">
        <f>'True-up'!P181</f>
        <v>2238.1275568150127</v>
      </c>
      <c r="I50" s="176">
        <f>'True-up'!P182</f>
        <v>4094.7925556456703</v>
      </c>
      <c r="J50" s="176">
        <f>'True-up'!P183</f>
        <v>8763.6206791448658</v>
      </c>
      <c r="K50" s="176">
        <f>'True-up'!P184</f>
        <v>12885.271229170668</v>
      </c>
      <c r="L50" s="176">
        <f>'True-up'!P185</f>
        <v>5443.106112956184</v>
      </c>
      <c r="M50" s="176">
        <f>'True-up'!P186</f>
        <v>333.15774607272425</v>
      </c>
      <c r="N50" s="176">
        <f>'True-up'!P187</f>
        <v>7167.74846945223</v>
      </c>
      <c r="O50" s="176">
        <f>'True-up'!P188</f>
        <v>8284.0906609287067</v>
      </c>
    </row>
    <row r="51" spans="1:15" s="173" customFormat="1">
      <c r="A51" s="177" t="s">
        <v>153</v>
      </c>
      <c r="C51" s="176">
        <f>'True-up'!Q197</f>
        <v>854.75219197262845</v>
      </c>
      <c r="D51" s="176">
        <f>'True-up'!Q177</f>
        <v>706.65324517663498</v>
      </c>
      <c r="E51" s="176">
        <f>'True-up'!Q178</f>
        <v>33.993780373240014</v>
      </c>
      <c r="F51" s="176">
        <f>'True-up'!Q179</f>
        <v>644.45973813538205</v>
      </c>
      <c r="G51" s="176">
        <f>'True-up'!Q180</f>
        <v>63.575705358774705</v>
      </c>
      <c r="H51" s="176">
        <f>'True-up'!Q181</f>
        <v>159.40865555705361</v>
      </c>
      <c r="I51" s="176">
        <f>'True-up'!Q182</f>
        <v>183.81766347940436</v>
      </c>
      <c r="J51" s="176">
        <f>'True-up'!Q183</f>
        <v>430.73271401147093</v>
      </c>
      <c r="K51" s="176">
        <f>'True-up'!Q184</f>
        <v>571.45802260518576</v>
      </c>
      <c r="L51" s="176">
        <f>'True-up'!Q185</f>
        <v>329.99339607024882</v>
      </c>
      <c r="M51" s="176">
        <f>'True-up'!Q186</f>
        <v>14.404952848175533</v>
      </c>
      <c r="N51" s="176">
        <f>'True-up'!Q187</f>
        <v>434.63405540785186</v>
      </c>
      <c r="O51" s="176">
        <f>'True-up'!Q188</f>
        <v>435.16943948870903</v>
      </c>
    </row>
    <row r="52" spans="1:15" s="173" customFormat="1" ht="16.5" thickBot="1">
      <c r="A52" s="173" t="s">
        <v>154</v>
      </c>
      <c r="C52" s="178">
        <f>SUM(C50:C51)</f>
        <v>11605.793763050953</v>
      </c>
      <c r="D52" s="178">
        <f t="shared" ref="D52:F52" si="3">SUM(D50:D51)</f>
        <v>16374.740264124472</v>
      </c>
      <c r="E52" s="178">
        <f t="shared" si="3"/>
        <v>601.76649085872168</v>
      </c>
      <c r="F52" s="178">
        <f t="shared" si="3"/>
        <v>13522.456107842423</v>
      </c>
      <c r="G52" s="178">
        <f t="shared" ref="G52:I52" si="4">SUM(G50:G51)</f>
        <v>1396.0612229525402</v>
      </c>
      <c r="H52" s="178">
        <f t="shared" si="4"/>
        <v>2397.5362123720661</v>
      </c>
      <c r="I52" s="178">
        <f t="shared" si="4"/>
        <v>4278.6102191250748</v>
      </c>
      <c r="J52" s="178">
        <f t="shared" ref="J52" si="5">SUM(J50:J51)</f>
        <v>9194.3533931563361</v>
      </c>
      <c r="K52" s="178">
        <f t="shared" ref="K52:O52" si="6">SUM(K50:K51)</f>
        <v>13456.729251775854</v>
      </c>
      <c r="L52" s="178">
        <f t="shared" si="6"/>
        <v>5773.0995090264332</v>
      </c>
      <c r="M52" s="178">
        <f t="shared" si="6"/>
        <v>347.56269892089978</v>
      </c>
      <c r="N52" s="178">
        <f t="shared" si="6"/>
        <v>7602.3825248600815</v>
      </c>
      <c r="O52" s="178">
        <f t="shared" si="6"/>
        <v>8719.2601004174157</v>
      </c>
    </row>
    <row r="53" spans="1:15" s="173" customFormat="1" ht="16.5" thickTop="1">
      <c r="C53" s="182"/>
      <c r="D53" s="182"/>
      <c r="E53" s="182"/>
      <c r="F53" s="182"/>
      <c r="G53" s="182"/>
      <c r="H53" s="182"/>
      <c r="I53" s="182"/>
      <c r="J53" s="182"/>
    </row>
    <row r="54" spans="1:15" s="173" customFormat="1">
      <c r="A54" s="179"/>
      <c r="B54" s="179"/>
      <c r="C54" s="175" t="s">
        <v>72</v>
      </c>
      <c r="D54" s="175" t="s">
        <v>73</v>
      </c>
      <c r="E54" s="175" t="s">
        <v>31</v>
      </c>
      <c r="F54" s="175" t="s">
        <v>32</v>
      </c>
      <c r="G54" s="175" t="s">
        <v>33</v>
      </c>
      <c r="H54" s="175" t="s">
        <v>34</v>
      </c>
      <c r="I54" s="175" t="s">
        <v>35</v>
      </c>
      <c r="J54" s="175" t="s">
        <v>36</v>
      </c>
      <c r="K54" s="175" t="s">
        <v>38</v>
      </c>
      <c r="L54" s="175" t="s">
        <v>39</v>
      </c>
      <c r="M54" s="175" t="s">
        <v>100</v>
      </c>
    </row>
    <row r="55" spans="1:15" s="173" customFormat="1">
      <c r="A55" s="173" t="s">
        <v>152</v>
      </c>
      <c r="C55" s="176">
        <f>'True-up'!P189</f>
        <v>590.96288024438149</v>
      </c>
      <c r="D55" s="176">
        <f>'True-up'!P190</f>
        <v>-864.43024827679437</v>
      </c>
      <c r="E55" s="176">
        <f>'True-up'!P191</f>
        <v>365.6897209367645</v>
      </c>
      <c r="F55" s="176">
        <f>'True-up'!P192</f>
        <v>317.08337795570958</v>
      </c>
      <c r="G55" s="176">
        <f>'True-up'!P193</f>
        <v>15126.10035156897</v>
      </c>
      <c r="H55" s="176">
        <f>'True-up'!P194</f>
        <v>171915.36003028852</v>
      </c>
      <c r="I55" s="176">
        <f>'True-up'!P195</f>
        <v>32257.343027749735</v>
      </c>
      <c r="J55" s="176">
        <f>'True-up'!P196</f>
        <v>208.12812120385232</v>
      </c>
      <c r="K55" s="176">
        <f>'True-up'!P198</f>
        <v>104707.1257757773</v>
      </c>
      <c r="L55" s="176">
        <f>'True-up'!P199</f>
        <v>6559.4918266065597</v>
      </c>
      <c r="M55" s="176">
        <f>SUM(C50:O50)+SUM(C55:L55)</f>
        <v>421590.15306205349</v>
      </c>
    </row>
    <row r="56" spans="1:15" s="173" customFormat="1">
      <c r="A56" s="177" t="s">
        <v>153</v>
      </c>
      <c r="C56" s="176">
        <f>'True-up'!Q189</f>
        <v>29.775899371964613</v>
      </c>
      <c r="D56" s="176">
        <f>'True-up'!Q190</f>
        <v>7.7257332583163656</v>
      </c>
      <c r="E56" s="176">
        <f>'True-up'!Q191</f>
        <v>21.484310017150687</v>
      </c>
      <c r="F56" s="176">
        <f>'True-up'!Q192</f>
        <v>22.758594307566216</v>
      </c>
      <c r="G56" s="176">
        <f>'True-up'!Q193</f>
        <v>845.12166455752276</v>
      </c>
      <c r="H56" s="176">
        <f>'True-up'!Q194</f>
        <v>14363.370201130772</v>
      </c>
      <c r="I56" s="176">
        <f>'True-up'!Q195</f>
        <v>2610.9496975856573</v>
      </c>
      <c r="J56" s="176">
        <f>'True-up'!Q196</f>
        <v>16.031973804488693</v>
      </c>
      <c r="K56" s="176">
        <f>'True-up'!Q198</f>
        <v>4534.4931302086152</v>
      </c>
      <c r="L56" s="176">
        <f>'True-up'!Q199</f>
        <v>377.05160482280479</v>
      </c>
      <c r="M56" s="176">
        <f>SUM(C51:O51)+SUM(C56:L56)</f>
        <v>27691.816369549619</v>
      </c>
    </row>
    <row r="57" spans="1:15" s="173" customFormat="1" ht="16.5" thickBot="1">
      <c r="A57" s="173" t="s">
        <v>154</v>
      </c>
      <c r="C57" s="178">
        <f>SUM(C55:C56)</f>
        <v>620.73877961634616</v>
      </c>
      <c r="D57" s="178">
        <f t="shared" ref="D57:L57" si="7">SUM(D55:D56)</f>
        <v>-856.70451501847799</v>
      </c>
      <c r="E57" s="178">
        <f t="shared" si="7"/>
        <v>387.17403095391518</v>
      </c>
      <c r="F57" s="178">
        <f t="shared" si="7"/>
        <v>339.84197226327581</v>
      </c>
      <c r="G57" s="178">
        <f t="shared" si="7"/>
        <v>15971.222016126492</v>
      </c>
      <c r="H57" s="178">
        <f t="shared" si="7"/>
        <v>186278.73023141929</v>
      </c>
      <c r="I57" s="178">
        <f t="shared" si="7"/>
        <v>34868.292725335392</v>
      </c>
      <c r="J57" s="178">
        <f t="shared" si="7"/>
        <v>224.16009500834102</v>
      </c>
      <c r="K57" s="178">
        <f t="shared" si="7"/>
        <v>109241.61890598592</v>
      </c>
      <c r="L57" s="178">
        <f t="shared" si="7"/>
        <v>6936.5434314293643</v>
      </c>
      <c r="M57" s="178">
        <f>SUM(M55:M56)</f>
        <v>449281.96943160309</v>
      </c>
    </row>
    <row r="58" spans="1:15" s="173" customFormat="1" ht="16.5" thickTop="1">
      <c r="C58" s="182"/>
      <c r="D58" s="182"/>
      <c r="E58" s="182"/>
      <c r="F58" s="182"/>
      <c r="G58" s="182"/>
      <c r="H58" s="182"/>
      <c r="I58" s="182"/>
      <c r="J58" s="182"/>
    </row>
    <row r="60" spans="1:15">
      <c r="A60" s="145" t="s">
        <v>0</v>
      </c>
      <c r="B60" s="150" t="str">
        <f>'[1]True-up'!C123</f>
        <v>1471  GIP</v>
      </c>
      <c r="D60" s="151"/>
      <c r="E60" s="151"/>
    </row>
    <row r="61" spans="1:15">
      <c r="A61" s="146" t="s">
        <v>2</v>
      </c>
      <c r="B61" s="150" t="str">
        <f>'[1]True-up'!C124</f>
        <v>G518 8 MWI wind farm in Jackson County, MN</v>
      </c>
      <c r="D61" s="151"/>
      <c r="E61" s="151"/>
    </row>
    <row r="62" spans="1:15">
      <c r="A62" s="146" t="s">
        <v>4</v>
      </c>
      <c r="B62" s="150" t="str">
        <f>'[1]True-up'!C125</f>
        <v>69 kV</v>
      </c>
      <c r="D62" s="151"/>
      <c r="E62" s="151"/>
    </row>
    <row r="63" spans="1:15">
      <c r="A63" s="146" t="s">
        <v>7</v>
      </c>
      <c r="B63" s="150" t="str">
        <f>'[1]True-up'!C127</f>
        <v>West / GRE</v>
      </c>
      <c r="D63" s="151"/>
      <c r="E63" s="151"/>
    </row>
    <row r="64" spans="1:15">
      <c r="C64" s="147" t="str">
        <f>'[1]True-up'!A150</f>
        <v>GRE</v>
      </c>
      <c r="D64" s="151"/>
      <c r="E64" s="151"/>
    </row>
    <row r="65" spans="1:7">
      <c r="A65" s="142" t="s">
        <v>152</v>
      </c>
      <c r="C65" s="148">
        <f>'True-up'!P279</f>
        <v>670.32880243972977</v>
      </c>
      <c r="D65" s="151"/>
      <c r="E65" s="151"/>
    </row>
    <row r="66" spans="1:7">
      <c r="A66" s="144" t="s">
        <v>153</v>
      </c>
      <c r="C66" s="148">
        <f>'True-up'!Q282</f>
        <v>44.030018181304357</v>
      </c>
      <c r="D66" s="151"/>
      <c r="E66" s="151"/>
    </row>
    <row r="67" spans="1:7" ht="16.5" thickBot="1">
      <c r="A67" s="142" t="s">
        <v>154</v>
      </c>
      <c r="C67" s="149">
        <f>SUM(C65:C66)</f>
        <v>714.35882062103417</v>
      </c>
      <c r="D67" s="151"/>
      <c r="E67" s="151"/>
    </row>
    <row r="68" spans="1:7" ht="16.5" thickTop="1"/>
    <row r="70" spans="1:7">
      <c r="A70" s="145" t="s">
        <v>0</v>
      </c>
      <c r="B70" s="150" t="str">
        <f>'[1]True-up'!C162</f>
        <v>1472  GIP</v>
      </c>
      <c r="D70" s="151"/>
      <c r="E70" s="151"/>
    </row>
    <row r="71" spans="1:7">
      <c r="A71" s="146" t="s">
        <v>2</v>
      </c>
      <c r="B71" s="150" t="str">
        <f>'[1]True-up'!C163</f>
        <v>G536 19.95 MW wind farm in Jackson County, MN</v>
      </c>
      <c r="D71" s="151"/>
      <c r="E71" s="151"/>
    </row>
    <row r="72" spans="1:7">
      <c r="A72" s="146" t="s">
        <v>4</v>
      </c>
      <c r="B72" s="150" t="str">
        <f>'[1]True-up'!C164</f>
        <v>69 kV</v>
      </c>
      <c r="D72" s="151"/>
      <c r="E72" s="151"/>
    </row>
    <row r="73" spans="1:7">
      <c r="A73" s="146" t="s">
        <v>7</v>
      </c>
      <c r="B73" s="150" t="str">
        <f>'[1]True-up'!C166</f>
        <v>West / GRE</v>
      </c>
      <c r="D73" s="151"/>
      <c r="E73" s="151"/>
    </row>
    <row r="74" spans="1:7">
      <c r="C74" s="147" t="str">
        <f>'[1]True-up'!A190</f>
        <v>GRE</v>
      </c>
      <c r="D74" s="151"/>
      <c r="E74" s="151"/>
    </row>
    <row r="75" spans="1:7">
      <c r="A75" s="142" t="s">
        <v>152</v>
      </c>
      <c r="C75" s="148">
        <f>'True-up'!P319</f>
        <v>736.92199198689286</v>
      </c>
      <c r="D75" s="151"/>
      <c r="E75" s="151"/>
    </row>
    <row r="76" spans="1:7">
      <c r="A76" s="144" t="s">
        <v>153</v>
      </c>
      <c r="C76" s="148">
        <f>'True-up'!Q319</f>
        <v>48.404139263139065</v>
      </c>
      <c r="D76" s="151"/>
      <c r="E76" s="151"/>
    </row>
    <row r="77" spans="1:7" ht="16.5" thickBot="1">
      <c r="A77" s="142" t="s">
        <v>154</v>
      </c>
      <c r="C77" s="149">
        <f>SUM(C75:C76)</f>
        <v>785.32613125003195</v>
      </c>
      <c r="D77" s="151"/>
      <c r="E77" s="151"/>
    </row>
    <row r="78" spans="1:7" ht="16.5" thickTop="1">
      <c r="C78" s="181"/>
      <c r="D78" s="151"/>
      <c r="E78" s="151"/>
    </row>
    <row r="79" spans="1:7">
      <c r="C79" s="181"/>
      <c r="D79" s="151"/>
      <c r="E79" s="151"/>
    </row>
    <row r="80" spans="1:7" s="173" customFormat="1">
      <c r="A80" s="172" t="s">
        <v>0</v>
      </c>
      <c r="B80" s="267" t="s">
        <v>78</v>
      </c>
      <c r="C80" s="267"/>
      <c r="D80" s="267"/>
      <c r="E80" s="267"/>
      <c r="F80" s="267"/>
      <c r="G80" s="267"/>
    </row>
    <row r="81" spans="1:15" s="173" customFormat="1" ht="15.75" customHeight="1">
      <c r="A81" s="174" t="s">
        <v>2</v>
      </c>
      <c r="B81" s="267" t="s">
        <v>224</v>
      </c>
      <c r="C81" s="267"/>
      <c r="D81" s="267"/>
      <c r="E81" s="267"/>
      <c r="F81" s="267"/>
      <c r="G81" s="267"/>
    </row>
    <row r="82" spans="1:15" s="173" customFormat="1" ht="15.75" customHeight="1">
      <c r="A82" s="174" t="s">
        <v>4</v>
      </c>
      <c r="B82" s="267" t="s">
        <v>137</v>
      </c>
      <c r="C82" s="267"/>
      <c r="D82" s="267"/>
      <c r="E82" s="267"/>
      <c r="F82" s="267"/>
      <c r="G82" s="267"/>
    </row>
    <row r="83" spans="1:15" s="173" customFormat="1">
      <c r="A83" s="174" t="s">
        <v>7</v>
      </c>
      <c r="B83" s="267" t="s">
        <v>37</v>
      </c>
      <c r="C83" s="267"/>
      <c r="D83" s="267"/>
      <c r="E83" s="267"/>
      <c r="F83" s="267"/>
      <c r="G83" s="267"/>
    </row>
    <row r="84" spans="1:15" s="173" customFormat="1">
      <c r="A84" s="179"/>
      <c r="B84" s="179"/>
      <c r="C84" s="175" t="s">
        <v>37</v>
      </c>
      <c r="D84" s="175" t="s">
        <v>27</v>
      </c>
      <c r="E84" s="175" t="s">
        <v>34</v>
      </c>
      <c r="F84" s="175" t="s">
        <v>100</v>
      </c>
    </row>
    <row r="85" spans="1:15" s="173" customFormat="1">
      <c r="A85" s="173" t="s">
        <v>152</v>
      </c>
      <c r="C85" s="176">
        <f>'True-up'!P238</f>
        <v>47064.775260659764</v>
      </c>
      <c r="D85" s="176">
        <f>'True-up'!P226</f>
        <v>38606.577286785614</v>
      </c>
      <c r="E85" s="176">
        <f>'True-up'!P235</f>
        <v>43991.358191770647</v>
      </c>
      <c r="F85" s="176">
        <f>SUM(C85:E85)</f>
        <v>129662.71073921603</v>
      </c>
    </row>
    <row r="86" spans="1:15" s="173" customFormat="1">
      <c r="A86" s="177" t="s">
        <v>153</v>
      </c>
      <c r="C86" s="176">
        <f>'True-up'!Q238</f>
        <v>3211.7865572461042</v>
      </c>
      <c r="D86" s="176">
        <f>'True-up'!Q226</f>
        <v>2210.7259528517802</v>
      </c>
      <c r="E86" s="176">
        <f>'True-up'!Q235</f>
        <v>3094.280279509569</v>
      </c>
      <c r="F86" s="176">
        <f>SUM(C86:E86)</f>
        <v>8516.7927896074525</v>
      </c>
    </row>
    <row r="87" spans="1:15" s="173" customFormat="1" ht="16.5" thickBot="1">
      <c r="A87" s="173" t="s">
        <v>154</v>
      </c>
      <c r="C87" s="178">
        <f>SUM(C85:C86)</f>
        <v>50276.561817905866</v>
      </c>
      <c r="D87" s="178">
        <f t="shared" ref="D87:E87" si="8">SUM(D85:D86)</f>
        <v>40817.303239637396</v>
      </c>
      <c r="E87" s="178">
        <f t="shared" si="8"/>
        <v>47085.638471280217</v>
      </c>
      <c r="F87" s="178">
        <f>SUM(C87:E87)</f>
        <v>138179.50352882349</v>
      </c>
    </row>
    <row r="88" spans="1:15" ht="16.5" thickTop="1">
      <c r="D88" s="151"/>
      <c r="E88" s="151"/>
    </row>
    <row r="89" spans="1:15">
      <c r="C89" s="181"/>
      <c r="D89" s="151"/>
      <c r="E89" s="151"/>
    </row>
    <row r="90" spans="1:15" s="173" customFormat="1">
      <c r="A90" s="216" t="s">
        <v>0</v>
      </c>
      <c r="B90" s="267" t="s">
        <v>203</v>
      </c>
      <c r="C90" s="267"/>
      <c r="D90" s="267"/>
      <c r="E90" s="267"/>
      <c r="F90" s="267"/>
      <c r="G90" s="267"/>
    </row>
    <row r="91" spans="1:15" s="173" customFormat="1" ht="15.75" customHeight="1">
      <c r="A91" s="174" t="s">
        <v>2</v>
      </c>
      <c r="B91" s="267" t="s">
        <v>225</v>
      </c>
      <c r="C91" s="267"/>
      <c r="D91" s="267"/>
      <c r="E91" s="267"/>
      <c r="F91" s="267"/>
      <c r="G91" s="267"/>
    </row>
    <row r="92" spans="1:15" s="173" customFormat="1" ht="15.75" customHeight="1">
      <c r="A92" s="174" t="s">
        <v>4</v>
      </c>
      <c r="B92" s="267" t="s">
        <v>137</v>
      </c>
      <c r="C92" s="267"/>
      <c r="D92" s="267"/>
      <c r="E92" s="267"/>
      <c r="F92" s="267"/>
      <c r="G92" s="267"/>
    </row>
    <row r="93" spans="1:15" s="173" customFormat="1">
      <c r="A93" s="174" t="s">
        <v>7</v>
      </c>
      <c r="B93" s="267" t="s">
        <v>37</v>
      </c>
      <c r="C93" s="267"/>
      <c r="D93" s="267"/>
      <c r="E93" s="267"/>
      <c r="F93" s="267"/>
      <c r="G93" s="267"/>
    </row>
    <row r="94" spans="1:15" s="173" customFormat="1">
      <c r="A94" s="179"/>
      <c r="B94" s="179"/>
      <c r="C94" s="175" t="s">
        <v>37</v>
      </c>
      <c r="D94" s="175" t="s">
        <v>19</v>
      </c>
      <c r="E94" s="175" t="s">
        <v>20</v>
      </c>
      <c r="F94" s="175" t="s">
        <v>21</v>
      </c>
      <c r="G94" s="175" t="s">
        <v>22</v>
      </c>
      <c r="H94" s="175" t="s">
        <v>23</v>
      </c>
      <c r="I94" s="175" t="s">
        <v>24</v>
      </c>
      <c r="J94" s="234" t="s">
        <v>25</v>
      </c>
      <c r="K94" s="175" t="s">
        <v>26</v>
      </c>
      <c r="L94" s="175" t="s">
        <v>27</v>
      </c>
      <c r="M94" s="175" t="s">
        <v>28</v>
      </c>
      <c r="N94" s="175" t="s">
        <v>30</v>
      </c>
      <c r="O94" s="175" t="s">
        <v>29</v>
      </c>
    </row>
    <row r="95" spans="1:15" s="173" customFormat="1">
      <c r="A95" s="173" t="s">
        <v>152</v>
      </c>
      <c r="C95" s="176">
        <f>'True-up'!P360</f>
        <v>8290.1331469124743</v>
      </c>
      <c r="D95" s="176">
        <f>'True-up'!P340</f>
        <v>389.17710522194625</v>
      </c>
      <c r="E95" s="176">
        <f>'True-up'!P341</f>
        <v>16.051855845095428</v>
      </c>
      <c r="F95" s="176">
        <f>'True-up'!P342</f>
        <v>334.07166929967542</v>
      </c>
      <c r="G95" s="176">
        <f>'True-up'!P343</f>
        <v>34.619907611130557</v>
      </c>
      <c r="H95" s="176">
        <f>'True-up'!P344</f>
        <v>65.355072180772623</v>
      </c>
      <c r="I95" s="176">
        <f>'True-up'!P345</f>
        <v>100.65705819347444</v>
      </c>
      <c r="J95" s="176">
        <f>'True-up'!P346</f>
        <v>227.58038592143836</v>
      </c>
      <c r="K95" s="176">
        <f>'True-up'!P347</f>
        <v>310.29565653227007</v>
      </c>
      <c r="L95" s="176">
        <f>'True-up'!P348</f>
        <v>87.129955624891267</v>
      </c>
      <c r="M95" s="176">
        <f>'True-up'!P349</f>
        <v>8.4986654430762005</v>
      </c>
      <c r="N95" s="176">
        <f>'True-up'!P350</f>
        <v>195.01991732863524</v>
      </c>
      <c r="O95" s="176">
        <f>'True-up'!P351</f>
        <v>222.26396124385309</v>
      </c>
    </row>
    <row r="96" spans="1:15" s="173" customFormat="1">
      <c r="A96" s="177" t="s">
        <v>153</v>
      </c>
      <c r="C96" s="176">
        <f>'True-up'!Q360</f>
        <v>582.12524818899396</v>
      </c>
      <c r="D96" s="176">
        <f>'True-up'!Q340</f>
        <v>17.540713626161761</v>
      </c>
      <c r="E96" s="176">
        <f>'True-up'!Q341</f>
        <v>0.93426347332633153</v>
      </c>
      <c r="F96" s="176">
        <f>'True-up'!Q342</f>
        <v>16.392877773565573</v>
      </c>
      <c r="G96" s="176">
        <f>'True-up'!Q343</f>
        <v>1.6505684843249269</v>
      </c>
      <c r="H96" s="176">
        <f>'True-up'!Q344</f>
        <v>4.2221397466820454</v>
      </c>
      <c r="I96" s="176">
        <f>'True-up'!Q345</f>
        <v>4.501551990317914</v>
      </c>
      <c r="J96" s="176">
        <f>'True-up'!Q346</f>
        <v>10.996462393320479</v>
      </c>
      <c r="K96" s="176">
        <f>'True-up'!Q347</f>
        <v>13.802444270409678</v>
      </c>
      <c r="L96" s="176">
        <f>'True-up'!Q348</f>
        <v>4.9972870311031645</v>
      </c>
      <c r="M96" s="176">
        <f>'True-up'!Q349</f>
        <v>0.39068435788680062</v>
      </c>
      <c r="N96" s="176">
        <f>'True-up'!Q350</f>
        <v>11.124955874067062</v>
      </c>
      <c r="O96" s="176">
        <f>'True-up'!Q351</f>
        <v>11.364429758077357</v>
      </c>
    </row>
    <row r="97" spans="1:16" s="173" customFormat="1" ht="16.5" thickBot="1">
      <c r="A97" s="173" t="s">
        <v>154</v>
      </c>
      <c r="C97" s="178">
        <f>SUM(C95:C96)</f>
        <v>8872.2583951014676</v>
      </c>
      <c r="D97" s="178">
        <f t="shared" ref="D97:I97" si="9">SUM(D95:D96)</f>
        <v>406.71781884810798</v>
      </c>
      <c r="E97" s="178">
        <f t="shared" si="9"/>
        <v>16.98611931842176</v>
      </c>
      <c r="F97" s="178">
        <f t="shared" si="9"/>
        <v>350.46454707324096</v>
      </c>
      <c r="G97" s="178">
        <f t="shared" si="9"/>
        <v>36.270476095455486</v>
      </c>
      <c r="H97" s="178">
        <f t="shared" si="9"/>
        <v>69.57721192745467</v>
      </c>
      <c r="I97" s="178">
        <f t="shared" si="9"/>
        <v>105.15861018379235</v>
      </c>
      <c r="J97" s="178">
        <f t="shared" ref="J97" si="10">SUM(J95:J96)</f>
        <v>238.57684831475885</v>
      </c>
      <c r="K97" s="178">
        <f>SUM(K95:K96)</f>
        <v>324.09810080267977</v>
      </c>
      <c r="L97" s="178">
        <f>SUM(L95:L96)</f>
        <v>92.127242655994436</v>
      </c>
      <c r="M97" s="178">
        <f>SUM(M95:M96)</f>
        <v>8.8893498009630019</v>
      </c>
      <c r="N97" s="178">
        <f>SUM(N95:N96)</f>
        <v>206.14487320270231</v>
      </c>
      <c r="O97" s="178">
        <f>SUM(O95:O96)</f>
        <v>233.62839100193045</v>
      </c>
    </row>
    <row r="98" spans="1:16" s="173" customFormat="1" ht="16.5" thickTop="1">
      <c r="C98" s="182"/>
      <c r="D98" s="182"/>
      <c r="E98" s="182"/>
      <c r="F98" s="182"/>
      <c r="G98" s="182"/>
      <c r="H98" s="182"/>
      <c r="I98" s="182"/>
      <c r="J98" s="182"/>
    </row>
    <row r="99" spans="1:16" s="173" customFormat="1">
      <c r="A99" s="179"/>
      <c r="B99" s="179"/>
      <c r="C99" s="175" t="s">
        <v>72</v>
      </c>
      <c r="D99" s="175" t="s">
        <v>73</v>
      </c>
      <c r="E99" s="175" t="s">
        <v>31</v>
      </c>
      <c r="F99" s="175" t="s">
        <v>32</v>
      </c>
      <c r="G99" s="175" t="s">
        <v>33</v>
      </c>
      <c r="H99" s="175" t="s">
        <v>34</v>
      </c>
      <c r="I99" s="175" t="s">
        <v>35</v>
      </c>
      <c r="J99" s="175" t="s">
        <v>36</v>
      </c>
      <c r="K99" s="175" t="s">
        <v>38</v>
      </c>
      <c r="L99" s="175" t="s">
        <v>39</v>
      </c>
      <c r="M99" s="234" t="s">
        <v>96</v>
      </c>
      <c r="N99" s="234" t="s">
        <v>97</v>
      </c>
      <c r="O99" s="234" t="s">
        <v>98</v>
      </c>
      <c r="P99" s="175" t="s">
        <v>100</v>
      </c>
    </row>
    <row r="100" spans="1:16" s="173" customFormat="1">
      <c r="A100" s="173" t="s">
        <v>152</v>
      </c>
      <c r="C100" s="176">
        <f>'True-up'!P352</f>
        <v>17.216525696731086</v>
      </c>
      <c r="D100" s="176">
        <f>'True-up'!P353</f>
        <v>-19.56098284912304</v>
      </c>
      <c r="E100" s="176">
        <f>'True-up'!P354</f>
        <v>9.9029087042597013</v>
      </c>
      <c r="F100" s="176">
        <f>'True-up'!P355</f>
        <v>9.5002800334068223</v>
      </c>
      <c r="G100" s="176">
        <f>'True-up'!P356</f>
        <v>316.98794453236104</v>
      </c>
      <c r="H100" s="176">
        <f>'True-up'!P357</f>
        <v>186.98071440190319</v>
      </c>
      <c r="I100" s="176">
        <f>'True-up'!P358</f>
        <v>40.244701179124078</v>
      </c>
      <c r="J100" s="176">
        <f>'True-up'!P359</f>
        <v>5.7647668124635949</v>
      </c>
      <c r="K100" s="176">
        <f>'True-up'!P361</f>
        <v>43.859005697967795</v>
      </c>
      <c r="L100" s="176">
        <f>'True-up'!P362</f>
        <v>19.632299548089346</v>
      </c>
      <c r="M100" s="176">
        <f>'True-up'!P363</f>
        <v>130.5230115559084</v>
      </c>
      <c r="N100" s="176">
        <f>'True-up'!P364</f>
        <v>3.8533430148644294</v>
      </c>
      <c r="O100" s="176">
        <f>'True-up'!S362</f>
        <v>0</v>
      </c>
      <c r="P100" s="176">
        <f>SUM(C95:O95)+SUM(C100:O100)</f>
        <v>11045.758875686684</v>
      </c>
    </row>
    <row r="101" spans="1:16" s="173" customFormat="1">
      <c r="A101" s="177" t="s">
        <v>153</v>
      </c>
      <c r="C101" s="176">
        <f>'True-up'!Q352</f>
        <v>0.83818984878465741</v>
      </c>
      <c r="D101" s="176">
        <f>'True-up'!Q353</f>
        <v>0.219651427878579</v>
      </c>
      <c r="E101" s="176">
        <f>'True-up'!Q354</f>
        <v>0.57647647474852348</v>
      </c>
      <c r="F101" s="176">
        <f>'True-up'!Q355</f>
        <v>0.62842360334807645</v>
      </c>
      <c r="G101" s="176">
        <f>'True-up'!Q356</f>
        <v>16.987832818824529</v>
      </c>
      <c r="H101" s="176">
        <f>'True-up'!Q357</f>
        <v>13.622097425309436</v>
      </c>
      <c r="I101" s="176">
        <f>'True-up'!Q358</f>
        <v>2.8441960164152995</v>
      </c>
      <c r="J101" s="176">
        <f>'True-up'!Q359</f>
        <v>0.42138346654208336</v>
      </c>
      <c r="K101" s="176">
        <f>'True-up'!Q361</f>
        <v>1.890660517808143</v>
      </c>
      <c r="L101" s="176">
        <f>'True-up'!Q362</f>
        <v>1.0719059135471614</v>
      </c>
      <c r="M101" s="176">
        <f>'True-up'!Q363</f>
        <v>6.1817899129682257</v>
      </c>
      <c r="N101" s="176">
        <f>'True-up'!Q364</f>
        <v>0.20571701911394974</v>
      </c>
      <c r="O101" s="176">
        <f>'True-up'!T362</f>
        <v>0</v>
      </c>
      <c r="P101" s="176">
        <f>SUM(C96:O96)+SUM(C101:O101)</f>
        <v>725.53195141352569</v>
      </c>
    </row>
    <row r="102" spans="1:16" s="173" customFormat="1" ht="16.5" thickBot="1">
      <c r="A102" s="173" t="s">
        <v>154</v>
      </c>
      <c r="C102" s="178">
        <f>SUM(C100:C101)</f>
        <v>18.054715545515744</v>
      </c>
      <c r="D102" s="178">
        <f t="shared" ref="D102:L102" si="11">SUM(D100:D101)</f>
        <v>-19.341331421244462</v>
      </c>
      <c r="E102" s="178">
        <f t="shared" si="11"/>
        <v>10.479385179008224</v>
      </c>
      <c r="F102" s="178">
        <f t="shared" si="11"/>
        <v>10.128703636754899</v>
      </c>
      <c r="G102" s="178">
        <f t="shared" si="11"/>
        <v>333.97577735118557</v>
      </c>
      <c r="H102" s="178">
        <f t="shared" si="11"/>
        <v>200.60281182721263</v>
      </c>
      <c r="I102" s="178">
        <f t="shared" si="11"/>
        <v>43.088897195539374</v>
      </c>
      <c r="J102" s="178">
        <f t="shared" si="11"/>
        <v>6.1861502790056786</v>
      </c>
      <c r="K102" s="178">
        <f t="shared" si="11"/>
        <v>45.749666215775939</v>
      </c>
      <c r="L102" s="178">
        <f t="shared" si="11"/>
        <v>20.704205461636509</v>
      </c>
      <c r="M102" s="178">
        <f t="shared" ref="M102:O102" si="12">SUM(M100:M101)</f>
        <v>136.70480146887661</v>
      </c>
      <c r="N102" s="178">
        <f t="shared" si="12"/>
        <v>4.0590600339783789</v>
      </c>
      <c r="O102" s="178">
        <f t="shared" si="12"/>
        <v>0</v>
      </c>
      <c r="P102" s="178">
        <f>SUM(P100:P101)</f>
        <v>11771.290827100211</v>
      </c>
    </row>
    <row r="103" spans="1:16" s="173" customFormat="1" ht="16.5" thickTop="1">
      <c r="C103" s="182"/>
      <c r="D103" s="182"/>
      <c r="E103" s="182"/>
      <c r="F103" s="182"/>
    </row>
    <row r="104" spans="1:16" s="173" customFormat="1">
      <c r="C104" s="182"/>
      <c r="D104" s="182"/>
      <c r="E104" s="182"/>
      <c r="F104" s="182"/>
    </row>
    <row r="105" spans="1:16" s="173" customFormat="1">
      <c r="A105" s="216" t="s">
        <v>0</v>
      </c>
      <c r="B105" s="267" t="s">
        <v>204</v>
      </c>
      <c r="C105" s="267"/>
      <c r="D105" s="267"/>
      <c r="E105" s="267"/>
      <c r="F105" s="267"/>
      <c r="G105" s="267"/>
    </row>
    <row r="106" spans="1:16" s="173" customFormat="1" ht="15.75" customHeight="1">
      <c r="A106" s="174" t="s">
        <v>2</v>
      </c>
      <c r="B106" s="267" t="s">
        <v>226</v>
      </c>
      <c r="C106" s="267"/>
      <c r="D106" s="267"/>
      <c r="E106" s="267"/>
      <c r="F106" s="267"/>
      <c r="G106" s="267"/>
    </row>
    <row r="107" spans="1:16" s="173" customFormat="1" ht="15.75" customHeight="1">
      <c r="A107" s="174" t="s">
        <v>4</v>
      </c>
      <c r="B107" s="267" t="s">
        <v>137</v>
      </c>
      <c r="C107" s="267"/>
      <c r="D107" s="267"/>
      <c r="E107" s="267"/>
      <c r="F107" s="267"/>
      <c r="G107" s="267"/>
    </row>
    <row r="108" spans="1:16" s="173" customFormat="1">
      <c r="A108" s="174" t="s">
        <v>7</v>
      </c>
      <c r="B108" s="267" t="s">
        <v>37</v>
      </c>
      <c r="C108" s="267"/>
      <c r="D108" s="267"/>
      <c r="E108" s="267"/>
      <c r="F108" s="267"/>
      <c r="G108" s="267"/>
    </row>
    <row r="109" spans="1:16" s="173" customFormat="1">
      <c r="A109" s="179"/>
      <c r="B109" s="179"/>
      <c r="C109" s="175" t="s">
        <v>37</v>
      </c>
      <c r="D109" s="233"/>
      <c r="E109" s="233"/>
      <c r="F109" s="233"/>
    </row>
    <row r="110" spans="1:16" s="173" customFormat="1">
      <c r="A110" s="173" t="s">
        <v>152</v>
      </c>
      <c r="C110" s="176">
        <f>'True-up'!P404</f>
        <v>10282.032850986494</v>
      </c>
      <c r="D110" s="182"/>
      <c r="E110" s="182"/>
      <c r="F110" s="182"/>
    </row>
    <row r="111" spans="1:16" s="173" customFormat="1">
      <c r="A111" s="177" t="s">
        <v>153</v>
      </c>
      <c r="C111" s="176">
        <f>'True-up'!Q404</f>
        <v>675.36721042269176</v>
      </c>
      <c r="D111" s="182"/>
      <c r="E111" s="182"/>
      <c r="F111" s="182"/>
    </row>
    <row r="112" spans="1:16" s="173" customFormat="1" ht="16.5" thickBot="1">
      <c r="A112" s="173" t="s">
        <v>154</v>
      </c>
      <c r="C112" s="178">
        <f>SUM(C110:C111)</f>
        <v>10957.400061409186</v>
      </c>
      <c r="D112" s="182"/>
      <c r="E112" s="182"/>
      <c r="F112" s="182"/>
    </row>
    <row r="113" spans="1:7" s="173" customFormat="1" ht="16.5" thickTop="1">
      <c r="C113" s="182"/>
      <c r="D113" s="182"/>
      <c r="E113" s="182"/>
      <c r="F113" s="182"/>
    </row>
    <row r="114" spans="1:7" s="173" customFormat="1">
      <c r="C114" s="182"/>
      <c r="D114" s="182"/>
      <c r="E114" s="182"/>
      <c r="F114" s="182"/>
    </row>
    <row r="115" spans="1:7" s="173" customFormat="1">
      <c r="A115" s="216" t="s">
        <v>0</v>
      </c>
      <c r="B115" s="267" t="s">
        <v>205</v>
      </c>
      <c r="C115" s="267"/>
      <c r="D115" s="267"/>
      <c r="E115" s="267"/>
      <c r="F115" s="267"/>
      <c r="G115" s="267"/>
    </row>
    <row r="116" spans="1:7" s="173" customFormat="1" ht="15.75" customHeight="1">
      <c r="A116" s="174" t="s">
        <v>2</v>
      </c>
      <c r="B116" s="267" t="s">
        <v>227</v>
      </c>
      <c r="C116" s="267"/>
      <c r="D116" s="267"/>
      <c r="E116" s="267"/>
      <c r="F116" s="267"/>
      <c r="G116" s="267"/>
    </row>
    <row r="117" spans="1:7" s="173" customFormat="1" ht="15.75" customHeight="1">
      <c r="A117" s="174" t="s">
        <v>4</v>
      </c>
      <c r="B117" s="267" t="s">
        <v>137</v>
      </c>
      <c r="C117" s="267"/>
      <c r="D117" s="267"/>
      <c r="E117" s="267"/>
      <c r="F117" s="267"/>
      <c r="G117" s="267"/>
    </row>
    <row r="118" spans="1:7" s="173" customFormat="1">
      <c r="A118" s="174" t="s">
        <v>7</v>
      </c>
      <c r="B118" s="267" t="s">
        <v>37</v>
      </c>
      <c r="C118" s="267"/>
      <c r="D118" s="267"/>
      <c r="E118" s="267"/>
      <c r="F118" s="267"/>
      <c r="G118" s="267"/>
    </row>
    <row r="119" spans="1:7" s="173" customFormat="1">
      <c r="A119" s="179"/>
      <c r="B119" s="179"/>
      <c r="C119" s="175" t="s">
        <v>37</v>
      </c>
      <c r="D119" s="233"/>
      <c r="E119" s="233"/>
      <c r="F119" s="233"/>
    </row>
    <row r="120" spans="1:7" s="173" customFormat="1">
      <c r="A120" s="173" t="s">
        <v>152</v>
      </c>
      <c r="C120" s="176">
        <f>'True-up'!P448</f>
        <v>1626.6969592873575</v>
      </c>
      <c r="D120" s="182"/>
      <c r="E120" s="182"/>
      <c r="F120" s="182"/>
    </row>
    <row r="121" spans="1:7" s="173" customFormat="1">
      <c r="A121" s="177" t="s">
        <v>153</v>
      </c>
      <c r="C121" s="176">
        <f>'True-up'!Q448</f>
        <v>106.84830553634853</v>
      </c>
      <c r="D121" s="182"/>
      <c r="E121" s="182"/>
      <c r="F121" s="182"/>
    </row>
    <row r="122" spans="1:7" s="173" customFormat="1" ht="16.5" thickBot="1">
      <c r="A122" s="173" t="s">
        <v>154</v>
      </c>
      <c r="C122" s="178">
        <f>SUM(C120:C121)</f>
        <v>1733.545264823706</v>
      </c>
      <c r="D122" s="182"/>
      <c r="E122" s="182"/>
      <c r="F122" s="182"/>
    </row>
    <row r="123" spans="1:7" s="173" customFormat="1" ht="16.5" thickTop="1">
      <c r="C123" s="182"/>
      <c r="D123" s="182"/>
      <c r="E123" s="182"/>
      <c r="F123" s="182"/>
    </row>
    <row r="124" spans="1:7" s="173" customFormat="1">
      <c r="C124" s="182"/>
      <c r="D124" s="182"/>
      <c r="E124" s="182"/>
      <c r="F124" s="182"/>
    </row>
    <row r="125" spans="1:7" s="173" customFormat="1">
      <c r="A125" s="216" t="s">
        <v>0</v>
      </c>
      <c r="B125" s="267" t="s">
        <v>206</v>
      </c>
      <c r="C125" s="267"/>
      <c r="D125" s="267"/>
      <c r="E125" s="267"/>
      <c r="F125" s="267"/>
      <c r="G125" s="267"/>
    </row>
    <row r="126" spans="1:7" s="173" customFormat="1" ht="15.75" customHeight="1">
      <c r="A126" s="174" t="s">
        <v>2</v>
      </c>
      <c r="B126" s="267" t="s">
        <v>228</v>
      </c>
      <c r="C126" s="267"/>
      <c r="D126" s="267"/>
      <c r="E126" s="267"/>
      <c r="F126" s="267"/>
      <c r="G126" s="267"/>
    </row>
    <row r="127" spans="1:7" s="173" customFormat="1" ht="15.75" customHeight="1">
      <c r="A127" s="174" t="s">
        <v>4</v>
      </c>
      <c r="B127" s="267" t="s">
        <v>137</v>
      </c>
      <c r="C127" s="267"/>
      <c r="D127" s="267"/>
      <c r="E127" s="267"/>
      <c r="F127" s="267"/>
      <c r="G127" s="267"/>
    </row>
    <row r="128" spans="1:7" s="173" customFormat="1">
      <c r="A128" s="174" t="s">
        <v>7</v>
      </c>
      <c r="B128" s="267" t="s">
        <v>37</v>
      </c>
      <c r="C128" s="267"/>
      <c r="D128" s="267"/>
      <c r="E128" s="267"/>
      <c r="F128" s="267"/>
      <c r="G128" s="267"/>
    </row>
    <row r="129" spans="1:6" s="173" customFormat="1">
      <c r="A129" s="179"/>
      <c r="B129" s="179"/>
      <c r="C129" s="175" t="s">
        <v>37</v>
      </c>
      <c r="D129" s="234" t="s">
        <v>38</v>
      </c>
      <c r="E129" s="234" t="s">
        <v>35</v>
      </c>
      <c r="F129" s="175" t="s">
        <v>100</v>
      </c>
    </row>
    <row r="130" spans="1:6" s="173" customFormat="1">
      <c r="A130" s="173" t="s">
        <v>152</v>
      </c>
      <c r="C130" s="176">
        <f>'True-up'!P492</f>
        <v>103.47587531494817</v>
      </c>
      <c r="D130" s="176">
        <f>'True-up'!P493</f>
        <v>59774.212014842145</v>
      </c>
      <c r="E130" s="176">
        <f>'True-up'!P490</f>
        <v>2446.4653378034172</v>
      </c>
      <c r="F130" s="176">
        <f>SUM(C130:E130)</f>
        <v>62324.153227960516</v>
      </c>
    </row>
    <row r="131" spans="1:6" s="173" customFormat="1">
      <c r="A131" s="177" t="s">
        <v>153</v>
      </c>
      <c r="C131" s="176">
        <f>'True-up'!Q492</f>
        <v>7.3686830426994998</v>
      </c>
      <c r="D131" s="176">
        <f>'True-up'!Q493</f>
        <v>3912.3613243932841</v>
      </c>
      <c r="E131" s="176">
        <f>'True-up'!Q490</f>
        <v>173.9827940637382</v>
      </c>
      <c r="F131" s="176">
        <f>SUM(C131:E131)</f>
        <v>4093.712801499722</v>
      </c>
    </row>
    <row r="132" spans="1:6" s="173" customFormat="1" ht="16.5" thickBot="1">
      <c r="A132" s="173" t="s">
        <v>154</v>
      </c>
      <c r="C132" s="178">
        <f>SUM(C130:C131)</f>
        <v>110.84455835764767</v>
      </c>
      <c r="D132" s="178">
        <f t="shared" ref="D132:E132" si="13">SUM(D130:D131)</f>
        <v>63686.57333923543</v>
      </c>
      <c r="E132" s="178">
        <f t="shared" si="13"/>
        <v>2620.4481318671556</v>
      </c>
      <c r="F132" s="178">
        <f>SUM(C132:E132)</f>
        <v>66417.86602946023</v>
      </c>
    </row>
    <row r="133" spans="1:6" s="173" customFormat="1" ht="16.5" thickTop="1">
      <c r="C133" s="182"/>
      <c r="D133" s="182"/>
      <c r="E133" s="182"/>
      <c r="F133" s="182"/>
    </row>
    <row r="134" spans="1:6">
      <c r="A134" s="152" t="s">
        <v>155</v>
      </c>
    </row>
    <row r="135" spans="1:6" s="264" customFormat="1">
      <c r="A135" s="264" t="s">
        <v>221</v>
      </c>
      <c r="F135" s="265">
        <f>Interest!D51</f>
        <v>0.15712375578947363</v>
      </c>
    </row>
    <row r="136" spans="1:6">
      <c r="A136" s="144" t="s">
        <v>222</v>
      </c>
      <c r="F136" s="166">
        <f>Interest!C51</f>
        <v>3.2842105263157895E-2</v>
      </c>
    </row>
    <row r="137" spans="1:6">
      <c r="F137" s="153"/>
    </row>
  </sheetData>
  <mergeCells count="39">
    <mergeCell ref="B125:G125"/>
    <mergeCell ref="B126:G126"/>
    <mergeCell ref="B127:G127"/>
    <mergeCell ref="B128:G128"/>
    <mergeCell ref="B108:G108"/>
    <mergeCell ref="B115:G115"/>
    <mergeCell ref="B116:G116"/>
    <mergeCell ref="B117:G117"/>
    <mergeCell ref="B118:G118"/>
    <mergeCell ref="B92:G92"/>
    <mergeCell ref="B93:G93"/>
    <mergeCell ref="B105:G105"/>
    <mergeCell ref="B106:G106"/>
    <mergeCell ref="B107:G107"/>
    <mergeCell ref="B81:G81"/>
    <mergeCell ref="B82:G82"/>
    <mergeCell ref="B90:G90"/>
    <mergeCell ref="B83:G83"/>
    <mergeCell ref="B91:G91"/>
    <mergeCell ref="B16:G16"/>
    <mergeCell ref="B17:G17"/>
    <mergeCell ref="B80:G80"/>
    <mergeCell ref="B45:G45"/>
    <mergeCell ref="B46:G46"/>
    <mergeCell ref="B47:G47"/>
    <mergeCell ref="B48:G48"/>
    <mergeCell ref="B24:G24"/>
    <mergeCell ref="B25:G25"/>
    <mergeCell ref="B26:G26"/>
    <mergeCell ref="B27:G27"/>
    <mergeCell ref="B34:G34"/>
    <mergeCell ref="B35:G35"/>
    <mergeCell ref="B36:G36"/>
    <mergeCell ref="B37:G37"/>
    <mergeCell ref="A1:O1"/>
    <mergeCell ref="A2:O2"/>
    <mergeCell ref="A3:O3"/>
    <mergeCell ref="B14:G14"/>
    <mergeCell ref="B15:G15"/>
  </mergeCells>
  <pageMargins left="0.17" right="0.17" top="0.55000000000000004" bottom="0.32" header="0.5" footer="0.17"/>
  <pageSetup scale="50" orientation="portrait" r:id="rId1"/>
  <headerFooter alignWithMargins="0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504"/>
  <sheetViews>
    <sheetView topLeftCell="C290" zoomScale="80" zoomScaleNormal="80" workbookViewId="0">
      <selection activeCell="C296" sqref="C296:H296"/>
    </sheetView>
  </sheetViews>
  <sheetFormatPr defaultRowHeight="15" outlineLevelRow="1"/>
  <cols>
    <col min="2" max="2" width="12.28515625" customWidth="1"/>
    <col min="5" max="5" width="11.42578125" customWidth="1"/>
    <col min="6" max="6" width="9.140625" customWidth="1"/>
    <col min="7" max="7" width="11.28515625" customWidth="1"/>
    <col min="8" max="8" width="18.28515625" customWidth="1"/>
    <col min="9" max="9" width="15.5703125" customWidth="1"/>
    <col min="10" max="10" width="16.28515625" customWidth="1"/>
    <col min="11" max="11" width="14" customWidth="1"/>
    <col min="12" max="12" width="32.140625" style="164" bestFit="1" customWidth="1"/>
    <col min="13" max="13" width="30.7109375" customWidth="1"/>
    <col min="14" max="14" width="14" style="164" customWidth="1"/>
    <col min="15" max="15" width="18.5703125" customWidth="1"/>
    <col min="16" max="16" width="17.28515625" customWidth="1"/>
    <col min="17" max="17" width="11.140625" customWidth="1"/>
    <col min="18" max="18" width="13.7109375" customWidth="1"/>
  </cols>
  <sheetData>
    <row r="2" spans="1:18">
      <c r="L2" s="204" t="s">
        <v>218</v>
      </c>
      <c r="M2" s="206">
        <f>5020961</f>
        <v>5020961</v>
      </c>
      <c r="N2" s="164" t="s">
        <v>137</v>
      </c>
    </row>
    <row r="3" spans="1:18">
      <c r="L3" s="204"/>
    </row>
    <row r="4" spans="1:18">
      <c r="L4" s="205" t="s">
        <v>219</v>
      </c>
      <c r="M4" s="207">
        <v>6135148</v>
      </c>
      <c r="N4" s="164" t="s">
        <v>137</v>
      </c>
    </row>
    <row r="5" spans="1:18">
      <c r="L5" s="204"/>
    </row>
    <row r="6" spans="1:18">
      <c r="I6" s="206"/>
      <c r="L6" s="204" t="s">
        <v>193</v>
      </c>
      <c r="M6" s="206">
        <f>M4-M2</f>
        <v>1114187</v>
      </c>
      <c r="N6" s="167"/>
    </row>
    <row r="7" spans="1:18" ht="15.75" thickBot="1"/>
    <row r="8" spans="1:18" ht="15.75" thickBot="1">
      <c r="D8" s="319" t="s">
        <v>186</v>
      </c>
      <c r="E8" s="320"/>
      <c r="F8" s="320"/>
      <c r="G8" s="320"/>
      <c r="H8" s="320"/>
      <c r="I8" s="320"/>
      <c r="J8" s="321"/>
      <c r="K8" s="208" t="s">
        <v>200</v>
      </c>
      <c r="L8" s="209"/>
      <c r="M8" s="209"/>
      <c r="N8" s="209"/>
      <c r="O8" s="209"/>
      <c r="P8" s="210" t="s">
        <v>201</v>
      </c>
      <c r="Q8" s="211"/>
      <c r="R8" s="212"/>
    </row>
    <row r="10" spans="1:18">
      <c r="A10" s="2"/>
      <c r="B10" s="2"/>
      <c r="C10" s="2"/>
      <c r="D10" s="2"/>
      <c r="E10" s="2"/>
      <c r="F10" s="2"/>
      <c r="G10" s="2"/>
      <c r="H10" s="2"/>
      <c r="I10" s="2"/>
      <c r="K10" s="52"/>
      <c r="L10" s="287" t="s">
        <v>48</v>
      </c>
      <c r="M10" s="288"/>
      <c r="N10" s="288"/>
      <c r="O10" s="289"/>
      <c r="P10" s="53" t="s">
        <v>49</v>
      </c>
      <c r="Q10" s="52"/>
      <c r="R10" s="53" t="s">
        <v>50</v>
      </c>
    </row>
    <row r="11" spans="1:18">
      <c r="A11" s="3"/>
      <c r="B11" s="4"/>
      <c r="C11" s="5"/>
      <c r="D11" s="279">
        <v>0</v>
      </c>
      <c r="E11" s="280"/>
      <c r="F11" s="279">
        <v>1</v>
      </c>
      <c r="G11" s="280"/>
      <c r="H11" s="191"/>
      <c r="I11" s="7"/>
      <c r="J11" s="8" t="s">
        <v>9</v>
      </c>
      <c r="K11" s="54" t="s">
        <v>51</v>
      </c>
      <c r="L11" s="287" t="s">
        <v>52</v>
      </c>
      <c r="M11" s="288"/>
      <c r="N11" s="214"/>
      <c r="O11" s="53" t="s">
        <v>53</v>
      </c>
      <c r="P11" s="54" t="s">
        <v>54</v>
      </c>
      <c r="Q11" s="55"/>
      <c r="R11" s="54" t="s">
        <v>55</v>
      </c>
    </row>
    <row r="12" spans="1:18">
      <c r="A12" s="9"/>
      <c r="B12" s="10"/>
      <c r="C12" s="11"/>
      <c r="D12" s="290" t="s">
        <v>10</v>
      </c>
      <c r="E12" s="291"/>
      <c r="F12" s="290" t="s">
        <v>11</v>
      </c>
      <c r="G12" s="291"/>
      <c r="H12" s="290" t="s">
        <v>12</v>
      </c>
      <c r="I12" s="292"/>
      <c r="J12" s="12" t="s">
        <v>13</v>
      </c>
      <c r="K12" s="56" t="s">
        <v>56</v>
      </c>
      <c r="L12" s="169" t="s">
        <v>191</v>
      </c>
      <c r="M12" s="192" t="s">
        <v>192</v>
      </c>
      <c r="N12" s="57" t="s">
        <v>57</v>
      </c>
      <c r="O12" s="57" t="s">
        <v>56</v>
      </c>
      <c r="P12" s="57" t="s">
        <v>56</v>
      </c>
      <c r="Q12" s="57" t="s">
        <v>58</v>
      </c>
      <c r="R12" s="57" t="s">
        <v>59</v>
      </c>
    </row>
    <row r="13" spans="1:18" ht="38.25">
      <c r="A13" s="13" t="s">
        <v>14</v>
      </c>
      <c r="B13" s="14" t="s">
        <v>15</v>
      </c>
      <c r="C13" s="15" t="s">
        <v>16</v>
      </c>
      <c r="D13" s="16" t="s">
        <v>17</v>
      </c>
      <c r="E13" s="17" t="s">
        <v>18</v>
      </c>
      <c r="F13" s="16" t="s">
        <v>17</v>
      </c>
      <c r="G13" s="17" t="s">
        <v>18</v>
      </c>
      <c r="H13" s="18" t="s">
        <v>17</v>
      </c>
      <c r="I13" s="19" t="s">
        <v>18</v>
      </c>
      <c r="J13" s="15" t="s">
        <v>18</v>
      </c>
      <c r="K13" s="58" t="s">
        <v>60</v>
      </c>
      <c r="L13" s="170"/>
      <c r="M13" s="59"/>
      <c r="N13" s="170"/>
      <c r="O13" s="58" t="s">
        <v>60</v>
      </c>
      <c r="P13" s="59"/>
      <c r="Q13" s="59"/>
      <c r="R13" s="60" t="s">
        <v>60</v>
      </c>
    </row>
    <row r="14" spans="1:18">
      <c r="A14" s="20" t="s">
        <v>19</v>
      </c>
      <c r="B14" s="163"/>
      <c r="C14" s="22"/>
      <c r="D14" s="23"/>
      <c r="E14" s="24"/>
      <c r="F14" s="25"/>
      <c r="G14" s="26"/>
      <c r="H14" s="27"/>
      <c r="I14" s="201"/>
      <c r="J14" s="199">
        <f t="shared" ref="J14:J35" si="0">SUMIF($A$55:$A$504,A14,$J$55:$J$504)</f>
        <v>85290.155135411813</v>
      </c>
      <c r="K14" s="167">
        <f>SUMIF($A$55:$A$750,A14,$K$55:$K$750)</f>
        <v>4660.828416828489</v>
      </c>
      <c r="L14" s="167">
        <f>SUMIF($A$55:$A$753,A14,$L$55:$L$753)</f>
        <v>91570</v>
      </c>
      <c r="M14" s="167">
        <f>SUMIF($A$55:$A$753,A14,$M$55:$M$753)</f>
        <v>96686.590842753096</v>
      </c>
      <c r="N14" s="167">
        <f>+J14</f>
        <v>85290.155135411813</v>
      </c>
      <c r="O14" s="61">
        <f>+M14-N14</f>
        <v>11396.435707341283</v>
      </c>
      <c r="P14" s="61">
        <f t="shared" ref="P14:P39" si="1">+K14+O14</f>
        <v>16057.264124169771</v>
      </c>
      <c r="Q14" s="167">
        <f>SUMIF($A$55:$A$753,A14,$Q$55:$Q$753)</f>
        <v>724.19395880279671</v>
      </c>
      <c r="R14" s="63">
        <f t="shared" ref="R14:R20" si="2">+P14+Q14</f>
        <v>16781.458082972567</v>
      </c>
    </row>
    <row r="15" spans="1:18">
      <c r="A15" s="30" t="s">
        <v>20</v>
      </c>
      <c r="B15" s="163"/>
      <c r="C15" s="22"/>
      <c r="D15" s="23"/>
      <c r="E15" s="24"/>
      <c r="F15" s="25"/>
      <c r="G15" s="24"/>
      <c r="H15" s="27"/>
      <c r="I15" s="202"/>
      <c r="J15" s="199">
        <f t="shared" si="0"/>
        <v>4111.7885368791685</v>
      </c>
      <c r="K15" s="167">
        <f t="shared" ref="K15:K38" si="3">SUMIF($A$55:$A$750,A15,$K$55:$K$750)</f>
        <v>225.03293909249612</v>
      </c>
      <c r="L15" s="167">
        <f t="shared" ref="L15:L36" si="4">SUMIF($A$55:$A$753,A15,$L$55:$L$753)</f>
        <v>4234</v>
      </c>
      <c r="M15" s="167">
        <f t="shared" ref="M15:M36" si="5">SUMIF($A$55:$A$753,A15,$M$55:$M$753)</f>
        <v>4470.5801641172502</v>
      </c>
      <c r="N15" s="167">
        <f t="shared" ref="N15:N36" si="6">+J15</f>
        <v>4111.7885368791685</v>
      </c>
      <c r="O15" s="61">
        <f t="shared" ref="O15:O20" si="7">+M15-N15</f>
        <v>358.79162723808167</v>
      </c>
      <c r="P15" s="61">
        <f t="shared" si="1"/>
        <v>583.8245663305778</v>
      </c>
      <c r="Q15" s="167">
        <f t="shared" ref="Q15:Q36" si="8">SUMIF($A$55:$A$753,A15,$Q$55:$Q$753)</f>
        <v>34.928043846566347</v>
      </c>
      <c r="R15" s="63">
        <f t="shared" si="2"/>
        <v>618.75261017714411</v>
      </c>
    </row>
    <row r="16" spans="1:18">
      <c r="A16" s="30" t="s">
        <v>21</v>
      </c>
      <c r="B16" s="163"/>
      <c r="C16" s="22"/>
      <c r="D16" s="23"/>
      <c r="E16" s="24"/>
      <c r="F16" s="25"/>
      <c r="G16" s="24"/>
      <c r="H16" s="27"/>
      <c r="I16" s="202"/>
      <c r="J16" s="199">
        <f t="shared" si="0"/>
        <v>77822.513312920564</v>
      </c>
      <c r="K16" s="167">
        <f t="shared" si="3"/>
        <v>4254.2217561623747</v>
      </c>
      <c r="L16" s="167">
        <f t="shared" si="4"/>
        <v>82188</v>
      </c>
      <c r="M16" s="167">
        <f t="shared" si="5"/>
        <v>86780.359595764894</v>
      </c>
      <c r="N16" s="167">
        <f t="shared" si="6"/>
        <v>77822.513312920564</v>
      </c>
      <c r="O16" s="61">
        <f t="shared" si="7"/>
        <v>8957.8462828443298</v>
      </c>
      <c r="P16" s="61">
        <f t="shared" si="1"/>
        <v>13212.068039006705</v>
      </c>
      <c r="Q16" s="167">
        <f t="shared" si="8"/>
        <v>660.85261590894766</v>
      </c>
      <c r="R16" s="63">
        <f t="shared" si="2"/>
        <v>13872.920654915652</v>
      </c>
    </row>
    <row r="17" spans="1:18">
      <c r="A17" s="30" t="s">
        <v>22</v>
      </c>
      <c r="B17" s="163"/>
      <c r="C17" s="22"/>
      <c r="D17" s="23"/>
      <c r="E17" s="24"/>
      <c r="F17" s="25"/>
      <c r="G17" s="24"/>
      <c r="H17" s="27"/>
      <c r="I17" s="202"/>
      <c r="J17" s="199">
        <f t="shared" si="0"/>
        <v>7680.4407525299575</v>
      </c>
      <c r="K17" s="167">
        <f t="shared" si="3"/>
        <v>419.98110428136931</v>
      </c>
      <c r="L17" s="167">
        <f t="shared" si="4"/>
        <v>8171</v>
      </c>
      <c r="M17" s="167">
        <f t="shared" si="5"/>
        <v>8627.5650734534847</v>
      </c>
      <c r="N17" s="167">
        <f t="shared" si="6"/>
        <v>7680.4407525299575</v>
      </c>
      <c r="O17" s="61">
        <f t="shared" si="7"/>
        <v>947.12432092352719</v>
      </c>
      <c r="P17" s="61">
        <f t="shared" si="1"/>
        <v>1367.1054252048966</v>
      </c>
      <c r="Q17" s="167">
        <f t="shared" si="8"/>
        <v>65.226273843099634</v>
      </c>
      <c r="R17" s="63">
        <f t="shared" si="2"/>
        <v>1432.3316990479962</v>
      </c>
    </row>
    <row r="18" spans="1:18">
      <c r="A18" s="30" t="s">
        <v>23</v>
      </c>
      <c r="B18" s="163"/>
      <c r="C18" s="22"/>
      <c r="D18" s="23"/>
      <c r="E18" s="24"/>
      <c r="F18" s="25"/>
      <c r="G18" s="24"/>
      <c r="H18" s="27"/>
      <c r="I18" s="202"/>
      <c r="J18" s="199">
        <f t="shared" si="0"/>
        <v>19266.00633766863</v>
      </c>
      <c r="K18" s="167">
        <f t="shared" si="3"/>
        <v>1053.8128710578553</v>
      </c>
      <c r="L18" s="167">
        <f t="shared" si="4"/>
        <v>19430</v>
      </c>
      <c r="M18" s="167">
        <f t="shared" si="5"/>
        <v>20515.676095606559</v>
      </c>
      <c r="N18" s="167">
        <f t="shared" si="6"/>
        <v>19266.00633766863</v>
      </c>
      <c r="O18" s="61">
        <f t="shared" si="7"/>
        <v>1249.6697579379288</v>
      </c>
      <c r="P18" s="61">
        <f t="shared" si="1"/>
        <v>2303.4826289957841</v>
      </c>
      <c r="Q18" s="167">
        <f t="shared" si="8"/>
        <v>163.63079530373565</v>
      </c>
      <c r="R18" s="63">
        <f t="shared" si="2"/>
        <v>2467.1134242995199</v>
      </c>
    </row>
    <row r="19" spans="1:18">
      <c r="A19" s="30" t="s">
        <v>24</v>
      </c>
      <c r="B19" s="163"/>
      <c r="C19" s="22"/>
      <c r="D19" s="23"/>
      <c r="E19" s="24"/>
      <c r="F19" s="25"/>
      <c r="G19" s="24"/>
      <c r="H19" s="27"/>
      <c r="I19" s="202"/>
      <c r="J19" s="199">
        <f t="shared" si="0"/>
        <v>22180.032046522927</v>
      </c>
      <c r="K19" s="167">
        <f t="shared" si="3"/>
        <v>1211.8381858126354</v>
      </c>
      <c r="L19" s="167">
        <f t="shared" si="4"/>
        <v>23832</v>
      </c>
      <c r="M19" s="167">
        <f t="shared" si="5"/>
        <v>25163.643474549433</v>
      </c>
      <c r="N19" s="167">
        <f t="shared" si="6"/>
        <v>22180.032046522927</v>
      </c>
      <c r="O19" s="61">
        <f t="shared" si="7"/>
        <v>2983.6114280265065</v>
      </c>
      <c r="P19" s="61">
        <f t="shared" si="1"/>
        <v>4195.4496138391423</v>
      </c>
      <c r="Q19" s="167">
        <f t="shared" si="8"/>
        <v>188.31921546972228</v>
      </c>
      <c r="R19" s="63">
        <f t="shared" si="2"/>
        <v>4383.768829308865</v>
      </c>
    </row>
    <row r="20" spans="1:18">
      <c r="A20" s="30" t="s">
        <v>25</v>
      </c>
      <c r="B20" s="163"/>
      <c r="C20" s="22"/>
      <c r="D20" s="23"/>
      <c r="E20" s="24"/>
      <c r="F20" s="25"/>
      <c r="G20" s="24"/>
      <c r="H20" s="27"/>
      <c r="I20" s="202"/>
      <c r="J20" s="199">
        <f t="shared" si="0"/>
        <v>52017.582045626754</v>
      </c>
      <c r="K20" s="167">
        <f t="shared" si="3"/>
        <v>2843.726544626224</v>
      </c>
      <c r="L20" s="167">
        <f t="shared" si="4"/>
        <v>55087</v>
      </c>
      <c r="M20" s="167">
        <f t="shared" si="5"/>
        <v>58165.056566066836</v>
      </c>
      <c r="N20" s="167">
        <f t="shared" si="6"/>
        <v>52017.582045626754</v>
      </c>
      <c r="O20" s="61">
        <f t="shared" si="7"/>
        <v>6147.4745204400824</v>
      </c>
      <c r="P20" s="61">
        <f t="shared" si="1"/>
        <v>8991.2010650663069</v>
      </c>
      <c r="Q20" s="167">
        <f t="shared" si="8"/>
        <v>441.72917640479142</v>
      </c>
      <c r="R20" s="63">
        <f t="shared" si="2"/>
        <v>9432.9302414710983</v>
      </c>
    </row>
    <row r="21" spans="1:18">
      <c r="A21" s="30" t="s">
        <v>26</v>
      </c>
      <c r="B21" s="163"/>
      <c r="C21" s="22"/>
      <c r="D21" s="23"/>
      <c r="E21" s="24"/>
      <c r="F21" s="25"/>
      <c r="G21" s="24"/>
      <c r="H21" s="27"/>
      <c r="I21" s="202"/>
      <c r="J21" s="199">
        <f t="shared" si="0"/>
        <v>68935.112339202984</v>
      </c>
      <c r="K21" s="167">
        <f t="shared" si="3"/>
        <v>3765.6535705709971</v>
      </c>
      <c r="L21" s="167">
        <f t="shared" si="4"/>
        <v>74218</v>
      </c>
      <c r="M21" s="167">
        <f t="shared" si="5"/>
        <v>78365.025654334924</v>
      </c>
      <c r="N21" s="167">
        <f t="shared" si="6"/>
        <v>68935.112339202984</v>
      </c>
      <c r="O21" s="61">
        <f>+M21-N21</f>
        <v>9429.9133151319402</v>
      </c>
      <c r="P21" s="61">
        <f t="shared" si="1"/>
        <v>13195.566885702938</v>
      </c>
      <c r="Q21" s="167">
        <f t="shared" si="8"/>
        <v>585.2604668755954</v>
      </c>
      <c r="R21" s="63">
        <f>+P21+Q21</f>
        <v>13780.827352578533</v>
      </c>
    </row>
    <row r="22" spans="1:18">
      <c r="A22" s="30" t="s">
        <v>27</v>
      </c>
      <c r="B22" s="163"/>
      <c r="C22" s="22"/>
      <c r="D22" s="23"/>
      <c r="E22" s="24"/>
      <c r="F22" s="25"/>
      <c r="G22" s="24"/>
      <c r="H22" s="27"/>
      <c r="I22" s="202"/>
      <c r="J22" s="199">
        <f t="shared" si="0"/>
        <v>231007.52538748016</v>
      </c>
      <c r="K22" s="167">
        <f t="shared" si="3"/>
        <v>26000.970947559992</v>
      </c>
      <c r="L22" s="167">
        <f t="shared" si="4"/>
        <v>237515</v>
      </c>
      <c r="M22" s="167">
        <f t="shared" si="5"/>
        <v>250786.45434112154</v>
      </c>
      <c r="N22" s="167">
        <f t="shared" si="6"/>
        <v>231007.52538748016</v>
      </c>
      <c r="O22" s="61">
        <f t="shared" ref="O22:O36" si="9">+M22-N22</f>
        <v>19778.928953641385</v>
      </c>
      <c r="P22" s="61">
        <f t="shared" si="1"/>
        <v>45779.899901201381</v>
      </c>
      <c r="Q22" s="167">
        <f t="shared" si="8"/>
        <v>2653.1910853702543</v>
      </c>
      <c r="R22" s="63">
        <f t="shared" ref="R22:R36" si="10">+P22+Q22</f>
        <v>48433.090986571638</v>
      </c>
    </row>
    <row r="23" spans="1:18">
      <c r="A23" s="30" t="s">
        <v>28</v>
      </c>
      <c r="B23" s="163"/>
      <c r="C23" s="22"/>
      <c r="D23" s="23"/>
      <c r="E23" s="24"/>
      <c r="F23" s="25"/>
      <c r="G23" s="24"/>
      <c r="H23" s="27"/>
      <c r="I23" s="202"/>
      <c r="J23" s="199">
        <f t="shared" si="0"/>
        <v>1741.8695355234254</v>
      </c>
      <c r="K23" s="167">
        <f t="shared" si="3"/>
        <v>95.310914202007353</v>
      </c>
      <c r="L23" s="167">
        <f t="shared" si="4"/>
        <v>1883</v>
      </c>
      <c r="M23" s="167">
        <f t="shared" si="5"/>
        <v>1988.2150328372184</v>
      </c>
      <c r="N23" s="167">
        <f t="shared" si="6"/>
        <v>1741.8695355234254</v>
      </c>
      <c r="O23" s="61">
        <f t="shared" si="9"/>
        <v>246.34549731379298</v>
      </c>
      <c r="P23" s="61">
        <f t="shared" si="1"/>
        <v>341.6564115158003</v>
      </c>
      <c r="Q23" s="167">
        <f t="shared" si="8"/>
        <v>14.795637206062334</v>
      </c>
      <c r="R23" s="63">
        <f t="shared" si="10"/>
        <v>356.45204872186264</v>
      </c>
    </row>
    <row r="24" spans="1:18">
      <c r="A24" s="30" t="s">
        <v>29</v>
      </c>
      <c r="B24" s="163"/>
      <c r="C24" s="22"/>
      <c r="D24" s="23"/>
      <c r="E24" s="24"/>
      <c r="F24" s="25"/>
      <c r="G24" s="24"/>
      <c r="H24" s="27"/>
      <c r="I24" s="202"/>
      <c r="J24" s="199">
        <f t="shared" si="0"/>
        <v>52578.382068480088</v>
      </c>
      <c r="K24" s="167">
        <f t="shared" si="3"/>
        <v>2875.333320879417</v>
      </c>
      <c r="L24" s="167">
        <f t="shared" si="4"/>
        <v>55129</v>
      </c>
      <c r="M24" s="167">
        <f t="shared" si="5"/>
        <v>58209.403369773238</v>
      </c>
      <c r="N24" s="167">
        <f t="shared" si="6"/>
        <v>52578.382068480088</v>
      </c>
      <c r="O24" s="61">
        <f t="shared" si="9"/>
        <v>5631.021301293149</v>
      </c>
      <c r="P24" s="61">
        <f t="shared" si="1"/>
        <v>8506.3546221725665</v>
      </c>
      <c r="Q24" s="167">
        <f t="shared" si="8"/>
        <v>446.53386924678637</v>
      </c>
      <c r="R24" s="63">
        <f t="shared" si="10"/>
        <v>8952.8884914193532</v>
      </c>
    </row>
    <row r="25" spans="1:18">
      <c r="A25" s="30" t="s">
        <v>30</v>
      </c>
      <c r="B25" s="163"/>
      <c r="C25" s="22"/>
      <c r="D25" s="23"/>
      <c r="E25" s="24"/>
      <c r="F25" s="25"/>
      <c r="G25" s="24"/>
      <c r="H25" s="27"/>
      <c r="I25" s="202"/>
      <c r="J25" s="199">
        <f t="shared" si="0"/>
        <v>53110.293001103724</v>
      </c>
      <c r="K25" s="167">
        <f t="shared" si="3"/>
        <v>3070.0077132949236</v>
      </c>
      <c r="L25" s="167">
        <f t="shared" si="4"/>
        <v>54605</v>
      </c>
      <c r="M25" s="167">
        <f t="shared" si="5"/>
        <v>57656.124199721882</v>
      </c>
      <c r="N25" s="167">
        <f t="shared" si="6"/>
        <v>53110.293001103724</v>
      </c>
      <c r="O25" s="61">
        <f t="shared" si="9"/>
        <v>4545.8311986181579</v>
      </c>
      <c r="P25" s="61">
        <f t="shared" si="1"/>
        <v>7615.8389119130816</v>
      </c>
      <c r="Q25" s="167">
        <f t="shared" si="8"/>
        <v>462.32071859158282</v>
      </c>
      <c r="R25" s="63">
        <f t="shared" si="10"/>
        <v>8078.1596305046642</v>
      </c>
    </row>
    <row r="26" spans="1:18">
      <c r="A26" s="30" t="s">
        <v>72</v>
      </c>
      <c r="B26" s="163"/>
      <c r="C26" s="22"/>
      <c r="D26" s="23"/>
      <c r="E26" s="24"/>
      <c r="F26" s="25"/>
      <c r="G26" s="24"/>
      <c r="H26" s="27"/>
      <c r="I26" s="202"/>
      <c r="J26" s="199">
        <f t="shared" si="0"/>
        <v>3603.5539206881936</v>
      </c>
      <c r="K26" s="167">
        <f t="shared" si="3"/>
        <v>197.29171492080687</v>
      </c>
      <c r="L26" s="167">
        <f t="shared" si="4"/>
        <v>3802</v>
      </c>
      <c r="M26" s="167">
        <f t="shared" si="5"/>
        <v>4014.4416117084993</v>
      </c>
      <c r="N26" s="167">
        <f t="shared" si="6"/>
        <v>3603.5539206881936</v>
      </c>
      <c r="O26" s="61">
        <f t="shared" si="9"/>
        <v>410.88769102030574</v>
      </c>
      <c r="P26" s="61">
        <f t="shared" si="1"/>
        <v>608.17940594111258</v>
      </c>
      <c r="Q26" s="167">
        <f t="shared" si="8"/>
        <v>30.614089220749271</v>
      </c>
      <c r="R26" s="63">
        <f t="shared" si="10"/>
        <v>638.79349516186187</v>
      </c>
    </row>
    <row r="27" spans="1:18">
      <c r="A27" s="30" t="s">
        <v>73</v>
      </c>
      <c r="B27" s="163"/>
      <c r="C27" s="22"/>
      <c r="D27" s="23"/>
      <c r="E27" s="24"/>
      <c r="F27" s="25"/>
      <c r="G27" s="24"/>
      <c r="H27" s="27"/>
      <c r="I27" s="202"/>
      <c r="J27" s="199">
        <f t="shared" si="0"/>
        <v>935.20080684700076</v>
      </c>
      <c r="K27" s="167">
        <f t="shared" si="3"/>
        <v>51.209575721083361</v>
      </c>
      <c r="L27" s="167">
        <f t="shared" si="4"/>
        <v>0</v>
      </c>
      <c r="M27" s="167">
        <f t="shared" si="5"/>
        <v>0</v>
      </c>
      <c r="N27" s="167">
        <f t="shared" si="6"/>
        <v>935.20080684700076</v>
      </c>
      <c r="O27" s="61">
        <f t="shared" si="9"/>
        <v>-935.20080684700076</v>
      </c>
      <c r="P27" s="61">
        <f t="shared" si="1"/>
        <v>-883.99123112591735</v>
      </c>
      <c r="Q27" s="167">
        <f t="shared" si="8"/>
        <v>7.9453846861949442</v>
      </c>
      <c r="R27" s="63">
        <f t="shared" si="10"/>
        <v>-876.04584643972237</v>
      </c>
    </row>
    <row r="28" spans="1:18">
      <c r="A28" s="30" t="s">
        <v>31</v>
      </c>
      <c r="B28" s="163"/>
      <c r="C28" s="22"/>
      <c r="D28" s="23"/>
      <c r="E28" s="24"/>
      <c r="F28" s="25"/>
      <c r="G28" s="24"/>
      <c r="H28" s="27"/>
      <c r="I28" s="202"/>
      <c r="J28" s="199">
        <f t="shared" si="0"/>
        <v>2597.3069648741939</v>
      </c>
      <c r="K28" s="167">
        <f t="shared" si="3"/>
        <v>142.09529125627904</v>
      </c>
      <c r="L28" s="167">
        <f t="shared" si="4"/>
        <v>2681</v>
      </c>
      <c r="M28" s="167">
        <f t="shared" si="5"/>
        <v>2830.8043032589389</v>
      </c>
      <c r="N28" s="167">
        <f t="shared" si="6"/>
        <v>2597.3069648741939</v>
      </c>
      <c r="O28" s="61">
        <f t="shared" si="9"/>
        <v>233.49733838474504</v>
      </c>
      <c r="P28" s="61">
        <f t="shared" si="1"/>
        <v>375.59262964102408</v>
      </c>
      <c r="Q28" s="167">
        <f t="shared" si="8"/>
        <v>22.060786491899211</v>
      </c>
      <c r="R28" s="63">
        <f t="shared" si="10"/>
        <v>397.65341613292327</v>
      </c>
    </row>
    <row r="29" spans="1:18">
      <c r="A29" s="30" t="s">
        <v>32</v>
      </c>
      <c r="B29" s="163"/>
      <c r="C29" s="22"/>
      <c r="D29" s="23"/>
      <c r="E29" s="24"/>
      <c r="F29" s="25"/>
      <c r="G29" s="24"/>
      <c r="H29" s="27"/>
      <c r="I29" s="202"/>
      <c r="J29" s="199">
        <f t="shared" si="0"/>
        <v>2753.1018245158557</v>
      </c>
      <c r="K29" s="167">
        <f t="shared" si="3"/>
        <v>150.68468532470473</v>
      </c>
      <c r="L29" s="167">
        <f t="shared" si="4"/>
        <v>2774</v>
      </c>
      <c r="M29" s="167">
        <f t="shared" si="5"/>
        <v>2929.0007971802675</v>
      </c>
      <c r="N29" s="167">
        <f t="shared" si="6"/>
        <v>2753.1018245158557</v>
      </c>
      <c r="O29" s="61">
        <f t="shared" si="9"/>
        <v>175.89897266441176</v>
      </c>
      <c r="P29" s="61">
        <f t="shared" si="1"/>
        <v>326.58365798911649</v>
      </c>
      <c r="Q29" s="167">
        <f t="shared" si="8"/>
        <v>23.387017910914292</v>
      </c>
      <c r="R29" s="63">
        <f t="shared" si="10"/>
        <v>349.97067590003076</v>
      </c>
    </row>
    <row r="30" spans="1:18">
      <c r="A30" s="30" t="s">
        <v>33</v>
      </c>
      <c r="B30" s="163"/>
      <c r="C30" s="22"/>
      <c r="D30" s="23"/>
      <c r="E30" s="24"/>
      <c r="F30" s="25"/>
      <c r="G30" s="24"/>
      <c r="H30" s="27"/>
      <c r="I30" s="202"/>
      <c r="J30" s="199">
        <f t="shared" si="0"/>
        <v>142169.65978404874</v>
      </c>
      <c r="K30" s="167">
        <f t="shared" si="3"/>
        <v>18665.280673820827</v>
      </c>
      <c r="L30" s="167">
        <f t="shared" si="4"/>
        <v>147772</v>
      </c>
      <c r="M30" s="167">
        <f t="shared" si="5"/>
        <v>156028.94945959715</v>
      </c>
      <c r="N30" s="167">
        <f t="shared" si="6"/>
        <v>142169.65978404874</v>
      </c>
      <c r="O30" s="61">
        <f t="shared" si="9"/>
        <v>13859.289675548411</v>
      </c>
      <c r="P30" s="61">
        <f t="shared" si="1"/>
        <v>32524.570349369238</v>
      </c>
      <c r="Q30" s="167">
        <f t="shared" si="8"/>
        <v>1947.7530100340948</v>
      </c>
      <c r="R30" s="63">
        <f t="shared" si="10"/>
        <v>34472.32335940333</v>
      </c>
    </row>
    <row r="31" spans="1:18">
      <c r="A31" s="30" t="s">
        <v>34</v>
      </c>
      <c r="B31" s="163"/>
      <c r="C31" s="22"/>
      <c r="D31" s="23"/>
      <c r="E31" s="24"/>
      <c r="F31" s="25"/>
      <c r="G31" s="24"/>
      <c r="H31" s="27"/>
      <c r="I31" s="202"/>
      <c r="J31" s="199">
        <f t="shared" si="0"/>
        <v>2312075.6320694173</v>
      </c>
      <c r="K31" s="167">
        <f t="shared" si="3"/>
        <v>225895.23172457799</v>
      </c>
      <c r="L31" s="167">
        <f t="shared" si="4"/>
        <v>2293394</v>
      </c>
      <c r="M31" s="167">
        <f t="shared" si="5"/>
        <v>2421540.3223678595</v>
      </c>
      <c r="N31" s="167">
        <f t="shared" si="6"/>
        <v>2312075.6320694173</v>
      </c>
      <c r="O31" s="61">
        <f t="shared" si="9"/>
        <v>109464.69029844226</v>
      </c>
      <c r="P31" s="61">
        <f t="shared" si="1"/>
        <v>335359.92202302022</v>
      </c>
      <c r="Q31" s="167">
        <f t="shared" si="8"/>
        <v>26060.69361262774</v>
      </c>
      <c r="R31" s="63">
        <f t="shared" si="10"/>
        <v>361420.61563564796</v>
      </c>
    </row>
    <row r="32" spans="1:18">
      <c r="A32" s="30" t="s">
        <v>35</v>
      </c>
      <c r="B32" s="163"/>
      <c r="C32" s="22"/>
      <c r="D32" s="23"/>
      <c r="E32" s="24"/>
      <c r="F32" s="25"/>
      <c r="G32" s="24"/>
      <c r="H32" s="27"/>
      <c r="I32" s="202"/>
      <c r="J32" s="199">
        <f t="shared" si="0"/>
        <v>865245.89086331334</v>
      </c>
      <c r="K32" s="167">
        <f t="shared" si="3"/>
        <v>136420.38812891435</v>
      </c>
      <c r="L32" s="167">
        <f t="shared" si="4"/>
        <v>860926</v>
      </c>
      <c r="M32" s="167">
        <f t="shared" si="5"/>
        <v>909031.34113670478</v>
      </c>
      <c r="N32" s="167">
        <f t="shared" si="6"/>
        <v>865245.89086331334</v>
      </c>
      <c r="O32" s="61">
        <f t="shared" si="9"/>
        <v>43785.450273391441</v>
      </c>
      <c r="P32" s="61">
        <f t="shared" si="1"/>
        <v>180205.83840230579</v>
      </c>
      <c r="Q32" s="167">
        <f t="shared" si="8"/>
        <v>13060.784451169977</v>
      </c>
      <c r="R32" s="63">
        <f t="shared" si="10"/>
        <v>193266.62285347577</v>
      </c>
    </row>
    <row r="33" spans="1:18">
      <c r="A33" s="30" t="s">
        <v>36</v>
      </c>
      <c r="B33" s="163"/>
      <c r="C33" s="22"/>
      <c r="D33" s="23"/>
      <c r="E33" s="24"/>
      <c r="F33" s="25"/>
      <c r="G33" s="24"/>
      <c r="H33" s="27"/>
      <c r="I33" s="202"/>
      <c r="J33" s="199">
        <f t="shared" si="0"/>
        <v>1937.293561505096</v>
      </c>
      <c r="K33" s="167">
        <f t="shared" si="3"/>
        <v>105.95409763309962</v>
      </c>
      <c r="L33" s="167">
        <f t="shared" si="4"/>
        <v>1937</v>
      </c>
      <c r="M33" s="167">
        <f t="shared" si="5"/>
        <v>2045.2323518883122</v>
      </c>
      <c r="N33" s="167">
        <f t="shared" si="6"/>
        <v>1937.293561505096</v>
      </c>
      <c r="O33" s="61">
        <f t="shared" si="9"/>
        <v>107.9387903832162</v>
      </c>
      <c r="P33" s="61">
        <f t="shared" si="1"/>
        <v>213.89288801631582</v>
      </c>
      <c r="Q33" s="167">
        <f t="shared" si="8"/>
        <v>16.453357271030775</v>
      </c>
      <c r="R33" s="63">
        <f t="shared" si="10"/>
        <v>230.34624528734659</v>
      </c>
    </row>
    <row r="34" spans="1:18">
      <c r="A34" s="30" t="s">
        <v>37</v>
      </c>
      <c r="B34" s="163"/>
      <c r="C34" s="22"/>
      <c r="D34" s="23"/>
      <c r="E34" s="24"/>
      <c r="F34" s="25"/>
      <c r="G34" s="24"/>
      <c r="H34" s="27"/>
      <c r="I34" s="202"/>
      <c r="J34" s="199">
        <f t="shared" si="0"/>
        <v>708149.66321344255</v>
      </c>
      <c r="K34" s="167">
        <f t="shared" si="3"/>
        <v>71991.404558953829</v>
      </c>
      <c r="L34" s="167">
        <f t="shared" si="4"/>
        <v>705880</v>
      </c>
      <c r="M34" s="167">
        <f t="shared" si="5"/>
        <v>745321.94762566953</v>
      </c>
      <c r="N34" s="167">
        <f t="shared" si="6"/>
        <v>708149.66321344255</v>
      </c>
      <c r="O34" s="61">
        <f t="shared" si="9"/>
        <v>37172.284412226989</v>
      </c>
      <c r="P34" s="61">
        <f t="shared" si="1"/>
        <v>109163.68897118082</v>
      </c>
      <c r="Q34" s="167">
        <f t="shared" si="8"/>
        <v>7511.6712799138459</v>
      </c>
      <c r="R34" s="63">
        <f t="shared" si="10"/>
        <v>116675.36025109467</v>
      </c>
    </row>
    <row r="35" spans="1:18">
      <c r="A35" s="226" t="s">
        <v>38</v>
      </c>
      <c r="B35" s="163"/>
      <c r="C35" s="22"/>
      <c r="D35" s="23"/>
      <c r="E35" s="24"/>
      <c r="F35" s="25"/>
      <c r="G35" s="246"/>
      <c r="H35" s="247"/>
      <c r="I35" s="202"/>
      <c r="J35" s="199">
        <f t="shared" si="0"/>
        <v>958755.25452943484</v>
      </c>
      <c r="K35" s="167">
        <f t="shared" si="3"/>
        <v>191826.08830184137</v>
      </c>
      <c r="L35" s="167">
        <f t="shared" si="4"/>
        <v>1036407</v>
      </c>
      <c r="M35" s="167">
        <f>SUMIF($A$55:$A$753,A35,$M$55:$M$753)</f>
        <v>1094317.5664034642</v>
      </c>
      <c r="N35" s="167">
        <f t="shared" si="6"/>
        <v>958755.25452943484</v>
      </c>
      <c r="O35" s="61">
        <f t="shared" si="9"/>
        <v>135562.31187402934</v>
      </c>
      <c r="P35" s="61">
        <f t="shared" si="1"/>
        <v>327388.40017587075</v>
      </c>
      <c r="Q35" s="167">
        <f t="shared" si="8"/>
        <v>17675.002196449615</v>
      </c>
      <c r="R35" s="63">
        <f t="shared" si="10"/>
        <v>345063.40237232036</v>
      </c>
    </row>
    <row r="36" spans="1:18">
      <c r="A36" s="249" t="s">
        <v>39</v>
      </c>
      <c r="B36" s="248"/>
      <c r="C36" s="22"/>
      <c r="D36" s="23"/>
      <c r="E36" s="24"/>
      <c r="F36" s="25"/>
      <c r="G36" s="246"/>
      <c r="H36" s="247"/>
      <c r="I36" s="202"/>
      <c r="J36" s="199">
        <f t="shared" ref="J36:J37" si="11">SUMIF($A$55:$A$504,A36,$J$55:$J$504)</f>
        <v>44793.682325369038</v>
      </c>
      <c r="K36" s="167">
        <f t="shared" si="3"/>
        <v>2443.4305725328668</v>
      </c>
      <c r="L36" s="167">
        <f t="shared" si="4"/>
        <v>46379</v>
      </c>
      <c r="M36" s="167">
        <f t="shared" si="5"/>
        <v>48970.485930938587</v>
      </c>
      <c r="N36" s="167">
        <f t="shared" si="6"/>
        <v>44793.682325369038</v>
      </c>
      <c r="O36" s="61">
        <f t="shared" si="9"/>
        <v>4176.8036055695484</v>
      </c>
      <c r="P36" s="61">
        <f t="shared" si="1"/>
        <v>6620.2341781024152</v>
      </c>
      <c r="Q36" s="167">
        <f t="shared" si="8"/>
        <v>380.75892410614227</v>
      </c>
      <c r="R36" s="63">
        <f t="shared" si="10"/>
        <v>7000.9931022085575</v>
      </c>
    </row>
    <row r="37" spans="1:18">
      <c r="A37" s="20" t="s">
        <v>96</v>
      </c>
      <c r="B37" s="163"/>
      <c r="C37" s="22"/>
      <c r="D37" s="23"/>
      <c r="E37" s="24"/>
      <c r="F37" s="25"/>
      <c r="G37" s="246"/>
      <c r="H37" s="247"/>
      <c r="I37" s="202"/>
      <c r="J37" s="199">
        <f t="shared" si="11"/>
        <v>606.70961219326296</v>
      </c>
      <c r="K37" s="167">
        <f t="shared" si="3"/>
        <v>56.192423972216602</v>
      </c>
      <c r="L37" s="167">
        <f t="shared" ref="L37:L39" si="12">SUMIF($A$55:$A$753,A37,$L$55:$L$753)</f>
        <v>645</v>
      </c>
      <c r="M37" s="167">
        <f t="shared" ref="M37:M39" si="13">SUMIF($A$55:$A$753,A37,$M$55:$M$753)</f>
        <v>681.04019977695475</v>
      </c>
      <c r="N37" s="167">
        <f t="shared" ref="N37:N39" si="14">+J37</f>
        <v>606.70961219326296</v>
      </c>
      <c r="O37" s="61">
        <f t="shared" ref="O37:O38" si="15">+M37-N37</f>
        <v>74.330587583691795</v>
      </c>
      <c r="P37" s="61">
        <f t="shared" si="1"/>
        <v>130.5230115559084</v>
      </c>
      <c r="Q37" s="167">
        <f t="shared" ref="Q37:Q39" si="16">SUMIF($A$55:$A$753,A37,$Q$55:$Q$753)</f>
        <v>6.1817899129682257</v>
      </c>
      <c r="R37" s="63">
        <f t="shared" ref="R37:R39" si="17">+P37+Q37</f>
        <v>136.70480146887661</v>
      </c>
    </row>
    <row r="38" spans="1:18">
      <c r="A38" s="30" t="s">
        <v>97</v>
      </c>
      <c r="B38" s="163"/>
      <c r="C38" s="22"/>
      <c r="D38" s="23"/>
      <c r="E38" s="24"/>
      <c r="F38" s="25"/>
      <c r="G38" s="24"/>
      <c r="H38" s="27"/>
      <c r="I38" s="202"/>
      <c r="J38" s="199">
        <f t="shared" ref="J38:J39" si="18">SUMIF($A$55:$A$504,A38,$J$55:$J$504)</f>
        <v>20.190025000097418</v>
      </c>
      <c r="K38" s="167">
        <f t="shared" si="3"/>
        <v>1.8699661617586694</v>
      </c>
      <c r="L38" s="167">
        <f t="shared" si="12"/>
        <v>21</v>
      </c>
      <c r="M38" s="167">
        <f>SUMIF($A$55:$A$753,A38,$M$55:$M$753)</f>
        <v>22.173401853203178</v>
      </c>
      <c r="N38" s="167">
        <f t="shared" si="14"/>
        <v>20.190025000097418</v>
      </c>
      <c r="O38" s="61">
        <f t="shared" si="15"/>
        <v>1.9833768531057601</v>
      </c>
      <c r="P38" s="61">
        <f t="shared" si="1"/>
        <v>3.8533430148644294</v>
      </c>
      <c r="Q38" s="167">
        <f t="shared" si="16"/>
        <v>0.20571701911394974</v>
      </c>
      <c r="R38" s="63">
        <f t="shared" si="17"/>
        <v>4.0590600339783789</v>
      </c>
    </row>
    <row r="39" spans="1:18">
      <c r="A39" s="32" t="s">
        <v>98</v>
      </c>
      <c r="B39" s="163"/>
      <c r="C39" s="22"/>
      <c r="D39" s="23"/>
      <c r="E39" s="24"/>
      <c r="F39" s="25"/>
      <c r="G39" s="33"/>
      <c r="H39" s="34"/>
      <c r="I39" s="203"/>
      <c r="J39" s="200">
        <f t="shared" si="18"/>
        <v>0</v>
      </c>
      <c r="K39" s="167">
        <f t="shared" ref="K39" si="19">SUMIF($A$55:$A$322,A39,$K$55:$K$328)</f>
        <v>0</v>
      </c>
      <c r="L39" s="167">
        <f t="shared" si="12"/>
        <v>0</v>
      </c>
      <c r="M39" s="167">
        <f t="shared" si="13"/>
        <v>0</v>
      </c>
      <c r="N39" s="167">
        <f t="shared" si="14"/>
        <v>0</v>
      </c>
      <c r="O39" s="61">
        <f>+M39-N39</f>
        <v>0</v>
      </c>
      <c r="P39" s="61">
        <f t="shared" si="1"/>
        <v>0</v>
      </c>
      <c r="Q39" s="167">
        <f t="shared" si="16"/>
        <v>0</v>
      </c>
      <c r="R39" s="63">
        <f t="shared" si="17"/>
        <v>0</v>
      </c>
    </row>
    <row r="40" spans="1:18">
      <c r="A40" s="36"/>
      <c r="B40" s="37"/>
      <c r="C40" s="38"/>
      <c r="D40" s="39"/>
      <c r="E40" s="40"/>
      <c r="F40" s="41"/>
      <c r="G40" s="40"/>
      <c r="H40" s="42"/>
      <c r="I40" s="43"/>
      <c r="J40" s="230">
        <f t="shared" ref="J40:R40" si="20">SUM(J14:J39)</f>
        <v>5719384.8399999999</v>
      </c>
      <c r="K40" s="215">
        <f t="shared" si="20"/>
        <v>698423.83999999985</v>
      </c>
      <c r="L40" s="171">
        <f t="shared" si="20"/>
        <v>5810480</v>
      </c>
      <c r="M40" s="65">
        <f t="shared" si="20"/>
        <v>6135148</v>
      </c>
      <c r="N40" s="171">
        <f t="shared" si="20"/>
        <v>5719384.8399999999</v>
      </c>
      <c r="O40" s="65">
        <f t="shared" si="20"/>
        <v>415763.16000000067</v>
      </c>
      <c r="P40" s="65">
        <f t="shared" si="20"/>
        <v>1114187.0000000005</v>
      </c>
      <c r="Q40" s="65">
        <f t="shared" si="20"/>
        <v>73184.493473684226</v>
      </c>
      <c r="R40" s="66">
        <f t="shared" si="20"/>
        <v>1187371.4934736846</v>
      </c>
    </row>
    <row r="41" spans="1:18">
      <c r="J41" s="164"/>
      <c r="K41" s="164"/>
    </row>
    <row r="42" spans="1:18">
      <c r="J42" s="164"/>
      <c r="K42" s="48"/>
      <c r="L42" s="48"/>
      <c r="M42" s="48"/>
      <c r="N42" s="48"/>
      <c r="O42" s="48"/>
      <c r="P42" s="154"/>
      <c r="R42" s="48"/>
    </row>
    <row r="43" spans="1:18">
      <c r="J43" s="164"/>
      <c r="K43" s="164"/>
      <c r="L43" s="48"/>
      <c r="M43" s="48"/>
      <c r="N43" s="48"/>
      <c r="O43" s="48"/>
      <c r="P43" s="48"/>
      <c r="Q43" s="48"/>
      <c r="R43" s="48"/>
    </row>
    <row r="44" spans="1:18" ht="15.75" customHeight="1">
      <c r="A44" s="281" t="s">
        <v>0</v>
      </c>
      <c r="B44" s="282"/>
      <c r="C44" s="282" t="s">
        <v>61</v>
      </c>
      <c r="D44" s="282"/>
      <c r="E44" s="282"/>
      <c r="F44" s="282"/>
      <c r="G44" s="282"/>
      <c r="H44" s="283"/>
      <c r="I44" s="1"/>
      <c r="J44" s="207"/>
      <c r="K44" s="207"/>
      <c r="P44" s="48"/>
    </row>
    <row r="45" spans="1:18" ht="15.75" hidden="1" customHeight="1" outlineLevel="1">
      <c r="A45" s="132" t="s">
        <v>139</v>
      </c>
      <c r="B45" s="133"/>
      <c r="C45" s="136" t="s">
        <v>140</v>
      </c>
      <c r="D45" s="134"/>
      <c r="E45" s="134"/>
      <c r="F45" s="134"/>
      <c r="G45" s="134"/>
      <c r="H45" s="135"/>
      <c r="I45" s="1"/>
      <c r="J45" s="207"/>
      <c r="K45" s="164"/>
      <c r="P45" s="48"/>
    </row>
    <row r="46" spans="1:18" ht="15.75" customHeight="1" collapsed="1">
      <c r="A46" s="269" t="s">
        <v>2</v>
      </c>
      <c r="B46" s="270"/>
      <c r="C46" s="284" t="s">
        <v>62</v>
      </c>
      <c r="D46" s="285"/>
      <c r="E46" s="285"/>
      <c r="F46" s="285"/>
      <c r="G46" s="285"/>
      <c r="H46" s="286"/>
      <c r="I46" s="1"/>
      <c r="J46" s="207"/>
      <c r="K46" s="164"/>
      <c r="P46" s="48"/>
    </row>
    <row r="47" spans="1:18" ht="15.75" customHeight="1">
      <c r="A47" s="269" t="s">
        <v>4</v>
      </c>
      <c r="B47" s="270"/>
      <c r="C47" s="284" t="s">
        <v>63</v>
      </c>
      <c r="D47" s="285"/>
      <c r="E47" s="285"/>
      <c r="F47" s="285"/>
      <c r="G47" s="285"/>
      <c r="H47" s="286"/>
      <c r="I47" s="1"/>
      <c r="J47" s="207"/>
    </row>
    <row r="48" spans="1:18" ht="15.75" customHeight="1">
      <c r="A48" s="269" t="s">
        <v>6</v>
      </c>
      <c r="B48" s="270"/>
      <c r="C48" s="271">
        <v>0</v>
      </c>
      <c r="D48" s="272"/>
      <c r="E48" s="272"/>
      <c r="F48" s="272"/>
      <c r="G48" s="272"/>
      <c r="H48" s="273"/>
      <c r="I48" s="1"/>
      <c r="M48" s="50"/>
      <c r="O48" s="50" t="s">
        <v>46</v>
      </c>
      <c r="P48" s="50" t="s">
        <v>42</v>
      </c>
      <c r="R48" s="50" t="s">
        <v>47</v>
      </c>
    </row>
    <row r="49" spans="1:18" ht="15.75" customHeight="1">
      <c r="A49" s="274" t="s">
        <v>7</v>
      </c>
      <c r="B49" s="275"/>
      <c r="C49" s="276" t="s">
        <v>64</v>
      </c>
      <c r="D49" s="277"/>
      <c r="E49" s="277"/>
      <c r="F49" s="277"/>
      <c r="G49" s="277"/>
      <c r="H49" s="278"/>
      <c r="I49" s="1"/>
      <c r="K49" s="50" t="s">
        <v>44</v>
      </c>
      <c r="L49" s="168" t="s">
        <v>45</v>
      </c>
      <c r="M49" s="51" t="s">
        <v>194</v>
      </c>
      <c r="N49" s="51" t="s">
        <v>41</v>
      </c>
      <c r="O49" s="51" t="s">
        <v>195</v>
      </c>
      <c r="P49" s="51" t="s">
        <v>196</v>
      </c>
      <c r="Q49" s="51" t="s">
        <v>43</v>
      </c>
      <c r="R49" s="51" t="s">
        <v>197</v>
      </c>
    </row>
    <row r="50" spans="1:18" s="128" customFormat="1" ht="15.75" hidden="1" customHeight="1" outlineLevel="1">
      <c r="A50" s="128" t="s">
        <v>137</v>
      </c>
      <c r="B50" s="128" t="s">
        <v>143</v>
      </c>
      <c r="C50" s="128" t="s">
        <v>137</v>
      </c>
      <c r="D50" s="128" t="s">
        <v>137</v>
      </c>
      <c r="E50" s="128" t="s">
        <v>137</v>
      </c>
      <c r="F50" s="128" t="s">
        <v>137</v>
      </c>
      <c r="G50" s="128" t="s">
        <v>137</v>
      </c>
      <c r="H50" s="128" t="s">
        <v>137</v>
      </c>
      <c r="I50" s="128" t="s">
        <v>137</v>
      </c>
      <c r="J50" s="128" t="s">
        <v>145</v>
      </c>
      <c r="K50" s="129" t="s">
        <v>138</v>
      </c>
      <c r="L50" s="168" t="s">
        <v>138</v>
      </c>
      <c r="M50" s="130"/>
      <c r="N50" s="51"/>
      <c r="O50" s="130"/>
      <c r="P50" s="130"/>
      <c r="Q50" s="131"/>
      <c r="R50" s="130"/>
    </row>
    <row r="51" spans="1:18" collapsed="1">
      <c r="A51" s="2"/>
      <c r="B51" s="2"/>
      <c r="C51" s="2"/>
      <c r="D51" s="2"/>
      <c r="E51" s="2"/>
      <c r="F51" s="2"/>
      <c r="G51" s="2"/>
      <c r="H51" s="2"/>
      <c r="I51" s="2"/>
      <c r="K51" s="52"/>
      <c r="L51" s="287" t="s">
        <v>48</v>
      </c>
      <c r="M51" s="288"/>
      <c r="N51" s="288"/>
      <c r="O51" s="289"/>
      <c r="P51" s="53" t="s">
        <v>49</v>
      </c>
      <c r="Q51" s="52"/>
      <c r="R51" s="53" t="s">
        <v>50</v>
      </c>
    </row>
    <row r="52" spans="1:18">
      <c r="A52" s="3"/>
      <c r="B52" s="4"/>
      <c r="C52" s="5"/>
      <c r="D52" s="279">
        <v>0</v>
      </c>
      <c r="E52" s="280"/>
      <c r="F52" s="279">
        <v>1</v>
      </c>
      <c r="G52" s="280"/>
      <c r="H52" s="6"/>
      <c r="I52" s="7"/>
      <c r="J52" s="8" t="s">
        <v>9</v>
      </c>
      <c r="K52" s="54" t="s">
        <v>51</v>
      </c>
      <c r="L52" s="287" t="s">
        <v>52</v>
      </c>
      <c r="M52" s="288"/>
      <c r="N52" s="214"/>
      <c r="O52" s="53" t="s">
        <v>53</v>
      </c>
      <c r="P52" s="54" t="s">
        <v>54</v>
      </c>
      <c r="Q52" s="55"/>
      <c r="R52" s="54" t="s">
        <v>55</v>
      </c>
    </row>
    <row r="53" spans="1:18" ht="15" customHeight="1">
      <c r="A53" s="9"/>
      <c r="B53" s="10"/>
      <c r="C53" s="11"/>
      <c r="D53" s="290" t="s">
        <v>10</v>
      </c>
      <c r="E53" s="291"/>
      <c r="F53" s="290" t="s">
        <v>11</v>
      </c>
      <c r="G53" s="291"/>
      <c r="H53" s="290" t="s">
        <v>12</v>
      </c>
      <c r="I53" s="292"/>
      <c r="J53" s="12" t="s">
        <v>13</v>
      </c>
      <c r="K53" s="56" t="s">
        <v>56</v>
      </c>
      <c r="L53" s="169" t="s">
        <v>191</v>
      </c>
      <c r="M53" s="192" t="s">
        <v>192</v>
      </c>
      <c r="N53" s="57" t="s">
        <v>57</v>
      </c>
      <c r="O53" s="57" t="s">
        <v>56</v>
      </c>
      <c r="P53" s="57" t="s">
        <v>56</v>
      </c>
      <c r="Q53" s="57" t="s">
        <v>58</v>
      </c>
      <c r="R53" s="57" t="s">
        <v>59</v>
      </c>
    </row>
    <row r="54" spans="1:18" ht="38.25">
      <c r="A54" s="13" t="s">
        <v>14</v>
      </c>
      <c r="B54" s="14" t="s">
        <v>15</v>
      </c>
      <c r="C54" s="15" t="s">
        <v>16</v>
      </c>
      <c r="D54" s="16" t="s">
        <v>17</v>
      </c>
      <c r="E54" s="17" t="s">
        <v>18</v>
      </c>
      <c r="F54" s="16" t="s">
        <v>17</v>
      </c>
      <c r="G54" s="17" t="s">
        <v>18</v>
      </c>
      <c r="H54" s="18" t="s">
        <v>17</v>
      </c>
      <c r="I54" s="19" t="s">
        <v>18</v>
      </c>
      <c r="J54" s="15" t="s">
        <v>18</v>
      </c>
      <c r="K54" s="58" t="s">
        <v>60</v>
      </c>
      <c r="L54" s="170"/>
      <c r="M54" s="59"/>
      <c r="N54" s="170"/>
      <c r="O54" s="58" t="s">
        <v>60</v>
      </c>
      <c r="P54" s="170"/>
      <c r="Q54" s="170"/>
      <c r="R54" s="60" t="s">
        <v>60</v>
      </c>
    </row>
    <row r="55" spans="1:18">
      <c r="A55" s="20" t="s">
        <v>19</v>
      </c>
      <c r="B55" s="163">
        <v>10940248.5</v>
      </c>
      <c r="C55" s="22">
        <f>+B55/B76</f>
        <v>0.1292265803021185</v>
      </c>
      <c r="D55" s="23">
        <v>0</v>
      </c>
      <c r="E55" s="24">
        <f>+D55*C48</f>
        <v>0</v>
      </c>
      <c r="F55" s="25">
        <v>0</v>
      </c>
      <c r="G55" s="26">
        <f>F55*C48</f>
        <v>0</v>
      </c>
      <c r="H55" s="27">
        <f>+D55+F55</f>
        <v>0</v>
      </c>
      <c r="I55" s="28">
        <f>+E55+G55</f>
        <v>0</v>
      </c>
      <c r="J55" s="29">
        <f>H55*I$81</f>
        <v>0</v>
      </c>
      <c r="K55" s="61">
        <f t="shared" ref="K55:K61" si="21">(I$81-M$81)*H55</f>
        <v>0</v>
      </c>
      <c r="L55" s="167">
        <f>ROUND(J55*VLOOKUP($A55,'Actual Load'!$A$4:$B$29,2,FALSE)/VLOOKUP($A55,'Projected Zonal Load'!$A$4:$N$29,14,FALSE),0)</f>
        <v>0</v>
      </c>
      <c r="M55" s="61">
        <f t="shared" ref="M55:M75" si="22">IF(NOT(L$40=0),M$4*L55/L$40,0)</f>
        <v>0</v>
      </c>
      <c r="N55" s="167">
        <f>+J55</f>
        <v>0</v>
      </c>
      <c r="O55" s="61">
        <f t="shared" ref="O55:O60" si="23">+M55-N55</f>
        <v>0</v>
      </c>
      <c r="P55" s="245">
        <f t="shared" ref="P55:P75" si="24">+K55+O55</f>
        <v>0</v>
      </c>
      <c r="Q55" s="213">
        <f>+H55*Interest!$D$13</f>
        <v>0</v>
      </c>
      <c r="R55" s="252">
        <f t="shared" ref="R55:R60" si="25">+P55+Q55</f>
        <v>0</v>
      </c>
    </row>
    <row r="56" spans="1:18">
      <c r="A56" s="30" t="s">
        <v>20</v>
      </c>
      <c r="B56" s="163">
        <v>571800</v>
      </c>
      <c r="C56" s="22">
        <f>+B56/B76</f>
        <v>6.7541206780404811E-3</v>
      </c>
      <c r="D56" s="23">
        <v>0</v>
      </c>
      <c r="E56" s="24">
        <f>+D56*C48</f>
        <v>0</v>
      </c>
      <c r="F56" s="25">
        <v>0</v>
      </c>
      <c r="G56" s="24">
        <f>F56*C48</f>
        <v>0</v>
      </c>
      <c r="H56" s="27">
        <f t="shared" ref="H56:H74" si="26">+D56+F56</f>
        <v>0</v>
      </c>
      <c r="I56" s="31">
        <f>+G56+E56</f>
        <v>0</v>
      </c>
      <c r="J56" s="29">
        <f t="shared" ref="J56:J74" si="27">H56*I$81</f>
        <v>0</v>
      </c>
      <c r="K56" s="61">
        <f t="shared" si="21"/>
        <v>0</v>
      </c>
      <c r="L56" s="167">
        <f>ROUND(J56*VLOOKUP($A56,'Actual Load'!$A$4:$B$29,2,FALSE)/VLOOKUP($A56,'Projected Zonal Load'!$A$4:$N$29,14,FALSE),0)</f>
        <v>0</v>
      </c>
      <c r="M56" s="61">
        <f t="shared" si="22"/>
        <v>0</v>
      </c>
      <c r="N56" s="167">
        <f t="shared" ref="N56:N75" si="28">+J56</f>
        <v>0</v>
      </c>
      <c r="O56" s="61">
        <f t="shared" si="23"/>
        <v>0</v>
      </c>
      <c r="P56" s="245">
        <f t="shared" si="24"/>
        <v>0</v>
      </c>
      <c r="Q56" s="213">
        <f>+H56*Interest!$D$13</f>
        <v>0</v>
      </c>
      <c r="R56" s="252">
        <f t="shared" si="25"/>
        <v>0</v>
      </c>
    </row>
    <row r="57" spans="1:18">
      <c r="A57" s="30" t="s">
        <v>21</v>
      </c>
      <c r="B57" s="163">
        <v>9981000</v>
      </c>
      <c r="C57" s="22">
        <f>+B57/B76</f>
        <v>0.11789590501490389</v>
      </c>
      <c r="D57" s="23">
        <v>0</v>
      </c>
      <c r="E57" s="24">
        <f>+D57*C48</f>
        <v>0</v>
      </c>
      <c r="F57" s="25">
        <v>0</v>
      </c>
      <c r="G57" s="24">
        <f>F57*C48</f>
        <v>0</v>
      </c>
      <c r="H57" s="27">
        <f t="shared" si="26"/>
        <v>0</v>
      </c>
      <c r="I57" s="31">
        <f t="shared" ref="I57:I75" si="29">+G57+E57</f>
        <v>0</v>
      </c>
      <c r="J57" s="29">
        <f t="shared" si="27"/>
        <v>0</v>
      </c>
      <c r="K57" s="61">
        <f t="shared" si="21"/>
        <v>0</v>
      </c>
      <c r="L57" s="167">
        <f>ROUND(J57*VLOOKUP($A57,'Actual Load'!$A$4:$B$29,2,FALSE)/VLOOKUP($A57,'Projected Zonal Load'!$A$4:$N$29,14,FALSE),0)</f>
        <v>0</v>
      </c>
      <c r="M57" s="61">
        <f t="shared" si="22"/>
        <v>0</v>
      </c>
      <c r="N57" s="167">
        <f t="shared" si="28"/>
        <v>0</v>
      </c>
      <c r="O57" s="61">
        <f t="shared" si="23"/>
        <v>0</v>
      </c>
      <c r="P57" s="245">
        <f t="shared" si="24"/>
        <v>0</v>
      </c>
      <c r="Q57" s="213">
        <f>+H57*Interest!$D$13</f>
        <v>0</v>
      </c>
      <c r="R57" s="252">
        <f t="shared" si="25"/>
        <v>0</v>
      </c>
    </row>
    <row r="58" spans="1:18">
      <c r="A58" s="30" t="s">
        <v>22</v>
      </c>
      <c r="B58" s="163">
        <v>1028167</v>
      </c>
      <c r="C58" s="22">
        <f>+B58/B76</f>
        <v>1.2144742908672346E-2</v>
      </c>
      <c r="D58" s="23">
        <v>0</v>
      </c>
      <c r="E58" s="24">
        <f>+D58*C48</f>
        <v>0</v>
      </c>
      <c r="F58" s="25">
        <v>0</v>
      </c>
      <c r="G58" s="24">
        <f>F58*C48</f>
        <v>0</v>
      </c>
      <c r="H58" s="27">
        <f t="shared" si="26"/>
        <v>0</v>
      </c>
      <c r="I58" s="31">
        <f t="shared" si="29"/>
        <v>0</v>
      </c>
      <c r="J58" s="29">
        <f t="shared" si="27"/>
        <v>0</v>
      </c>
      <c r="K58" s="61">
        <f t="shared" si="21"/>
        <v>0</v>
      </c>
      <c r="L58" s="167">
        <f>ROUND(J58*VLOOKUP($A58,'Actual Load'!$A$4:$B$29,2,FALSE)/VLOOKUP($A58,'Projected Zonal Load'!$A$4:$N$29,14,FALSE),0)</f>
        <v>0</v>
      </c>
      <c r="M58" s="61">
        <f t="shared" si="22"/>
        <v>0</v>
      </c>
      <c r="N58" s="167">
        <f t="shared" si="28"/>
        <v>0</v>
      </c>
      <c r="O58" s="61">
        <f t="shared" si="23"/>
        <v>0</v>
      </c>
      <c r="P58" s="245">
        <f t="shared" si="24"/>
        <v>0</v>
      </c>
      <c r="Q58" s="213">
        <f>+H58*Interest!$D$13</f>
        <v>0</v>
      </c>
      <c r="R58" s="252">
        <f t="shared" si="25"/>
        <v>0</v>
      </c>
    </row>
    <row r="59" spans="1:18">
      <c r="A59" s="30" t="s">
        <v>23</v>
      </c>
      <c r="B59" s="163">
        <v>2574417</v>
      </c>
      <c r="C59" s="22">
        <f>+B59/B76</f>
        <v>3.040909949912372E-2</v>
      </c>
      <c r="D59" s="23">
        <v>0</v>
      </c>
      <c r="E59" s="24">
        <f>+D59*C48</f>
        <v>0</v>
      </c>
      <c r="F59" s="25">
        <v>0</v>
      </c>
      <c r="G59" s="24">
        <f>F59*C48</f>
        <v>0</v>
      </c>
      <c r="H59" s="27">
        <f t="shared" si="26"/>
        <v>0</v>
      </c>
      <c r="I59" s="31">
        <f t="shared" si="29"/>
        <v>0</v>
      </c>
      <c r="J59" s="29">
        <f t="shared" si="27"/>
        <v>0</v>
      </c>
      <c r="K59" s="61">
        <f t="shared" si="21"/>
        <v>0</v>
      </c>
      <c r="L59" s="167">
        <f>ROUND(J59*VLOOKUP($A59,'Actual Load'!$A$4:$B$29,2,FALSE)/VLOOKUP($A59,'Projected Zonal Load'!$A$4:$N$29,14,FALSE),0)</f>
        <v>0</v>
      </c>
      <c r="M59" s="61">
        <f t="shared" si="22"/>
        <v>0</v>
      </c>
      <c r="N59" s="167">
        <f t="shared" si="28"/>
        <v>0</v>
      </c>
      <c r="O59" s="61">
        <f t="shared" si="23"/>
        <v>0</v>
      </c>
      <c r="P59" s="245">
        <f t="shared" si="24"/>
        <v>0</v>
      </c>
      <c r="Q59" s="213">
        <f>+H59*Interest!$D$13</f>
        <v>0</v>
      </c>
      <c r="R59" s="252">
        <f t="shared" si="25"/>
        <v>0</v>
      </c>
    </row>
    <row r="60" spans="1:18">
      <c r="A60" s="30" t="s">
        <v>24</v>
      </c>
      <c r="B60" s="163">
        <v>2860240</v>
      </c>
      <c r="C60" s="22">
        <f>+B60/B76</f>
        <v>3.3785250311574866E-2</v>
      </c>
      <c r="D60" s="23">
        <v>0</v>
      </c>
      <c r="E60" s="24">
        <f>+D60*C48</f>
        <v>0</v>
      </c>
      <c r="F60" s="25">
        <v>0</v>
      </c>
      <c r="G60" s="24">
        <f>F60*C48</f>
        <v>0</v>
      </c>
      <c r="H60" s="27">
        <f t="shared" si="26"/>
        <v>0</v>
      </c>
      <c r="I60" s="31">
        <f t="shared" si="29"/>
        <v>0</v>
      </c>
      <c r="J60" s="29">
        <f t="shared" si="27"/>
        <v>0</v>
      </c>
      <c r="K60" s="61">
        <f t="shared" si="21"/>
        <v>0</v>
      </c>
      <c r="L60" s="167">
        <f>ROUND(J60*VLOOKUP($A60,'Actual Load'!$A$4:$B$29,2,FALSE)/VLOOKUP($A60,'Projected Zonal Load'!$A$4:$N$29,14,FALSE),0)</f>
        <v>0</v>
      </c>
      <c r="M60" s="61">
        <f t="shared" si="22"/>
        <v>0</v>
      </c>
      <c r="N60" s="167">
        <f t="shared" si="28"/>
        <v>0</v>
      </c>
      <c r="O60" s="61">
        <f t="shared" si="23"/>
        <v>0</v>
      </c>
      <c r="P60" s="245">
        <f t="shared" si="24"/>
        <v>0</v>
      </c>
      <c r="Q60" s="213">
        <f>+H60*Interest!$D$13</f>
        <v>0</v>
      </c>
      <c r="R60" s="252">
        <f t="shared" si="25"/>
        <v>0</v>
      </c>
    </row>
    <row r="61" spans="1:18">
      <c r="A61" s="30" t="s">
        <v>25</v>
      </c>
      <c r="B61" s="163">
        <v>7116500</v>
      </c>
      <c r="C61" s="22">
        <f>+B61/B76</f>
        <v>8.4060335441194622E-2</v>
      </c>
      <c r="D61" s="23">
        <v>0</v>
      </c>
      <c r="E61" s="24">
        <f>+D61*C48</f>
        <v>0</v>
      </c>
      <c r="F61" s="25">
        <v>0</v>
      </c>
      <c r="G61" s="24">
        <f>F61*C48</f>
        <v>0</v>
      </c>
      <c r="H61" s="27">
        <f t="shared" si="26"/>
        <v>0</v>
      </c>
      <c r="I61" s="31">
        <f t="shared" si="29"/>
        <v>0</v>
      </c>
      <c r="J61" s="29">
        <f t="shared" si="27"/>
        <v>0</v>
      </c>
      <c r="K61" s="61">
        <f t="shared" si="21"/>
        <v>0</v>
      </c>
      <c r="L61" s="167">
        <v>0</v>
      </c>
      <c r="M61" s="61">
        <f t="shared" si="22"/>
        <v>0</v>
      </c>
      <c r="N61" s="167">
        <f t="shared" ref="N61" si="30">+J61</f>
        <v>0</v>
      </c>
      <c r="O61" s="61">
        <f t="shared" ref="O61" si="31">+M61-N61</f>
        <v>0</v>
      </c>
      <c r="P61" s="245">
        <f t="shared" si="24"/>
        <v>0</v>
      </c>
      <c r="Q61" s="213">
        <f>+H61*Interest!$D$13</f>
        <v>0</v>
      </c>
      <c r="R61" s="252">
        <f t="shared" ref="R61" si="32">+P61+Q61</f>
        <v>0</v>
      </c>
    </row>
    <row r="62" spans="1:18">
      <c r="A62" s="30" t="s">
        <v>26</v>
      </c>
      <c r="B62" s="163">
        <v>9342000</v>
      </c>
      <c r="C62" s="22">
        <f>+B62/B76</f>
        <v>0.11034801569474323</v>
      </c>
      <c r="D62" s="23">
        <v>0</v>
      </c>
      <c r="E62" s="24">
        <f>+D62*C48</f>
        <v>0</v>
      </c>
      <c r="F62" s="25">
        <v>0</v>
      </c>
      <c r="G62" s="24">
        <f>F62*C48</f>
        <v>0</v>
      </c>
      <c r="H62" s="27">
        <f t="shared" si="26"/>
        <v>0</v>
      </c>
      <c r="I62" s="31">
        <f t="shared" si="29"/>
        <v>0</v>
      </c>
      <c r="J62" s="29">
        <f t="shared" si="27"/>
        <v>0</v>
      </c>
      <c r="K62" s="61">
        <f t="shared" ref="K62:K71" si="33">(I$81-M$81)*H62</f>
        <v>0</v>
      </c>
      <c r="L62" s="167">
        <f>ROUND(J62*VLOOKUP($A62,'Actual Load'!$A$4:$B$29,2,FALSE)/VLOOKUP($A62,'Projected Zonal Load'!$A$4:$N$29,14,FALSE),0)</f>
        <v>0</v>
      </c>
      <c r="M62" s="61">
        <f t="shared" si="22"/>
        <v>0</v>
      </c>
      <c r="N62" s="167">
        <f t="shared" si="28"/>
        <v>0</v>
      </c>
      <c r="O62" s="61">
        <f>+M62-N62</f>
        <v>0</v>
      </c>
      <c r="P62" s="245">
        <f t="shared" si="24"/>
        <v>0</v>
      </c>
      <c r="Q62" s="213">
        <f>+H62*Interest!$D$13</f>
        <v>0</v>
      </c>
      <c r="R62" s="252">
        <f>+P62+Q62</f>
        <v>0</v>
      </c>
    </row>
    <row r="63" spans="1:18">
      <c r="A63" s="30" t="s">
        <v>27</v>
      </c>
      <c r="B63" s="163">
        <v>2939201</v>
      </c>
      <c r="C63" s="22">
        <f>+B63/B76</f>
        <v>3.4717940278099442E-2</v>
      </c>
      <c r="D63" s="23">
        <v>0</v>
      </c>
      <c r="E63" s="24">
        <f>+D63*C48</f>
        <v>0</v>
      </c>
      <c r="F63" s="25">
        <v>4.3912283358846955E-3</v>
      </c>
      <c r="G63" s="24">
        <f>F63*C48</f>
        <v>0</v>
      </c>
      <c r="H63" s="27">
        <f t="shared" si="26"/>
        <v>4.3912283358846955E-3</v>
      </c>
      <c r="I63" s="31">
        <f t="shared" si="29"/>
        <v>0</v>
      </c>
      <c r="J63" s="29">
        <f>H63*I$81</f>
        <v>4015.1351738644807</v>
      </c>
      <c r="K63" s="61">
        <f t="shared" si="33"/>
        <v>1299.5644411266978</v>
      </c>
      <c r="L63" s="167">
        <f>ROUND(J63*VLOOKUP($A63,'Actual Load'!$A$4:$B$29,2,FALSE)/VLOOKUP($A63,'Projected Zonal Load'!$A$4:$N$29,14,FALSE),0)</f>
        <v>4128</v>
      </c>
      <c r="M63" s="61">
        <f t="shared" si="22"/>
        <v>4358.6572785725102</v>
      </c>
      <c r="N63" s="167">
        <f t="shared" si="28"/>
        <v>4015.1351738644807</v>
      </c>
      <c r="O63" s="61">
        <f>+M63-N63</f>
        <v>343.52210470802947</v>
      </c>
      <c r="P63" s="245">
        <f>+K63+O63</f>
        <v>1643.0865458347273</v>
      </c>
      <c r="Q63" s="213">
        <f>+H63*Interest!$D$13</f>
        <v>107.47444941712217</v>
      </c>
      <c r="R63" s="252">
        <f t="shared" ref="R63:R70" si="34">+P63+Q63</f>
        <v>1750.5609952518494</v>
      </c>
    </row>
    <row r="64" spans="1:18">
      <c r="A64" s="30" t="s">
        <v>28</v>
      </c>
      <c r="B64" s="163">
        <v>207000</v>
      </c>
      <c r="C64" s="22">
        <f>+B64/B76</f>
        <v>2.4450909065309194E-3</v>
      </c>
      <c r="D64" s="23">
        <v>0</v>
      </c>
      <c r="E64" s="24">
        <f>+D64*C48</f>
        <v>0</v>
      </c>
      <c r="F64" s="25">
        <v>0</v>
      </c>
      <c r="G64" s="24">
        <f>F64*C48</f>
        <v>0</v>
      </c>
      <c r="H64" s="27">
        <f t="shared" si="26"/>
        <v>0</v>
      </c>
      <c r="I64" s="31">
        <f t="shared" si="29"/>
        <v>0</v>
      </c>
      <c r="J64" s="29">
        <f t="shared" si="27"/>
        <v>0</v>
      </c>
      <c r="K64" s="61">
        <f t="shared" si="33"/>
        <v>0</v>
      </c>
      <c r="L64" s="167">
        <f>ROUND(J64*VLOOKUP($A64,'Actual Load'!$A$4:$B$29,2,FALSE)/VLOOKUP($A64,'Projected Zonal Load'!$A$4:$N$29,14,FALSE),0)</f>
        <v>0</v>
      </c>
      <c r="M64" s="61">
        <f t="shared" si="22"/>
        <v>0</v>
      </c>
      <c r="N64" s="167">
        <f t="shared" si="28"/>
        <v>0</v>
      </c>
      <c r="O64" s="61">
        <f t="shared" ref="O64:O75" si="35">+M64-N64</f>
        <v>0</v>
      </c>
      <c r="P64" s="245">
        <f t="shared" si="24"/>
        <v>0</v>
      </c>
      <c r="Q64" s="213">
        <f>+H64*Interest!$D$13</f>
        <v>0</v>
      </c>
      <c r="R64" s="252">
        <f t="shared" si="34"/>
        <v>0</v>
      </c>
    </row>
    <row r="65" spans="1:18">
      <c r="A65" s="30" t="s">
        <v>29</v>
      </c>
      <c r="B65" s="163">
        <v>7020707</v>
      </c>
      <c r="C65" s="22">
        <f>+B65/B76</f>
        <v>8.2928825329072323E-2</v>
      </c>
      <c r="D65" s="23">
        <v>0</v>
      </c>
      <c r="E65" s="24">
        <f>+D65*C48</f>
        <v>0</v>
      </c>
      <c r="F65" s="25">
        <v>0</v>
      </c>
      <c r="G65" s="24">
        <f>F65*C48</f>
        <v>0</v>
      </c>
      <c r="H65" s="27">
        <f t="shared" si="26"/>
        <v>0</v>
      </c>
      <c r="I65" s="31">
        <f t="shared" si="29"/>
        <v>0</v>
      </c>
      <c r="J65" s="29">
        <f t="shared" si="27"/>
        <v>0</v>
      </c>
      <c r="K65" s="61">
        <f t="shared" si="33"/>
        <v>0</v>
      </c>
      <c r="L65" s="167">
        <f>ROUND(J65*VLOOKUP($A65,'Actual Load'!$A$4:$B$29,2,FALSE)/VLOOKUP($A65,'Projected Zonal Load'!$A$4:$N$29,14,FALSE),0)</f>
        <v>0</v>
      </c>
      <c r="M65" s="61">
        <f t="shared" si="22"/>
        <v>0</v>
      </c>
      <c r="N65" s="167">
        <f t="shared" si="28"/>
        <v>0</v>
      </c>
      <c r="O65" s="61">
        <f t="shared" si="35"/>
        <v>0</v>
      </c>
      <c r="P65" s="245">
        <f t="shared" si="24"/>
        <v>0</v>
      </c>
      <c r="Q65" s="213">
        <f>+H65*Interest!$D$13</f>
        <v>0</v>
      </c>
      <c r="R65" s="252">
        <f t="shared" si="34"/>
        <v>0</v>
      </c>
    </row>
    <row r="66" spans="1:18">
      <c r="A66" s="30" t="s">
        <v>30</v>
      </c>
      <c r="B66" s="163">
        <v>6927361</v>
      </c>
      <c r="C66" s="22">
        <f>+B66/B76</f>
        <v>8.1826219262593897E-2</v>
      </c>
      <c r="D66" s="23">
        <v>0</v>
      </c>
      <c r="E66" s="24">
        <f>+D66*C48</f>
        <v>0</v>
      </c>
      <c r="F66" s="25">
        <v>6.7668398231625273E-4</v>
      </c>
      <c r="G66" s="24">
        <f>F66*C48</f>
        <v>0</v>
      </c>
      <c r="H66" s="27">
        <f t="shared" si="26"/>
        <v>6.7668398231625273E-4</v>
      </c>
      <c r="I66" s="31">
        <f t="shared" si="29"/>
        <v>0</v>
      </c>
      <c r="J66" s="29">
        <f t="shared" si="27"/>
        <v>618.72839469216308</v>
      </c>
      <c r="K66" s="61">
        <f t="shared" si="33"/>
        <v>200.26160655593389</v>
      </c>
      <c r="L66" s="167">
        <f>ROUND(J66*VLOOKUP($A66,'Actual Load'!$A$4:$B$29,2,FALSE)/VLOOKUP($A66,'Projected Zonal Load'!$A$4:$N$29,14,FALSE),0)</f>
        <v>636</v>
      </c>
      <c r="M66" s="61">
        <f t="shared" si="22"/>
        <v>671.53731326843911</v>
      </c>
      <c r="N66" s="167">
        <f t="shared" si="28"/>
        <v>618.72839469216308</v>
      </c>
      <c r="O66" s="61">
        <f t="shared" si="35"/>
        <v>52.808918576276028</v>
      </c>
      <c r="P66" s="245">
        <f t="shared" si="24"/>
        <v>253.07052513220992</v>
      </c>
      <c r="Q66" s="213">
        <f>+H66*Interest!$D$13</f>
        <v>16.56170730966392</v>
      </c>
      <c r="R66" s="252">
        <f t="shared" si="34"/>
        <v>269.63223244187384</v>
      </c>
    </row>
    <row r="67" spans="1:18">
      <c r="A67" s="30" t="s">
        <v>31</v>
      </c>
      <c r="B67" s="163">
        <v>325000</v>
      </c>
      <c r="C67" s="22">
        <f>+B67/B76</f>
        <v>3.8389108435871924E-3</v>
      </c>
      <c r="D67" s="23">
        <v>0</v>
      </c>
      <c r="E67" s="24">
        <f>+D67*C48</f>
        <v>0</v>
      </c>
      <c r="F67" s="25">
        <v>0</v>
      </c>
      <c r="G67" s="24">
        <f>F67*C48</f>
        <v>0</v>
      </c>
      <c r="H67" s="27">
        <f t="shared" si="26"/>
        <v>0</v>
      </c>
      <c r="I67" s="31">
        <f t="shared" si="29"/>
        <v>0</v>
      </c>
      <c r="J67" s="29">
        <f t="shared" si="27"/>
        <v>0</v>
      </c>
      <c r="K67" s="61">
        <f t="shared" si="33"/>
        <v>0</v>
      </c>
      <c r="L67" s="167">
        <f>ROUND(J67*VLOOKUP($A67,'Actual Load'!$A$4:$B$29,2,FALSE)/VLOOKUP($A67,'Projected Zonal Load'!$A$4:$N$29,14,FALSE),0)</f>
        <v>0</v>
      </c>
      <c r="M67" s="61">
        <f t="shared" si="22"/>
        <v>0</v>
      </c>
      <c r="N67" s="167">
        <f t="shared" si="28"/>
        <v>0</v>
      </c>
      <c r="O67" s="61">
        <f t="shared" si="35"/>
        <v>0</v>
      </c>
      <c r="P67" s="245">
        <f t="shared" si="24"/>
        <v>0</v>
      </c>
      <c r="Q67" s="213">
        <f>+H67*Interest!$D$13</f>
        <v>0</v>
      </c>
      <c r="R67" s="252">
        <f t="shared" si="34"/>
        <v>0</v>
      </c>
    </row>
    <row r="68" spans="1:18">
      <c r="A68" s="30" t="s">
        <v>32</v>
      </c>
      <c r="B68" s="163">
        <v>343000</v>
      </c>
      <c r="C68" s="22">
        <f>+B68/B76</f>
        <v>4.0515274441550982E-3</v>
      </c>
      <c r="D68" s="23">
        <v>0</v>
      </c>
      <c r="E68" s="24">
        <f>+D68*C48</f>
        <v>0</v>
      </c>
      <c r="F68" s="25">
        <v>0</v>
      </c>
      <c r="G68" s="24">
        <f>F68*C48</f>
        <v>0</v>
      </c>
      <c r="H68" s="27">
        <f t="shared" si="26"/>
        <v>0</v>
      </c>
      <c r="I68" s="31">
        <f t="shared" si="29"/>
        <v>0</v>
      </c>
      <c r="J68" s="29">
        <f t="shared" si="27"/>
        <v>0</v>
      </c>
      <c r="K68" s="61">
        <f t="shared" si="33"/>
        <v>0</v>
      </c>
      <c r="L68" s="167">
        <f>ROUND(J68*VLOOKUP($A68,'Actual Load'!$A$4:$B$29,2,FALSE)/VLOOKUP($A68,'Projected Zonal Load'!$A$4:$N$29,14,FALSE),0)</f>
        <v>0</v>
      </c>
      <c r="M68" s="61">
        <f t="shared" si="22"/>
        <v>0</v>
      </c>
      <c r="N68" s="167">
        <f t="shared" si="28"/>
        <v>0</v>
      </c>
      <c r="O68" s="61">
        <f t="shared" si="35"/>
        <v>0</v>
      </c>
      <c r="P68" s="245">
        <f t="shared" si="24"/>
        <v>0</v>
      </c>
      <c r="Q68" s="213">
        <f>+H68*Interest!$D$13</f>
        <v>0</v>
      </c>
      <c r="R68" s="252">
        <f t="shared" si="34"/>
        <v>0</v>
      </c>
    </row>
    <row r="69" spans="1:18">
      <c r="A69" s="30" t="s">
        <v>33</v>
      </c>
      <c r="B69" s="163">
        <v>10436523.5</v>
      </c>
      <c r="C69" s="22">
        <f>+B69/B76</f>
        <v>0.12327656379539248</v>
      </c>
      <c r="D69" s="23">
        <v>0</v>
      </c>
      <c r="E69" s="24">
        <f>+D69*C48</f>
        <v>0</v>
      </c>
      <c r="F69" s="25">
        <v>4.435759923690847E-2</v>
      </c>
      <c r="G69" s="24">
        <f>F69*C48</f>
        <v>0</v>
      </c>
      <c r="H69" s="27">
        <f t="shared" si="26"/>
        <v>4.435759923690847E-2</v>
      </c>
      <c r="I69" s="31">
        <f t="shared" si="29"/>
        <v>0</v>
      </c>
      <c r="J69" s="29">
        <f t="shared" si="27"/>
        <v>40558.527888168559</v>
      </c>
      <c r="K69" s="61">
        <f t="shared" si="33"/>
        <v>13127.433659270466</v>
      </c>
      <c r="L69" s="167">
        <f>ROUND(J69*VLOOKUP($A69,'Actual Load'!$A$4:$B$29,2,FALSE)/VLOOKUP($A69,'Projected Zonal Load'!$A$4:$N$29,14,FALSE),0)</f>
        <v>42157</v>
      </c>
      <c r="M69" s="61">
        <f t="shared" si="22"/>
        <v>44512.576282166017</v>
      </c>
      <c r="N69" s="167">
        <f t="shared" si="28"/>
        <v>40558.527888168559</v>
      </c>
      <c r="O69" s="61">
        <f t="shared" si="35"/>
        <v>3954.0483939974583</v>
      </c>
      <c r="P69" s="245">
        <f t="shared" si="24"/>
        <v>17081.482053267922</v>
      </c>
      <c r="Q69" s="213">
        <f>+H69*Interest!$D$13</f>
        <v>1085.6435126577476</v>
      </c>
      <c r="R69" s="252">
        <f t="shared" si="34"/>
        <v>18167.125565925671</v>
      </c>
    </row>
    <row r="70" spans="1:18">
      <c r="A70" s="30" t="s">
        <v>34</v>
      </c>
      <c r="B70" s="163">
        <v>7856545</v>
      </c>
      <c r="C70" s="22">
        <f>+B70/B76</f>
        <v>9.2801771672709962E-2</v>
      </c>
      <c r="D70" s="23">
        <v>0</v>
      </c>
      <c r="E70" s="24">
        <f>+D70*C48</f>
        <v>0</v>
      </c>
      <c r="F70" s="25">
        <v>0.32427599438443122</v>
      </c>
      <c r="G70" s="24">
        <f>F70*C48</f>
        <v>0</v>
      </c>
      <c r="H70" s="27">
        <f t="shared" si="26"/>
        <v>0.32427599438443122</v>
      </c>
      <c r="I70" s="31">
        <f t="shared" si="29"/>
        <v>0</v>
      </c>
      <c r="J70" s="29">
        <f t="shared" si="27"/>
        <v>296502.90340242482</v>
      </c>
      <c r="K70" s="61">
        <f t="shared" si="33"/>
        <v>95968.034267137482</v>
      </c>
      <c r="L70" s="167">
        <f>ROUND(J70*VLOOKUP($A70,'Actual Load'!$A$4:$B$29,2,FALSE)/VLOOKUP($A70,'Projected Zonal Load'!$A$4:$N$29,14,FALSE),0)</f>
        <v>294107</v>
      </c>
      <c r="M70" s="61">
        <f t="shared" si="22"/>
        <v>310540.60470666795</v>
      </c>
      <c r="N70" s="167">
        <f t="shared" si="28"/>
        <v>296502.90340242482</v>
      </c>
      <c r="O70" s="61">
        <f t="shared" si="35"/>
        <v>14037.701304243121</v>
      </c>
      <c r="P70" s="245">
        <f t="shared" si="24"/>
        <v>110005.7355713806</v>
      </c>
      <c r="Q70" s="213">
        <f>+H70*Interest!$D$13</f>
        <v>7936.5911516953902</v>
      </c>
      <c r="R70" s="252">
        <f t="shared" si="34"/>
        <v>117942.326723076</v>
      </c>
    </row>
    <row r="71" spans="1:18">
      <c r="A71" s="30" t="s">
        <v>35</v>
      </c>
      <c r="B71" s="163">
        <v>1680898</v>
      </c>
      <c r="C71" s="22">
        <f>+B71/B76</f>
        <v>1.9854823258966228E-2</v>
      </c>
      <c r="D71" s="23">
        <v>0</v>
      </c>
      <c r="E71" s="24">
        <f>+D71*C48</f>
        <v>0</v>
      </c>
      <c r="F71" s="25">
        <v>0.25530380434705791</v>
      </c>
      <c r="G71" s="24">
        <f>F71*C48</f>
        <v>0</v>
      </c>
      <c r="H71" s="27">
        <f t="shared" si="26"/>
        <v>0.25530380434705791</v>
      </c>
      <c r="I71" s="31">
        <f t="shared" si="29"/>
        <v>0</v>
      </c>
      <c r="J71" s="29">
        <f t="shared" si="27"/>
        <v>233437.93728019978</v>
      </c>
      <c r="K71" s="61">
        <f t="shared" si="33"/>
        <v>75556.022241544415</v>
      </c>
      <c r="L71" s="167">
        <f>ROUND(J71*VLOOKUP($A71,'Actual Load'!$A$4:$B$29,2,FALSE)/VLOOKUP($A71,'Projected Zonal Load'!$A$4:$N$29,14,FALSE),0)</f>
        <v>232272</v>
      </c>
      <c r="M71" s="61">
        <f t="shared" si="22"/>
        <v>245250.49501177183</v>
      </c>
      <c r="N71" s="167">
        <f t="shared" si="28"/>
        <v>233437.93728019978</v>
      </c>
      <c r="O71" s="61">
        <f t="shared" si="35"/>
        <v>11812.557731572044</v>
      </c>
      <c r="P71" s="245">
        <f t="shared" si="24"/>
        <v>87368.579973116459</v>
      </c>
      <c r="Q71" s="213">
        <f>+H71*Interest!$D$13</f>
        <v>6248.5103728427966</v>
      </c>
      <c r="R71" s="252">
        <f>+P71+Q71</f>
        <v>93617.090345959252</v>
      </c>
    </row>
    <row r="72" spans="1:18">
      <c r="A72" s="30" t="s">
        <v>36</v>
      </c>
      <c r="B72" s="163">
        <v>255700</v>
      </c>
      <c r="C72" s="22">
        <f>+B72/B76</f>
        <v>3.020336931400754E-3</v>
      </c>
      <c r="D72" s="23">
        <v>0</v>
      </c>
      <c r="E72" s="24">
        <f>+D72*C48</f>
        <v>0</v>
      </c>
      <c r="F72" s="25">
        <v>0</v>
      </c>
      <c r="G72" s="24">
        <f>F72*C48</f>
        <v>0</v>
      </c>
      <c r="H72" s="27">
        <f t="shared" si="26"/>
        <v>0</v>
      </c>
      <c r="I72" s="31">
        <f t="shared" si="29"/>
        <v>0</v>
      </c>
      <c r="J72" s="29">
        <f t="shared" si="27"/>
        <v>0</v>
      </c>
      <c r="K72" s="61">
        <f>(I$81-M$81)*H72</f>
        <v>0</v>
      </c>
      <c r="L72" s="167">
        <f>ROUND(J72*VLOOKUP($A72,'Actual Load'!$A$4:$B$29,2,FALSE)/VLOOKUP($A72,'Projected Zonal Load'!$A$4:$N$29,14,FALSE),0)</f>
        <v>0</v>
      </c>
      <c r="M72" s="61">
        <f t="shared" si="22"/>
        <v>0</v>
      </c>
      <c r="N72" s="167">
        <f t="shared" si="28"/>
        <v>0</v>
      </c>
      <c r="O72" s="61">
        <f t="shared" si="35"/>
        <v>0</v>
      </c>
      <c r="P72" s="245">
        <f>+K72+O72</f>
        <v>0</v>
      </c>
      <c r="Q72" s="213">
        <f>+H72*Interest!$D$13</f>
        <v>0</v>
      </c>
      <c r="R72" s="252">
        <f>+P72+Q72</f>
        <v>0</v>
      </c>
    </row>
    <row r="73" spans="1:18">
      <c r="A73" s="30" t="s">
        <v>37</v>
      </c>
      <c r="B73" s="163">
        <v>999226</v>
      </c>
      <c r="C73" s="22">
        <f>+B73/B76</f>
        <v>1.1802890851059249E-2</v>
      </c>
      <c r="D73" s="23">
        <v>0</v>
      </c>
      <c r="E73" s="24">
        <f>+D73*C48</f>
        <v>0</v>
      </c>
      <c r="F73" s="25">
        <v>1.8360834628091245E-2</v>
      </c>
      <c r="G73" s="24">
        <f>F73*C48</f>
        <v>0</v>
      </c>
      <c r="H73" s="27">
        <f t="shared" si="26"/>
        <v>1.8360834628091245E-2</v>
      </c>
      <c r="I73" s="31">
        <f t="shared" si="29"/>
        <v>0</v>
      </c>
      <c r="J73" s="29">
        <f t="shared" si="27"/>
        <v>16788.294139549813</v>
      </c>
      <c r="K73" s="61">
        <f>(I$81-M$81)*H73</f>
        <v>5433.807118861163</v>
      </c>
      <c r="L73" s="167">
        <f>ROUND(J73*VLOOKUP($A73,'Actual Load'!$A$4:$B$29,2,FALSE)/VLOOKUP($A73,'Projected Zonal Load'!$A$4:$N$29,14,FALSE),0)</f>
        <v>16735</v>
      </c>
      <c r="M73" s="61">
        <f t="shared" si="22"/>
        <v>17670.089524445484</v>
      </c>
      <c r="N73" s="167">
        <f t="shared" si="28"/>
        <v>16788.294139549813</v>
      </c>
      <c r="O73" s="61">
        <f t="shared" si="35"/>
        <v>881.7953848956713</v>
      </c>
      <c r="P73" s="245">
        <f>+K73+O73</f>
        <v>6315.6025037568343</v>
      </c>
      <c r="Q73" s="213">
        <f>+H73*Interest!$D$13</f>
        <v>449.3778144869288</v>
      </c>
      <c r="R73" s="252">
        <f>+P73+Q73</f>
        <v>6764.9803182437627</v>
      </c>
    </row>
    <row r="74" spans="1:18">
      <c r="A74" s="30" t="s">
        <v>38</v>
      </c>
      <c r="B74" s="163">
        <v>700616</v>
      </c>
      <c r="C74" s="22">
        <f>+B74/B76</f>
        <v>8.2756995679713358E-3</v>
      </c>
      <c r="D74" s="23">
        <v>0</v>
      </c>
      <c r="E74" s="24">
        <f>+D74*C48</f>
        <v>0</v>
      </c>
      <c r="F74" s="25">
        <v>0.35252617645165396</v>
      </c>
      <c r="G74" s="24">
        <f>F74*C48</f>
        <v>0</v>
      </c>
      <c r="H74" s="27">
        <f t="shared" si="26"/>
        <v>0.35252617645165396</v>
      </c>
      <c r="I74" s="31">
        <f t="shared" si="29"/>
        <v>0</v>
      </c>
      <c r="J74" s="29">
        <f t="shared" si="27"/>
        <v>322333.55738123442</v>
      </c>
      <c r="K74" s="61">
        <f>(I$81-M$81)*H74</f>
        <v>104328.54965412003</v>
      </c>
      <c r="L74" s="167">
        <f>ROUND(J74*VLOOKUP($A74,'Actual Load'!$A$4:$B$29,2,FALSE)/VLOOKUP($A74,'Projected Zonal Load'!$A$4:$N$29,14,FALSE),0)</f>
        <v>348440</v>
      </c>
      <c r="M74" s="61">
        <f t="shared" si="22"/>
        <v>367909.53055857692</v>
      </c>
      <c r="N74" s="167">
        <f t="shared" si="28"/>
        <v>322333.55738123442</v>
      </c>
      <c r="O74" s="61">
        <f>+M74-N74</f>
        <v>45575.973177342501</v>
      </c>
      <c r="P74" s="245">
        <f>+K74+O74</f>
        <v>149904.52283146253</v>
      </c>
      <c r="Q74" s="213">
        <f>+H74*Interest!$D$13</f>
        <v>8628.0087987343541</v>
      </c>
      <c r="R74" s="252">
        <f>+P74+Q74</f>
        <v>158532.53163019687</v>
      </c>
    </row>
    <row r="75" spans="1:18">
      <c r="A75" s="32" t="s">
        <v>39</v>
      </c>
      <c r="B75" s="163">
        <v>553279</v>
      </c>
      <c r="C75" s="22">
        <f>+B75/B76</f>
        <v>6.5353500080894715E-3</v>
      </c>
      <c r="D75" s="23">
        <v>0</v>
      </c>
      <c r="E75" s="24">
        <f>+D75*C48</f>
        <v>0</v>
      </c>
      <c r="F75" s="25">
        <v>1.0767863365624218E-4</v>
      </c>
      <c r="G75" s="33">
        <f>F75*C48</f>
        <v>0</v>
      </c>
      <c r="H75" s="34">
        <f>+D75+F75</f>
        <v>1.0767863365624218E-4</v>
      </c>
      <c r="I75" s="35">
        <f t="shared" si="29"/>
        <v>0</v>
      </c>
      <c r="J75" s="29">
        <f>H75*I$81</f>
        <v>98.456339865948181</v>
      </c>
      <c r="K75" s="61">
        <f>(I$81-M$81)*H75</f>
        <v>31.86701138385877</v>
      </c>
      <c r="L75" s="167">
        <f>ROUND(J75*VLOOKUP($A75,'Actual Load'!$A$4:$B$29,2,FALSE)/VLOOKUP($A75,'Projected Zonal Load'!$A$4:$N$29,14,FALSE),0)</f>
        <v>102</v>
      </c>
      <c r="M75" s="61">
        <f t="shared" si="22"/>
        <v>107.69938042984401</v>
      </c>
      <c r="N75" s="167">
        <f t="shared" si="28"/>
        <v>98.456339865948181</v>
      </c>
      <c r="O75" s="61">
        <f t="shared" si="35"/>
        <v>9.243040563895832</v>
      </c>
      <c r="P75" s="245">
        <f t="shared" si="24"/>
        <v>41.110051947754599</v>
      </c>
      <c r="Q75" s="213">
        <f>+H75*Interest!$D$13</f>
        <v>2.6354133697903208</v>
      </c>
      <c r="R75" s="252">
        <f>+P75+Q75</f>
        <v>43.74546531754492</v>
      </c>
    </row>
    <row r="76" spans="1:18">
      <c r="A76" s="36"/>
      <c r="B76" s="37">
        <v>84659429</v>
      </c>
      <c r="C76" s="38">
        <f t="shared" ref="C76:I76" si="36">SUM(C55:C75)</f>
        <v>1.0000000000000002</v>
      </c>
      <c r="D76" s="39">
        <f t="shared" si="36"/>
        <v>0</v>
      </c>
      <c r="E76" s="40">
        <f t="shared" si="36"/>
        <v>0</v>
      </c>
      <c r="F76" s="41">
        <f t="shared" si="36"/>
        <v>1</v>
      </c>
      <c r="G76" s="40">
        <f t="shared" si="36"/>
        <v>0</v>
      </c>
      <c r="H76" s="42">
        <f t="shared" si="36"/>
        <v>1</v>
      </c>
      <c r="I76" s="43">
        <f t="shared" si="36"/>
        <v>0</v>
      </c>
      <c r="J76" s="44">
        <f>SUM(J55:J75)</f>
        <v>914353.54</v>
      </c>
      <c r="K76" s="64">
        <f>SUM(K55:K75)</f>
        <v>295945.54000000004</v>
      </c>
      <c r="L76" s="171">
        <f t="shared" ref="L76" si="37">SUM(L55:L75)</f>
        <v>938577</v>
      </c>
      <c r="M76" s="65">
        <f t="shared" ref="M76:O76" si="38">SUM(M55:M75)</f>
        <v>991021.19005589897</v>
      </c>
      <c r="N76" s="171">
        <f t="shared" si="38"/>
        <v>914353.54</v>
      </c>
      <c r="O76" s="65">
        <f t="shared" si="38"/>
        <v>76667.650055899008</v>
      </c>
      <c r="P76" s="171">
        <f>SUM(P55:P75)</f>
        <v>372613.19005589909</v>
      </c>
      <c r="Q76" s="171">
        <f>SUM(Q55:Q75)</f>
        <v>24474.803220513793</v>
      </c>
      <c r="R76" s="253">
        <f>SUM(R55:R75)</f>
        <v>397087.99327641283</v>
      </c>
    </row>
    <row r="77" spans="1:18">
      <c r="H77" s="45"/>
      <c r="I77" s="46"/>
    </row>
    <row r="78" spans="1:18">
      <c r="O78" s="164"/>
      <c r="P78" s="164"/>
      <c r="Q78" s="164"/>
      <c r="R78" s="164"/>
    </row>
    <row r="79" spans="1:18">
      <c r="H79" s="194" t="s">
        <v>187</v>
      </c>
      <c r="I79" s="196">
        <v>914353.54</v>
      </c>
      <c r="K79" s="67"/>
      <c r="L79" s="194" t="s">
        <v>190</v>
      </c>
      <c r="M79" s="196">
        <v>618408</v>
      </c>
      <c r="O79" s="164"/>
      <c r="P79" s="164"/>
      <c r="Q79" s="164"/>
      <c r="R79" s="164"/>
    </row>
    <row r="80" spans="1:18">
      <c r="H80" s="161" t="s">
        <v>189</v>
      </c>
      <c r="I80" s="196">
        <v>0</v>
      </c>
      <c r="K80" s="67"/>
      <c r="L80" s="161" t="s">
        <v>189</v>
      </c>
      <c r="M80" s="196">
        <v>0</v>
      </c>
      <c r="O80" s="164"/>
      <c r="P80" s="164"/>
      <c r="Q80" s="164"/>
      <c r="R80" s="164"/>
    </row>
    <row r="81" spans="1:18">
      <c r="H81" s="195" t="s">
        <v>188</v>
      </c>
      <c r="I81" s="197">
        <f>SUM(I79:I80)</f>
        <v>914353.54</v>
      </c>
      <c r="J81" s="225" t="s">
        <v>229</v>
      </c>
      <c r="K81" s="67"/>
      <c r="L81" s="195" t="s">
        <v>188</v>
      </c>
      <c r="M81" s="197">
        <f>SUM(M79:M80)</f>
        <v>618408</v>
      </c>
      <c r="O81" s="207" t="s">
        <v>137</v>
      </c>
      <c r="P81" s="164"/>
      <c r="Q81" s="164"/>
      <c r="R81" s="164"/>
    </row>
    <row r="82" spans="1:18">
      <c r="I82" s="49"/>
      <c r="L82" s="167"/>
      <c r="O82" s="164"/>
      <c r="P82" s="164"/>
      <c r="Q82" s="164"/>
      <c r="R82" s="164"/>
    </row>
    <row r="86" spans="1:18" ht="15.75">
      <c r="A86" s="281" t="s">
        <v>0</v>
      </c>
      <c r="B86" s="282"/>
      <c r="C86" s="282" t="s">
        <v>65</v>
      </c>
      <c r="D86" s="282"/>
      <c r="E86" s="282"/>
      <c r="F86" s="282"/>
      <c r="G86" s="282"/>
      <c r="H86" s="283"/>
      <c r="I86" s="1"/>
    </row>
    <row r="87" spans="1:18" ht="15.75" hidden="1" outlineLevel="1">
      <c r="A87" s="132" t="s">
        <v>139</v>
      </c>
      <c r="B87" s="133"/>
      <c r="C87" s="136" t="s">
        <v>141</v>
      </c>
      <c r="D87" s="134"/>
      <c r="E87" s="134"/>
      <c r="F87" s="134"/>
      <c r="G87" s="134"/>
      <c r="H87" s="135"/>
      <c r="I87" s="1"/>
    </row>
    <row r="88" spans="1:18" ht="15.75" collapsed="1">
      <c r="A88" s="269" t="s">
        <v>2</v>
      </c>
      <c r="B88" s="270"/>
      <c r="C88" s="284" t="s">
        <v>66</v>
      </c>
      <c r="D88" s="285"/>
      <c r="E88" s="285"/>
      <c r="F88" s="285"/>
      <c r="G88" s="285"/>
      <c r="H88" s="286"/>
      <c r="I88" s="1"/>
    </row>
    <row r="89" spans="1:18" ht="15.75">
      <c r="A89" s="269" t="s">
        <v>4</v>
      </c>
      <c r="B89" s="270"/>
      <c r="C89" s="284" t="s">
        <v>67</v>
      </c>
      <c r="D89" s="285"/>
      <c r="E89" s="285"/>
      <c r="F89" s="285"/>
      <c r="G89" s="285"/>
      <c r="H89" s="286"/>
      <c r="I89" s="1"/>
    </row>
    <row r="90" spans="1:18" ht="15.75">
      <c r="A90" s="269" t="s">
        <v>6</v>
      </c>
      <c r="B90" s="270"/>
      <c r="C90" s="271">
        <v>0</v>
      </c>
      <c r="D90" s="272"/>
      <c r="E90" s="272"/>
      <c r="F90" s="272"/>
      <c r="G90" s="272"/>
      <c r="H90" s="273"/>
      <c r="I90" s="1"/>
      <c r="M90" s="50"/>
      <c r="O90" s="50" t="s">
        <v>46</v>
      </c>
      <c r="P90" s="50" t="s">
        <v>42</v>
      </c>
      <c r="R90" s="50" t="s">
        <v>47</v>
      </c>
    </row>
    <row r="91" spans="1:18" ht="15.75">
      <c r="A91" s="274" t="s">
        <v>7</v>
      </c>
      <c r="B91" s="275"/>
      <c r="C91" s="276" t="s">
        <v>68</v>
      </c>
      <c r="D91" s="277"/>
      <c r="E91" s="277"/>
      <c r="F91" s="277"/>
      <c r="G91" s="277"/>
      <c r="H91" s="278"/>
      <c r="I91" s="1"/>
      <c r="K91" s="50" t="s">
        <v>44</v>
      </c>
      <c r="L91" s="168" t="s">
        <v>45</v>
      </c>
      <c r="M91" s="51" t="s">
        <v>194</v>
      </c>
      <c r="N91" s="51" t="s">
        <v>41</v>
      </c>
      <c r="O91" s="51" t="s">
        <v>195</v>
      </c>
      <c r="P91" s="51" t="s">
        <v>196</v>
      </c>
      <c r="Q91" s="51" t="s">
        <v>43</v>
      </c>
      <c r="R91" s="51" t="s">
        <v>197</v>
      </c>
    </row>
    <row r="92" spans="1:18">
      <c r="A92" s="2"/>
      <c r="B92" s="2"/>
      <c r="C92" s="2"/>
      <c r="D92" s="2"/>
      <c r="E92" s="2"/>
      <c r="F92" s="2"/>
      <c r="G92" s="2"/>
      <c r="H92" s="2"/>
      <c r="I92" s="2"/>
      <c r="K92" s="52"/>
      <c r="L92" s="287" t="s">
        <v>48</v>
      </c>
      <c r="M92" s="288"/>
      <c r="N92" s="288"/>
      <c r="O92" s="289"/>
      <c r="P92" s="53" t="s">
        <v>49</v>
      </c>
      <c r="Q92" s="52"/>
      <c r="R92" s="53" t="s">
        <v>50</v>
      </c>
    </row>
    <row r="93" spans="1:18">
      <c r="A93" s="3"/>
      <c r="B93" s="4"/>
      <c r="C93" s="5"/>
      <c r="D93" s="279">
        <v>0.2</v>
      </c>
      <c r="E93" s="280"/>
      <c r="F93" s="279">
        <v>0.8</v>
      </c>
      <c r="G93" s="280"/>
      <c r="H93" s="6"/>
      <c r="I93" s="7"/>
      <c r="J93" s="8" t="s">
        <v>9</v>
      </c>
      <c r="K93" s="54" t="s">
        <v>51</v>
      </c>
      <c r="L93" s="287" t="s">
        <v>52</v>
      </c>
      <c r="M93" s="288"/>
      <c r="N93" s="214"/>
      <c r="O93" s="53" t="s">
        <v>53</v>
      </c>
      <c r="P93" s="54" t="s">
        <v>54</v>
      </c>
      <c r="Q93" s="55"/>
      <c r="R93" s="54" t="s">
        <v>55</v>
      </c>
    </row>
    <row r="94" spans="1:18">
      <c r="A94" s="9"/>
      <c r="B94" s="10"/>
      <c r="C94" s="11"/>
      <c r="D94" s="290" t="s">
        <v>10</v>
      </c>
      <c r="E94" s="291"/>
      <c r="F94" s="290" t="s">
        <v>11</v>
      </c>
      <c r="G94" s="291"/>
      <c r="H94" s="290" t="s">
        <v>12</v>
      </c>
      <c r="I94" s="292"/>
      <c r="J94" s="12" t="s">
        <v>13</v>
      </c>
      <c r="K94" s="56" t="s">
        <v>56</v>
      </c>
      <c r="L94" s="169" t="s">
        <v>191</v>
      </c>
      <c r="M94" s="192" t="s">
        <v>192</v>
      </c>
      <c r="N94" s="57" t="s">
        <v>57</v>
      </c>
      <c r="O94" s="57" t="s">
        <v>56</v>
      </c>
      <c r="P94" s="57" t="s">
        <v>56</v>
      </c>
      <c r="Q94" s="57" t="s">
        <v>58</v>
      </c>
      <c r="R94" s="57" t="s">
        <v>59</v>
      </c>
    </row>
    <row r="95" spans="1:18" ht="38.25">
      <c r="A95" s="13" t="s">
        <v>14</v>
      </c>
      <c r="B95" s="14" t="s">
        <v>15</v>
      </c>
      <c r="C95" s="15" t="s">
        <v>16</v>
      </c>
      <c r="D95" s="16" t="s">
        <v>17</v>
      </c>
      <c r="E95" s="17" t="s">
        <v>18</v>
      </c>
      <c r="F95" s="16" t="s">
        <v>17</v>
      </c>
      <c r="G95" s="17" t="s">
        <v>18</v>
      </c>
      <c r="H95" s="18" t="s">
        <v>17</v>
      </c>
      <c r="I95" s="19" t="s">
        <v>18</v>
      </c>
      <c r="J95" s="15" t="s">
        <v>18</v>
      </c>
      <c r="K95" s="58" t="s">
        <v>60</v>
      </c>
      <c r="L95" s="170"/>
      <c r="M95" s="59"/>
      <c r="N95" s="170"/>
      <c r="O95" s="58" t="s">
        <v>60</v>
      </c>
      <c r="P95" s="59"/>
      <c r="Q95" s="59"/>
      <c r="R95" s="60" t="s">
        <v>60</v>
      </c>
    </row>
    <row r="96" spans="1:18">
      <c r="A96" s="20" t="s">
        <v>19</v>
      </c>
      <c r="B96" s="21">
        <v>10863833</v>
      </c>
      <c r="C96" s="22">
        <v>0.12875612876564577</v>
      </c>
      <c r="D96" s="23">
        <v>0</v>
      </c>
      <c r="E96" s="24">
        <v>0</v>
      </c>
      <c r="F96" s="25">
        <v>0</v>
      </c>
      <c r="G96" s="26">
        <v>0</v>
      </c>
      <c r="H96" s="27">
        <v>0</v>
      </c>
      <c r="I96" s="28">
        <v>0</v>
      </c>
      <c r="J96" s="29">
        <f>H96*I$122</f>
        <v>0</v>
      </c>
      <c r="K96" s="61">
        <f t="shared" ref="K96:K116" si="39">(I$122-M$122)*H96</f>
        <v>0</v>
      </c>
      <c r="L96" s="167">
        <f>ROUND(J96*VLOOKUP($A96,'Actual Load'!$A$4:$B$29,2,FALSE)/VLOOKUP($A96,'Projected Zonal Load'!$A$4:$N$29,14,FALSE),0)</f>
        <v>0</v>
      </c>
      <c r="M96" s="61">
        <f>IF(NOT(L$40=0),M$4*L96/L$40,0)</f>
        <v>0</v>
      </c>
      <c r="N96" s="167">
        <f>+J96</f>
        <v>0</v>
      </c>
      <c r="O96" s="61">
        <f t="shared" ref="O96:O102" si="40">+M96-N96</f>
        <v>0</v>
      </c>
      <c r="P96" s="61">
        <f t="shared" ref="P96:P116" si="41">+K96+O96</f>
        <v>0</v>
      </c>
      <c r="Q96" s="62">
        <f>+H96*Interest!$D$14</f>
        <v>0</v>
      </c>
      <c r="R96" s="63">
        <f t="shared" ref="R96:R102" si="42">+P96+Q96</f>
        <v>0</v>
      </c>
    </row>
    <row r="97" spans="1:18">
      <c r="A97" s="30" t="s">
        <v>20</v>
      </c>
      <c r="B97" s="21">
        <v>514617</v>
      </c>
      <c r="C97" s="22">
        <v>6.0991449994666092E-3</v>
      </c>
      <c r="D97" s="23">
        <v>0</v>
      </c>
      <c r="E97" s="24">
        <v>0</v>
      </c>
      <c r="F97" s="25">
        <v>0</v>
      </c>
      <c r="G97" s="24">
        <v>0</v>
      </c>
      <c r="H97" s="27">
        <v>0</v>
      </c>
      <c r="I97" s="31">
        <v>0</v>
      </c>
      <c r="J97" s="29">
        <f t="shared" ref="J97:J116" si="43">H97*I$122</f>
        <v>0</v>
      </c>
      <c r="K97" s="61">
        <f t="shared" si="39"/>
        <v>0</v>
      </c>
      <c r="L97" s="167">
        <f>ROUND(J97*VLOOKUP($A97,'Actual Load'!$A$4:$B$29,2,FALSE)/VLOOKUP($A97,'Projected Zonal Load'!$A$4:$N$29,14,FALSE),0)</f>
        <v>0</v>
      </c>
      <c r="M97" s="61">
        <f t="shared" ref="M97:M116" si="44">IF(NOT(L$40=0),M$4*L97/L$40,0)</f>
        <v>0</v>
      </c>
      <c r="N97" s="167">
        <f t="shared" ref="N97:N116" si="45">+J97</f>
        <v>0</v>
      </c>
      <c r="O97" s="61">
        <f t="shared" si="40"/>
        <v>0</v>
      </c>
      <c r="P97" s="61">
        <f t="shared" si="41"/>
        <v>0</v>
      </c>
      <c r="Q97" s="62">
        <f>+H97*Interest!$D$14</f>
        <v>0</v>
      </c>
      <c r="R97" s="63">
        <f t="shared" si="42"/>
        <v>0</v>
      </c>
    </row>
    <row r="98" spans="1:18">
      <c r="A98" s="30" t="s">
        <v>21</v>
      </c>
      <c r="B98" s="21">
        <v>9749272</v>
      </c>
      <c r="C98" s="22">
        <v>0.11554655902785922</v>
      </c>
      <c r="D98" s="23">
        <v>0</v>
      </c>
      <c r="E98" s="24">
        <v>0</v>
      </c>
      <c r="F98" s="25">
        <v>0</v>
      </c>
      <c r="G98" s="24">
        <v>0</v>
      </c>
      <c r="H98" s="27">
        <v>0</v>
      </c>
      <c r="I98" s="31">
        <v>0</v>
      </c>
      <c r="J98" s="29">
        <f t="shared" si="43"/>
        <v>0</v>
      </c>
      <c r="K98" s="61">
        <f t="shared" si="39"/>
        <v>0</v>
      </c>
      <c r="L98" s="167">
        <f>ROUND(J98*VLOOKUP($A98,'Actual Load'!$A$4:$B$29,2,FALSE)/VLOOKUP($A98,'Projected Zonal Load'!$A$4:$N$29,14,FALSE),0)</f>
        <v>0</v>
      </c>
      <c r="M98" s="61">
        <f t="shared" si="44"/>
        <v>0</v>
      </c>
      <c r="N98" s="167">
        <f t="shared" si="45"/>
        <v>0</v>
      </c>
      <c r="O98" s="61">
        <f t="shared" si="40"/>
        <v>0</v>
      </c>
      <c r="P98" s="61">
        <f t="shared" si="41"/>
        <v>0</v>
      </c>
      <c r="Q98" s="62">
        <f>+H98*Interest!$D$14</f>
        <v>0</v>
      </c>
      <c r="R98" s="63">
        <f t="shared" si="42"/>
        <v>0</v>
      </c>
    </row>
    <row r="99" spans="1:18">
      <c r="A99" s="30" t="s">
        <v>22</v>
      </c>
      <c r="B99" s="21">
        <v>1003167</v>
      </c>
      <c r="C99" s="22">
        <v>1.1889348761661429E-2</v>
      </c>
      <c r="D99" s="23">
        <v>0</v>
      </c>
      <c r="E99" s="24">
        <v>0</v>
      </c>
      <c r="F99" s="25">
        <v>0</v>
      </c>
      <c r="G99" s="24">
        <v>0</v>
      </c>
      <c r="H99" s="27">
        <v>0</v>
      </c>
      <c r="I99" s="31">
        <v>0</v>
      </c>
      <c r="J99" s="29">
        <f t="shared" si="43"/>
        <v>0</v>
      </c>
      <c r="K99" s="61">
        <f t="shared" si="39"/>
        <v>0</v>
      </c>
      <c r="L99" s="167">
        <f>ROUND(J99*VLOOKUP($A99,'Actual Load'!$A$4:$B$29,2,FALSE)/VLOOKUP($A99,'Projected Zonal Load'!$A$4:$N$29,14,FALSE),0)</f>
        <v>0</v>
      </c>
      <c r="M99" s="61">
        <f t="shared" si="44"/>
        <v>0</v>
      </c>
      <c r="N99" s="167">
        <f t="shared" si="45"/>
        <v>0</v>
      </c>
      <c r="O99" s="61">
        <f t="shared" si="40"/>
        <v>0</v>
      </c>
      <c r="P99" s="61">
        <f t="shared" si="41"/>
        <v>0</v>
      </c>
      <c r="Q99" s="62">
        <f>+H99*Interest!$D$14</f>
        <v>0</v>
      </c>
      <c r="R99" s="63">
        <f t="shared" si="42"/>
        <v>0</v>
      </c>
    </row>
    <row r="100" spans="1:18">
      <c r="A100" s="30" t="s">
        <v>23</v>
      </c>
      <c r="B100" s="21">
        <v>2478000</v>
      </c>
      <c r="C100" s="22">
        <v>2.9368795256818677E-2</v>
      </c>
      <c r="D100" s="23">
        <v>0</v>
      </c>
      <c r="E100" s="24">
        <v>0</v>
      </c>
      <c r="F100" s="25">
        <v>0</v>
      </c>
      <c r="G100" s="24">
        <v>0</v>
      </c>
      <c r="H100" s="27">
        <v>0</v>
      </c>
      <c r="I100" s="31">
        <v>0</v>
      </c>
      <c r="J100" s="29">
        <f t="shared" si="43"/>
        <v>0</v>
      </c>
      <c r="K100" s="61">
        <f t="shared" si="39"/>
        <v>0</v>
      </c>
      <c r="L100" s="167">
        <f>ROUND(J100*VLOOKUP($A100,'Actual Load'!$A$4:$B$29,2,FALSE)/VLOOKUP($A100,'Projected Zonal Load'!$A$4:$N$29,14,FALSE),0)</f>
        <v>0</v>
      </c>
      <c r="M100" s="61">
        <f t="shared" si="44"/>
        <v>0</v>
      </c>
      <c r="N100" s="167">
        <f t="shared" si="45"/>
        <v>0</v>
      </c>
      <c r="O100" s="61">
        <f t="shared" si="40"/>
        <v>0</v>
      </c>
      <c r="P100" s="61">
        <f t="shared" si="41"/>
        <v>0</v>
      </c>
      <c r="Q100" s="62">
        <f>+H100*Interest!$D$14</f>
        <v>0</v>
      </c>
      <c r="R100" s="63">
        <f t="shared" si="42"/>
        <v>0</v>
      </c>
    </row>
    <row r="101" spans="1:18">
      <c r="A101" s="30" t="s">
        <v>24</v>
      </c>
      <c r="B101" s="21">
        <v>2875067</v>
      </c>
      <c r="C101" s="22">
        <v>3.4074759512766707E-2</v>
      </c>
      <c r="D101" s="23">
        <v>0</v>
      </c>
      <c r="E101" s="24">
        <v>0</v>
      </c>
      <c r="F101" s="25">
        <v>0</v>
      </c>
      <c r="G101" s="24">
        <v>0</v>
      </c>
      <c r="H101" s="27">
        <v>0</v>
      </c>
      <c r="I101" s="31">
        <v>0</v>
      </c>
      <c r="J101" s="29">
        <f t="shared" si="43"/>
        <v>0</v>
      </c>
      <c r="K101" s="61">
        <f t="shared" si="39"/>
        <v>0</v>
      </c>
      <c r="L101" s="167">
        <f>ROUND(J101*VLOOKUP($A101,'Actual Load'!$A$4:$B$29,2,FALSE)/VLOOKUP($A101,'Projected Zonal Load'!$A$4:$N$29,14,FALSE),0)</f>
        <v>0</v>
      </c>
      <c r="M101" s="61">
        <f t="shared" si="44"/>
        <v>0</v>
      </c>
      <c r="N101" s="167">
        <f t="shared" si="45"/>
        <v>0</v>
      </c>
      <c r="O101" s="61">
        <f t="shared" si="40"/>
        <v>0</v>
      </c>
      <c r="P101" s="61">
        <f t="shared" si="41"/>
        <v>0</v>
      </c>
      <c r="Q101" s="62">
        <f>+H101*Interest!$D$14</f>
        <v>0</v>
      </c>
      <c r="R101" s="63">
        <f t="shared" si="42"/>
        <v>0</v>
      </c>
    </row>
    <row r="102" spans="1:18">
      <c r="A102" s="30" t="s">
        <v>25</v>
      </c>
      <c r="B102" s="21">
        <v>7116500</v>
      </c>
      <c r="C102" s="22">
        <v>8.434343480433823E-2</v>
      </c>
      <c r="D102" s="23">
        <v>0</v>
      </c>
      <c r="E102" s="24">
        <v>0</v>
      </c>
      <c r="F102" s="25">
        <v>0</v>
      </c>
      <c r="G102" s="24">
        <v>0</v>
      </c>
      <c r="H102" s="27">
        <v>0</v>
      </c>
      <c r="I102" s="31">
        <v>0</v>
      </c>
      <c r="J102" s="29">
        <f t="shared" si="43"/>
        <v>0</v>
      </c>
      <c r="K102" s="61">
        <f t="shared" si="39"/>
        <v>0</v>
      </c>
      <c r="L102" s="167">
        <f>ROUND(J102*VLOOKUP($A102,'Actual Load'!$A$4:$B$29,2,FALSE)/VLOOKUP($A102,'Projected Zonal Load'!$A$4:$N$29,14,FALSE),0)</f>
        <v>0</v>
      </c>
      <c r="M102" s="61">
        <f t="shared" si="44"/>
        <v>0</v>
      </c>
      <c r="N102" s="167">
        <f t="shared" si="45"/>
        <v>0</v>
      </c>
      <c r="O102" s="61">
        <f t="shared" si="40"/>
        <v>0</v>
      </c>
      <c r="P102" s="61">
        <f t="shared" si="41"/>
        <v>0</v>
      </c>
      <c r="Q102" s="62">
        <f>+H102*Interest!$D$14</f>
        <v>0</v>
      </c>
      <c r="R102" s="63">
        <f t="shared" si="42"/>
        <v>0</v>
      </c>
    </row>
    <row r="103" spans="1:18">
      <c r="A103" s="30" t="s">
        <v>26</v>
      </c>
      <c r="B103" s="21">
        <v>9342000</v>
      </c>
      <c r="C103" s="22">
        <v>0.11071964700936242</v>
      </c>
      <c r="D103" s="23">
        <v>0</v>
      </c>
      <c r="E103" s="24">
        <v>0</v>
      </c>
      <c r="F103" s="25">
        <v>0</v>
      </c>
      <c r="G103" s="24">
        <v>0</v>
      </c>
      <c r="H103" s="27">
        <v>0</v>
      </c>
      <c r="I103" s="31">
        <v>0</v>
      </c>
      <c r="J103" s="29">
        <f t="shared" si="43"/>
        <v>0</v>
      </c>
      <c r="K103" s="61">
        <f t="shared" si="39"/>
        <v>0</v>
      </c>
      <c r="L103" s="167">
        <f>ROUND(J103*VLOOKUP($A103,'Actual Load'!$A$4:$B$29,2,FALSE)/VLOOKUP($A103,'Projected Zonal Load'!$A$4:$N$29,14,FALSE),0)</f>
        <v>0</v>
      </c>
      <c r="M103" s="61">
        <f t="shared" si="44"/>
        <v>0</v>
      </c>
      <c r="N103" s="167">
        <f t="shared" si="45"/>
        <v>0</v>
      </c>
      <c r="O103" s="61">
        <f>+M103-N103</f>
        <v>0</v>
      </c>
      <c r="P103" s="61">
        <f t="shared" si="41"/>
        <v>0</v>
      </c>
      <c r="Q103" s="62">
        <f>+H103*Interest!$D$14</f>
        <v>0</v>
      </c>
      <c r="R103" s="63">
        <f>+P103+Q103</f>
        <v>0</v>
      </c>
    </row>
    <row r="104" spans="1:18">
      <c r="A104" s="30" t="s">
        <v>27</v>
      </c>
      <c r="B104" s="21">
        <v>2919752</v>
      </c>
      <c r="C104" s="22">
        <v>3.460435782432883E-2</v>
      </c>
      <c r="D104" s="23">
        <v>0</v>
      </c>
      <c r="E104" s="24">
        <v>0</v>
      </c>
      <c r="F104" s="25">
        <v>0</v>
      </c>
      <c r="G104" s="24">
        <v>0</v>
      </c>
      <c r="H104" s="27">
        <v>0</v>
      </c>
      <c r="I104" s="31">
        <v>0</v>
      </c>
      <c r="J104" s="29">
        <f t="shared" si="43"/>
        <v>0</v>
      </c>
      <c r="K104" s="61">
        <f t="shared" si="39"/>
        <v>0</v>
      </c>
      <c r="L104" s="167">
        <f>ROUND(J104*VLOOKUP($A104,'Actual Load'!$A$4:$B$29,2,FALSE)/VLOOKUP($A104,'Projected Zonal Load'!$A$4:$N$29,14,FALSE),0)</f>
        <v>0</v>
      </c>
      <c r="M104" s="61">
        <f t="shared" si="44"/>
        <v>0</v>
      </c>
      <c r="N104" s="167">
        <f t="shared" si="45"/>
        <v>0</v>
      </c>
      <c r="O104" s="61">
        <f t="shared" ref="O104:O116" si="46">+M104-N104</f>
        <v>0</v>
      </c>
      <c r="P104" s="61">
        <f t="shared" si="41"/>
        <v>0</v>
      </c>
      <c r="Q104" s="62">
        <f>+H104*Interest!$D$14</f>
        <v>0</v>
      </c>
      <c r="R104" s="63">
        <f t="shared" ref="R104:R116" si="47">+P104+Q104</f>
        <v>0</v>
      </c>
    </row>
    <row r="105" spans="1:18">
      <c r="A105" s="30" t="s">
        <v>28</v>
      </c>
      <c r="B105" s="21">
        <v>233000</v>
      </c>
      <c r="C105" s="22">
        <v>2.7614726774974787E-3</v>
      </c>
      <c r="D105" s="23">
        <v>0</v>
      </c>
      <c r="E105" s="24">
        <v>0</v>
      </c>
      <c r="F105" s="25">
        <v>0</v>
      </c>
      <c r="G105" s="24">
        <v>0</v>
      </c>
      <c r="H105" s="27">
        <v>0</v>
      </c>
      <c r="I105" s="31">
        <v>0</v>
      </c>
      <c r="J105" s="29">
        <f t="shared" si="43"/>
        <v>0</v>
      </c>
      <c r="K105" s="61">
        <f t="shared" si="39"/>
        <v>0</v>
      </c>
      <c r="L105" s="167">
        <f>ROUND(J105*VLOOKUP($A105,'Actual Load'!$A$4:$B$29,2,FALSE)/VLOOKUP($A105,'Projected Zonal Load'!$A$4:$N$29,14,FALSE),0)</f>
        <v>0</v>
      </c>
      <c r="M105" s="61">
        <f t="shared" si="44"/>
        <v>0</v>
      </c>
      <c r="N105" s="167">
        <f t="shared" si="45"/>
        <v>0</v>
      </c>
      <c r="O105" s="61">
        <f t="shared" si="46"/>
        <v>0</v>
      </c>
      <c r="P105" s="61">
        <f t="shared" si="41"/>
        <v>0</v>
      </c>
      <c r="Q105" s="62">
        <f>+H105*Interest!$D$14</f>
        <v>0</v>
      </c>
      <c r="R105" s="63">
        <f t="shared" si="47"/>
        <v>0</v>
      </c>
    </row>
    <row r="106" spans="1:18">
      <c r="A106" s="30" t="s">
        <v>29</v>
      </c>
      <c r="B106" s="21">
        <v>7175167</v>
      </c>
      <c r="C106" s="22">
        <v>8.503874518017833E-2</v>
      </c>
      <c r="D106" s="23">
        <v>0</v>
      </c>
      <c r="E106" s="24">
        <v>0</v>
      </c>
      <c r="F106" s="25">
        <v>0</v>
      </c>
      <c r="G106" s="24">
        <v>0</v>
      </c>
      <c r="H106" s="27">
        <v>0</v>
      </c>
      <c r="I106" s="31">
        <v>0</v>
      </c>
      <c r="J106" s="29">
        <f t="shared" si="43"/>
        <v>0</v>
      </c>
      <c r="K106" s="61">
        <f t="shared" si="39"/>
        <v>0</v>
      </c>
      <c r="L106" s="167">
        <f>ROUND(J106*VLOOKUP($A106,'Actual Load'!$A$4:$B$29,2,FALSE)/VLOOKUP($A106,'Projected Zonal Load'!$A$4:$N$29,14,FALSE),0)</f>
        <v>0</v>
      </c>
      <c r="M106" s="61">
        <f t="shared" si="44"/>
        <v>0</v>
      </c>
      <c r="N106" s="167">
        <f t="shared" si="45"/>
        <v>0</v>
      </c>
      <c r="O106" s="61">
        <f t="shared" si="46"/>
        <v>0</v>
      </c>
      <c r="P106" s="61">
        <f t="shared" si="41"/>
        <v>0</v>
      </c>
      <c r="Q106" s="62">
        <f>+H106*Interest!$D$14</f>
        <v>0</v>
      </c>
      <c r="R106" s="63">
        <f t="shared" si="47"/>
        <v>0</v>
      </c>
    </row>
    <row r="107" spans="1:18">
      <c r="A107" s="30" t="s">
        <v>30</v>
      </c>
      <c r="B107" s="21">
        <v>7011667</v>
      </c>
      <c r="C107" s="22">
        <v>8.3100973580303494E-2</v>
      </c>
      <c r="D107" s="23">
        <v>0</v>
      </c>
      <c r="E107" s="24">
        <v>0</v>
      </c>
      <c r="F107" s="25">
        <v>0</v>
      </c>
      <c r="G107" s="24">
        <v>0</v>
      </c>
      <c r="H107" s="27">
        <v>0</v>
      </c>
      <c r="I107" s="31">
        <v>0</v>
      </c>
      <c r="J107" s="29">
        <f t="shared" si="43"/>
        <v>0</v>
      </c>
      <c r="K107" s="61">
        <f t="shared" si="39"/>
        <v>0</v>
      </c>
      <c r="L107" s="167">
        <f>ROUND(J107*VLOOKUP($A107,'Actual Load'!$A$4:$B$29,2,FALSE)/VLOOKUP($A107,'Projected Zonal Load'!$A$4:$N$29,14,FALSE),0)</f>
        <v>0</v>
      </c>
      <c r="M107" s="61">
        <f t="shared" si="44"/>
        <v>0</v>
      </c>
      <c r="N107" s="167">
        <f t="shared" si="45"/>
        <v>0</v>
      </c>
      <c r="O107" s="61">
        <f t="shared" si="46"/>
        <v>0</v>
      </c>
      <c r="P107" s="61">
        <f t="shared" si="41"/>
        <v>0</v>
      </c>
      <c r="Q107" s="62">
        <f>+H107*Interest!$D$14</f>
        <v>0</v>
      </c>
      <c r="R107" s="63">
        <f t="shared" si="47"/>
        <v>0</v>
      </c>
    </row>
    <row r="108" spans="1:18">
      <c r="A108" s="30" t="s">
        <v>31</v>
      </c>
      <c r="B108" s="21">
        <v>347000</v>
      </c>
      <c r="C108" s="22">
        <v>4.1125794810799362E-3</v>
      </c>
      <c r="D108" s="23">
        <v>0</v>
      </c>
      <c r="E108" s="24">
        <v>0</v>
      </c>
      <c r="F108" s="25">
        <v>0</v>
      </c>
      <c r="G108" s="24">
        <v>0</v>
      </c>
      <c r="H108" s="27">
        <v>0</v>
      </c>
      <c r="I108" s="31">
        <v>0</v>
      </c>
      <c r="J108" s="29">
        <f t="shared" si="43"/>
        <v>0</v>
      </c>
      <c r="K108" s="61">
        <f t="shared" si="39"/>
        <v>0</v>
      </c>
      <c r="L108" s="167">
        <f>ROUND(J108*VLOOKUP($A108,'Actual Load'!$A$4:$B$29,2,FALSE)/VLOOKUP($A108,'Projected Zonal Load'!$A$4:$N$29,14,FALSE),0)</f>
        <v>0</v>
      </c>
      <c r="M108" s="61">
        <f t="shared" si="44"/>
        <v>0</v>
      </c>
      <c r="N108" s="167">
        <f t="shared" si="45"/>
        <v>0</v>
      </c>
      <c r="O108" s="61">
        <f t="shared" si="46"/>
        <v>0</v>
      </c>
      <c r="P108" s="61">
        <f t="shared" si="41"/>
        <v>0</v>
      </c>
      <c r="Q108" s="62">
        <f>+H108*Interest!$D$14</f>
        <v>0</v>
      </c>
      <c r="R108" s="63">
        <f t="shared" si="47"/>
        <v>0</v>
      </c>
    </row>
    <row r="109" spans="1:18">
      <c r="A109" s="30" t="s">
        <v>32</v>
      </c>
      <c r="B109" s="21">
        <v>344800</v>
      </c>
      <c r="C109" s="22">
        <v>4.086505490133608E-3</v>
      </c>
      <c r="D109" s="23">
        <v>0</v>
      </c>
      <c r="E109" s="24">
        <v>0</v>
      </c>
      <c r="F109" s="25">
        <v>0</v>
      </c>
      <c r="G109" s="24">
        <v>0</v>
      </c>
      <c r="H109" s="27">
        <v>0</v>
      </c>
      <c r="I109" s="31">
        <v>0</v>
      </c>
      <c r="J109" s="29">
        <f t="shared" si="43"/>
        <v>0</v>
      </c>
      <c r="K109" s="61">
        <f t="shared" si="39"/>
        <v>0</v>
      </c>
      <c r="L109" s="167">
        <f>ROUND(J109*VLOOKUP($A109,'Actual Load'!$A$4:$B$29,2,FALSE)/VLOOKUP($A109,'Projected Zonal Load'!$A$4:$N$29,14,FALSE),0)</f>
        <v>0</v>
      </c>
      <c r="M109" s="61">
        <f t="shared" si="44"/>
        <v>0</v>
      </c>
      <c r="N109" s="167">
        <f t="shared" si="45"/>
        <v>0</v>
      </c>
      <c r="O109" s="61">
        <f t="shared" si="46"/>
        <v>0</v>
      </c>
      <c r="P109" s="61">
        <f t="shared" si="41"/>
        <v>0</v>
      </c>
      <c r="Q109" s="62">
        <f>+H109*Interest!$D$14</f>
        <v>0</v>
      </c>
      <c r="R109" s="63">
        <f t="shared" si="47"/>
        <v>0</v>
      </c>
    </row>
    <row r="110" spans="1:18">
      <c r="A110" s="30" t="s">
        <v>33</v>
      </c>
      <c r="B110" s="21">
        <v>10204042</v>
      </c>
      <c r="C110" s="22">
        <v>0.12093640851088723</v>
      </c>
      <c r="D110" s="23">
        <v>0</v>
      </c>
      <c r="E110" s="24">
        <v>0</v>
      </c>
      <c r="F110" s="25">
        <v>0</v>
      </c>
      <c r="G110" s="24">
        <v>0</v>
      </c>
      <c r="H110" s="27">
        <v>0</v>
      </c>
      <c r="I110" s="31">
        <v>0</v>
      </c>
      <c r="J110" s="29">
        <f t="shared" si="43"/>
        <v>0</v>
      </c>
      <c r="K110" s="61">
        <f t="shared" si="39"/>
        <v>0</v>
      </c>
      <c r="L110" s="167">
        <f>ROUND(J110*VLOOKUP($A110,'Actual Load'!$A$4:$B$29,2,FALSE)/VLOOKUP($A110,'Projected Zonal Load'!$A$4:$N$29,14,FALSE),0)</f>
        <v>0</v>
      </c>
      <c r="M110" s="61">
        <f t="shared" si="44"/>
        <v>0</v>
      </c>
      <c r="N110" s="167">
        <f t="shared" si="45"/>
        <v>0</v>
      </c>
      <c r="O110" s="61">
        <f t="shared" si="46"/>
        <v>0</v>
      </c>
      <c r="P110" s="61">
        <f t="shared" si="41"/>
        <v>0</v>
      </c>
      <c r="Q110" s="62">
        <f>+H110*Interest!$D$14</f>
        <v>0</v>
      </c>
      <c r="R110" s="63">
        <f t="shared" si="47"/>
        <v>0</v>
      </c>
    </row>
    <row r="111" spans="1:18">
      <c r="A111" s="30" t="s">
        <v>34</v>
      </c>
      <c r="B111" s="21">
        <v>7973985</v>
      </c>
      <c r="C111" s="22">
        <v>9.4506187589161933E-2</v>
      </c>
      <c r="D111" s="23">
        <v>0</v>
      </c>
      <c r="E111" s="24">
        <v>0</v>
      </c>
      <c r="F111" s="25">
        <v>0.12010032038886412</v>
      </c>
      <c r="G111" s="24">
        <v>0</v>
      </c>
      <c r="H111" s="27">
        <v>0.12010032038886412</v>
      </c>
      <c r="I111" s="31">
        <v>0</v>
      </c>
      <c r="J111" s="29">
        <f t="shared" si="43"/>
        <v>50375.597784824291</v>
      </c>
      <c r="K111" s="61">
        <f t="shared" si="39"/>
        <v>6586.3003691221029</v>
      </c>
      <c r="L111" s="167">
        <f>ROUND(J111*VLOOKUP($A111,'Actual Load'!$A$4:$B$29,2,FALSE)/VLOOKUP($A111,'Projected Zonal Load'!$A$4:$N$29,14,FALSE),0)</f>
        <v>49969</v>
      </c>
      <c r="M111" s="61">
        <f>IF(NOT(L$40=0),M$4*L111/L$40,0)</f>
        <v>52761.081771557598</v>
      </c>
      <c r="N111" s="167">
        <f t="shared" si="45"/>
        <v>50375.597784824291</v>
      </c>
      <c r="O111" s="61">
        <f t="shared" si="46"/>
        <v>2385.4839867333067</v>
      </c>
      <c r="P111" s="61">
        <f t="shared" si="41"/>
        <v>8971.7843558554086</v>
      </c>
      <c r="Q111" s="62">
        <f>+H111*Interest!$D$14</f>
        <v>632.88856100676128</v>
      </c>
      <c r="R111" s="63">
        <f t="shared" si="47"/>
        <v>9604.6729168621696</v>
      </c>
    </row>
    <row r="112" spans="1:18">
      <c r="A112" s="30" t="s">
        <v>35</v>
      </c>
      <c r="B112" s="21">
        <v>1689225</v>
      </c>
      <c r="C112" s="22">
        <v>2.0020380616505056E-2</v>
      </c>
      <c r="D112" s="23">
        <v>0</v>
      </c>
      <c r="E112" s="24">
        <v>0</v>
      </c>
      <c r="F112" s="25">
        <v>0.76342606698478377</v>
      </c>
      <c r="G112" s="24">
        <v>0</v>
      </c>
      <c r="H112" s="27">
        <v>0.76342606698478377</v>
      </c>
      <c r="I112" s="31">
        <v>0</v>
      </c>
      <c r="J112" s="29">
        <f t="shared" si="43"/>
        <v>320216.00245823892</v>
      </c>
      <c r="K112" s="61">
        <f t="shared" si="39"/>
        <v>41866.277879184861</v>
      </c>
      <c r="L112" s="167">
        <f>ROUND(J112*VLOOKUP($A112,'Actual Load'!$A$4:$B$29,2,FALSE)/VLOOKUP($A112,'Projected Zonal Load'!$A$4:$N$29,14,FALSE),0)</f>
        <v>318617</v>
      </c>
      <c r="M112" s="61">
        <f t="shared" si="44"/>
        <v>336420.13229819224</v>
      </c>
      <c r="N112" s="167">
        <f t="shared" si="45"/>
        <v>320216.00245823892</v>
      </c>
      <c r="O112" s="61">
        <f t="shared" si="46"/>
        <v>16204.129839953326</v>
      </c>
      <c r="P112" s="61">
        <f t="shared" si="41"/>
        <v>58070.407719138188</v>
      </c>
      <c r="Q112" s="62">
        <f>+H112*Interest!$D$14</f>
        <v>4023.000300121188</v>
      </c>
      <c r="R112" s="63">
        <f t="shared" si="47"/>
        <v>62093.408019259376</v>
      </c>
    </row>
    <row r="113" spans="1:18">
      <c r="A113" s="30" t="s">
        <v>36</v>
      </c>
      <c r="B113" s="21">
        <v>253610</v>
      </c>
      <c r="C113" s="22">
        <v>3.005738565408307E-3</v>
      </c>
      <c r="D113" s="23">
        <v>0</v>
      </c>
      <c r="E113" s="24">
        <v>0</v>
      </c>
      <c r="F113" s="25">
        <v>0</v>
      </c>
      <c r="G113" s="24">
        <v>0</v>
      </c>
      <c r="H113" s="27">
        <v>0</v>
      </c>
      <c r="I113" s="31">
        <v>0</v>
      </c>
      <c r="J113" s="29">
        <f t="shared" si="43"/>
        <v>0</v>
      </c>
      <c r="K113" s="61">
        <f t="shared" si="39"/>
        <v>0</v>
      </c>
      <c r="L113" s="167">
        <f>ROUND(J113*VLOOKUP($A113,'Actual Load'!$A$4:$B$29,2,FALSE)/VLOOKUP($A113,'Projected Zonal Load'!$A$4:$N$29,14,FALSE),0)</f>
        <v>0</v>
      </c>
      <c r="M113" s="61">
        <f t="shared" si="44"/>
        <v>0</v>
      </c>
      <c r="N113" s="167">
        <f t="shared" si="45"/>
        <v>0</v>
      </c>
      <c r="O113" s="61">
        <f t="shared" si="46"/>
        <v>0</v>
      </c>
      <c r="P113" s="61">
        <f t="shared" si="41"/>
        <v>0</v>
      </c>
      <c r="Q113" s="62">
        <f>+H113*Interest!$D$14</f>
        <v>0</v>
      </c>
      <c r="R113" s="63">
        <f t="shared" si="47"/>
        <v>0</v>
      </c>
    </row>
    <row r="114" spans="1:18">
      <c r="A114" s="30" t="s">
        <v>37</v>
      </c>
      <c r="B114" s="21">
        <v>993648</v>
      </c>
      <c r="C114" s="22">
        <v>1.1776531343562295E-2</v>
      </c>
      <c r="D114" s="23">
        <v>0</v>
      </c>
      <c r="E114" s="24">
        <v>0</v>
      </c>
      <c r="F114" s="25">
        <v>2.9468168544088706E-3</v>
      </c>
      <c r="G114" s="24">
        <v>0</v>
      </c>
      <c r="H114" s="27">
        <v>2.9468168544088706E-3</v>
      </c>
      <c r="I114" s="31">
        <v>0</v>
      </c>
      <c r="J114" s="29">
        <f t="shared" si="43"/>
        <v>1236.0305128462146</v>
      </c>
      <c r="K114" s="61">
        <f t="shared" si="39"/>
        <v>161.6034068276139</v>
      </c>
      <c r="L114" s="167">
        <f>ROUND(J114*VLOOKUP($A114,'Actual Load'!$A$4:$B$29,2,FALSE)/VLOOKUP($A114,'Projected Zonal Load'!$A$4:$N$29,14,FALSE),0)</f>
        <v>1232</v>
      </c>
      <c r="M114" s="61">
        <f t="shared" si="44"/>
        <v>1300.8395753879197</v>
      </c>
      <c r="N114" s="167">
        <f t="shared" si="45"/>
        <v>1236.0305128462146</v>
      </c>
      <c r="O114" s="61">
        <f t="shared" si="46"/>
        <v>64.809062541705089</v>
      </c>
      <c r="P114" s="61">
        <f>+K114+O114</f>
        <v>226.41246936931898</v>
      </c>
      <c r="Q114" s="62">
        <f>+H114*Interest!$D$14</f>
        <v>15.528740243978794</v>
      </c>
      <c r="R114" s="63">
        <f t="shared" si="47"/>
        <v>241.94120961329779</v>
      </c>
    </row>
    <row r="115" spans="1:18">
      <c r="A115" s="30" t="s">
        <v>38</v>
      </c>
      <c r="B115" s="21">
        <v>709020</v>
      </c>
      <c r="C115" s="22">
        <v>8.4031732094388932E-3</v>
      </c>
      <c r="D115" s="23">
        <v>0</v>
      </c>
      <c r="E115" s="24">
        <v>0</v>
      </c>
      <c r="F115" s="25">
        <v>0.1135267957719433</v>
      </c>
      <c r="G115" s="24">
        <v>0</v>
      </c>
      <c r="H115" s="27">
        <v>0.1135267957719433</v>
      </c>
      <c r="I115" s="31">
        <v>0</v>
      </c>
      <c r="J115" s="29">
        <f t="shared" si="43"/>
        <v>47618.35924409057</v>
      </c>
      <c r="K115" s="61">
        <f t="shared" si="39"/>
        <v>6225.8083448654115</v>
      </c>
      <c r="L115" s="167">
        <f>ROUND(J115*VLOOKUP($A115,'Actual Load'!$A$4:$B$29,2,FALSE)/VLOOKUP($A115,'Projected Zonal Load'!$A$4:$N$29,14,FALSE),0)</f>
        <v>51475</v>
      </c>
      <c r="M115" s="61">
        <f t="shared" si="44"/>
        <v>54351.231447315884</v>
      </c>
      <c r="N115" s="167">
        <f t="shared" si="45"/>
        <v>47618.35924409057</v>
      </c>
      <c r="O115" s="61">
        <f t="shared" si="46"/>
        <v>6732.8722032253136</v>
      </c>
      <c r="P115" s="245">
        <f>+K115+O115</f>
        <v>12958.680548090724</v>
      </c>
      <c r="Q115" s="62">
        <f>+H115*Interest!$D$14</f>
        <v>598.24828259555329</v>
      </c>
      <c r="R115" s="63">
        <f t="shared" si="47"/>
        <v>13556.928830686278</v>
      </c>
    </row>
    <row r="116" spans="1:18">
      <c r="A116" s="32" t="s">
        <v>39</v>
      </c>
      <c r="B116" s="21">
        <v>577897</v>
      </c>
      <c r="C116" s="22">
        <v>6.8491277935955382E-3</v>
      </c>
      <c r="D116" s="23">
        <v>0</v>
      </c>
      <c r="E116" s="24">
        <v>0</v>
      </c>
      <c r="F116" s="25">
        <v>0</v>
      </c>
      <c r="G116" s="33">
        <v>0</v>
      </c>
      <c r="H116" s="34">
        <v>0</v>
      </c>
      <c r="I116" s="35">
        <v>0</v>
      </c>
      <c r="J116" s="29">
        <f t="shared" si="43"/>
        <v>0</v>
      </c>
      <c r="K116" s="61">
        <f t="shared" si="39"/>
        <v>0</v>
      </c>
      <c r="L116" s="167">
        <f>ROUND(J116*VLOOKUP($A116,'Actual Load'!$A$4:$B$29,2,FALSE)/VLOOKUP($A116,'Projected Zonal Load'!$A$4:$N$29,14,FALSE),0)</f>
        <v>0</v>
      </c>
      <c r="M116" s="61">
        <f t="shared" si="44"/>
        <v>0</v>
      </c>
      <c r="N116" s="167">
        <f t="shared" si="45"/>
        <v>0</v>
      </c>
      <c r="O116" s="61">
        <f t="shared" si="46"/>
        <v>0</v>
      </c>
      <c r="P116" s="61">
        <f t="shared" si="41"/>
        <v>0</v>
      </c>
      <c r="Q116" s="62">
        <f>+H116*Interest!$D$14</f>
        <v>0</v>
      </c>
      <c r="R116" s="63">
        <f t="shared" si="47"/>
        <v>0</v>
      </c>
    </row>
    <row r="117" spans="1:18">
      <c r="A117" s="36"/>
      <c r="B117" s="37">
        <v>84375269</v>
      </c>
      <c r="C117" s="38">
        <v>1</v>
      </c>
      <c r="D117" s="39">
        <v>0</v>
      </c>
      <c r="E117" s="40">
        <v>0</v>
      </c>
      <c r="F117" s="41">
        <v>1</v>
      </c>
      <c r="G117" s="40">
        <v>0</v>
      </c>
      <c r="H117" s="42">
        <v>1</v>
      </c>
      <c r="I117" s="43">
        <v>0</v>
      </c>
      <c r="J117" s="44">
        <f>SUM(J96:J116)</f>
        <v>419445.98999999993</v>
      </c>
      <c r="K117" s="64">
        <f>SUM(K96:K116)</f>
        <v>54839.989999999991</v>
      </c>
      <c r="L117" s="171">
        <f t="shared" ref="L117:R117" si="48">SUM(L96:L116)</f>
        <v>421293</v>
      </c>
      <c r="M117" s="65">
        <f t="shared" si="48"/>
        <v>444833.28509245365</v>
      </c>
      <c r="N117" s="171">
        <f t="shared" si="48"/>
        <v>419445.98999999993</v>
      </c>
      <c r="O117" s="65">
        <f t="shared" si="48"/>
        <v>25387.295092453653</v>
      </c>
      <c r="P117" s="65">
        <f>SUM(P96:P116)</f>
        <v>80227.285092453632</v>
      </c>
      <c r="Q117" s="65">
        <f t="shared" si="48"/>
        <v>5269.665883967481</v>
      </c>
      <c r="R117" s="66">
        <f t="shared" si="48"/>
        <v>85496.950976421125</v>
      </c>
    </row>
    <row r="118" spans="1:18">
      <c r="H118" s="45"/>
      <c r="I118" s="46"/>
    </row>
    <row r="120" spans="1:18">
      <c r="H120" s="194" t="s">
        <v>187</v>
      </c>
      <c r="I120" s="196">
        <v>1174398.99</v>
      </c>
      <c r="K120" s="67"/>
      <c r="L120" s="194" t="s">
        <v>190</v>
      </c>
      <c r="M120" s="196">
        <v>1119559</v>
      </c>
      <c r="O120" s="67"/>
      <c r="P120" s="67"/>
      <c r="Q120" s="67"/>
      <c r="R120" s="67"/>
    </row>
    <row r="121" spans="1:18">
      <c r="H121" s="161" t="s">
        <v>189</v>
      </c>
      <c r="I121" s="196">
        <v>-754953</v>
      </c>
      <c r="K121" s="67"/>
      <c r="L121" s="161" t="s">
        <v>189</v>
      </c>
      <c r="M121" s="196">
        <v>-754953</v>
      </c>
      <c r="O121" s="67"/>
      <c r="P121" s="67"/>
      <c r="Q121" s="67"/>
      <c r="R121" s="67"/>
    </row>
    <row r="122" spans="1:18">
      <c r="G122" s="67"/>
      <c r="H122" s="195" t="s">
        <v>188</v>
      </c>
      <c r="I122" s="197">
        <f>SUM(I120:I121)</f>
        <v>419445.99</v>
      </c>
      <c r="J122" s="225" t="s">
        <v>137</v>
      </c>
      <c r="K122" s="198"/>
      <c r="L122" s="195" t="s">
        <v>188</v>
      </c>
      <c r="M122" s="197">
        <f>SUM(M120:M121)</f>
        <v>364606</v>
      </c>
      <c r="O122" s="198" t="s">
        <v>137</v>
      </c>
      <c r="P122" s="67"/>
      <c r="Q122" s="67"/>
      <c r="R122" s="67"/>
    </row>
    <row r="123" spans="1:18">
      <c r="I123" s="68"/>
    </row>
    <row r="125" spans="1:18" ht="15.75">
      <c r="A125" s="281" t="s">
        <v>0</v>
      </c>
      <c r="B125" s="282"/>
      <c r="C125" s="282" t="s">
        <v>69</v>
      </c>
      <c r="D125" s="282"/>
      <c r="E125" s="282"/>
      <c r="F125" s="282"/>
      <c r="G125" s="282"/>
      <c r="H125" s="283"/>
      <c r="I125" s="1"/>
    </row>
    <row r="126" spans="1:18" ht="15.75" hidden="1" outlineLevel="1">
      <c r="A126" s="132" t="s">
        <v>139</v>
      </c>
      <c r="B126" s="133"/>
      <c r="C126" s="140" t="s">
        <v>144</v>
      </c>
      <c r="D126" s="133"/>
      <c r="E126" s="133"/>
      <c r="F126" s="133"/>
      <c r="G126" s="133"/>
      <c r="H126" s="137"/>
      <c r="I126" s="1"/>
    </row>
    <row r="127" spans="1:18" ht="15.75" collapsed="1">
      <c r="A127" s="269" t="s">
        <v>2</v>
      </c>
      <c r="B127" s="270"/>
      <c r="C127" s="295" t="s">
        <v>70</v>
      </c>
      <c r="D127" s="295"/>
      <c r="E127" s="295"/>
      <c r="F127" s="295"/>
      <c r="G127" s="295"/>
      <c r="H127" s="296"/>
      <c r="I127" s="1"/>
    </row>
    <row r="128" spans="1:18" ht="15.75">
      <c r="A128" s="269" t="s">
        <v>4</v>
      </c>
      <c r="B128" s="270"/>
      <c r="C128" s="297" t="s">
        <v>71</v>
      </c>
      <c r="D128" s="297"/>
      <c r="E128" s="297"/>
      <c r="F128" s="297"/>
      <c r="G128" s="297"/>
      <c r="H128" s="298"/>
      <c r="I128" s="1"/>
    </row>
    <row r="129" spans="1:18" ht="15.75">
      <c r="A129" s="269" t="s">
        <v>6</v>
      </c>
      <c r="B129" s="270"/>
      <c r="C129" s="271">
        <v>0</v>
      </c>
      <c r="D129" s="272"/>
      <c r="E129" s="272"/>
      <c r="F129" s="272"/>
      <c r="G129" s="272"/>
      <c r="H129" s="273"/>
      <c r="I129" s="1"/>
      <c r="M129" s="50"/>
      <c r="O129" s="50" t="s">
        <v>46</v>
      </c>
      <c r="P129" s="50" t="s">
        <v>42</v>
      </c>
      <c r="R129" s="50" t="s">
        <v>47</v>
      </c>
    </row>
    <row r="130" spans="1:18" ht="15.75">
      <c r="A130" s="274" t="s">
        <v>7</v>
      </c>
      <c r="B130" s="275"/>
      <c r="C130" s="293" t="s">
        <v>8</v>
      </c>
      <c r="D130" s="293"/>
      <c r="E130" s="293"/>
      <c r="F130" s="293"/>
      <c r="G130" s="293"/>
      <c r="H130" s="294"/>
      <c r="I130" s="1"/>
      <c r="K130" s="50" t="s">
        <v>44</v>
      </c>
      <c r="L130" s="168" t="s">
        <v>45</v>
      </c>
      <c r="M130" s="51" t="s">
        <v>194</v>
      </c>
      <c r="N130" s="51" t="s">
        <v>41</v>
      </c>
      <c r="O130" s="51" t="s">
        <v>195</v>
      </c>
      <c r="P130" s="51" t="s">
        <v>196</v>
      </c>
      <c r="Q130" s="51" t="s">
        <v>43</v>
      </c>
      <c r="R130" s="51" t="s">
        <v>197</v>
      </c>
    </row>
    <row r="131" spans="1:18">
      <c r="A131" s="2"/>
      <c r="B131" s="2"/>
      <c r="C131" s="2"/>
      <c r="D131" s="2"/>
      <c r="E131" s="2"/>
      <c r="F131" s="2"/>
      <c r="G131" s="2"/>
      <c r="H131" s="2"/>
      <c r="I131" s="2"/>
      <c r="K131" s="52"/>
      <c r="L131" s="287" t="s">
        <v>48</v>
      </c>
      <c r="M131" s="288"/>
      <c r="N131" s="288"/>
      <c r="O131" s="289"/>
      <c r="P131" s="53" t="s">
        <v>49</v>
      </c>
      <c r="Q131" s="52"/>
      <c r="R131" s="53" t="s">
        <v>50</v>
      </c>
    </row>
    <row r="132" spans="1:18">
      <c r="A132" s="3"/>
      <c r="B132" s="4"/>
      <c r="C132" s="5"/>
      <c r="D132" s="279">
        <v>0</v>
      </c>
      <c r="E132" s="280"/>
      <c r="F132" s="279">
        <v>1</v>
      </c>
      <c r="G132" s="280"/>
      <c r="H132" s="6"/>
      <c r="I132" s="7"/>
      <c r="J132" s="8" t="s">
        <v>9</v>
      </c>
      <c r="K132" s="54" t="s">
        <v>51</v>
      </c>
      <c r="L132" s="287" t="s">
        <v>52</v>
      </c>
      <c r="M132" s="288"/>
      <c r="N132" s="214"/>
      <c r="O132" s="53" t="s">
        <v>53</v>
      </c>
      <c r="P132" s="54" t="s">
        <v>54</v>
      </c>
      <c r="Q132" s="55"/>
      <c r="R132" s="54" t="s">
        <v>55</v>
      </c>
    </row>
    <row r="133" spans="1:18">
      <c r="A133" s="9"/>
      <c r="B133" s="10"/>
      <c r="C133" s="11"/>
      <c r="D133" s="290" t="s">
        <v>10</v>
      </c>
      <c r="E133" s="291"/>
      <c r="F133" s="290" t="s">
        <v>11</v>
      </c>
      <c r="G133" s="291"/>
      <c r="H133" s="290" t="s">
        <v>12</v>
      </c>
      <c r="I133" s="292"/>
      <c r="J133" s="12" t="s">
        <v>13</v>
      </c>
      <c r="K133" s="56" t="s">
        <v>56</v>
      </c>
      <c r="L133" s="169" t="s">
        <v>191</v>
      </c>
      <c r="M133" s="192" t="s">
        <v>192</v>
      </c>
      <c r="N133" s="57" t="s">
        <v>57</v>
      </c>
      <c r="O133" s="57" t="s">
        <v>56</v>
      </c>
      <c r="P133" s="57" t="s">
        <v>56</v>
      </c>
      <c r="Q133" s="57" t="s">
        <v>58</v>
      </c>
      <c r="R133" s="57" t="s">
        <v>59</v>
      </c>
    </row>
    <row r="134" spans="1:18" ht="38.25">
      <c r="A134" s="13" t="s">
        <v>14</v>
      </c>
      <c r="B134" s="14" t="s">
        <v>15</v>
      </c>
      <c r="C134" s="15" t="s">
        <v>16</v>
      </c>
      <c r="D134" s="16" t="s">
        <v>17</v>
      </c>
      <c r="E134" s="17" t="s">
        <v>18</v>
      </c>
      <c r="F134" s="16" t="s">
        <v>17</v>
      </c>
      <c r="G134" s="17" t="s">
        <v>18</v>
      </c>
      <c r="H134" s="18" t="s">
        <v>17</v>
      </c>
      <c r="I134" s="19" t="s">
        <v>18</v>
      </c>
      <c r="J134" s="15" t="s">
        <v>18</v>
      </c>
      <c r="K134" s="58" t="s">
        <v>60</v>
      </c>
      <c r="L134" s="170"/>
      <c r="M134" s="59"/>
      <c r="N134" s="170"/>
      <c r="O134" s="58" t="s">
        <v>60</v>
      </c>
      <c r="P134" s="59"/>
      <c r="Q134" s="59"/>
      <c r="R134" s="60" t="s">
        <v>60</v>
      </c>
    </row>
    <row r="135" spans="1:18">
      <c r="A135" s="20" t="s">
        <v>19</v>
      </c>
      <c r="B135" s="141">
        <v>11479167</v>
      </c>
      <c r="C135" s="22">
        <v>0.13130846252941786</v>
      </c>
      <c r="D135" s="23">
        <v>0</v>
      </c>
      <c r="E135" s="24">
        <v>0</v>
      </c>
      <c r="F135" s="25">
        <v>0</v>
      </c>
      <c r="G135" s="26">
        <v>0</v>
      </c>
      <c r="H135" s="27">
        <v>0</v>
      </c>
      <c r="I135" s="28">
        <v>0</v>
      </c>
      <c r="J135" s="29">
        <f>H135*I$163</f>
        <v>0</v>
      </c>
      <c r="K135" s="61">
        <f t="shared" ref="K135:K157" si="49">(I$163-M$163)*H135</f>
        <v>0</v>
      </c>
      <c r="L135" s="167">
        <f>ROUND(J135*VLOOKUP($A135,'Actual Load'!$A$4:$B$29,2,FALSE)/VLOOKUP($A135,'Projected Zonal Load'!$A$4:$N$29,14,FALSE),0)</f>
        <v>0</v>
      </c>
      <c r="M135" s="61">
        <f t="shared" ref="M135:M157" si="50">IF(NOT(L$40=0),M$4*L135/L$40,0)</f>
        <v>0</v>
      </c>
      <c r="N135" s="167">
        <f>+J135</f>
        <v>0</v>
      </c>
      <c r="O135" s="61">
        <f t="shared" ref="O135:O141" si="51">+M135-N135</f>
        <v>0</v>
      </c>
      <c r="P135" s="61">
        <f t="shared" ref="P135:P157" si="52">+K135+O135</f>
        <v>0</v>
      </c>
      <c r="Q135" s="62">
        <f>H135*Interest!$D$19</f>
        <v>0</v>
      </c>
      <c r="R135" s="63">
        <f t="shared" ref="R135:R141" si="53">+P135+Q135</f>
        <v>0</v>
      </c>
    </row>
    <row r="136" spans="1:18">
      <c r="A136" s="30" t="s">
        <v>20</v>
      </c>
      <c r="B136" s="141">
        <v>552209</v>
      </c>
      <c r="C136" s="22">
        <v>6.3166355873128521E-3</v>
      </c>
      <c r="D136" s="23">
        <v>0</v>
      </c>
      <c r="E136" s="24">
        <v>0</v>
      </c>
      <c r="F136" s="25">
        <v>0</v>
      </c>
      <c r="G136" s="24">
        <v>0</v>
      </c>
      <c r="H136" s="27">
        <v>0</v>
      </c>
      <c r="I136" s="31">
        <v>0</v>
      </c>
      <c r="J136" s="29">
        <f t="shared" ref="J136:J157" si="54">H136*I$163</f>
        <v>0</v>
      </c>
      <c r="K136" s="61">
        <f t="shared" si="49"/>
        <v>0</v>
      </c>
      <c r="L136" s="167">
        <f>ROUND(J136*VLOOKUP($A136,'Actual Load'!$A$4:$B$29,2,FALSE)/VLOOKUP($A136,'Projected Zonal Load'!$A$4:$N$29,14,FALSE),0)</f>
        <v>0</v>
      </c>
      <c r="M136" s="61">
        <f t="shared" si="50"/>
        <v>0</v>
      </c>
      <c r="N136" s="167">
        <f t="shared" ref="N136:N155" si="55">+J136</f>
        <v>0</v>
      </c>
      <c r="O136" s="61">
        <f t="shared" si="51"/>
        <v>0</v>
      </c>
      <c r="P136" s="61">
        <f t="shared" si="52"/>
        <v>0</v>
      </c>
      <c r="Q136" s="62">
        <f>H136*Interest!$D$19</f>
        <v>0</v>
      </c>
      <c r="R136" s="63">
        <f t="shared" si="53"/>
        <v>0</v>
      </c>
    </row>
    <row r="137" spans="1:18">
      <c r="A137" s="30" t="s">
        <v>21</v>
      </c>
      <c r="B137" s="141">
        <v>10468870</v>
      </c>
      <c r="C137" s="22">
        <v>0.11975182729899711</v>
      </c>
      <c r="D137" s="23">
        <v>0</v>
      </c>
      <c r="E137" s="24">
        <v>0</v>
      </c>
      <c r="F137" s="25">
        <v>0</v>
      </c>
      <c r="G137" s="24">
        <v>0</v>
      </c>
      <c r="H137" s="27">
        <v>0</v>
      </c>
      <c r="I137" s="31">
        <v>0</v>
      </c>
      <c r="J137" s="29">
        <f t="shared" si="54"/>
        <v>0</v>
      </c>
      <c r="K137" s="61">
        <f t="shared" si="49"/>
        <v>0</v>
      </c>
      <c r="L137" s="167">
        <f>ROUND(J137*VLOOKUP($A137,'Actual Load'!$A$4:$B$29,2,FALSE)/VLOOKUP($A137,'Projected Zonal Load'!$A$4:$N$29,14,FALSE),0)</f>
        <v>0</v>
      </c>
      <c r="M137" s="61">
        <f t="shared" si="50"/>
        <v>0</v>
      </c>
      <c r="N137" s="167">
        <f t="shared" si="55"/>
        <v>0</v>
      </c>
      <c r="O137" s="61">
        <f t="shared" si="51"/>
        <v>0</v>
      </c>
      <c r="P137" s="61">
        <f t="shared" si="52"/>
        <v>0</v>
      </c>
      <c r="Q137" s="62">
        <f>H137*Interest!$D$19</f>
        <v>0</v>
      </c>
      <c r="R137" s="63">
        <f t="shared" si="53"/>
        <v>0</v>
      </c>
    </row>
    <row r="138" spans="1:18">
      <c r="A138" s="30" t="s">
        <v>22</v>
      </c>
      <c r="B138" s="141">
        <v>1032750</v>
      </c>
      <c r="C138" s="22">
        <v>1.1813471715957813E-2</v>
      </c>
      <c r="D138" s="23">
        <v>0</v>
      </c>
      <c r="E138" s="24">
        <v>0</v>
      </c>
      <c r="F138" s="25">
        <v>0</v>
      </c>
      <c r="G138" s="24">
        <v>0</v>
      </c>
      <c r="H138" s="27">
        <v>0</v>
      </c>
      <c r="I138" s="31">
        <v>0</v>
      </c>
      <c r="J138" s="29">
        <f t="shared" si="54"/>
        <v>0</v>
      </c>
      <c r="K138" s="61">
        <f t="shared" si="49"/>
        <v>0</v>
      </c>
      <c r="L138" s="167">
        <f>ROUND(J138*VLOOKUP($A138,'Actual Load'!$A$4:$B$29,2,FALSE)/VLOOKUP($A138,'Projected Zonal Load'!$A$4:$N$29,14,FALSE),0)</f>
        <v>0</v>
      </c>
      <c r="M138" s="61">
        <f t="shared" si="50"/>
        <v>0</v>
      </c>
      <c r="N138" s="167">
        <f t="shared" si="55"/>
        <v>0</v>
      </c>
      <c r="O138" s="61">
        <f t="shared" si="51"/>
        <v>0</v>
      </c>
      <c r="P138" s="61">
        <f t="shared" si="52"/>
        <v>0</v>
      </c>
      <c r="Q138" s="62">
        <f>H138*Interest!$D$19</f>
        <v>0</v>
      </c>
      <c r="R138" s="63">
        <f t="shared" si="53"/>
        <v>0</v>
      </c>
    </row>
    <row r="139" spans="1:18">
      <c r="A139" s="30" t="s">
        <v>23</v>
      </c>
      <c r="B139" s="141">
        <v>2589500</v>
      </c>
      <c r="C139" s="22">
        <v>2.9620900516555561E-2</v>
      </c>
      <c r="D139" s="23">
        <v>0</v>
      </c>
      <c r="E139" s="24">
        <v>0</v>
      </c>
      <c r="F139" s="25">
        <v>0</v>
      </c>
      <c r="G139" s="24">
        <v>0</v>
      </c>
      <c r="H139" s="27">
        <v>0</v>
      </c>
      <c r="I139" s="31">
        <v>0</v>
      </c>
      <c r="J139" s="29">
        <f t="shared" si="54"/>
        <v>0</v>
      </c>
      <c r="K139" s="61">
        <f t="shared" si="49"/>
        <v>0</v>
      </c>
      <c r="L139" s="167">
        <f>ROUND(J139*VLOOKUP($A139,'Actual Load'!$A$4:$B$29,2,FALSE)/VLOOKUP($A139,'Projected Zonal Load'!$A$4:$N$29,14,FALSE),0)</f>
        <v>0</v>
      </c>
      <c r="M139" s="61">
        <f t="shared" si="50"/>
        <v>0</v>
      </c>
      <c r="N139" s="167">
        <f t="shared" si="55"/>
        <v>0</v>
      </c>
      <c r="O139" s="61">
        <f t="shared" si="51"/>
        <v>0</v>
      </c>
      <c r="P139" s="61">
        <f t="shared" si="52"/>
        <v>0</v>
      </c>
      <c r="Q139" s="62">
        <f>H139*Interest!$D$19</f>
        <v>0</v>
      </c>
      <c r="R139" s="63">
        <f t="shared" si="53"/>
        <v>0</v>
      </c>
    </row>
    <row r="140" spans="1:18">
      <c r="A140" s="30" t="s">
        <v>24</v>
      </c>
      <c r="B140" s="141">
        <v>2986010</v>
      </c>
      <c r="C140" s="22">
        <v>3.4156518691423082E-2</v>
      </c>
      <c r="D140" s="23">
        <v>0</v>
      </c>
      <c r="E140" s="24">
        <v>0</v>
      </c>
      <c r="F140" s="25">
        <v>0</v>
      </c>
      <c r="G140" s="24">
        <v>0</v>
      </c>
      <c r="H140" s="27">
        <v>0</v>
      </c>
      <c r="I140" s="31">
        <v>0</v>
      </c>
      <c r="J140" s="29">
        <f t="shared" si="54"/>
        <v>0</v>
      </c>
      <c r="K140" s="61">
        <f t="shared" si="49"/>
        <v>0</v>
      </c>
      <c r="L140" s="167">
        <f>ROUND(J140*VLOOKUP($A140,'Actual Load'!$A$4:$B$29,2,FALSE)/VLOOKUP($A140,'Projected Zonal Load'!$A$4:$N$29,14,FALSE),0)</f>
        <v>0</v>
      </c>
      <c r="M140" s="61">
        <f t="shared" si="50"/>
        <v>0</v>
      </c>
      <c r="N140" s="167">
        <f t="shared" si="55"/>
        <v>0</v>
      </c>
      <c r="O140" s="61">
        <f t="shared" si="51"/>
        <v>0</v>
      </c>
      <c r="P140" s="61">
        <f t="shared" si="52"/>
        <v>0</v>
      </c>
      <c r="Q140" s="62">
        <f>H140*Interest!$D$19</f>
        <v>0</v>
      </c>
      <c r="R140" s="63">
        <f t="shared" si="53"/>
        <v>0</v>
      </c>
    </row>
    <row r="141" spans="1:18">
      <c r="A141" s="30" t="s">
        <v>25</v>
      </c>
      <c r="B141" s="141">
        <v>6997000</v>
      </c>
      <c r="C141" s="22">
        <v>8.003762923898021E-2</v>
      </c>
      <c r="D141" s="23">
        <v>0</v>
      </c>
      <c r="E141" s="24">
        <v>0</v>
      </c>
      <c r="F141" s="25">
        <v>0</v>
      </c>
      <c r="G141" s="24">
        <v>0</v>
      </c>
      <c r="H141" s="27">
        <v>0</v>
      </c>
      <c r="I141" s="31">
        <v>0</v>
      </c>
      <c r="J141" s="29">
        <f t="shared" si="54"/>
        <v>0</v>
      </c>
      <c r="K141" s="61">
        <f t="shared" si="49"/>
        <v>0</v>
      </c>
      <c r="L141" s="167">
        <f>ROUND(J141*VLOOKUP($A141,'Actual Load'!$A$4:$B$29,2,FALSE)/VLOOKUP($A141,'Projected Zonal Load'!$A$4:$N$29,14,FALSE),0)</f>
        <v>0</v>
      </c>
      <c r="M141" s="61">
        <f t="shared" si="50"/>
        <v>0</v>
      </c>
      <c r="N141" s="167">
        <f t="shared" si="55"/>
        <v>0</v>
      </c>
      <c r="O141" s="61">
        <f t="shared" si="51"/>
        <v>0</v>
      </c>
      <c r="P141" s="61">
        <f t="shared" si="52"/>
        <v>0</v>
      </c>
      <c r="Q141" s="62">
        <f>H141*Interest!$D$19</f>
        <v>0</v>
      </c>
      <c r="R141" s="63">
        <f t="shared" si="53"/>
        <v>0</v>
      </c>
    </row>
    <row r="142" spans="1:18">
      <c r="A142" s="30" t="s">
        <v>26</v>
      </c>
      <c r="B142" s="141">
        <v>9283000</v>
      </c>
      <c r="C142" s="22">
        <v>0.10618683896319184</v>
      </c>
      <c r="D142" s="23">
        <v>0</v>
      </c>
      <c r="E142" s="24">
        <v>0</v>
      </c>
      <c r="F142" s="25">
        <v>0</v>
      </c>
      <c r="G142" s="24">
        <v>0</v>
      </c>
      <c r="H142" s="27">
        <v>0</v>
      </c>
      <c r="I142" s="31">
        <v>0</v>
      </c>
      <c r="J142" s="29">
        <f t="shared" si="54"/>
        <v>0</v>
      </c>
      <c r="K142" s="61">
        <f t="shared" si="49"/>
        <v>0</v>
      </c>
      <c r="L142" s="167">
        <f>ROUND(J142*VLOOKUP($A142,'Actual Load'!$A$4:$B$29,2,FALSE)/VLOOKUP($A142,'Projected Zonal Load'!$A$4:$N$29,14,FALSE),0)</f>
        <v>0</v>
      </c>
      <c r="M142" s="61">
        <f t="shared" si="50"/>
        <v>0</v>
      </c>
      <c r="N142" s="167">
        <f t="shared" si="55"/>
        <v>0</v>
      </c>
      <c r="O142" s="61">
        <f>+M142-N142</f>
        <v>0</v>
      </c>
      <c r="P142" s="61">
        <f t="shared" si="52"/>
        <v>0</v>
      </c>
      <c r="Q142" s="62">
        <f>H142*Interest!$D$19</f>
        <v>0</v>
      </c>
      <c r="R142" s="63">
        <f>+P142+Q142</f>
        <v>0</v>
      </c>
    </row>
    <row r="143" spans="1:18">
      <c r="A143" s="30" t="s">
        <v>27</v>
      </c>
      <c r="B143" s="141">
        <v>2800184</v>
      </c>
      <c r="C143" s="22">
        <v>3.2030883063159148E-2</v>
      </c>
      <c r="D143" s="23">
        <v>0</v>
      </c>
      <c r="E143" s="24">
        <v>0</v>
      </c>
      <c r="F143" s="25">
        <v>0</v>
      </c>
      <c r="G143" s="24">
        <v>0</v>
      </c>
      <c r="H143" s="27">
        <v>0</v>
      </c>
      <c r="I143" s="31">
        <v>0</v>
      </c>
      <c r="J143" s="29">
        <f t="shared" si="54"/>
        <v>0</v>
      </c>
      <c r="K143" s="61">
        <f t="shared" si="49"/>
        <v>0</v>
      </c>
      <c r="L143" s="167">
        <f>ROUND(J143*VLOOKUP($A143,'Actual Load'!$A$4:$B$29,2,FALSE)/VLOOKUP($A143,'Projected Zonal Load'!$A$4:$N$29,14,FALSE),0)</f>
        <v>0</v>
      </c>
      <c r="M143" s="61">
        <f t="shared" si="50"/>
        <v>0</v>
      </c>
      <c r="N143" s="167">
        <f t="shared" si="55"/>
        <v>0</v>
      </c>
      <c r="O143" s="61">
        <f t="shared" ref="O143:O155" si="56">+M143-N143</f>
        <v>0</v>
      </c>
      <c r="P143" s="61">
        <f t="shared" si="52"/>
        <v>0</v>
      </c>
      <c r="Q143" s="62">
        <f>H143*Interest!$D$19</f>
        <v>0</v>
      </c>
      <c r="R143" s="63">
        <f t="shared" ref="R143:R155" si="57">+P143+Q143</f>
        <v>0</v>
      </c>
    </row>
    <row r="144" spans="1:18">
      <c r="A144" s="30" t="s">
        <v>28</v>
      </c>
      <c r="B144" s="141">
        <v>234000</v>
      </c>
      <c r="C144" s="22">
        <v>2.6766907591712691E-3</v>
      </c>
      <c r="D144" s="23">
        <v>0</v>
      </c>
      <c r="E144" s="24">
        <v>0</v>
      </c>
      <c r="F144" s="25">
        <v>0</v>
      </c>
      <c r="G144" s="24">
        <v>0</v>
      </c>
      <c r="H144" s="27">
        <v>0</v>
      </c>
      <c r="I144" s="31">
        <v>0</v>
      </c>
      <c r="J144" s="29">
        <f t="shared" si="54"/>
        <v>0</v>
      </c>
      <c r="K144" s="61">
        <f t="shared" si="49"/>
        <v>0</v>
      </c>
      <c r="L144" s="167">
        <f>ROUND(J144*VLOOKUP($A144,'Actual Load'!$A$4:$B$29,2,FALSE)/VLOOKUP($A144,'Projected Zonal Load'!$A$4:$N$29,14,FALSE),0)</f>
        <v>0</v>
      </c>
      <c r="M144" s="61">
        <f t="shared" si="50"/>
        <v>0</v>
      </c>
      <c r="N144" s="167">
        <f t="shared" si="55"/>
        <v>0</v>
      </c>
      <c r="O144" s="61">
        <f t="shared" si="56"/>
        <v>0</v>
      </c>
      <c r="P144" s="61">
        <f t="shared" si="52"/>
        <v>0</v>
      </c>
      <c r="Q144" s="62">
        <f>H144*Interest!$D$19</f>
        <v>0</v>
      </c>
      <c r="R144" s="63">
        <f t="shared" si="57"/>
        <v>0</v>
      </c>
    </row>
    <row r="145" spans="1:19">
      <c r="A145" s="30" t="s">
        <v>30</v>
      </c>
      <c r="B145" s="141">
        <v>7060375</v>
      </c>
      <c r="C145" s="22">
        <v>8.0762566319589099E-2</v>
      </c>
      <c r="D145" s="23">
        <v>0</v>
      </c>
      <c r="E145" s="24">
        <v>0</v>
      </c>
      <c r="F145" s="25">
        <v>0</v>
      </c>
      <c r="G145" s="24">
        <v>0</v>
      </c>
      <c r="H145" s="27">
        <v>0</v>
      </c>
      <c r="I145" s="31">
        <v>0</v>
      </c>
      <c r="J145" s="29">
        <f t="shared" si="54"/>
        <v>0</v>
      </c>
      <c r="K145" s="61">
        <f t="shared" si="49"/>
        <v>0</v>
      </c>
      <c r="L145" s="167">
        <f>ROUND(J145*VLOOKUP($A145,'Actual Load'!$A$4:$B$29,2,FALSE)/VLOOKUP($A145,'Projected Zonal Load'!$A$4:$N$29,14,FALSE),0)</f>
        <v>0</v>
      </c>
      <c r="M145" s="61">
        <f t="shared" si="50"/>
        <v>0</v>
      </c>
      <c r="N145" s="167">
        <f t="shared" si="55"/>
        <v>0</v>
      </c>
      <c r="O145" s="61">
        <f t="shared" si="56"/>
        <v>0</v>
      </c>
      <c r="P145" s="61">
        <f t="shared" si="52"/>
        <v>0</v>
      </c>
      <c r="Q145" s="62">
        <f>H145*Interest!$D$19</f>
        <v>0</v>
      </c>
      <c r="R145" s="63">
        <f t="shared" si="57"/>
        <v>0</v>
      </c>
    </row>
    <row r="146" spans="1:19">
      <c r="A146" s="30" t="s">
        <v>29</v>
      </c>
      <c r="B146" s="141">
        <v>7069072</v>
      </c>
      <c r="C146" s="22">
        <v>8.0862049992804969E-2</v>
      </c>
      <c r="D146" s="23">
        <v>0</v>
      </c>
      <c r="E146" s="24">
        <v>0</v>
      </c>
      <c r="F146" s="25">
        <v>0</v>
      </c>
      <c r="G146" s="24">
        <v>0</v>
      </c>
      <c r="H146" s="27">
        <v>0</v>
      </c>
      <c r="I146" s="31">
        <v>0</v>
      </c>
      <c r="J146" s="29">
        <f t="shared" si="54"/>
        <v>0</v>
      </c>
      <c r="K146" s="61">
        <f t="shared" si="49"/>
        <v>0</v>
      </c>
      <c r="L146" s="167">
        <f>ROUND(J146*VLOOKUP($A146,'Actual Load'!$A$4:$B$29,2,FALSE)/VLOOKUP($A146,'Projected Zonal Load'!$A$4:$N$29,14,FALSE),0)</f>
        <v>0</v>
      </c>
      <c r="M146" s="61">
        <f t="shared" si="50"/>
        <v>0</v>
      </c>
      <c r="N146" s="167">
        <f t="shared" si="55"/>
        <v>0</v>
      </c>
      <c r="O146" s="61">
        <f t="shared" si="56"/>
        <v>0</v>
      </c>
      <c r="P146" s="61">
        <f t="shared" si="52"/>
        <v>0</v>
      </c>
      <c r="Q146" s="62">
        <f>H146*Interest!$D$19</f>
        <v>0</v>
      </c>
      <c r="R146" s="63">
        <f t="shared" si="57"/>
        <v>0</v>
      </c>
    </row>
    <row r="147" spans="1:19">
      <c r="A147" s="30" t="s">
        <v>72</v>
      </c>
      <c r="B147" s="141">
        <v>483692</v>
      </c>
      <c r="C147" s="22">
        <v>5.5328799430985872E-3</v>
      </c>
      <c r="D147" s="23">
        <v>0</v>
      </c>
      <c r="E147" s="24">
        <v>0</v>
      </c>
      <c r="F147" s="25">
        <v>0</v>
      </c>
      <c r="G147" s="24">
        <v>0</v>
      </c>
      <c r="H147" s="27">
        <v>0</v>
      </c>
      <c r="I147" s="31">
        <v>0</v>
      </c>
      <c r="J147" s="29">
        <f t="shared" si="54"/>
        <v>0</v>
      </c>
      <c r="K147" s="61">
        <f t="shared" si="49"/>
        <v>0</v>
      </c>
      <c r="L147" s="190">
        <v>0</v>
      </c>
      <c r="M147" s="61">
        <f t="shared" si="50"/>
        <v>0</v>
      </c>
      <c r="N147" s="167">
        <f t="shared" si="55"/>
        <v>0</v>
      </c>
      <c r="O147" s="61">
        <f t="shared" si="56"/>
        <v>0</v>
      </c>
      <c r="P147" s="61">
        <f t="shared" si="52"/>
        <v>0</v>
      </c>
      <c r="Q147" s="62">
        <f>H147*Interest!$D$19</f>
        <v>0</v>
      </c>
      <c r="R147" s="63">
        <f t="shared" si="57"/>
        <v>0</v>
      </c>
    </row>
    <row r="148" spans="1:19">
      <c r="A148" s="30" t="s">
        <v>73</v>
      </c>
      <c r="B148" s="141">
        <v>125500</v>
      </c>
      <c r="C148" s="22">
        <v>1.435575599470061E-3</v>
      </c>
      <c r="D148" s="23">
        <v>0</v>
      </c>
      <c r="E148" s="24">
        <v>0</v>
      </c>
      <c r="F148" s="25">
        <v>0</v>
      </c>
      <c r="G148" s="24">
        <v>0</v>
      </c>
      <c r="H148" s="27">
        <v>0</v>
      </c>
      <c r="I148" s="31">
        <v>0</v>
      </c>
      <c r="J148" s="29">
        <f t="shared" si="54"/>
        <v>0</v>
      </c>
      <c r="K148" s="61">
        <f t="shared" si="49"/>
        <v>0</v>
      </c>
      <c r="L148" s="190">
        <v>0</v>
      </c>
      <c r="M148" s="61">
        <f t="shared" si="50"/>
        <v>0</v>
      </c>
      <c r="N148" s="167">
        <f t="shared" si="55"/>
        <v>0</v>
      </c>
      <c r="O148" s="61">
        <f t="shared" si="56"/>
        <v>0</v>
      </c>
      <c r="P148" s="61">
        <f t="shared" si="52"/>
        <v>0</v>
      </c>
      <c r="Q148" s="62">
        <f>H148*Interest!$D$19</f>
        <v>0</v>
      </c>
      <c r="R148" s="63">
        <f t="shared" si="57"/>
        <v>0</v>
      </c>
    </row>
    <row r="149" spans="1:19">
      <c r="A149" s="30" t="s">
        <v>31</v>
      </c>
      <c r="B149" s="141">
        <v>349000</v>
      </c>
      <c r="C149" s="22">
        <v>3.992158439960568E-3</v>
      </c>
      <c r="D149" s="23">
        <v>0</v>
      </c>
      <c r="E149" s="24">
        <v>0</v>
      </c>
      <c r="F149" s="25">
        <v>0</v>
      </c>
      <c r="G149" s="24">
        <v>0</v>
      </c>
      <c r="H149" s="27">
        <v>0</v>
      </c>
      <c r="I149" s="31">
        <v>0</v>
      </c>
      <c r="J149" s="29">
        <f t="shared" si="54"/>
        <v>0</v>
      </c>
      <c r="K149" s="61">
        <f t="shared" si="49"/>
        <v>0</v>
      </c>
      <c r="L149" s="167">
        <f>ROUND(J149*VLOOKUP($A149,'Actual Load'!$A$4:$B$29,2,FALSE)/VLOOKUP($A149,'Projected Zonal Load'!$A$4:$N$29,14,FALSE),0)</f>
        <v>0</v>
      </c>
      <c r="M149" s="61">
        <f t="shared" si="50"/>
        <v>0</v>
      </c>
      <c r="N149" s="167">
        <f t="shared" si="55"/>
        <v>0</v>
      </c>
      <c r="O149" s="61">
        <f t="shared" si="56"/>
        <v>0</v>
      </c>
      <c r="P149" s="61">
        <f t="shared" si="52"/>
        <v>0</v>
      </c>
      <c r="Q149" s="62">
        <f>H149*Interest!$D$19</f>
        <v>0</v>
      </c>
      <c r="R149" s="63">
        <f t="shared" si="57"/>
        <v>0</v>
      </c>
    </row>
    <row r="150" spans="1:19">
      <c r="A150" s="30" t="s">
        <v>32</v>
      </c>
      <c r="B150" s="141">
        <v>369700</v>
      </c>
      <c r="C150" s="22">
        <v>4.2289426225026417E-3</v>
      </c>
      <c r="D150" s="23">
        <v>0</v>
      </c>
      <c r="E150" s="24">
        <v>0</v>
      </c>
      <c r="F150" s="25">
        <v>0</v>
      </c>
      <c r="G150" s="24">
        <v>0</v>
      </c>
      <c r="H150" s="27">
        <v>0</v>
      </c>
      <c r="I150" s="31">
        <v>0</v>
      </c>
      <c r="J150" s="29">
        <f t="shared" si="54"/>
        <v>0</v>
      </c>
      <c r="K150" s="61">
        <f t="shared" si="49"/>
        <v>0</v>
      </c>
      <c r="L150" s="167">
        <f>ROUND(J150*VLOOKUP($A150,'Actual Load'!$A$4:$B$29,2,FALSE)/VLOOKUP($A150,'Projected Zonal Load'!$A$4:$N$29,14,FALSE),0)</f>
        <v>0</v>
      </c>
      <c r="M150" s="61">
        <f t="shared" si="50"/>
        <v>0</v>
      </c>
      <c r="N150" s="167">
        <f t="shared" si="55"/>
        <v>0</v>
      </c>
      <c r="O150" s="61">
        <f t="shared" si="56"/>
        <v>0</v>
      </c>
      <c r="P150" s="61">
        <f t="shared" si="52"/>
        <v>0</v>
      </c>
      <c r="Q150" s="62">
        <f>H150*Interest!$D$19</f>
        <v>0</v>
      </c>
      <c r="R150" s="63">
        <f t="shared" si="57"/>
        <v>0</v>
      </c>
    </row>
    <row r="151" spans="1:19">
      <c r="A151" s="30" t="s">
        <v>33</v>
      </c>
      <c r="B151" s="141">
        <v>10701139</v>
      </c>
      <c r="C151" s="22">
        <v>0.12240871740986015</v>
      </c>
      <c r="D151" s="23">
        <v>0</v>
      </c>
      <c r="E151" s="24">
        <v>0</v>
      </c>
      <c r="F151" s="25">
        <v>0</v>
      </c>
      <c r="G151" s="24">
        <v>0</v>
      </c>
      <c r="H151" s="27">
        <v>0</v>
      </c>
      <c r="I151" s="31">
        <v>0</v>
      </c>
      <c r="J151" s="29">
        <f t="shared" si="54"/>
        <v>0</v>
      </c>
      <c r="K151" s="61">
        <f t="shared" si="49"/>
        <v>0</v>
      </c>
      <c r="L151" s="167">
        <f>ROUND(J151*VLOOKUP($A151,'Actual Load'!$A$4:$B$29,2,FALSE)/VLOOKUP($A151,'Projected Zonal Load'!$A$4:$N$29,14,FALSE),0)</f>
        <v>0</v>
      </c>
      <c r="M151" s="61">
        <f t="shared" si="50"/>
        <v>0</v>
      </c>
      <c r="N151" s="167">
        <f t="shared" si="55"/>
        <v>0</v>
      </c>
      <c r="O151" s="61">
        <f t="shared" si="56"/>
        <v>0</v>
      </c>
      <c r="P151" s="61">
        <f t="shared" si="52"/>
        <v>0</v>
      </c>
      <c r="Q151" s="62">
        <f>H151*Interest!$D$19</f>
        <v>0</v>
      </c>
      <c r="R151" s="63">
        <f t="shared" si="57"/>
        <v>0</v>
      </c>
    </row>
    <row r="152" spans="1:19">
      <c r="A152" s="30" t="s">
        <v>34</v>
      </c>
      <c r="B152" s="141">
        <v>8491257</v>
      </c>
      <c r="C152" s="22">
        <v>9.7130210024138255E-2</v>
      </c>
      <c r="D152" s="23">
        <v>0</v>
      </c>
      <c r="E152" s="24">
        <v>0</v>
      </c>
      <c r="F152" s="25">
        <v>1.2969790113386148E-2</v>
      </c>
      <c r="G152" s="24">
        <v>0</v>
      </c>
      <c r="H152" s="27">
        <v>1.2969790113386148E-2</v>
      </c>
      <c r="I152" s="31">
        <v>0</v>
      </c>
      <c r="J152" s="29">
        <f t="shared" si="54"/>
        <v>2846.4113556930588</v>
      </c>
      <c r="K152" s="61">
        <f t="shared" si="49"/>
        <v>154.3757801784032</v>
      </c>
      <c r="L152" s="167">
        <f>ROUND(J152*VLOOKUP($A152,'Actual Load'!$A$4:$B$29,2,FALSE)/VLOOKUP($A152,'Projected Zonal Load'!$A$4:$N$29,14,FALSE),0)</f>
        <v>2823</v>
      </c>
      <c r="M152" s="61">
        <f t="shared" si="50"/>
        <v>2980.7387348377415</v>
      </c>
      <c r="N152" s="167">
        <f t="shared" si="55"/>
        <v>2846.4113556930588</v>
      </c>
      <c r="O152" s="61">
        <f t="shared" si="56"/>
        <v>134.32737914468271</v>
      </c>
      <c r="P152" s="61">
        <f t="shared" si="52"/>
        <v>288.70315932308591</v>
      </c>
      <c r="Q152" s="62">
        <f>H152*Interest!$D$19</f>
        <v>19.941321859935972</v>
      </c>
      <c r="R152" s="63">
        <f t="shared" si="57"/>
        <v>308.64448118302187</v>
      </c>
    </row>
    <row r="153" spans="1:19">
      <c r="A153" s="30" t="s">
        <v>35</v>
      </c>
      <c r="B153" s="141">
        <v>1726630</v>
      </c>
      <c r="C153" s="22">
        <v>1.9750660536358496E-2</v>
      </c>
      <c r="D153" s="23">
        <v>0</v>
      </c>
      <c r="E153" s="24">
        <v>0</v>
      </c>
      <c r="F153" s="25">
        <v>9.7370426209735623E-4</v>
      </c>
      <c r="G153" s="24">
        <v>0</v>
      </c>
      <c r="H153" s="27">
        <v>9.7370426209735623E-4</v>
      </c>
      <c r="I153" s="31">
        <v>0</v>
      </c>
      <c r="J153" s="29">
        <f t="shared" si="54"/>
        <v>213.69373324400286</v>
      </c>
      <c r="K153" s="61">
        <f t="shared" si="49"/>
        <v>11.589729194551417</v>
      </c>
      <c r="L153" s="167">
        <f>ROUND(J153*VLOOKUP($A153,'Actual Load'!$A$4:$B$29,2,FALSE)/VLOOKUP($A153,'Projected Zonal Load'!$A$4:$N$29,14,FALSE),0)</f>
        <v>213</v>
      </c>
      <c r="M153" s="61">
        <f t="shared" si="50"/>
        <v>224.90164736820367</v>
      </c>
      <c r="N153" s="167">
        <f t="shared" si="55"/>
        <v>213.69373324400286</v>
      </c>
      <c r="O153" s="61">
        <f t="shared" si="56"/>
        <v>11.207914124200812</v>
      </c>
      <c r="P153" s="61">
        <f t="shared" si="52"/>
        <v>22.797643318752229</v>
      </c>
      <c r="Q153" s="62">
        <f>H153*Interest!$D$19</f>
        <v>1.4970905401803349</v>
      </c>
      <c r="R153" s="63">
        <f t="shared" si="57"/>
        <v>24.294733858932563</v>
      </c>
    </row>
    <row r="154" spans="1:19">
      <c r="A154" s="30" t="s">
        <v>36</v>
      </c>
      <c r="B154" s="141">
        <v>260430</v>
      </c>
      <c r="C154" s="22">
        <v>2.9790195487648446E-3</v>
      </c>
      <c r="D154" s="23">
        <v>0</v>
      </c>
      <c r="E154" s="24">
        <v>0</v>
      </c>
      <c r="F154" s="25">
        <v>0</v>
      </c>
      <c r="G154" s="24">
        <v>0</v>
      </c>
      <c r="H154" s="27">
        <v>0</v>
      </c>
      <c r="I154" s="31">
        <v>0</v>
      </c>
      <c r="J154" s="29">
        <f t="shared" si="54"/>
        <v>0</v>
      </c>
      <c r="K154" s="61">
        <f t="shared" si="49"/>
        <v>0</v>
      </c>
      <c r="L154" s="167">
        <f>ROUND(J154*VLOOKUP($A154,'Actual Load'!$A$4:$B$29,2,FALSE)/VLOOKUP($A154,'Projected Zonal Load'!$A$4:$N$29,14,FALSE),0)</f>
        <v>0</v>
      </c>
      <c r="M154" s="61">
        <f t="shared" si="50"/>
        <v>0</v>
      </c>
      <c r="N154" s="167">
        <f t="shared" si="55"/>
        <v>0</v>
      </c>
      <c r="O154" s="61">
        <f t="shared" si="56"/>
        <v>0</v>
      </c>
      <c r="P154" s="61">
        <f t="shared" si="52"/>
        <v>0</v>
      </c>
      <c r="Q154" s="62">
        <f>H154*Interest!$D$19</f>
        <v>0</v>
      </c>
      <c r="R154" s="63">
        <f t="shared" si="57"/>
        <v>0</v>
      </c>
    </row>
    <row r="155" spans="1:19">
      <c r="A155" s="30" t="s">
        <v>37</v>
      </c>
      <c r="B155" s="141">
        <v>1010330</v>
      </c>
      <c r="C155" s="22">
        <v>1.155701271245089E-2</v>
      </c>
      <c r="D155" s="23">
        <v>0</v>
      </c>
      <c r="E155" s="24">
        <v>0</v>
      </c>
      <c r="F155" s="25">
        <v>0.98605650562451663</v>
      </c>
      <c r="G155" s="24">
        <v>0</v>
      </c>
      <c r="H155" s="27">
        <v>0.98605650562451663</v>
      </c>
      <c r="I155" s="31">
        <v>0</v>
      </c>
      <c r="J155" s="29">
        <f t="shared" si="54"/>
        <v>216404.61491106293</v>
      </c>
      <c r="K155" s="61">
        <f t="shared" si="49"/>
        <v>11736.75449062702</v>
      </c>
      <c r="L155" s="167">
        <f>ROUND(J155*VLOOKUP($A155,'Actual Load'!$A$4:$B$29,2,FALSE)/VLOOKUP($A155,'Projected Zonal Load'!$A$4:$N$29,14,FALSE),0)</f>
        <v>215711</v>
      </c>
      <c r="M155" s="61">
        <f t="shared" si="50"/>
        <v>227764.12795982431</v>
      </c>
      <c r="N155" s="167">
        <f t="shared" si="55"/>
        <v>216404.61491106293</v>
      </c>
      <c r="O155" s="61">
        <f t="shared" si="56"/>
        <v>11359.513048761379</v>
      </c>
      <c r="P155" s="61">
        <f t="shared" si="52"/>
        <v>23096.267539388398</v>
      </c>
      <c r="Q155" s="62">
        <f>H155*Interest!$D$19</f>
        <v>1516.0823713290279</v>
      </c>
      <c r="R155" s="63">
        <f t="shared" si="57"/>
        <v>24612.349910717425</v>
      </c>
    </row>
    <row r="156" spans="1:19">
      <c r="A156" s="30" t="s">
        <v>38</v>
      </c>
      <c r="B156" s="141">
        <v>744197</v>
      </c>
      <c r="C156" s="22">
        <v>8.5127574055682952E-3</v>
      </c>
      <c r="D156" s="23">
        <v>0</v>
      </c>
      <c r="E156" s="24">
        <v>0</v>
      </c>
      <c r="F156" s="25">
        <v>0</v>
      </c>
      <c r="G156" s="24">
        <v>0</v>
      </c>
      <c r="H156" s="27">
        <v>0</v>
      </c>
      <c r="I156" s="31">
        <v>0</v>
      </c>
      <c r="J156" s="29">
        <f t="shared" si="54"/>
        <v>0</v>
      </c>
      <c r="K156" s="61">
        <f t="shared" si="49"/>
        <v>0</v>
      </c>
      <c r="L156" s="167">
        <f>ROUND(J156*VLOOKUP($A156,'Actual Load'!$A$4:$B$29,2,FALSE)/VLOOKUP($A156,'Projected Zonal Load'!$A$4:$N$29,14,FALSE),0)</f>
        <v>0</v>
      </c>
      <c r="M156" s="61">
        <f t="shared" si="50"/>
        <v>0</v>
      </c>
      <c r="N156" s="167">
        <f t="shared" ref="N156:N157" si="58">+J156</f>
        <v>0</v>
      </c>
      <c r="O156" s="61">
        <f t="shared" ref="O156:O157" si="59">+M156-N156</f>
        <v>0</v>
      </c>
      <c r="P156" s="61">
        <f t="shared" si="52"/>
        <v>0</v>
      </c>
      <c r="Q156" s="62">
        <f>H156*Interest!$D$19</f>
        <v>0</v>
      </c>
      <c r="R156" s="63">
        <f t="shared" ref="R156:R157" si="60">+P156+Q156</f>
        <v>0</v>
      </c>
    </row>
    <row r="157" spans="1:19">
      <c r="A157" s="32" t="s">
        <v>39</v>
      </c>
      <c r="B157" s="141">
        <v>607368</v>
      </c>
      <c r="C157" s="22">
        <v>6.9475910812663907E-3</v>
      </c>
      <c r="D157" s="23">
        <v>0</v>
      </c>
      <c r="E157" s="24">
        <v>0</v>
      </c>
      <c r="F157" s="25">
        <v>0</v>
      </c>
      <c r="G157" s="33">
        <v>0</v>
      </c>
      <c r="H157" s="34">
        <v>0</v>
      </c>
      <c r="I157" s="35">
        <v>0</v>
      </c>
      <c r="J157" s="29">
        <f t="shared" si="54"/>
        <v>0</v>
      </c>
      <c r="K157" s="61">
        <f t="shared" si="49"/>
        <v>0</v>
      </c>
      <c r="L157" s="167">
        <f>ROUND(J157*VLOOKUP($A157,'Actual Load'!$A$4:$B$29,2,FALSE)/VLOOKUP($A157,'Projected Zonal Load'!$A$4:$N$29,14,FALSE),0)</f>
        <v>0</v>
      </c>
      <c r="M157" s="61">
        <f t="shared" si="50"/>
        <v>0</v>
      </c>
      <c r="N157" s="167">
        <f t="shared" si="58"/>
        <v>0</v>
      </c>
      <c r="O157" s="61">
        <f t="shared" si="59"/>
        <v>0</v>
      </c>
      <c r="P157" s="61">
        <f t="shared" si="52"/>
        <v>0</v>
      </c>
      <c r="Q157" s="62">
        <f>H157*Interest!$D$19</f>
        <v>0</v>
      </c>
      <c r="R157" s="63">
        <f t="shared" si="60"/>
        <v>0</v>
      </c>
    </row>
    <row r="158" spans="1:19">
      <c r="A158" s="36"/>
      <c r="B158" s="37">
        <v>87421380</v>
      </c>
      <c r="C158" s="38">
        <v>1.0000000000000002</v>
      </c>
      <c r="D158" s="39">
        <v>0</v>
      </c>
      <c r="E158" s="40">
        <v>0</v>
      </c>
      <c r="F158" s="41">
        <v>1.0000000000000002</v>
      </c>
      <c r="G158" s="40">
        <v>0</v>
      </c>
      <c r="H158" s="42">
        <v>1.0000000000000002</v>
      </c>
      <c r="I158" s="43">
        <v>0</v>
      </c>
      <c r="J158" s="44">
        <f>SUM(J135:J157)</f>
        <v>219464.72</v>
      </c>
      <c r="K158" s="64">
        <f>SUM(K135:K157)</f>
        <v>11902.719999999974</v>
      </c>
      <c r="L158" s="64">
        <f t="shared" ref="L158:R158" si="61">SUM(L135:L157)</f>
        <v>218747</v>
      </c>
      <c r="M158" s="64">
        <f t="shared" si="61"/>
        <v>230969.76834203026</v>
      </c>
      <c r="N158" s="215">
        <f t="shared" si="61"/>
        <v>219464.72</v>
      </c>
      <c r="O158" s="64">
        <f t="shared" si="61"/>
        <v>11505.048342030263</v>
      </c>
      <c r="P158" s="64">
        <f t="shared" si="61"/>
        <v>23407.768342030235</v>
      </c>
      <c r="Q158" s="64">
        <f t="shared" si="61"/>
        <v>1537.5207837291441</v>
      </c>
      <c r="R158" s="64">
        <f t="shared" si="61"/>
        <v>24945.28912575938</v>
      </c>
    </row>
    <row r="159" spans="1:19">
      <c r="H159" s="45"/>
      <c r="I159" s="46"/>
      <c r="O159" s="164"/>
      <c r="P159" s="164"/>
      <c r="Q159" s="164"/>
      <c r="R159" s="164"/>
      <c r="S159" s="164"/>
    </row>
    <row r="160" spans="1:19">
      <c r="A160" s="47"/>
      <c r="O160" s="164"/>
      <c r="P160" s="164"/>
      <c r="Q160" s="164"/>
      <c r="R160" s="164"/>
      <c r="S160" s="164"/>
    </row>
    <row r="161" spans="1:19">
      <c r="H161" s="194" t="s">
        <v>187</v>
      </c>
      <c r="I161" s="196">
        <v>353698.72</v>
      </c>
      <c r="K161" s="67"/>
      <c r="L161" s="194" t="s">
        <v>190</v>
      </c>
      <c r="M161" s="196">
        <v>341796</v>
      </c>
      <c r="O161" s="164"/>
      <c r="P161" s="164"/>
      <c r="Q161" s="164"/>
      <c r="R161" s="164"/>
      <c r="S161" s="164"/>
    </row>
    <row r="162" spans="1:19">
      <c r="H162" s="161" t="s">
        <v>189</v>
      </c>
      <c r="I162" s="196">
        <v>-134234</v>
      </c>
      <c r="K162" s="67"/>
      <c r="L162" s="161" t="s">
        <v>189</v>
      </c>
      <c r="M162" s="196">
        <v>-134234</v>
      </c>
      <c r="O162" s="164"/>
      <c r="P162" s="164"/>
      <c r="Q162" s="164"/>
      <c r="R162" s="164"/>
      <c r="S162" s="164"/>
    </row>
    <row r="163" spans="1:19">
      <c r="G163" s="67"/>
      <c r="H163" s="195" t="s">
        <v>188</v>
      </c>
      <c r="I163" s="197">
        <f>SUM(I161:I162)</f>
        <v>219464.71999999997</v>
      </c>
      <c r="J163" s="225" t="s">
        <v>137</v>
      </c>
      <c r="K163" s="198"/>
      <c r="L163" s="195" t="s">
        <v>188</v>
      </c>
      <c r="M163" s="197">
        <f>SUM(M161:M162)</f>
        <v>207562</v>
      </c>
      <c r="O163" s="206" t="s">
        <v>137</v>
      </c>
    </row>
    <row r="167" spans="1:19" ht="15.75" customHeight="1">
      <c r="A167" s="281" t="s">
        <v>0</v>
      </c>
      <c r="B167" s="282"/>
      <c r="C167" s="282" t="s">
        <v>74</v>
      </c>
      <c r="D167" s="282"/>
      <c r="E167" s="282"/>
      <c r="F167" s="282"/>
      <c r="G167" s="282"/>
      <c r="H167" s="283"/>
      <c r="I167" s="1"/>
    </row>
    <row r="168" spans="1:19" ht="15.75" hidden="1" customHeight="1" outlineLevel="1">
      <c r="A168" s="132" t="s">
        <v>139</v>
      </c>
      <c r="B168" s="133"/>
      <c r="C168" s="140" t="s">
        <v>144</v>
      </c>
      <c r="D168" s="133"/>
      <c r="E168" s="133"/>
      <c r="F168" s="133"/>
      <c r="G168" s="133"/>
      <c r="H168" s="137"/>
      <c r="I168" s="1"/>
    </row>
    <row r="169" spans="1:19" ht="15.75" customHeight="1" collapsed="1">
      <c r="A169" s="269" t="s">
        <v>2</v>
      </c>
      <c r="B169" s="270"/>
      <c r="C169" s="299" t="s">
        <v>75</v>
      </c>
      <c r="D169" s="299"/>
      <c r="E169" s="299"/>
      <c r="F169" s="299"/>
      <c r="G169" s="299"/>
      <c r="H169" s="300"/>
      <c r="I169" s="1"/>
    </row>
    <row r="170" spans="1:19" ht="15.75" customHeight="1">
      <c r="A170" s="269" t="s">
        <v>4</v>
      </c>
      <c r="B170" s="270"/>
      <c r="C170" s="297" t="s">
        <v>76</v>
      </c>
      <c r="D170" s="297"/>
      <c r="E170" s="297"/>
      <c r="F170" s="297"/>
      <c r="G170" s="297"/>
      <c r="H170" s="298"/>
      <c r="I170" s="1"/>
    </row>
    <row r="171" spans="1:19" ht="15.75">
      <c r="A171" s="269" t="s">
        <v>6</v>
      </c>
      <c r="B171" s="270"/>
      <c r="C171" s="301">
        <v>0</v>
      </c>
      <c r="D171" s="302"/>
      <c r="E171" s="302"/>
      <c r="F171" s="302"/>
      <c r="G171" s="302"/>
      <c r="H171" s="303"/>
      <c r="I171" s="1"/>
      <c r="M171" s="50"/>
      <c r="O171" s="50" t="s">
        <v>46</v>
      </c>
      <c r="P171" s="50" t="s">
        <v>42</v>
      </c>
      <c r="R171" s="50" t="s">
        <v>47</v>
      </c>
    </row>
    <row r="172" spans="1:19" ht="15.75" customHeight="1">
      <c r="A172" s="274" t="s">
        <v>7</v>
      </c>
      <c r="B172" s="275"/>
      <c r="C172" s="293" t="s">
        <v>77</v>
      </c>
      <c r="D172" s="293"/>
      <c r="E172" s="293"/>
      <c r="F172" s="293"/>
      <c r="G172" s="293"/>
      <c r="H172" s="294"/>
      <c r="I172" s="1"/>
      <c r="K172" s="50" t="s">
        <v>44</v>
      </c>
      <c r="L172" s="168" t="s">
        <v>45</v>
      </c>
      <c r="M172" s="51" t="s">
        <v>194</v>
      </c>
      <c r="N172" s="51" t="s">
        <v>41</v>
      </c>
      <c r="O172" s="51" t="s">
        <v>195</v>
      </c>
      <c r="P172" s="51" t="s">
        <v>196</v>
      </c>
      <c r="Q172" s="51" t="s">
        <v>43</v>
      </c>
      <c r="R172" s="51" t="s">
        <v>197</v>
      </c>
    </row>
    <row r="173" spans="1:19">
      <c r="A173" s="2"/>
      <c r="B173" s="2"/>
      <c r="C173" s="2"/>
      <c r="D173" s="2"/>
      <c r="E173" s="2"/>
      <c r="F173" s="2"/>
      <c r="G173" s="2"/>
      <c r="H173" s="2"/>
      <c r="I173" s="2"/>
      <c r="K173" s="52"/>
      <c r="L173" s="287" t="s">
        <v>48</v>
      </c>
      <c r="M173" s="288"/>
      <c r="N173" s="288"/>
      <c r="O173" s="289"/>
      <c r="P173" s="53" t="s">
        <v>49</v>
      </c>
      <c r="Q173" s="52"/>
      <c r="R173" s="53" t="s">
        <v>50</v>
      </c>
    </row>
    <row r="174" spans="1:19">
      <c r="A174" s="3"/>
      <c r="B174" s="4"/>
      <c r="C174" s="5"/>
      <c r="D174" s="279">
        <v>0.2</v>
      </c>
      <c r="E174" s="280"/>
      <c r="F174" s="279">
        <v>0.8</v>
      </c>
      <c r="G174" s="280"/>
      <c r="H174" s="6"/>
      <c r="I174" s="7"/>
      <c r="J174" s="8" t="s">
        <v>9</v>
      </c>
      <c r="K174" s="54" t="s">
        <v>51</v>
      </c>
      <c r="L174" s="287" t="s">
        <v>52</v>
      </c>
      <c r="M174" s="288"/>
      <c r="N174" s="214"/>
      <c r="O174" s="53" t="s">
        <v>53</v>
      </c>
      <c r="P174" s="54" t="s">
        <v>54</v>
      </c>
      <c r="Q174" s="55"/>
      <c r="R174" s="54" t="s">
        <v>55</v>
      </c>
    </row>
    <row r="175" spans="1:19" ht="15" customHeight="1">
      <c r="A175" s="9"/>
      <c r="B175" s="10"/>
      <c r="C175" s="11"/>
      <c r="D175" s="290" t="s">
        <v>10</v>
      </c>
      <c r="E175" s="291"/>
      <c r="F175" s="290" t="s">
        <v>11</v>
      </c>
      <c r="G175" s="291"/>
      <c r="H175" s="290" t="s">
        <v>12</v>
      </c>
      <c r="I175" s="292"/>
      <c r="J175" s="12" t="s">
        <v>13</v>
      </c>
      <c r="K175" s="56" t="s">
        <v>56</v>
      </c>
      <c r="L175" s="169" t="s">
        <v>191</v>
      </c>
      <c r="M175" s="192" t="s">
        <v>192</v>
      </c>
      <c r="N175" s="57" t="s">
        <v>57</v>
      </c>
      <c r="O175" s="57" t="s">
        <v>56</v>
      </c>
      <c r="P175" s="57" t="s">
        <v>56</v>
      </c>
      <c r="Q175" s="57" t="s">
        <v>58</v>
      </c>
      <c r="R175" s="57" t="s">
        <v>59</v>
      </c>
    </row>
    <row r="176" spans="1:19" ht="38.25">
      <c r="A176" s="13" t="s">
        <v>14</v>
      </c>
      <c r="B176" s="14" t="s">
        <v>15</v>
      </c>
      <c r="C176" s="15" t="s">
        <v>16</v>
      </c>
      <c r="D176" s="16" t="s">
        <v>17</v>
      </c>
      <c r="E176" s="17" t="s">
        <v>18</v>
      </c>
      <c r="F176" s="16" t="s">
        <v>17</v>
      </c>
      <c r="G176" s="17" t="s">
        <v>18</v>
      </c>
      <c r="H176" s="18" t="s">
        <v>17</v>
      </c>
      <c r="I176" s="19" t="s">
        <v>18</v>
      </c>
      <c r="J176" s="15" t="s">
        <v>18</v>
      </c>
      <c r="K176" s="58" t="s">
        <v>60</v>
      </c>
      <c r="L176" s="170"/>
      <c r="M176" s="59"/>
      <c r="N176" s="170"/>
      <c r="O176" s="58" t="s">
        <v>60</v>
      </c>
      <c r="P176" s="59"/>
      <c r="Q176" s="59"/>
      <c r="R176" s="60" t="s">
        <v>60</v>
      </c>
    </row>
    <row r="177" spans="1:18">
      <c r="A177" s="20" t="s">
        <v>19</v>
      </c>
      <c r="B177" s="21">
        <v>11479167</v>
      </c>
      <c r="C177" s="22">
        <v>0.13130846252941786</v>
      </c>
      <c r="D177" s="23">
        <v>2.5518486607967062E-2</v>
      </c>
      <c r="E177" s="24">
        <v>0</v>
      </c>
      <c r="F177" s="25">
        <v>0</v>
      </c>
      <c r="G177" s="26">
        <v>0</v>
      </c>
      <c r="H177" s="27">
        <v>2.5518486607967062E-2</v>
      </c>
      <c r="I177" s="28">
        <v>0</v>
      </c>
      <c r="J177" s="29">
        <f>H177*I$205</f>
        <v>83568.627922169486</v>
      </c>
      <c r="K177" s="61">
        <f t="shared" ref="K177:K199" si="62">(I$205-M$205)*H177</f>
        <v>4501.3834614461002</v>
      </c>
      <c r="L177" s="167">
        <f>ROUND(J177*VLOOKUP($A177,'Actual Load'!$A$4:$B$29,2,FALSE)/VLOOKUP($A177,'Projected Zonal Load'!$A$4:$N$29,14,FALSE),0)</f>
        <v>89722</v>
      </c>
      <c r="M177" s="61">
        <f t="shared" ref="M177:M199" si="63">IF(NOT(L$40=0),M$4*L177/L$40,0)</f>
        <v>94735.331479671222</v>
      </c>
      <c r="N177" s="167">
        <f>+J177</f>
        <v>83568.627922169486</v>
      </c>
      <c r="O177" s="61">
        <f t="shared" ref="O177:O183" si="64">+M177-N177</f>
        <v>11166.703557501736</v>
      </c>
      <c r="P177" s="61">
        <f t="shared" ref="P177:P199" si="65">+K177+O177</f>
        <v>15668.087018947837</v>
      </c>
      <c r="Q177" s="62">
        <f>+H177*Interest!$D$15</f>
        <v>706.65324517663498</v>
      </c>
      <c r="R177" s="63">
        <f t="shared" ref="R177:R183" si="66">+P177+Q177</f>
        <v>16374.740264124472</v>
      </c>
    </row>
    <row r="178" spans="1:18">
      <c r="A178" s="30" t="s">
        <v>20</v>
      </c>
      <c r="B178" s="21">
        <v>552209</v>
      </c>
      <c r="C178" s="22">
        <v>6.3166355873128521E-3</v>
      </c>
      <c r="D178" s="23">
        <v>1.2275749600383795E-3</v>
      </c>
      <c r="E178" s="24">
        <v>0</v>
      </c>
      <c r="F178" s="25">
        <v>0</v>
      </c>
      <c r="G178" s="24">
        <v>0</v>
      </c>
      <c r="H178" s="27">
        <v>1.2275749600383795E-3</v>
      </c>
      <c r="I178" s="31">
        <v>0</v>
      </c>
      <c r="J178" s="29">
        <f t="shared" ref="J178:J199" si="67">H178*I$205</f>
        <v>4020.0955745546075</v>
      </c>
      <c r="K178" s="61">
        <f t="shared" si="62"/>
        <v>216.54049112289158</v>
      </c>
      <c r="L178" s="167">
        <f>ROUND(J178*VLOOKUP($A178,'Actual Load'!$A$4:$B$29,2,FALSE)/VLOOKUP($A178,'Projected Zonal Load'!$A$4:$N$29,14,FALSE),0)</f>
        <v>4140</v>
      </c>
      <c r="M178" s="61">
        <f t="shared" si="63"/>
        <v>4371.3277939171976</v>
      </c>
      <c r="N178" s="167">
        <f t="shared" ref="N178:N197" si="68">+J178</f>
        <v>4020.0955745546075</v>
      </c>
      <c r="O178" s="61">
        <f t="shared" si="64"/>
        <v>351.23221936259006</v>
      </c>
      <c r="P178" s="61">
        <f t="shared" si="65"/>
        <v>567.77271048548164</v>
      </c>
      <c r="Q178" s="62">
        <f>+H178*Interest!$D$15</f>
        <v>33.993780373240014</v>
      </c>
      <c r="R178" s="63">
        <f t="shared" si="66"/>
        <v>601.76649085872168</v>
      </c>
    </row>
    <row r="179" spans="1:18">
      <c r="A179" s="30" t="s">
        <v>21</v>
      </c>
      <c r="B179" s="21">
        <v>10468870</v>
      </c>
      <c r="C179" s="22">
        <v>0.11975182729899711</v>
      </c>
      <c r="D179" s="23">
        <v>2.3272570117287093E-2</v>
      </c>
      <c r="E179" s="24">
        <v>0</v>
      </c>
      <c r="F179" s="25">
        <v>0</v>
      </c>
      <c r="G179" s="24">
        <v>0</v>
      </c>
      <c r="H179" s="27">
        <v>2.3272570117287093E-2</v>
      </c>
      <c r="I179" s="31">
        <v>0</v>
      </c>
      <c r="J179" s="29">
        <f t="shared" si="67"/>
        <v>76213.640048582136</v>
      </c>
      <c r="K179" s="61">
        <f t="shared" si="62"/>
        <v>4105.2106200762855</v>
      </c>
      <c r="L179" s="167">
        <f>ROUND(J179*VLOOKUP($A179,'Actual Load'!$A$4:$B$29,2,FALSE)/VLOOKUP($A179,'Projected Zonal Load'!$A$4:$N$29,14,FALSE),0)</f>
        <v>80489</v>
      </c>
      <c r="M179" s="61">
        <f t="shared" si="63"/>
        <v>84986.425798212891</v>
      </c>
      <c r="N179" s="167">
        <f t="shared" si="68"/>
        <v>76213.640048582136</v>
      </c>
      <c r="O179" s="61">
        <f t="shared" si="64"/>
        <v>8772.7857496307552</v>
      </c>
      <c r="P179" s="61">
        <f t="shared" si="65"/>
        <v>12877.996369707042</v>
      </c>
      <c r="Q179" s="62">
        <f>+H179*Interest!$D$15</f>
        <v>644.45973813538205</v>
      </c>
      <c r="R179" s="63">
        <f t="shared" si="66"/>
        <v>13522.456107842423</v>
      </c>
    </row>
    <row r="180" spans="1:18">
      <c r="A180" s="30" t="s">
        <v>22</v>
      </c>
      <c r="B180" s="21">
        <v>1032750</v>
      </c>
      <c r="C180" s="22">
        <v>1.1813471715957813E-2</v>
      </c>
      <c r="D180" s="23">
        <v>2.2958300932792407E-3</v>
      </c>
      <c r="E180" s="24">
        <v>0</v>
      </c>
      <c r="F180" s="25">
        <v>0</v>
      </c>
      <c r="G180" s="24">
        <v>0</v>
      </c>
      <c r="H180" s="27">
        <v>2.2958300932792407E-3</v>
      </c>
      <c r="I180" s="31">
        <v>0</v>
      </c>
      <c r="J180" s="29">
        <f t="shared" si="67"/>
        <v>7518.4462850501723</v>
      </c>
      <c r="K180" s="61">
        <f t="shared" si="62"/>
        <v>404.97744913097438</v>
      </c>
      <c r="L180" s="167">
        <f>ROUND(J180*VLOOKUP($A180,'Actual Load'!$A$4:$B$29,2,FALSE)/VLOOKUP($A180,'Projected Zonal Load'!$A$4:$N$29,14,FALSE),0)</f>
        <v>7999</v>
      </c>
      <c r="M180" s="61">
        <f t="shared" si="63"/>
        <v>8445.9543535129633</v>
      </c>
      <c r="N180" s="167">
        <f t="shared" si="68"/>
        <v>7518.4462850501723</v>
      </c>
      <c r="O180" s="61">
        <f t="shared" si="64"/>
        <v>927.50806846279102</v>
      </c>
      <c r="P180" s="61">
        <f t="shared" si="65"/>
        <v>1332.4855175937655</v>
      </c>
      <c r="Q180" s="62">
        <f>+H180*Interest!$D$15</f>
        <v>63.575705358774705</v>
      </c>
      <c r="R180" s="63">
        <f t="shared" si="66"/>
        <v>1396.0612229525402</v>
      </c>
    </row>
    <row r="181" spans="1:18">
      <c r="A181" s="30" t="s">
        <v>23</v>
      </c>
      <c r="B181" s="21">
        <v>2589500</v>
      </c>
      <c r="C181" s="22">
        <v>2.9620900516555561E-2</v>
      </c>
      <c r="D181" s="23">
        <v>5.7565258063874067E-3</v>
      </c>
      <c r="E181" s="24">
        <v>0</v>
      </c>
      <c r="F181" s="25">
        <v>0</v>
      </c>
      <c r="G181" s="24">
        <v>0</v>
      </c>
      <c r="H181" s="27">
        <v>5.7565258063874067E-3</v>
      </c>
      <c r="I181" s="31">
        <v>0</v>
      </c>
      <c r="J181" s="29">
        <f t="shared" si="67"/>
        <v>18851.625906693218</v>
      </c>
      <c r="K181" s="61">
        <f t="shared" si="62"/>
        <v>1015.4336524082869</v>
      </c>
      <c r="L181" s="167">
        <f>ROUND(J181*VLOOKUP($A181,'Actual Load'!$A$4:$B$29,2,FALSE)/VLOOKUP($A181,'Projected Zonal Load'!$A$4:$N$29,14,FALSE),0)</f>
        <v>19012</v>
      </c>
      <c r="M181" s="61">
        <f t="shared" si="63"/>
        <v>20074.319811099944</v>
      </c>
      <c r="N181" s="167">
        <f t="shared" si="68"/>
        <v>18851.625906693218</v>
      </c>
      <c r="O181" s="61">
        <f t="shared" si="64"/>
        <v>1222.6939044067258</v>
      </c>
      <c r="P181" s="61">
        <f t="shared" si="65"/>
        <v>2238.1275568150127</v>
      </c>
      <c r="Q181" s="62">
        <f>+H181*Interest!$D$15</f>
        <v>159.40865555705361</v>
      </c>
      <c r="R181" s="63">
        <f t="shared" si="66"/>
        <v>2397.5362123720661</v>
      </c>
    </row>
    <row r="182" spans="1:18">
      <c r="A182" s="30" t="s">
        <v>24</v>
      </c>
      <c r="B182" s="21">
        <v>2986010</v>
      </c>
      <c r="C182" s="22">
        <v>3.4156518691423082E-2</v>
      </c>
      <c r="D182" s="23">
        <v>6.6379778424911599E-3</v>
      </c>
      <c r="E182" s="24">
        <v>0</v>
      </c>
      <c r="F182" s="25">
        <v>0</v>
      </c>
      <c r="G182" s="24">
        <v>0</v>
      </c>
      <c r="H182" s="27">
        <v>6.6379778424911599E-3</v>
      </c>
      <c r="I182" s="31">
        <v>0</v>
      </c>
      <c r="J182" s="29">
        <f t="shared" si="67"/>
        <v>21738.228798472683</v>
      </c>
      <c r="K182" s="61">
        <f t="shared" si="62"/>
        <v>1170.9191119627992</v>
      </c>
      <c r="L182" s="167">
        <f>ROUND(J182*VLOOKUP($A182,'Actual Load'!$A$4:$B$29,2,FALSE)/VLOOKUP($A182,'Projected Zonal Load'!$A$4:$N$29,14,FALSE),0)</f>
        <v>23357</v>
      </c>
      <c r="M182" s="61">
        <f t="shared" si="63"/>
        <v>24662.102242155554</v>
      </c>
      <c r="N182" s="167">
        <f t="shared" si="68"/>
        <v>21738.228798472683</v>
      </c>
      <c r="O182" s="61">
        <f t="shared" si="64"/>
        <v>2923.8734436828709</v>
      </c>
      <c r="P182" s="61">
        <f t="shared" si="65"/>
        <v>4094.7925556456703</v>
      </c>
      <c r="Q182" s="62">
        <f>+H182*Interest!$D$15</f>
        <v>183.81766347940436</v>
      </c>
      <c r="R182" s="63">
        <f t="shared" si="66"/>
        <v>4278.6102191250748</v>
      </c>
    </row>
    <row r="183" spans="1:18">
      <c r="A183" s="30" t="s">
        <v>25</v>
      </c>
      <c r="B183" s="21">
        <v>6997000</v>
      </c>
      <c r="C183" s="22">
        <v>8.003762923898021E-2</v>
      </c>
      <c r="D183" s="23">
        <v>1.555451286630341E-2</v>
      </c>
      <c r="E183" s="24">
        <v>0</v>
      </c>
      <c r="F183" s="25">
        <v>0</v>
      </c>
      <c r="G183" s="24">
        <v>0</v>
      </c>
      <c r="H183" s="27">
        <v>1.555451286630341E-2</v>
      </c>
      <c r="I183" s="31">
        <v>0</v>
      </c>
      <c r="J183" s="29">
        <f t="shared" si="67"/>
        <v>50938.338084237286</v>
      </c>
      <c r="K183" s="61">
        <f t="shared" si="62"/>
        <v>2743.7687838968072</v>
      </c>
      <c r="L183" s="167">
        <f>ROUND(J183*VLOOKUP($A183,'Actual Load'!$A$4:$B$29,2,FALSE)/VLOOKUP($A183,'Projected Zonal Load'!$A$4:$N$29,14,FALSE),0)</f>
        <v>53944</v>
      </c>
      <c r="M183" s="61">
        <f t="shared" si="63"/>
        <v>56958.189979485345</v>
      </c>
      <c r="N183" s="167">
        <f t="shared" si="68"/>
        <v>50938.338084237286</v>
      </c>
      <c r="O183" s="61">
        <f t="shared" si="64"/>
        <v>6019.851895248059</v>
      </c>
      <c r="P183" s="61">
        <f t="shared" si="65"/>
        <v>8763.6206791448658</v>
      </c>
      <c r="Q183" s="62">
        <f>+H183*Interest!$D$15</f>
        <v>430.73271401147093</v>
      </c>
      <c r="R183" s="63">
        <f t="shared" si="66"/>
        <v>9194.3533931563361</v>
      </c>
    </row>
    <row r="184" spans="1:18">
      <c r="A184" s="30" t="s">
        <v>26</v>
      </c>
      <c r="B184" s="21">
        <v>9283000</v>
      </c>
      <c r="C184" s="22">
        <v>0.10618683896319184</v>
      </c>
      <c r="D184" s="23">
        <v>2.0636350284106698E-2</v>
      </c>
      <c r="E184" s="24">
        <v>0</v>
      </c>
      <c r="F184" s="25">
        <v>0</v>
      </c>
      <c r="G184" s="24">
        <v>0</v>
      </c>
      <c r="H184" s="27">
        <v>2.0636350284106698E-2</v>
      </c>
      <c r="I184" s="31">
        <v>0</v>
      </c>
      <c r="J184" s="29">
        <f t="shared" si="67"/>
        <v>67580.476266396276</v>
      </c>
      <c r="K184" s="61">
        <f t="shared" si="62"/>
        <v>3640.1894556115572</v>
      </c>
      <c r="L184" s="167">
        <f>ROUND(J184*VLOOKUP($A184,'Actual Load'!$A$4:$B$29,2,FALSE)/VLOOKUP($A184,'Projected Zonal Load'!$A$4:$N$29,14,FALSE),0)</f>
        <v>72760</v>
      </c>
      <c r="M184" s="61">
        <f t="shared" si="63"/>
        <v>76825.558039955387</v>
      </c>
      <c r="N184" s="167">
        <f t="shared" si="68"/>
        <v>67580.476266396276</v>
      </c>
      <c r="O184" s="61">
        <f>+M184-N184</f>
        <v>9245.0817735591118</v>
      </c>
      <c r="P184" s="61">
        <f t="shared" si="65"/>
        <v>12885.271229170668</v>
      </c>
      <c r="Q184" s="62">
        <f>+H184*Interest!$D$15</f>
        <v>571.45802260518576</v>
      </c>
      <c r="R184" s="63">
        <f>+P184+Q184</f>
        <v>13456.729251775854</v>
      </c>
    </row>
    <row r="185" spans="1:18">
      <c r="A185" s="30" t="s">
        <v>27</v>
      </c>
      <c r="B185" s="21">
        <v>2800184</v>
      </c>
      <c r="C185" s="22">
        <v>3.2030883063159148E-2</v>
      </c>
      <c r="D185" s="23">
        <v>6.2248818144943477E-3</v>
      </c>
      <c r="E185" s="24">
        <v>0</v>
      </c>
      <c r="F185" s="25">
        <v>5.6917578044623574E-3</v>
      </c>
      <c r="G185" s="24">
        <v>0</v>
      </c>
      <c r="H185" s="27">
        <v>1.1916639618956705E-2</v>
      </c>
      <c r="I185" s="31">
        <v>0</v>
      </c>
      <c r="J185" s="29">
        <f t="shared" si="67"/>
        <v>39024.932696763542</v>
      </c>
      <c r="K185" s="61">
        <f t="shared" si="62"/>
        <v>2102.0590021995208</v>
      </c>
      <c r="L185" s="167">
        <f>ROUND(J185*VLOOKUP($A185,'Actual Load'!$A$4:$B$29,2,FALSE)/VLOOKUP($A185,'Projected Zonal Load'!$A$4:$N$29,14,FALSE),0)</f>
        <v>40124</v>
      </c>
      <c r="M185" s="61">
        <f t="shared" si="63"/>
        <v>42365.979807520205</v>
      </c>
      <c r="N185" s="167">
        <f t="shared" si="68"/>
        <v>39024.932696763542</v>
      </c>
      <c r="O185" s="61">
        <f t="shared" ref="O185:O197" si="69">+M185-N185</f>
        <v>3341.0471107566627</v>
      </c>
      <c r="P185" s="61">
        <f t="shared" si="65"/>
        <v>5443.106112956184</v>
      </c>
      <c r="Q185" s="62">
        <f>+H185*Interest!$D$15</f>
        <v>329.99339607024882</v>
      </c>
      <c r="R185" s="63">
        <f t="shared" ref="R185:R197" si="70">+P185+Q185</f>
        <v>5773.0995090264332</v>
      </c>
    </row>
    <row r="186" spans="1:18">
      <c r="A186" s="30" t="s">
        <v>28</v>
      </c>
      <c r="B186" s="21">
        <v>234000</v>
      </c>
      <c r="C186" s="22">
        <v>2.6766907591712691E-3</v>
      </c>
      <c r="D186" s="23">
        <v>5.2018808213734433E-4</v>
      </c>
      <c r="E186" s="24">
        <v>0</v>
      </c>
      <c r="F186" s="25">
        <v>0</v>
      </c>
      <c r="G186" s="24">
        <v>0</v>
      </c>
      <c r="H186" s="27">
        <v>5.2018808213734433E-4</v>
      </c>
      <c r="I186" s="31">
        <v>0</v>
      </c>
      <c r="J186" s="29">
        <f t="shared" si="67"/>
        <v>1703.5259556540695</v>
      </c>
      <c r="K186" s="61">
        <f t="shared" si="62"/>
        <v>91.759596317257817</v>
      </c>
      <c r="L186" s="167">
        <f>ROUND(J186*VLOOKUP($A186,'Actual Load'!$A$4:$B$29,2,FALSE)/VLOOKUP($A186,'Projected Zonal Load'!$A$4:$N$29,14,FALSE),0)</f>
        <v>1842</v>
      </c>
      <c r="M186" s="61">
        <f t="shared" si="63"/>
        <v>1944.924105409536</v>
      </c>
      <c r="N186" s="167">
        <f t="shared" si="68"/>
        <v>1703.5259556540695</v>
      </c>
      <c r="O186" s="61">
        <f t="shared" si="69"/>
        <v>241.39814975546642</v>
      </c>
      <c r="P186" s="61">
        <f t="shared" si="65"/>
        <v>333.15774607272425</v>
      </c>
      <c r="Q186" s="62">
        <f>+H186*Interest!$D$15</f>
        <v>14.404952848175533</v>
      </c>
      <c r="R186" s="63">
        <f t="shared" si="70"/>
        <v>347.56269892089978</v>
      </c>
    </row>
    <row r="187" spans="1:18">
      <c r="A187" s="30" t="s">
        <v>30</v>
      </c>
      <c r="B187" s="21">
        <v>7060375</v>
      </c>
      <c r="C187" s="22">
        <v>8.0762566319589099E-2</v>
      </c>
      <c r="D187" s="23">
        <v>1.5695397138548943E-2</v>
      </c>
      <c r="E187" s="24">
        <v>0</v>
      </c>
      <c r="F187" s="25">
        <v>0</v>
      </c>
      <c r="G187" s="24">
        <v>0</v>
      </c>
      <c r="H187" s="27">
        <v>1.5695397138548943E-2</v>
      </c>
      <c r="I187" s="31">
        <v>0</v>
      </c>
      <c r="J187" s="29">
        <f t="shared" si="67"/>
        <v>51399.709697226936</v>
      </c>
      <c r="K187" s="61">
        <f t="shared" si="62"/>
        <v>2768.6203412327318</v>
      </c>
      <c r="L187" s="167">
        <f>ROUND(J187*VLOOKUP($A187,'Actual Load'!$A$4:$B$29,2,FALSE)/VLOOKUP($A187,'Projected Zonal Load'!$A$4:$N$29,14,FALSE),0)</f>
        <v>52846</v>
      </c>
      <c r="M187" s="61">
        <f t="shared" si="63"/>
        <v>55798.837825446433</v>
      </c>
      <c r="N187" s="167">
        <f t="shared" si="68"/>
        <v>51399.709697226936</v>
      </c>
      <c r="O187" s="61">
        <f t="shared" si="69"/>
        <v>4399.1281282194977</v>
      </c>
      <c r="P187" s="61">
        <f t="shared" si="65"/>
        <v>7167.74846945223</v>
      </c>
      <c r="Q187" s="62">
        <f>+H187*Interest!$D$15</f>
        <v>434.63405540785186</v>
      </c>
      <c r="R187" s="63">
        <f t="shared" si="70"/>
        <v>7602.3825248600815</v>
      </c>
    </row>
    <row r="188" spans="1:18">
      <c r="A188" s="30" t="s">
        <v>29</v>
      </c>
      <c r="B188" s="21">
        <v>7069072</v>
      </c>
      <c r="C188" s="22">
        <v>8.0862049992804969E-2</v>
      </c>
      <c r="D188" s="23">
        <v>1.5714730795601713E-2</v>
      </c>
      <c r="E188" s="24">
        <v>0</v>
      </c>
      <c r="F188" s="25">
        <v>0</v>
      </c>
      <c r="G188" s="24">
        <v>0</v>
      </c>
      <c r="H188" s="27">
        <v>1.5714730795601713E-2</v>
      </c>
      <c r="I188" s="31">
        <v>0</v>
      </c>
      <c r="J188" s="29">
        <f t="shared" si="67"/>
        <v>51463.024078578739</v>
      </c>
      <c r="K188" s="61">
        <f t="shared" si="62"/>
        <v>2772.0307395625227</v>
      </c>
      <c r="L188" s="167">
        <f>ROUND(J188*VLOOKUP($A188,'Actual Load'!$A$4:$B$29,2,FALSE)/VLOOKUP($A188,'Projected Zonal Load'!$A$4:$N$29,14,FALSE),0)</f>
        <v>53960</v>
      </c>
      <c r="M188" s="61">
        <f t="shared" si="63"/>
        <v>56975.083999944924</v>
      </c>
      <c r="N188" s="167">
        <f t="shared" si="68"/>
        <v>51463.024078578739</v>
      </c>
      <c r="O188" s="61">
        <f t="shared" si="69"/>
        <v>5512.0599213661844</v>
      </c>
      <c r="P188" s="61">
        <f t="shared" si="65"/>
        <v>8284.0906609287067</v>
      </c>
      <c r="Q188" s="62">
        <f>+H188*Interest!$D$15</f>
        <v>435.16943948870903</v>
      </c>
      <c r="R188" s="63">
        <f t="shared" si="70"/>
        <v>8719.2601004174157</v>
      </c>
    </row>
    <row r="189" spans="1:18">
      <c r="A189" s="30" t="s">
        <v>72</v>
      </c>
      <c r="B189" s="21">
        <v>483692</v>
      </c>
      <c r="C189" s="22">
        <v>5.5328799430985872E-3</v>
      </c>
      <c r="D189" s="23">
        <v>1.0752598881417792E-3</v>
      </c>
      <c r="E189" s="24">
        <v>0</v>
      </c>
      <c r="F189" s="25">
        <v>0</v>
      </c>
      <c r="G189" s="24">
        <v>0</v>
      </c>
      <c r="H189" s="27">
        <v>1.0752598881417792E-3</v>
      </c>
      <c r="I189" s="31">
        <v>0</v>
      </c>
      <c r="J189" s="29">
        <f t="shared" si="67"/>
        <v>3521.2900706932828</v>
      </c>
      <c r="K189" s="61">
        <f t="shared" si="62"/>
        <v>189.67257547814984</v>
      </c>
      <c r="L189" s="167">
        <f>ROUND(J189*VLOOKUP($A189,'Actual Load'!$A$4:$B$29,2,FALSE)/VLOOKUP($A189,'Projected Zonal Load'!$A$4:$N$29,14,FALSE),0)</f>
        <v>3715</v>
      </c>
      <c r="M189" s="245">
        <f t="shared" si="63"/>
        <v>3922.5803754595145</v>
      </c>
      <c r="N189" s="167">
        <f t="shared" si="68"/>
        <v>3521.2900706932828</v>
      </c>
      <c r="O189" s="61">
        <f t="shared" si="69"/>
        <v>401.29030476623166</v>
      </c>
      <c r="P189" s="61">
        <f t="shared" si="65"/>
        <v>590.96288024438149</v>
      </c>
      <c r="Q189" s="62">
        <f>+H189*Interest!$D$15</f>
        <v>29.775899371964613</v>
      </c>
      <c r="R189" s="63">
        <f t="shared" si="70"/>
        <v>620.73877961634616</v>
      </c>
    </row>
    <row r="190" spans="1:18">
      <c r="A190" s="30" t="s">
        <v>73</v>
      </c>
      <c r="B190" s="21">
        <v>125500</v>
      </c>
      <c r="C190" s="22">
        <v>1.435575599470061E-3</v>
      </c>
      <c r="D190" s="23">
        <v>2.789897620010116E-4</v>
      </c>
      <c r="E190" s="24">
        <v>0</v>
      </c>
      <c r="F190" s="25">
        <v>0</v>
      </c>
      <c r="G190" s="24">
        <v>0</v>
      </c>
      <c r="H190" s="27">
        <v>2.789897620010116E-4</v>
      </c>
      <c r="I190" s="31">
        <v>0</v>
      </c>
      <c r="J190" s="29">
        <f t="shared" si="67"/>
        <v>913.64319416489627</v>
      </c>
      <c r="K190" s="61">
        <f>(I$205-M$205)*H190</f>
        <v>49.212945888101956</v>
      </c>
      <c r="L190" s="167">
        <v>0</v>
      </c>
      <c r="M190" s="245">
        <f t="shared" ref="M190" si="71">IF(NOT(L$40=0),M$4*L190/L$40,0)</f>
        <v>0</v>
      </c>
      <c r="N190" s="167">
        <f t="shared" si="68"/>
        <v>913.64319416489627</v>
      </c>
      <c r="O190" s="61">
        <f t="shared" si="69"/>
        <v>-913.64319416489627</v>
      </c>
      <c r="P190" s="61">
        <f t="shared" si="65"/>
        <v>-864.43024827679437</v>
      </c>
      <c r="Q190" s="62">
        <f>+H190*Interest!$D$15</f>
        <v>7.7257332583163656</v>
      </c>
      <c r="R190" s="63">
        <f t="shared" si="70"/>
        <v>-856.70451501847799</v>
      </c>
    </row>
    <row r="191" spans="1:18">
      <c r="A191" s="30" t="s">
        <v>31</v>
      </c>
      <c r="B191" s="21">
        <v>349000</v>
      </c>
      <c r="C191" s="22">
        <v>3.992158439960568E-3</v>
      </c>
      <c r="D191" s="23">
        <v>7.7583607122193657E-4</v>
      </c>
      <c r="E191" s="24">
        <v>0</v>
      </c>
      <c r="F191" s="25">
        <v>0</v>
      </c>
      <c r="G191" s="24">
        <v>0</v>
      </c>
      <c r="H191" s="27">
        <v>7.7583607122193657E-4</v>
      </c>
      <c r="I191" s="31">
        <v>0</v>
      </c>
      <c r="J191" s="29">
        <f t="shared" si="67"/>
        <v>2540.7288825780779</v>
      </c>
      <c r="K191" s="61">
        <f t="shared" si="62"/>
        <v>136.85512442189307</v>
      </c>
      <c r="L191" s="167">
        <f>ROUND(J191*VLOOKUP($A191,'Actual Load'!$A$4:$B$29,2,FALSE)/VLOOKUP($A191,'Projected Zonal Load'!$A$4:$N$29,14,FALSE),0)</f>
        <v>2623</v>
      </c>
      <c r="M191" s="61">
        <f t="shared" si="63"/>
        <v>2769.5634790929494</v>
      </c>
      <c r="N191" s="167">
        <f t="shared" si="68"/>
        <v>2540.7288825780779</v>
      </c>
      <c r="O191" s="61">
        <f t="shared" si="69"/>
        <v>228.83459651487146</v>
      </c>
      <c r="P191" s="61">
        <f t="shared" si="65"/>
        <v>365.6897209367645</v>
      </c>
      <c r="Q191" s="62">
        <f>+H191*Interest!$D$15</f>
        <v>21.484310017150687</v>
      </c>
      <c r="R191" s="63">
        <f t="shared" si="70"/>
        <v>387.17403095391518</v>
      </c>
    </row>
    <row r="192" spans="1:18">
      <c r="A192" s="30" t="s">
        <v>32</v>
      </c>
      <c r="B192" s="21">
        <v>369700</v>
      </c>
      <c r="C192" s="22">
        <v>4.2289426225026417E-3</v>
      </c>
      <c r="D192" s="23">
        <v>8.2185270925716318E-4</v>
      </c>
      <c r="E192" s="24">
        <v>0</v>
      </c>
      <c r="F192" s="25">
        <v>0</v>
      </c>
      <c r="G192" s="24">
        <v>0</v>
      </c>
      <c r="H192" s="27">
        <v>8.2185270925716318E-4</v>
      </c>
      <c r="I192" s="31">
        <v>0</v>
      </c>
      <c r="J192" s="29">
        <f t="shared" si="67"/>
        <v>2691.4254094243997</v>
      </c>
      <c r="K192" s="61">
        <f t="shared" si="62"/>
        <v>144.97231948072741</v>
      </c>
      <c r="L192" s="167">
        <f>ROUND(J192*VLOOKUP($A192,'Actual Load'!$A$4:$B$29,2,FALSE)/VLOOKUP($A192,'Projected Zonal Load'!$A$4:$N$29,14,FALSE),0)</f>
        <v>2712</v>
      </c>
      <c r="M192" s="61">
        <f t="shared" si="63"/>
        <v>2863.5364678993819</v>
      </c>
      <c r="N192" s="167">
        <f t="shared" si="68"/>
        <v>2691.4254094243997</v>
      </c>
      <c r="O192" s="61">
        <f t="shared" si="69"/>
        <v>172.1110584749822</v>
      </c>
      <c r="P192" s="61">
        <f t="shared" si="65"/>
        <v>317.08337795570958</v>
      </c>
      <c r="Q192" s="62">
        <f>+H192*Interest!$D$15</f>
        <v>22.758594307566216</v>
      </c>
      <c r="R192" s="63">
        <f t="shared" si="70"/>
        <v>339.84197226327581</v>
      </c>
    </row>
    <row r="193" spans="1:19">
      <c r="A193" s="30" t="s">
        <v>33</v>
      </c>
      <c r="B193" s="21">
        <v>10701139</v>
      </c>
      <c r="C193" s="22">
        <v>0.12240871740986015</v>
      </c>
      <c r="D193" s="23">
        <v>2.3788910141432217E-2</v>
      </c>
      <c r="E193" s="24">
        <v>0</v>
      </c>
      <c r="F193" s="25">
        <v>6.7299136612141344E-3</v>
      </c>
      <c r="G193" s="24">
        <v>0</v>
      </c>
      <c r="H193" s="27">
        <v>3.0518823802646353E-2</v>
      </c>
      <c r="I193" s="31">
        <v>0</v>
      </c>
      <c r="J193" s="29">
        <f t="shared" si="67"/>
        <v>99943.866976395992</v>
      </c>
      <c r="K193" s="61">
        <f t="shared" si="62"/>
        <v>5383.4277415624556</v>
      </c>
      <c r="L193" s="167">
        <f>ROUND(J193*VLOOKUP($A193,'Actual Load'!$A$4:$B$29,2,FALSE)/VLOOKUP($A193,'Projected Zonal Load'!$A$4:$N$29,14,FALSE),0)</f>
        <v>103882</v>
      </c>
      <c r="M193" s="61">
        <f t="shared" si="63"/>
        <v>109686.5395864025</v>
      </c>
      <c r="N193" s="167">
        <f t="shared" si="68"/>
        <v>99943.866976395992</v>
      </c>
      <c r="O193" s="61">
        <f t="shared" si="69"/>
        <v>9742.6726100065134</v>
      </c>
      <c r="P193" s="61">
        <f t="shared" si="65"/>
        <v>15126.10035156897</v>
      </c>
      <c r="Q193" s="62">
        <f>+H193*Interest!$D$15</f>
        <v>845.12166455752276</v>
      </c>
      <c r="R193" s="63">
        <f t="shared" si="70"/>
        <v>15971.222016126492</v>
      </c>
    </row>
    <row r="194" spans="1:19">
      <c r="A194" s="30" t="s">
        <v>34</v>
      </c>
      <c r="B194" s="21">
        <v>8491257</v>
      </c>
      <c r="C194" s="22">
        <v>9.7130210024138255E-2</v>
      </c>
      <c r="D194" s="23">
        <v>1.8876285016091024E-2</v>
      </c>
      <c r="E194" s="24">
        <v>0</v>
      </c>
      <c r="F194" s="25">
        <v>0.49981017489142782</v>
      </c>
      <c r="G194" s="24">
        <v>0</v>
      </c>
      <c r="H194" s="27">
        <v>0.51868645990751883</v>
      </c>
      <c r="I194" s="31">
        <v>0</v>
      </c>
      <c r="J194" s="29">
        <f t="shared" si="67"/>
        <v>1698608.4026921017</v>
      </c>
      <c r="K194" s="61">
        <f t="shared" si="62"/>
        <v>91494.714720848177</v>
      </c>
      <c r="L194" s="167">
        <f>ROUND(J194*VLOOKUP($A194,'Actual Load'!$A$4:$B$29,2,FALSE)/VLOOKUP($A194,'Projected Zonal Load'!$A$4:$N$29,14,FALSE),0)</f>
        <v>1684884</v>
      </c>
      <c r="M194" s="61">
        <f t="shared" si="63"/>
        <v>1779029.048001542</v>
      </c>
      <c r="N194" s="167">
        <f t="shared" si="68"/>
        <v>1698608.4026921017</v>
      </c>
      <c r="O194" s="61">
        <f t="shared" si="69"/>
        <v>80420.645309440326</v>
      </c>
      <c r="P194" s="61">
        <f t="shared" si="65"/>
        <v>171915.36003028852</v>
      </c>
      <c r="Q194" s="62">
        <f>+H194*Interest!$D$15</f>
        <v>14363.370201130772</v>
      </c>
      <c r="R194" s="63">
        <f t="shared" si="70"/>
        <v>186278.73023141929</v>
      </c>
    </row>
    <row r="195" spans="1:19">
      <c r="A195" s="30" t="s">
        <v>35</v>
      </c>
      <c r="B195" s="21">
        <v>1726630</v>
      </c>
      <c r="C195" s="22">
        <v>1.9750660536358496E-2</v>
      </c>
      <c r="D195" s="23">
        <v>3.8383433686359093E-3</v>
      </c>
      <c r="E195" s="24">
        <v>0</v>
      </c>
      <c r="F195" s="25">
        <v>9.044762410790351E-2</v>
      </c>
      <c r="G195" s="24">
        <v>0</v>
      </c>
      <c r="H195" s="27">
        <v>9.4285967476539417E-2</v>
      </c>
      <c r="I195" s="31">
        <v>0</v>
      </c>
      <c r="J195" s="29">
        <f t="shared" si="67"/>
        <v>308770.22824185446</v>
      </c>
      <c r="K195" s="61">
        <f t="shared" si="62"/>
        <v>16631.758033520422</v>
      </c>
      <c r="L195" s="167">
        <f>ROUND(J195*VLOOKUP($A195,'Actual Load'!$A$4:$B$29,2,FALSE)/VLOOKUP($A195,'Projected Zonal Load'!$A$4:$N$29,14,FALSE),0)</f>
        <v>307229</v>
      </c>
      <c r="M195" s="61">
        <f t="shared" si="63"/>
        <v>324395.81323608378</v>
      </c>
      <c r="N195" s="167">
        <f t="shared" si="68"/>
        <v>308770.22824185446</v>
      </c>
      <c r="O195" s="61">
        <f t="shared" si="69"/>
        <v>15625.584994229313</v>
      </c>
      <c r="P195" s="61">
        <f t="shared" si="65"/>
        <v>32257.343027749735</v>
      </c>
      <c r="Q195" s="62">
        <f>+H195*Interest!$D$15</f>
        <v>2610.9496975856573</v>
      </c>
      <c r="R195" s="63">
        <f t="shared" si="70"/>
        <v>34868.292725335392</v>
      </c>
    </row>
    <row r="196" spans="1:19">
      <c r="A196" s="30" t="s">
        <v>36</v>
      </c>
      <c r="B196" s="21">
        <v>260430</v>
      </c>
      <c r="C196" s="22">
        <v>2.9790195487648446E-3</v>
      </c>
      <c r="D196" s="23">
        <v>5.7894265910695981E-4</v>
      </c>
      <c r="E196" s="24">
        <v>0</v>
      </c>
      <c r="F196" s="25">
        <v>0</v>
      </c>
      <c r="G196" s="24">
        <v>0</v>
      </c>
      <c r="H196" s="27">
        <v>5.7894265910695981E-4</v>
      </c>
      <c r="I196" s="31">
        <v>0</v>
      </c>
      <c r="J196" s="29">
        <f t="shared" si="67"/>
        <v>1895.9370283375615</v>
      </c>
      <c r="K196" s="61">
        <f t="shared" si="62"/>
        <v>102.123725080784</v>
      </c>
      <c r="L196" s="167">
        <f>ROUND(J196*VLOOKUP($A196,'Actual Load'!$A$4:$B$29,2,FALSE)/VLOOKUP($A196,'Projected Zonal Load'!$A$4:$N$29,14,FALSE),0)</f>
        <v>1896</v>
      </c>
      <c r="M196" s="61">
        <f t="shared" si="63"/>
        <v>2001.9414244606298</v>
      </c>
      <c r="N196" s="167">
        <f t="shared" si="68"/>
        <v>1895.9370283375615</v>
      </c>
      <c r="O196" s="61">
        <f t="shared" si="69"/>
        <v>106.00439612306832</v>
      </c>
      <c r="P196" s="61">
        <f t="shared" si="65"/>
        <v>208.12812120385232</v>
      </c>
      <c r="Q196" s="62">
        <f>+H196*Interest!$D$15</f>
        <v>16.031973804488693</v>
      </c>
      <c r="R196" s="63">
        <f t="shared" si="70"/>
        <v>224.16009500834102</v>
      </c>
    </row>
    <row r="197" spans="1:19">
      <c r="A197" s="30" t="s">
        <v>37</v>
      </c>
      <c r="B197" s="21">
        <v>1010330</v>
      </c>
      <c r="C197" s="22">
        <v>1.155701271245089E-2</v>
      </c>
      <c r="D197" s="23">
        <v>2.2459898505377057E-3</v>
      </c>
      <c r="E197" s="24">
        <v>0</v>
      </c>
      <c r="F197" s="25">
        <v>2.8620609167955287E-2</v>
      </c>
      <c r="G197" s="24">
        <v>0</v>
      </c>
      <c r="H197" s="27">
        <v>3.0866599018492993E-2</v>
      </c>
      <c r="I197" s="31">
        <v>0</v>
      </c>
      <c r="J197" s="29">
        <f t="shared" si="67"/>
        <v>101082.7706292704</v>
      </c>
      <c r="K197" s="61">
        <f t="shared" si="62"/>
        <v>5444.7742324011469</v>
      </c>
      <c r="L197" s="167">
        <f>ROUND(J197*VLOOKUP($A197,'Actual Load'!$A$4:$B$29,2,FALSE)/VLOOKUP($A197,'Projected Zonal Load'!$A$4:$N$29,14,FALSE),0)</f>
        <v>100759</v>
      </c>
      <c r="M197" s="61">
        <f t="shared" si="63"/>
        <v>106389.03796794757</v>
      </c>
      <c r="N197" s="167">
        <f t="shared" si="68"/>
        <v>101082.7706292704</v>
      </c>
      <c r="O197" s="61">
        <f t="shared" si="69"/>
        <v>5306.2673386771785</v>
      </c>
      <c r="P197" s="61">
        <f t="shared" si="65"/>
        <v>10751.041571078325</v>
      </c>
      <c r="Q197" s="62">
        <f>+H197*Interest!$D$15</f>
        <v>854.75219197262845</v>
      </c>
      <c r="R197" s="63">
        <f t="shared" si="70"/>
        <v>11605.793763050953</v>
      </c>
    </row>
    <row r="198" spans="1:19">
      <c r="A198" s="30" t="s">
        <v>38</v>
      </c>
      <c r="B198" s="21">
        <v>744197</v>
      </c>
      <c r="C198" s="22">
        <v>8.5127574055682952E-3</v>
      </c>
      <c r="D198" s="23">
        <v>1.6543692741981422E-3</v>
      </c>
      <c r="E198" s="24">
        <v>0</v>
      </c>
      <c r="F198" s="25">
        <v>0.1620941212435571</v>
      </c>
      <c r="G198" s="24">
        <v>0</v>
      </c>
      <c r="H198" s="27">
        <v>0.16374849051775525</v>
      </c>
      <c r="I198" s="31">
        <v>0</v>
      </c>
      <c r="J198" s="29">
        <f t="shared" si="67"/>
        <v>536247.97140684922</v>
      </c>
      <c r="K198" s="61">
        <f t="shared" si="62"/>
        <v>28884.735931920848</v>
      </c>
      <c r="L198" s="167">
        <f>ROUND(J198*VLOOKUP($A198,'Actual Load'!$A$4:$B$29,2,FALSE)/VLOOKUP($A198,'Projected Zonal Load'!$A$4:$N$29,14,FALSE),0)</f>
        <v>579680</v>
      </c>
      <c r="M198" s="61">
        <f t="shared" si="63"/>
        <v>612070.36125070567</v>
      </c>
      <c r="N198" s="167">
        <f t="shared" ref="N198:N199" si="72">+J198</f>
        <v>536247.97140684922</v>
      </c>
      <c r="O198" s="61">
        <f t="shared" ref="O198:O199" si="73">+M198-N198</f>
        <v>75822.38984385645</v>
      </c>
      <c r="P198" s="61">
        <f t="shared" si="65"/>
        <v>104707.1257757773</v>
      </c>
      <c r="Q198" s="62">
        <f>+H198*Interest!$D$15</f>
        <v>4534.4931302086152</v>
      </c>
      <c r="R198" s="63">
        <f t="shared" ref="R198:R199" si="74">+P198+Q198</f>
        <v>109241.61890598592</v>
      </c>
    </row>
    <row r="199" spans="1:19">
      <c r="A199" s="32" t="s">
        <v>39</v>
      </c>
      <c r="B199" s="21">
        <v>607368</v>
      </c>
      <c r="C199" s="22">
        <v>6.9475910812663907E-3</v>
      </c>
      <c r="D199" s="23">
        <v>1.3501948507333101E-3</v>
      </c>
      <c r="E199" s="24">
        <v>0</v>
      </c>
      <c r="F199" s="25">
        <v>1.2265799123479845E-2</v>
      </c>
      <c r="G199" s="33">
        <v>0</v>
      </c>
      <c r="H199" s="34">
        <v>1.3615993974213154E-2</v>
      </c>
      <c r="I199" s="35">
        <v>0</v>
      </c>
      <c r="J199" s="29">
        <f t="shared" si="67"/>
        <v>44590.024153950784</v>
      </c>
      <c r="K199" s="61">
        <f t="shared" si="62"/>
        <v>2401.8199444295183</v>
      </c>
      <c r="L199" s="167">
        <f>ROUND(J199*VLOOKUP($A199,'Actual Load'!$A$4:$B$29,2,FALSE)/VLOOKUP($A199,'Projected Zonal Load'!$A$4:$N$29,14,FALSE),0)</f>
        <v>46168</v>
      </c>
      <c r="M199" s="61">
        <f t="shared" si="63"/>
        <v>48747.696036127825</v>
      </c>
      <c r="N199" s="167">
        <f t="shared" si="72"/>
        <v>44590.024153950784</v>
      </c>
      <c r="O199" s="61">
        <f t="shared" si="73"/>
        <v>4157.671882177041</v>
      </c>
      <c r="P199" s="61">
        <f t="shared" si="65"/>
        <v>6559.4918266065597</v>
      </c>
      <c r="Q199" s="62">
        <f>+H199*Interest!$D$15</f>
        <v>377.05160482280479</v>
      </c>
      <c r="R199" s="63">
        <f t="shared" si="74"/>
        <v>6936.5434314293643</v>
      </c>
    </row>
    <row r="200" spans="1:19">
      <c r="A200" s="36"/>
      <c r="B200" s="37">
        <v>87421380</v>
      </c>
      <c r="C200" s="38">
        <v>1.0000000000000002</v>
      </c>
      <c r="D200" s="39">
        <v>0.19433999999999998</v>
      </c>
      <c r="E200" s="40">
        <v>0</v>
      </c>
      <c r="F200" s="41">
        <v>0.80566000000000004</v>
      </c>
      <c r="G200" s="40">
        <v>0</v>
      </c>
      <c r="H200" s="42">
        <v>1</v>
      </c>
      <c r="I200" s="43">
        <v>0</v>
      </c>
      <c r="J200" s="44">
        <f>SUM(J177:J199)</f>
        <v>3274826.96</v>
      </c>
      <c r="K200" s="64">
        <f>SUM(K177:K199)</f>
        <v>176396.95999999996</v>
      </c>
      <c r="L200" s="64">
        <f t="shared" ref="L200:R200" si="75">SUM(L177:L199)</f>
        <v>3333743</v>
      </c>
      <c r="M200" s="64">
        <f t="shared" si="75"/>
        <v>3520020.1530620535</v>
      </c>
      <c r="N200" s="215">
        <f t="shared" si="75"/>
        <v>3274826.96</v>
      </c>
      <c r="O200" s="64">
        <f t="shared" si="75"/>
        <v>245193.1930620535</v>
      </c>
      <c r="P200" s="64">
        <f t="shared" si="75"/>
        <v>421590.15306205349</v>
      </c>
      <c r="Q200" s="64">
        <f t="shared" si="75"/>
        <v>27691.816369549619</v>
      </c>
      <c r="R200" s="64">
        <f t="shared" si="75"/>
        <v>449281.96943160309</v>
      </c>
    </row>
    <row r="201" spans="1:19">
      <c r="A201" s="47" t="s">
        <v>223</v>
      </c>
      <c r="H201" s="45"/>
      <c r="I201" s="46"/>
      <c r="O201" s="164"/>
      <c r="P201" s="164"/>
      <c r="Q201" s="164"/>
      <c r="R201" s="164"/>
      <c r="S201" s="164"/>
    </row>
    <row r="202" spans="1:19">
      <c r="A202" s="47" t="s">
        <v>137</v>
      </c>
      <c r="O202" s="164"/>
      <c r="P202" s="164"/>
      <c r="Q202" s="164"/>
      <c r="R202" s="164"/>
      <c r="S202" s="164"/>
    </row>
    <row r="203" spans="1:19">
      <c r="H203" s="194" t="s">
        <v>187</v>
      </c>
      <c r="I203" s="196">
        <v>3274826.96</v>
      </c>
      <c r="K203" s="67"/>
      <c r="L203" s="194" t="s">
        <v>190</v>
      </c>
      <c r="M203" s="196">
        <v>3098430</v>
      </c>
      <c r="O203" s="164"/>
      <c r="P203" s="164"/>
      <c r="Q203" s="164"/>
      <c r="R203" s="164"/>
      <c r="S203" s="164"/>
    </row>
    <row r="204" spans="1:19">
      <c r="H204" s="161" t="s">
        <v>189</v>
      </c>
      <c r="I204" s="196">
        <v>0</v>
      </c>
      <c r="K204" s="67"/>
      <c r="L204" s="161" t="s">
        <v>189</v>
      </c>
      <c r="M204" s="196">
        <v>0</v>
      </c>
      <c r="O204" s="164"/>
      <c r="P204" s="164"/>
      <c r="Q204" s="164"/>
      <c r="R204" s="164"/>
      <c r="S204" s="164"/>
    </row>
    <row r="205" spans="1:19">
      <c r="G205" s="67"/>
      <c r="H205" s="195" t="s">
        <v>188</v>
      </c>
      <c r="I205" s="197">
        <f>SUM(I203:I204)</f>
        <v>3274826.96</v>
      </c>
      <c r="J205" s="225" t="s">
        <v>137</v>
      </c>
      <c r="K205" s="198"/>
      <c r="L205" s="195" t="s">
        <v>188</v>
      </c>
      <c r="M205" s="197">
        <f>SUM(M203:M204)</f>
        <v>3098430</v>
      </c>
      <c r="O205" s="206" t="s">
        <v>137</v>
      </c>
    </row>
    <row r="206" spans="1:19">
      <c r="I206" s="49"/>
    </row>
    <row r="208" spans="1:19" ht="15.75">
      <c r="A208" s="314" t="s">
        <v>0</v>
      </c>
      <c r="B208" s="315"/>
      <c r="C208" s="316" t="s">
        <v>78</v>
      </c>
      <c r="D208" s="317"/>
      <c r="E208" s="317"/>
      <c r="F208" s="317"/>
      <c r="G208" s="317"/>
      <c r="H208" s="318"/>
      <c r="I208" s="1"/>
    </row>
    <row r="209" spans="1:18" ht="15.75" hidden="1" outlineLevel="1">
      <c r="A209" s="138" t="s">
        <v>139</v>
      </c>
      <c r="B209" s="139"/>
      <c r="C209" s="136" t="s">
        <v>146</v>
      </c>
      <c r="D209" s="134"/>
      <c r="E209" s="134"/>
      <c r="F209" s="134"/>
      <c r="G209" s="134"/>
      <c r="H209" s="135"/>
      <c r="I209" s="1"/>
    </row>
    <row r="210" spans="1:18" ht="15.75" collapsed="1">
      <c r="A210" s="304" t="s">
        <v>2</v>
      </c>
      <c r="B210" s="305"/>
      <c r="C210" s="267" t="s">
        <v>224</v>
      </c>
      <c r="D210" s="267"/>
      <c r="E210" s="267"/>
      <c r="F210" s="267"/>
      <c r="G210" s="267"/>
      <c r="H210" s="267"/>
      <c r="I210" s="1"/>
    </row>
    <row r="211" spans="1:18" ht="15.75">
      <c r="A211" s="304" t="s">
        <v>4</v>
      </c>
      <c r="B211" s="305"/>
      <c r="C211" s="306"/>
      <c r="D211" s="307"/>
      <c r="E211" s="307"/>
      <c r="F211" s="307"/>
      <c r="G211" s="307"/>
      <c r="H211" s="308"/>
      <c r="I211" s="1"/>
    </row>
    <row r="212" spans="1:18" ht="15.75">
      <c r="A212" s="304" t="s">
        <v>6</v>
      </c>
      <c r="B212" s="305"/>
      <c r="C212" s="271">
        <v>0</v>
      </c>
      <c r="D212" s="272"/>
      <c r="E212" s="272"/>
      <c r="F212" s="272"/>
      <c r="G212" s="272"/>
      <c r="H212" s="273"/>
      <c r="I212" s="1"/>
      <c r="M212" s="50"/>
      <c r="O212" s="50" t="s">
        <v>46</v>
      </c>
      <c r="P212" s="50" t="s">
        <v>42</v>
      </c>
      <c r="R212" s="50" t="s">
        <v>47</v>
      </c>
    </row>
    <row r="213" spans="1:18" ht="15.75">
      <c r="A213" s="309" t="s">
        <v>7</v>
      </c>
      <c r="B213" s="310"/>
      <c r="C213" s="311" t="s">
        <v>37</v>
      </c>
      <c r="D213" s="312"/>
      <c r="E213" s="312"/>
      <c r="F213" s="312"/>
      <c r="G213" s="312"/>
      <c r="H213" s="313"/>
      <c r="I213" s="1"/>
      <c r="K213" s="50" t="s">
        <v>44</v>
      </c>
      <c r="L213" s="168" t="s">
        <v>45</v>
      </c>
      <c r="M213" s="51" t="s">
        <v>194</v>
      </c>
      <c r="N213" s="51" t="s">
        <v>41</v>
      </c>
      <c r="O213" s="51" t="s">
        <v>195</v>
      </c>
      <c r="P213" s="51" t="s">
        <v>196</v>
      </c>
      <c r="Q213" s="51" t="s">
        <v>43</v>
      </c>
      <c r="R213" s="51" t="s">
        <v>197</v>
      </c>
    </row>
    <row r="214" spans="1:18">
      <c r="A214" s="2"/>
      <c r="B214" s="2"/>
      <c r="C214" s="2"/>
      <c r="D214" s="2"/>
      <c r="E214" s="2"/>
      <c r="F214" s="2"/>
      <c r="G214" s="2"/>
      <c r="H214" s="2"/>
      <c r="I214" s="2"/>
      <c r="K214" s="52"/>
      <c r="L214" s="287" t="s">
        <v>48</v>
      </c>
      <c r="M214" s="288"/>
      <c r="N214" s="288"/>
      <c r="O214" s="289"/>
      <c r="P214" s="53" t="s">
        <v>49</v>
      </c>
      <c r="Q214" s="52"/>
      <c r="R214" s="53" t="s">
        <v>50</v>
      </c>
    </row>
    <row r="215" spans="1:18">
      <c r="A215" s="3"/>
      <c r="B215" s="4"/>
      <c r="C215" s="5"/>
      <c r="D215" s="279">
        <v>0.2</v>
      </c>
      <c r="E215" s="280"/>
      <c r="F215" s="279">
        <v>0.8</v>
      </c>
      <c r="G215" s="280"/>
      <c r="H215" s="6"/>
      <c r="I215" s="7"/>
      <c r="J215" s="8" t="s">
        <v>9</v>
      </c>
      <c r="K215" s="54" t="s">
        <v>51</v>
      </c>
      <c r="L215" s="287" t="s">
        <v>52</v>
      </c>
      <c r="M215" s="288"/>
      <c r="N215" s="214"/>
      <c r="O215" s="53" t="s">
        <v>53</v>
      </c>
      <c r="P215" s="54" t="s">
        <v>54</v>
      </c>
      <c r="Q215" s="55"/>
      <c r="R215" s="54" t="s">
        <v>55</v>
      </c>
    </row>
    <row r="216" spans="1:18">
      <c r="A216" s="9"/>
      <c r="B216" s="10"/>
      <c r="C216" s="11"/>
      <c r="D216" s="290" t="s">
        <v>10</v>
      </c>
      <c r="E216" s="291"/>
      <c r="F216" s="290" t="s">
        <v>11</v>
      </c>
      <c r="G216" s="291"/>
      <c r="H216" s="290" t="s">
        <v>12</v>
      </c>
      <c r="I216" s="291"/>
      <c r="J216" s="12" t="s">
        <v>13</v>
      </c>
      <c r="K216" s="56" t="s">
        <v>56</v>
      </c>
      <c r="L216" s="169" t="s">
        <v>191</v>
      </c>
      <c r="M216" s="192" t="s">
        <v>192</v>
      </c>
      <c r="N216" s="57" t="s">
        <v>57</v>
      </c>
      <c r="O216" s="57" t="s">
        <v>56</v>
      </c>
      <c r="P216" s="57" t="s">
        <v>56</v>
      </c>
      <c r="Q216" s="57" t="s">
        <v>58</v>
      </c>
      <c r="R216" s="57" t="s">
        <v>59</v>
      </c>
    </row>
    <row r="217" spans="1:18" ht="38.25">
      <c r="A217" s="13" t="s">
        <v>14</v>
      </c>
      <c r="B217" s="14" t="s">
        <v>15</v>
      </c>
      <c r="C217" s="15" t="s">
        <v>16</v>
      </c>
      <c r="D217" s="16" t="s">
        <v>17</v>
      </c>
      <c r="E217" s="17" t="s">
        <v>18</v>
      </c>
      <c r="F217" s="16" t="s">
        <v>17</v>
      </c>
      <c r="G217" s="17" t="s">
        <v>18</v>
      </c>
      <c r="H217" s="18" t="s">
        <v>17</v>
      </c>
      <c r="I217" s="19" t="s">
        <v>18</v>
      </c>
      <c r="J217" s="15" t="s">
        <v>18</v>
      </c>
      <c r="K217" s="58" t="s">
        <v>60</v>
      </c>
      <c r="L217" s="170"/>
      <c r="M217" s="59"/>
      <c r="N217" s="170"/>
      <c r="O217" s="58" t="s">
        <v>60</v>
      </c>
      <c r="P217" s="59"/>
      <c r="Q217" s="59"/>
      <c r="R217" s="60" t="s">
        <v>60</v>
      </c>
    </row>
    <row r="218" spans="1:18">
      <c r="A218" s="20" t="s">
        <v>19</v>
      </c>
      <c r="B218" s="21"/>
      <c r="C218" s="22"/>
      <c r="D218" s="23">
        <v>0</v>
      </c>
      <c r="E218" s="24">
        <v>0</v>
      </c>
      <c r="F218" s="25">
        <v>0</v>
      </c>
      <c r="G218" s="26">
        <v>0</v>
      </c>
      <c r="H218" s="23">
        <v>0</v>
      </c>
      <c r="I218" s="28">
        <v>0</v>
      </c>
      <c r="J218" s="29">
        <f>H218*I$246</f>
        <v>0</v>
      </c>
      <c r="K218" s="61">
        <f t="shared" ref="K218:K240" si="76">(I$246-M$246)*H218</f>
        <v>0</v>
      </c>
      <c r="L218" s="167">
        <f>ROUND(J218*VLOOKUP($A218,'Actual Load'!$A$4:$B$29,2,FALSE)/VLOOKUP($A218,'Projected Zonal Load'!$A$4:$N$29,14,FALSE),0)</f>
        <v>0</v>
      </c>
      <c r="M218" s="61">
        <f t="shared" ref="M218:M240" si="77">IF(NOT(L$40=0),M$4*L218/L$40,0)</f>
        <v>0</v>
      </c>
      <c r="N218" s="167">
        <f>+J218</f>
        <v>0</v>
      </c>
      <c r="O218" s="61">
        <f t="shared" ref="O218:O224" si="78">+M218-N218</f>
        <v>0</v>
      </c>
      <c r="P218" s="61">
        <f t="shared" ref="P218:P240" si="79">+K218+O218</f>
        <v>0</v>
      </c>
      <c r="Q218" s="62">
        <f>+H218*Interest!$D$20</f>
        <v>0</v>
      </c>
      <c r="R218" s="63">
        <f t="shared" ref="R218:R224" si="80">+P218+Q218</f>
        <v>0</v>
      </c>
    </row>
    <row r="219" spans="1:18">
      <c r="A219" s="30" t="s">
        <v>20</v>
      </c>
      <c r="B219" s="21"/>
      <c r="C219" s="22"/>
      <c r="D219" s="23">
        <v>0</v>
      </c>
      <c r="E219" s="24">
        <v>0</v>
      </c>
      <c r="F219" s="25">
        <v>0</v>
      </c>
      <c r="G219" s="24">
        <v>0</v>
      </c>
      <c r="H219" s="23">
        <v>0</v>
      </c>
      <c r="I219" s="31">
        <v>0</v>
      </c>
      <c r="J219" s="29">
        <f t="shared" ref="J219:J240" si="81">H219*I$246</f>
        <v>0</v>
      </c>
      <c r="K219" s="61">
        <f t="shared" si="76"/>
        <v>0</v>
      </c>
      <c r="L219" s="167">
        <f>ROUND(J219*VLOOKUP($A219,'Actual Load'!$A$4:$B$29,2,FALSE)/VLOOKUP($A219,'Projected Zonal Load'!$A$4:$N$29,14,FALSE),0)</f>
        <v>0</v>
      </c>
      <c r="M219" s="61">
        <f t="shared" si="77"/>
        <v>0</v>
      </c>
      <c r="N219" s="167">
        <f t="shared" ref="N219:N236" si="82">+J219</f>
        <v>0</v>
      </c>
      <c r="O219" s="61">
        <f t="shared" si="78"/>
        <v>0</v>
      </c>
      <c r="P219" s="61">
        <f t="shared" si="79"/>
        <v>0</v>
      </c>
      <c r="Q219" s="62">
        <f>+H219*Interest!$D$20</f>
        <v>0</v>
      </c>
      <c r="R219" s="63">
        <f t="shared" si="80"/>
        <v>0</v>
      </c>
    </row>
    <row r="220" spans="1:18">
      <c r="A220" s="30" t="s">
        <v>21</v>
      </c>
      <c r="B220" s="21"/>
      <c r="C220" s="22"/>
      <c r="D220" s="23">
        <v>0</v>
      </c>
      <c r="E220" s="24">
        <v>0</v>
      </c>
      <c r="F220" s="25">
        <v>0</v>
      </c>
      <c r="G220" s="24">
        <v>0</v>
      </c>
      <c r="H220" s="23">
        <v>0</v>
      </c>
      <c r="I220" s="31">
        <v>0</v>
      </c>
      <c r="J220" s="29">
        <f t="shared" si="81"/>
        <v>0</v>
      </c>
      <c r="K220" s="61">
        <f t="shared" si="76"/>
        <v>0</v>
      </c>
      <c r="L220" s="167">
        <f>ROUND(J220*VLOOKUP($A220,'Actual Load'!$A$4:$B$29,2,FALSE)/VLOOKUP($A220,'Projected Zonal Load'!$A$4:$N$29,14,FALSE),0)</f>
        <v>0</v>
      </c>
      <c r="M220" s="61">
        <f t="shared" si="77"/>
        <v>0</v>
      </c>
      <c r="N220" s="167">
        <f t="shared" si="82"/>
        <v>0</v>
      </c>
      <c r="O220" s="61">
        <f t="shared" si="78"/>
        <v>0</v>
      </c>
      <c r="P220" s="61">
        <f t="shared" si="79"/>
        <v>0</v>
      </c>
      <c r="Q220" s="62">
        <f>+H220*Interest!$D$20</f>
        <v>0</v>
      </c>
      <c r="R220" s="63">
        <f t="shared" si="80"/>
        <v>0</v>
      </c>
    </row>
    <row r="221" spans="1:18">
      <c r="A221" s="30" t="s">
        <v>22</v>
      </c>
      <c r="B221" s="21"/>
      <c r="C221" s="22"/>
      <c r="D221" s="23">
        <v>0</v>
      </c>
      <c r="E221" s="24">
        <v>0</v>
      </c>
      <c r="F221" s="25">
        <v>0</v>
      </c>
      <c r="G221" s="24">
        <v>0</v>
      </c>
      <c r="H221" s="23">
        <v>0</v>
      </c>
      <c r="I221" s="31">
        <v>0</v>
      </c>
      <c r="J221" s="29">
        <f t="shared" si="81"/>
        <v>0</v>
      </c>
      <c r="K221" s="61">
        <f t="shared" si="76"/>
        <v>0</v>
      </c>
      <c r="L221" s="167">
        <f>ROUND(J221*VLOOKUP($A221,'Actual Load'!$A$4:$B$29,2,FALSE)/VLOOKUP($A221,'Projected Zonal Load'!$A$4:$N$29,14,FALSE),0)</f>
        <v>0</v>
      </c>
      <c r="M221" s="61">
        <f t="shared" si="77"/>
        <v>0</v>
      </c>
      <c r="N221" s="167">
        <f t="shared" si="82"/>
        <v>0</v>
      </c>
      <c r="O221" s="61">
        <f t="shared" si="78"/>
        <v>0</v>
      </c>
      <c r="P221" s="61">
        <f t="shared" si="79"/>
        <v>0</v>
      </c>
      <c r="Q221" s="62">
        <f>+H221*Interest!$D$20</f>
        <v>0</v>
      </c>
      <c r="R221" s="63">
        <f t="shared" si="80"/>
        <v>0</v>
      </c>
    </row>
    <row r="222" spans="1:18">
      <c r="A222" s="30" t="s">
        <v>23</v>
      </c>
      <c r="B222" s="21"/>
      <c r="C222" s="22"/>
      <c r="D222" s="23">
        <v>0</v>
      </c>
      <c r="E222" s="24">
        <v>0</v>
      </c>
      <c r="F222" s="25">
        <v>0</v>
      </c>
      <c r="G222" s="24">
        <v>0</v>
      </c>
      <c r="H222" s="23">
        <v>0</v>
      </c>
      <c r="I222" s="31">
        <v>0</v>
      </c>
      <c r="J222" s="29">
        <f t="shared" si="81"/>
        <v>0</v>
      </c>
      <c r="K222" s="61">
        <f t="shared" si="76"/>
        <v>0</v>
      </c>
      <c r="L222" s="167">
        <f>ROUND(J222*VLOOKUP($A222,'Actual Load'!$A$4:$B$29,2,FALSE)/VLOOKUP($A222,'Projected Zonal Load'!$A$4:$N$29,14,FALSE),0)</f>
        <v>0</v>
      </c>
      <c r="M222" s="61">
        <f t="shared" si="77"/>
        <v>0</v>
      </c>
      <c r="N222" s="167">
        <f t="shared" si="82"/>
        <v>0</v>
      </c>
      <c r="O222" s="61">
        <f t="shared" si="78"/>
        <v>0</v>
      </c>
      <c r="P222" s="61">
        <f t="shared" si="79"/>
        <v>0</v>
      </c>
      <c r="Q222" s="62">
        <f>+H222*Interest!$D$20</f>
        <v>0</v>
      </c>
      <c r="R222" s="63">
        <f t="shared" si="80"/>
        <v>0</v>
      </c>
    </row>
    <row r="223" spans="1:18">
      <c r="A223" s="30" t="s">
        <v>24</v>
      </c>
      <c r="B223" s="21"/>
      <c r="C223" s="22"/>
      <c r="D223" s="23">
        <v>0</v>
      </c>
      <c r="E223" s="24">
        <v>0</v>
      </c>
      <c r="F223" s="25">
        <v>0</v>
      </c>
      <c r="G223" s="24">
        <v>0</v>
      </c>
      <c r="H223" s="23">
        <v>0</v>
      </c>
      <c r="I223" s="31">
        <v>0</v>
      </c>
      <c r="J223" s="29">
        <f t="shared" si="81"/>
        <v>0</v>
      </c>
      <c r="K223" s="61">
        <f t="shared" si="76"/>
        <v>0</v>
      </c>
      <c r="L223" s="167">
        <f>ROUND(J223*VLOOKUP($A223,'Actual Load'!$A$4:$B$29,2,FALSE)/VLOOKUP($A223,'Projected Zonal Load'!$A$4:$N$29,14,FALSE),0)</f>
        <v>0</v>
      </c>
      <c r="M223" s="61">
        <f t="shared" si="77"/>
        <v>0</v>
      </c>
      <c r="N223" s="167">
        <f t="shared" si="82"/>
        <v>0</v>
      </c>
      <c r="O223" s="61">
        <f t="shared" si="78"/>
        <v>0</v>
      </c>
      <c r="P223" s="61">
        <f t="shared" si="79"/>
        <v>0</v>
      </c>
      <c r="Q223" s="62">
        <f>+H223*Interest!$D$20</f>
        <v>0</v>
      </c>
      <c r="R223" s="63">
        <f t="shared" si="80"/>
        <v>0</v>
      </c>
    </row>
    <row r="224" spans="1:18">
      <c r="A224" s="30" t="s">
        <v>25</v>
      </c>
      <c r="B224" s="21"/>
      <c r="C224" s="22"/>
      <c r="D224" s="23">
        <v>0</v>
      </c>
      <c r="E224" s="24">
        <v>0</v>
      </c>
      <c r="F224" s="25">
        <v>0</v>
      </c>
      <c r="G224" s="24">
        <v>0</v>
      </c>
      <c r="H224" s="23">
        <v>0</v>
      </c>
      <c r="I224" s="31">
        <v>0</v>
      </c>
      <c r="J224" s="29">
        <f t="shared" si="81"/>
        <v>0</v>
      </c>
      <c r="K224" s="61">
        <f t="shared" si="76"/>
        <v>0</v>
      </c>
      <c r="L224" s="167">
        <f>ROUND(J224*VLOOKUP($A224,'Actual Load'!$A$4:$B$29,2,FALSE)/VLOOKUP($A224,'Projected Zonal Load'!$A$4:$N$29,14,FALSE),0)</f>
        <v>0</v>
      </c>
      <c r="M224" s="61">
        <f t="shared" si="77"/>
        <v>0</v>
      </c>
      <c r="N224" s="167">
        <f t="shared" si="82"/>
        <v>0</v>
      </c>
      <c r="O224" s="61">
        <f t="shared" si="78"/>
        <v>0</v>
      </c>
      <c r="P224" s="61">
        <f t="shared" si="79"/>
        <v>0</v>
      </c>
      <c r="Q224" s="62">
        <f>+H224*Interest!$D$20</f>
        <v>0</v>
      </c>
      <c r="R224" s="63">
        <f t="shared" si="80"/>
        <v>0</v>
      </c>
    </row>
    <row r="225" spans="1:18">
      <c r="A225" s="30" t="s">
        <v>26</v>
      </c>
      <c r="B225" s="21"/>
      <c r="C225" s="22"/>
      <c r="D225" s="23">
        <v>0</v>
      </c>
      <c r="E225" s="24">
        <v>0</v>
      </c>
      <c r="F225" s="25">
        <v>0</v>
      </c>
      <c r="G225" s="24">
        <v>0</v>
      </c>
      <c r="H225" s="23">
        <v>0</v>
      </c>
      <c r="I225" s="31">
        <v>0</v>
      </c>
      <c r="J225" s="29">
        <f t="shared" si="81"/>
        <v>0</v>
      </c>
      <c r="K225" s="61">
        <f t="shared" si="76"/>
        <v>0</v>
      </c>
      <c r="L225" s="167">
        <f>ROUND(J225*VLOOKUP($A225,'Actual Load'!$A$4:$B$29,2,FALSE)/VLOOKUP($A225,'Projected Zonal Load'!$A$4:$N$29,14,FALSE),0)</f>
        <v>0</v>
      </c>
      <c r="M225" s="61">
        <f t="shared" si="77"/>
        <v>0</v>
      </c>
      <c r="N225" s="167">
        <f t="shared" si="82"/>
        <v>0</v>
      </c>
      <c r="O225" s="61">
        <f>+M225-N225</f>
        <v>0</v>
      </c>
      <c r="P225" s="61">
        <f t="shared" si="79"/>
        <v>0</v>
      </c>
      <c r="Q225" s="62">
        <f>+H225*Interest!$D$20</f>
        <v>0</v>
      </c>
      <c r="R225" s="63">
        <f>+P225+Q225</f>
        <v>0</v>
      </c>
    </row>
    <row r="226" spans="1:18">
      <c r="A226" s="30" t="s">
        <v>27</v>
      </c>
      <c r="B226" s="21"/>
      <c r="C226" s="22"/>
      <c r="D226" s="23">
        <v>0</v>
      </c>
      <c r="E226" s="24">
        <v>0</v>
      </c>
      <c r="F226" s="25">
        <v>0</v>
      </c>
      <c r="G226" s="24">
        <v>0</v>
      </c>
      <c r="H226" s="23">
        <v>0.25957258882115819</v>
      </c>
      <c r="I226" s="31">
        <v>0</v>
      </c>
      <c r="J226" s="29">
        <f t="shared" si="81"/>
        <v>187477.00052634542</v>
      </c>
      <c r="K226" s="61">
        <f t="shared" si="76"/>
        <v>22553.922202579066</v>
      </c>
      <c r="L226" s="167">
        <f>ROUND(J226*VLOOKUP($A226,'Actual Load'!$A$4:$B$29,2,FALSE)/VLOOKUP($A226,'Projected Zonal Load'!$A$4:$N$29,14,FALSE),0)</f>
        <v>192759</v>
      </c>
      <c r="M226" s="61">
        <f t="shared" si="77"/>
        <v>203529.65561055197</v>
      </c>
      <c r="N226" s="167">
        <f t="shared" si="82"/>
        <v>187477.00052634542</v>
      </c>
      <c r="O226" s="61">
        <f t="shared" ref="O226:O236" si="83">+M226-N226</f>
        <v>16052.655084206548</v>
      </c>
      <c r="P226" s="61">
        <f t="shared" si="79"/>
        <v>38606.577286785614</v>
      </c>
      <c r="Q226" s="62">
        <f>+H226*Interest!$D$20</f>
        <v>2210.7259528517802</v>
      </c>
      <c r="R226" s="63">
        <f t="shared" ref="R226:R236" si="84">+P226+Q226</f>
        <v>40817.303239637396</v>
      </c>
    </row>
    <row r="227" spans="1:18">
      <c r="A227" s="30" t="s">
        <v>28</v>
      </c>
      <c r="B227" s="21"/>
      <c r="C227" s="22"/>
      <c r="D227" s="23">
        <v>0</v>
      </c>
      <c r="E227" s="24">
        <v>0</v>
      </c>
      <c r="F227" s="25">
        <v>0</v>
      </c>
      <c r="G227" s="24">
        <v>0</v>
      </c>
      <c r="H227" s="23">
        <v>0</v>
      </c>
      <c r="I227" s="31">
        <v>0</v>
      </c>
      <c r="J227" s="29">
        <f t="shared" si="81"/>
        <v>0</v>
      </c>
      <c r="K227" s="61">
        <f t="shared" si="76"/>
        <v>0</v>
      </c>
      <c r="L227" s="167">
        <f>ROUND(J227*VLOOKUP($A227,'Actual Load'!$A$4:$B$29,2,FALSE)/VLOOKUP($A227,'Projected Zonal Load'!$A$4:$N$29,14,FALSE),0)</f>
        <v>0</v>
      </c>
      <c r="M227" s="61">
        <f t="shared" si="77"/>
        <v>0</v>
      </c>
      <c r="N227" s="167">
        <f t="shared" si="82"/>
        <v>0</v>
      </c>
      <c r="O227" s="61">
        <f t="shared" si="83"/>
        <v>0</v>
      </c>
      <c r="P227" s="61">
        <f t="shared" si="79"/>
        <v>0</v>
      </c>
      <c r="Q227" s="62">
        <f>+H227*Interest!$D$20</f>
        <v>0</v>
      </c>
      <c r="R227" s="63">
        <f t="shared" si="84"/>
        <v>0</v>
      </c>
    </row>
    <row r="228" spans="1:18">
      <c r="A228" s="30" t="s">
        <v>30</v>
      </c>
      <c r="B228" s="21"/>
      <c r="C228" s="22"/>
      <c r="D228" s="23">
        <v>0</v>
      </c>
      <c r="E228" s="24">
        <v>0</v>
      </c>
      <c r="F228" s="25">
        <v>0</v>
      </c>
      <c r="G228" s="24">
        <v>0</v>
      </c>
      <c r="H228" s="23">
        <v>0</v>
      </c>
      <c r="I228" s="31">
        <v>0</v>
      </c>
      <c r="J228" s="29">
        <f t="shared" si="81"/>
        <v>0</v>
      </c>
      <c r="K228" s="61">
        <f t="shared" si="76"/>
        <v>0</v>
      </c>
      <c r="L228" s="167">
        <f>ROUND(J228*VLOOKUP($A228,'Actual Load'!$A$4:$B$29,2,FALSE)/VLOOKUP($A228,'Projected Zonal Load'!$A$4:$N$29,14,FALSE),0)</f>
        <v>0</v>
      </c>
      <c r="M228" s="61">
        <f t="shared" si="77"/>
        <v>0</v>
      </c>
      <c r="N228" s="167">
        <f t="shared" si="82"/>
        <v>0</v>
      </c>
      <c r="O228" s="61">
        <f t="shared" si="83"/>
        <v>0</v>
      </c>
      <c r="P228" s="61">
        <f t="shared" si="79"/>
        <v>0</v>
      </c>
      <c r="Q228" s="62">
        <f>+H228*Interest!$D$20</f>
        <v>0</v>
      </c>
      <c r="R228" s="63">
        <f t="shared" si="84"/>
        <v>0</v>
      </c>
    </row>
    <row r="229" spans="1:18">
      <c r="A229" s="30" t="s">
        <v>29</v>
      </c>
      <c r="B229" s="21"/>
      <c r="C229" s="22"/>
      <c r="D229" s="23">
        <v>0</v>
      </c>
      <c r="E229" s="24">
        <v>0</v>
      </c>
      <c r="F229" s="25">
        <v>0</v>
      </c>
      <c r="G229" s="24">
        <v>0</v>
      </c>
      <c r="H229" s="23">
        <v>0</v>
      </c>
      <c r="I229" s="31">
        <v>0</v>
      </c>
      <c r="J229" s="29">
        <f t="shared" si="81"/>
        <v>0</v>
      </c>
      <c r="K229" s="61">
        <f t="shared" si="76"/>
        <v>0</v>
      </c>
      <c r="L229" s="167">
        <f>ROUND(J229*VLOOKUP($A229,'Actual Load'!$A$4:$B$29,2,FALSE)/VLOOKUP($A229,'Projected Zonal Load'!$A$4:$N$29,14,FALSE),0)</f>
        <v>0</v>
      </c>
      <c r="M229" s="61">
        <f t="shared" si="77"/>
        <v>0</v>
      </c>
      <c r="N229" s="167">
        <f t="shared" si="82"/>
        <v>0</v>
      </c>
      <c r="O229" s="61">
        <f t="shared" si="83"/>
        <v>0</v>
      </c>
      <c r="P229" s="61">
        <f t="shared" si="79"/>
        <v>0</v>
      </c>
      <c r="Q229" s="62">
        <f>+H229*Interest!$D$20</f>
        <v>0</v>
      </c>
      <c r="R229" s="63">
        <f t="shared" si="84"/>
        <v>0</v>
      </c>
    </row>
    <row r="230" spans="1:18">
      <c r="A230" s="30" t="s">
        <v>72</v>
      </c>
      <c r="B230" s="21"/>
      <c r="C230" s="22"/>
      <c r="D230" s="23">
        <v>0</v>
      </c>
      <c r="E230" s="24">
        <v>0</v>
      </c>
      <c r="F230" s="25">
        <v>0</v>
      </c>
      <c r="G230" s="24">
        <v>0</v>
      </c>
      <c r="H230" s="23">
        <v>0</v>
      </c>
      <c r="I230" s="31">
        <v>0</v>
      </c>
      <c r="J230" s="29">
        <f t="shared" si="81"/>
        <v>0</v>
      </c>
      <c r="K230" s="61">
        <f t="shared" si="76"/>
        <v>0</v>
      </c>
      <c r="L230" s="167">
        <v>0</v>
      </c>
      <c r="M230" s="61">
        <f t="shared" si="77"/>
        <v>0</v>
      </c>
      <c r="N230" s="167">
        <f t="shared" si="82"/>
        <v>0</v>
      </c>
      <c r="O230" s="61">
        <f t="shared" si="83"/>
        <v>0</v>
      </c>
      <c r="P230" s="61">
        <f t="shared" si="79"/>
        <v>0</v>
      </c>
      <c r="Q230" s="62">
        <f>+H230*Interest!$D$20</f>
        <v>0</v>
      </c>
      <c r="R230" s="63">
        <f t="shared" si="84"/>
        <v>0</v>
      </c>
    </row>
    <row r="231" spans="1:18">
      <c r="A231" s="30" t="s">
        <v>73</v>
      </c>
      <c r="B231" s="21"/>
      <c r="C231" s="22"/>
      <c r="D231" s="23">
        <v>0</v>
      </c>
      <c r="E231" s="24">
        <v>0</v>
      </c>
      <c r="F231" s="25">
        <v>0</v>
      </c>
      <c r="G231" s="24">
        <v>0</v>
      </c>
      <c r="H231" s="23">
        <v>0</v>
      </c>
      <c r="I231" s="31">
        <v>0</v>
      </c>
      <c r="J231" s="29">
        <f t="shared" si="81"/>
        <v>0</v>
      </c>
      <c r="K231" s="61">
        <f t="shared" si="76"/>
        <v>0</v>
      </c>
      <c r="L231" s="167">
        <v>0</v>
      </c>
      <c r="M231" s="61">
        <f t="shared" si="77"/>
        <v>0</v>
      </c>
      <c r="N231" s="167">
        <f t="shared" si="82"/>
        <v>0</v>
      </c>
      <c r="O231" s="61">
        <f t="shared" si="83"/>
        <v>0</v>
      </c>
      <c r="P231" s="61">
        <f t="shared" si="79"/>
        <v>0</v>
      </c>
      <c r="Q231" s="62">
        <f>+H231*Interest!$D$20</f>
        <v>0</v>
      </c>
      <c r="R231" s="63">
        <f t="shared" si="84"/>
        <v>0</v>
      </c>
    </row>
    <row r="232" spans="1:18">
      <c r="A232" s="30" t="s">
        <v>31</v>
      </c>
      <c r="B232" s="21"/>
      <c r="C232" s="22"/>
      <c r="D232" s="23">
        <v>0</v>
      </c>
      <c r="E232" s="24">
        <v>0</v>
      </c>
      <c r="F232" s="25">
        <v>0</v>
      </c>
      <c r="G232" s="24">
        <v>0</v>
      </c>
      <c r="H232" s="23">
        <v>0</v>
      </c>
      <c r="I232" s="31">
        <v>0</v>
      </c>
      <c r="J232" s="29">
        <f t="shared" si="81"/>
        <v>0</v>
      </c>
      <c r="K232" s="61">
        <f t="shared" si="76"/>
        <v>0</v>
      </c>
      <c r="L232" s="167">
        <f>ROUND(J232*VLOOKUP($A232,'Actual Load'!$A$4:$B$29,2,FALSE)/VLOOKUP($A232,'Projected Zonal Load'!$A$4:$N$29,14,FALSE),0)</f>
        <v>0</v>
      </c>
      <c r="M232" s="61">
        <f t="shared" si="77"/>
        <v>0</v>
      </c>
      <c r="N232" s="167">
        <f t="shared" si="82"/>
        <v>0</v>
      </c>
      <c r="O232" s="61">
        <f t="shared" si="83"/>
        <v>0</v>
      </c>
      <c r="P232" s="61">
        <f t="shared" si="79"/>
        <v>0</v>
      </c>
      <c r="Q232" s="62">
        <f>+H232*Interest!$D$20</f>
        <v>0</v>
      </c>
      <c r="R232" s="63">
        <f t="shared" si="84"/>
        <v>0</v>
      </c>
    </row>
    <row r="233" spans="1:18">
      <c r="A233" s="30" t="s">
        <v>32</v>
      </c>
      <c r="B233" s="21"/>
      <c r="C233" s="22"/>
      <c r="D233" s="23">
        <v>0</v>
      </c>
      <c r="E233" s="24">
        <v>0</v>
      </c>
      <c r="F233" s="25">
        <v>0</v>
      </c>
      <c r="G233" s="24">
        <v>0</v>
      </c>
      <c r="H233" s="23">
        <v>0</v>
      </c>
      <c r="I233" s="31">
        <v>0</v>
      </c>
      <c r="J233" s="29">
        <f t="shared" si="81"/>
        <v>0</v>
      </c>
      <c r="K233" s="61">
        <f t="shared" si="76"/>
        <v>0</v>
      </c>
      <c r="L233" s="167">
        <f>ROUND(J233*VLOOKUP($A233,'Actual Load'!$A$4:$B$29,2,FALSE)/VLOOKUP($A233,'Projected Zonal Load'!$A$4:$N$29,14,FALSE),0)</f>
        <v>0</v>
      </c>
      <c r="M233" s="61">
        <f t="shared" si="77"/>
        <v>0</v>
      </c>
      <c r="N233" s="167">
        <f t="shared" si="82"/>
        <v>0</v>
      </c>
      <c r="O233" s="61">
        <f t="shared" si="83"/>
        <v>0</v>
      </c>
      <c r="P233" s="61">
        <f t="shared" si="79"/>
        <v>0</v>
      </c>
      <c r="Q233" s="62">
        <f>+H233*Interest!$D$20</f>
        <v>0</v>
      </c>
      <c r="R233" s="63">
        <f t="shared" si="84"/>
        <v>0</v>
      </c>
    </row>
    <row r="234" spans="1:18">
      <c r="A234" s="30" t="s">
        <v>33</v>
      </c>
      <c r="B234" s="21"/>
      <c r="C234" s="22"/>
      <c r="D234" s="23">
        <v>0</v>
      </c>
      <c r="E234" s="24">
        <v>0</v>
      </c>
      <c r="F234" s="25">
        <v>0</v>
      </c>
      <c r="G234" s="24">
        <v>0</v>
      </c>
      <c r="H234" s="23">
        <v>0</v>
      </c>
      <c r="I234" s="31">
        <v>0</v>
      </c>
      <c r="J234" s="29">
        <f t="shared" si="81"/>
        <v>0</v>
      </c>
      <c r="K234" s="61">
        <f t="shared" si="76"/>
        <v>0</v>
      </c>
      <c r="L234" s="167">
        <f>ROUND(J234*VLOOKUP($A234,'Actual Load'!$A$4:$B$29,2,FALSE)/VLOOKUP($A234,'Projected Zonal Load'!$A$4:$N$29,14,FALSE),0)</f>
        <v>0</v>
      </c>
      <c r="M234" s="61">
        <f t="shared" si="77"/>
        <v>0</v>
      </c>
      <c r="N234" s="167">
        <f t="shared" si="82"/>
        <v>0</v>
      </c>
      <c r="O234" s="61">
        <f t="shared" si="83"/>
        <v>0</v>
      </c>
      <c r="P234" s="61">
        <f t="shared" si="79"/>
        <v>0</v>
      </c>
      <c r="Q234" s="62">
        <f>+H234*Interest!$D$20</f>
        <v>0</v>
      </c>
      <c r="R234" s="63">
        <f t="shared" si="84"/>
        <v>0</v>
      </c>
    </row>
    <row r="235" spans="1:18">
      <c r="A235" s="30" t="s">
        <v>34</v>
      </c>
      <c r="B235" s="21"/>
      <c r="C235" s="22"/>
      <c r="D235" s="23">
        <v>0</v>
      </c>
      <c r="E235" s="24">
        <v>0</v>
      </c>
      <c r="F235" s="25">
        <v>0</v>
      </c>
      <c r="G235" s="24">
        <v>0</v>
      </c>
      <c r="H235" s="23">
        <v>0.36331520044556437</v>
      </c>
      <c r="I235" s="31">
        <v>0</v>
      </c>
      <c r="J235" s="29">
        <f t="shared" si="81"/>
        <v>262405.38083969802</v>
      </c>
      <c r="K235" s="61">
        <f t="shared" si="76"/>
        <v>31567.981823802485</v>
      </c>
      <c r="L235" s="167">
        <f>ROUND(J235*VLOOKUP($A235,'Actual Load'!$A$4:$B$29,2,FALSE)/VLOOKUP($A235,'Projected Zonal Load'!$A$4:$N$29,14,FALSE),0)</f>
        <v>260285</v>
      </c>
      <c r="M235" s="61">
        <f t="shared" si="77"/>
        <v>274828.75720766617</v>
      </c>
      <c r="N235" s="167">
        <f t="shared" si="82"/>
        <v>262405.38083969802</v>
      </c>
      <c r="O235" s="61">
        <f t="shared" si="83"/>
        <v>12423.376367968158</v>
      </c>
      <c r="P235" s="61">
        <f t="shared" si="79"/>
        <v>43991.358191770647</v>
      </c>
      <c r="Q235" s="62">
        <f>+H235*Interest!$D$20</f>
        <v>3094.280279509569</v>
      </c>
      <c r="R235" s="63">
        <f t="shared" si="84"/>
        <v>47085.638471280217</v>
      </c>
    </row>
    <row r="236" spans="1:18">
      <c r="A236" s="30" t="s">
        <v>35</v>
      </c>
      <c r="B236" s="21"/>
      <c r="C236" s="22"/>
      <c r="D236" s="23">
        <v>0</v>
      </c>
      <c r="E236" s="24">
        <v>0</v>
      </c>
      <c r="F236" s="25">
        <v>0</v>
      </c>
      <c r="G236" s="24">
        <v>0</v>
      </c>
      <c r="H236" s="23">
        <v>0</v>
      </c>
      <c r="I236" s="31">
        <v>0</v>
      </c>
      <c r="J236" s="29">
        <f t="shared" si="81"/>
        <v>0</v>
      </c>
      <c r="K236" s="61">
        <f t="shared" si="76"/>
        <v>0</v>
      </c>
      <c r="L236" s="167">
        <f>ROUND(J236*VLOOKUP($A236,'Actual Load'!$A$4:$B$29,2,FALSE)/VLOOKUP($A236,'Projected Zonal Load'!$A$4:$N$29,14,FALSE),0)</f>
        <v>0</v>
      </c>
      <c r="M236" s="61">
        <f t="shared" si="77"/>
        <v>0</v>
      </c>
      <c r="N236" s="167">
        <f t="shared" si="82"/>
        <v>0</v>
      </c>
      <c r="O236" s="61">
        <f t="shared" si="83"/>
        <v>0</v>
      </c>
      <c r="P236" s="61">
        <f t="shared" si="79"/>
        <v>0</v>
      </c>
      <c r="Q236" s="62">
        <f>+H236*Interest!$D$20</f>
        <v>0</v>
      </c>
      <c r="R236" s="63">
        <f t="shared" si="84"/>
        <v>0</v>
      </c>
    </row>
    <row r="237" spans="1:18">
      <c r="A237" s="30" t="s">
        <v>36</v>
      </c>
      <c r="B237" s="21"/>
      <c r="C237" s="22"/>
      <c r="D237" s="23">
        <v>0</v>
      </c>
      <c r="E237" s="24">
        <v>0</v>
      </c>
      <c r="F237" s="25">
        <v>0</v>
      </c>
      <c r="G237" s="24">
        <v>0</v>
      </c>
      <c r="H237" s="23">
        <v>0</v>
      </c>
      <c r="I237" s="31">
        <v>0</v>
      </c>
      <c r="J237" s="29">
        <f t="shared" si="81"/>
        <v>0</v>
      </c>
      <c r="K237" s="61">
        <f t="shared" si="76"/>
        <v>0</v>
      </c>
      <c r="L237" s="167">
        <f>ROUND(J237*VLOOKUP($A237,'Actual Load'!$A$4:$B$29,2,FALSE)/VLOOKUP($A237,'Projected Zonal Load'!$A$4:$N$29,14,FALSE),0)</f>
        <v>0</v>
      </c>
      <c r="M237" s="61">
        <f t="shared" si="77"/>
        <v>0</v>
      </c>
      <c r="N237" s="167">
        <f t="shared" ref="N237:N240" si="85">+J237</f>
        <v>0</v>
      </c>
      <c r="O237" s="61">
        <f t="shared" ref="O237:O240" si="86">+M237-N237</f>
        <v>0</v>
      </c>
      <c r="P237" s="61">
        <f t="shared" si="79"/>
        <v>0</v>
      </c>
      <c r="Q237" s="62">
        <f>+H237*Interest!$D$20</f>
        <v>0</v>
      </c>
      <c r="R237" s="63">
        <f t="shared" ref="R237:R240" si="87">+P237+Q237</f>
        <v>0</v>
      </c>
    </row>
    <row r="238" spans="1:18">
      <c r="A238" s="30" t="s">
        <v>37</v>
      </c>
      <c r="B238" s="21"/>
      <c r="C238" s="22"/>
      <c r="D238" s="23">
        <v>0</v>
      </c>
      <c r="E238" s="24">
        <v>0</v>
      </c>
      <c r="F238" s="25">
        <v>0</v>
      </c>
      <c r="G238" s="24">
        <v>0</v>
      </c>
      <c r="H238" s="23">
        <v>0.3771122107332775</v>
      </c>
      <c r="I238" s="31">
        <v>0</v>
      </c>
      <c r="J238" s="29">
        <f t="shared" si="81"/>
        <v>272370.30863395653</v>
      </c>
      <c r="K238" s="61">
        <f t="shared" si="76"/>
        <v>32766.7859736184</v>
      </c>
      <c r="L238" s="167">
        <f>ROUND(J238*VLOOKUP($A238,'Actual Load'!$A$4:$B$29,2,FALSE)/VLOOKUP($A238,'Projected Zonal Load'!$A$4:$N$29,14,FALSE),0)</f>
        <v>271498</v>
      </c>
      <c r="M238" s="61">
        <f t="shared" si="77"/>
        <v>286668.29792099789</v>
      </c>
      <c r="N238" s="167">
        <f t="shared" si="85"/>
        <v>272370.30863395653</v>
      </c>
      <c r="O238" s="61">
        <f t="shared" si="86"/>
        <v>14297.989287041361</v>
      </c>
      <c r="P238" s="61">
        <f t="shared" si="79"/>
        <v>47064.775260659764</v>
      </c>
      <c r="Q238" s="62">
        <f>+H238*Interest!$D$20</f>
        <v>3211.7865572461042</v>
      </c>
      <c r="R238" s="63">
        <f t="shared" si="87"/>
        <v>50276.561817905866</v>
      </c>
    </row>
    <row r="239" spans="1:18">
      <c r="A239" s="30" t="s">
        <v>38</v>
      </c>
      <c r="B239" s="21"/>
      <c r="C239" s="22"/>
      <c r="D239" s="23">
        <v>0</v>
      </c>
      <c r="E239" s="24">
        <v>0</v>
      </c>
      <c r="F239" s="25">
        <v>0</v>
      </c>
      <c r="G239" s="24">
        <v>0</v>
      </c>
      <c r="H239" s="23">
        <v>0</v>
      </c>
      <c r="I239" s="31">
        <v>0</v>
      </c>
      <c r="J239" s="29">
        <f t="shared" si="81"/>
        <v>0</v>
      </c>
      <c r="K239" s="61">
        <f t="shared" si="76"/>
        <v>0</v>
      </c>
      <c r="L239" s="167">
        <f>ROUND(J239*VLOOKUP($A239,'Actual Load'!$A$4:$B$29,2,FALSE)/VLOOKUP($A239,'Projected Zonal Load'!$A$4:$N$29,14,FALSE),0)</f>
        <v>0</v>
      </c>
      <c r="M239" s="61">
        <f t="shared" si="77"/>
        <v>0</v>
      </c>
      <c r="N239" s="167">
        <f t="shared" si="85"/>
        <v>0</v>
      </c>
      <c r="O239" s="61">
        <f t="shared" si="86"/>
        <v>0</v>
      </c>
      <c r="P239" s="61">
        <f t="shared" si="79"/>
        <v>0</v>
      </c>
      <c r="Q239" s="62">
        <f>+H239*Interest!$D$20</f>
        <v>0</v>
      </c>
      <c r="R239" s="63">
        <f t="shared" si="87"/>
        <v>0</v>
      </c>
    </row>
    <row r="240" spans="1:18">
      <c r="A240" s="32" t="s">
        <v>39</v>
      </c>
      <c r="B240" s="21"/>
      <c r="C240" s="22"/>
      <c r="D240" s="23">
        <v>0</v>
      </c>
      <c r="E240" s="24">
        <v>0</v>
      </c>
      <c r="F240" s="25">
        <v>0</v>
      </c>
      <c r="G240" s="33">
        <v>0</v>
      </c>
      <c r="H240" s="69">
        <v>0</v>
      </c>
      <c r="I240" s="35">
        <v>0</v>
      </c>
      <c r="J240" s="29">
        <f t="shared" si="81"/>
        <v>0</v>
      </c>
      <c r="K240" s="61">
        <f t="shared" si="76"/>
        <v>0</v>
      </c>
      <c r="L240" s="167">
        <f>ROUND(J240*VLOOKUP($A240,'Actual Load'!$A$4:$B$29,2,FALSE)/VLOOKUP($A240,'Projected Zonal Load'!$A$4:$N$29,14,FALSE),0)</f>
        <v>0</v>
      </c>
      <c r="M240" s="61">
        <f t="shared" si="77"/>
        <v>0</v>
      </c>
      <c r="N240" s="167">
        <f t="shared" si="85"/>
        <v>0</v>
      </c>
      <c r="O240" s="61">
        <f t="shared" si="86"/>
        <v>0</v>
      </c>
      <c r="P240" s="61">
        <f t="shared" si="79"/>
        <v>0</v>
      </c>
      <c r="Q240" s="62">
        <f>+H240*Interest!$D$20</f>
        <v>0</v>
      </c>
      <c r="R240" s="63">
        <f t="shared" si="87"/>
        <v>0</v>
      </c>
    </row>
    <row r="241" spans="1:18">
      <c r="A241" s="36"/>
      <c r="B241" s="37"/>
      <c r="C241" s="38"/>
      <c r="D241" s="39">
        <v>0</v>
      </c>
      <c r="E241" s="40">
        <v>0</v>
      </c>
      <c r="F241" s="41">
        <v>0</v>
      </c>
      <c r="G241" s="40">
        <v>0</v>
      </c>
      <c r="H241" s="42">
        <v>1</v>
      </c>
      <c r="I241" s="70">
        <v>0</v>
      </c>
      <c r="J241" s="44">
        <f>SUM(J218:J240)</f>
        <v>722252.69</v>
      </c>
      <c r="K241" s="64">
        <f t="shared" ref="K241:R241" si="88">SUM(K218:K240)</f>
        <v>86888.689999999959</v>
      </c>
      <c r="L241" s="171">
        <f t="shared" si="88"/>
        <v>724542</v>
      </c>
      <c r="M241" s="65">
        <f t="shared" si="88"/>
        <v>765026.71073921607</v>
      </c>
      <c r="N241" s="171">
        <f t="shared" si="88"/>
        <v>722252.69</v>
      </c>
      <c r="O241" s="65">
        <f t="shared" si="88"/>
        <v>42774.020739216066</v>
      </c>
      <c r="P241" s="65">
        <f t="shared" si="88"/>
        <v>129662.71073921603</v>
      </c>
      <c r="Q241" s="65">
        <f t="shared" si="88"/>
        <v>8516.7927896074543</v>
      </c>
      <c r="R241" s="66">
        <f t="shared" si="88"/>
        <v>138179.50352882349</v>
      </c>
    </row>
    <row r="242" spans="1:18">
      <c r="H242" s="45"/>
      <c r="I242" s="46"/>
    </row>
    <row r="243" spans="1:18">
      <c r="O243" s="164"/>
      <c r="P243" s="164"/>
      <c r="Q243" s="164"/>
      <c r="R243" s="164"/>
    </row>
    <row r="244" spans="1:18">
      <c r="H244" s="194" t="s">
        <v>187</v>
      </c>
      <c r="I244" s="196">
        <v>722252.69</v>
      </c>
      <c r="K244" s="67"/>
      <c r="L244" s="194" t="s">
        <v>190</v>
      </c>
      <c r="M244" s="196">
        <v>635364</v>
      </c>
      <c r="O244" s="164"/>
      <c r="P244" s="164"/>
      <c r="Q244" s="164"/>
      <c r="R244" s="164"/>
    </row>
    <row r="245" spans="1:18">
      <c r="H245" s="161" t="s">
        <v>189</v>
      </c>
      <c r="I245" s="196">
        <v>0</v>
      </c>
      <c r="K245" s="67"/>
      <c r="L245" s="161" t="s">
        <v>189</v>
      </c>
      <c r="M245" s="196">
        <v>0</v>
      </c>
      <c r="O245" s="164"/>
      <c r="P245" s="164"/>
      <c r="Q245" s="164"/>
      <c r="R245" s="164"/>
    </row>
    <row r="246" spans="1:18">
      <c r="G246" s="67"/>
      <c r="H246" s="195" t="s">
        <v>188</v>
      </c>
      <c r="I246" s="197">
        <f>SUM(I244:I245)</f>
        <v>722252.69</v>
      </c>
      <c r="J246" s="225" t="s">
        <v>137</v>
      </c>
      <c r="K246" s="198"/>
      <c r="L246" s="195" t="s">
        <v>188</v>
      </c>
      <c r="M246" s="197">
        <f>SUM(M244:M245)</f>
        <v>635364</v>
      </c>
      <c r="O246" s="207" t="s">
        <v>137</v>
      </c>
      <c r="P246" s="164"/>
      <c r="Q246" s="164"/>
      <c r="R246" s="164"/>
    </row>
    <row r="247" spans="1:18">
      <c r="I247" s="49"/>
      <c r="O247" s="164"/>
      <c r="P247" s="164"/>
      <c r="Q247" s="164"/>
      <c r="R247" s="164"/>
    </row>
    <row r="251" spans="1:18" ht="15.75">
      <c r="A251" s="281" t="s">
        <v>0</v>
      </c>
      <c r="B251" s="282"/>
      <c r="C251" s="282" t="s">
        <v>79</v>
      </c>
      <c r="D251" s="282"/>
      <c r="E251" s="282"/>
      <c r="F251" s="282"/>
      <c r="G251" s="282"/>
      <c r="H251" s="283"/>
      <c r="I251" s="1"/>
    </row>
    <row r="252" spans="1:18" ht="15.75" hidden="1" outlineLevel="1">
      <c r="A252" s="132" t="s">
        <v>139</v>
      </c>
      <c r="B252" s="133"/>
      <c r="C252" s="136" t="s">
        <v>140</v>
      </c>
      <c r="D252" s="134"/>
      <c r="E252" s="134"/>
      <c r="F252" s="134"/>
      <c r="G252" s="134"/>
      <c r="H252" s="135"/>
      <c r="I252" s="1"/>
    </row>
    <row r="253" spans="1:18" ht="15.75" collapsed="1">
      <c r="A253" s="269" t="s">
        <v>2</v>
      </c>
      <c r="B253" s="270"/>
      <c r="C253" s="284" t="s">
        <v>80</v>
      </c>
      <c r="D253" s="285"/>
      <c r="E253" s="285"/>
      <c r="F253" s="285"/>
      <c r="G253" s="285"/>
      <c r="H253" s="286"/>
      <c r="I253" s="1"/>
    </row>
    <row r="254" spans="1:18" ht="15.75">
      <c r="A254" s="269" t="s">
        <v>4</v>
      </c>
      <c r="B254" s="270"/>
      <c r="C254" s="284" t="s">
        <v>5</v>
      </c>
      <c r="D254" s="285"/>
      <c r="E254" s="285"/>
      <c r="F254" s="285"/>
      <c r="G254" s="285"/>
      <c r="H254" s="286"/>
      <c r="I254" s="1"/>
    </row>
    <row r="255" spans="1:18" ht="15.75">
      <c r="A255" s="269" t="s">
        <v>6</v>
      </c>
      <c r="B255" s="270"/>
      <c r="C255" s="271">
        <v>0</v>
      </c>
      <c r="D255" s="272"/>
      <c r="E255" s="272"/>
      <c r="F255" s="272"/>
      <c r="G255" s="272"/>
      <c r="H255" s="273"/>
      <c r="I255" s="1"/>
      <c r="M255" s="50"/>
      <c r="O255" s="50" t="s">
        <v>46</v>
      </c>
      <c r="P255" s="50" t="s">
        <v>42</v>
      </c>
      <c r="R255" s="50" t="s">
        <v>47</v>
      </c>
    </row>
    <row r="256" spans="1:18" ht="15.75">
      <c r="A256" s="274" t="s">
        <v>7</v>
      </c>
      <c r="B256" s="275"/>
      <c r="C256" s="276" t="s">
        <v>8</v>
      </c>
      <c r="D256" s="277"/>
      <c r="E256" s="277"/>
      <c r="F256" s="277"/>
      <c r="G256" s="277"/>
      <c r="H256" s="278"/>
      <c r="I256" s="1"/>
      <c r="K256" s="50" t="s">
        <v>44</v>
      </c>
      <c r="L256" s="168" t="s">
        <v>45</v>
      </c>
      <c r="M256" s="51" t="s">
        <v>194</v>
      </c>
      <c r="N256" s="51" t="s">
        <v>41</v>
      </c>
      <c r="O256" s="51" t="s">
        <v>195</v>
      </c>
      <c r="P256" s="51" t="s">
        <v>196</v>
      </c>
      <c r="Q256" s="51" t="s">
        <v>43</v>
      </c>
      <c r="R256" s="51" t="s">
        <v>197</v>
      </c>
    </row>
    <row r="257" spans="1:18">
      <c r="A257" s="2"/>
      <c r="B257" s="2"/>
      <c r="C257" s="2"/>
      <c r="D257" s="2"/>
      <c r="E257" s="2"/>
      <c r="F257" s="2"/>
      <c r="G257" s="2"/>
      <c r="H257" s="2"/>
      <c r="I257" s="2"/>
      <c r="K257" s="52"/>
      <c r="L257" s="287" t="s">
        <v>48</v>
      </c>
      <c r="M257" s="288"/>
      <c r="N257" s="288"/>
      <c r="O257" s="289"/>
      <c r="P257" s="53" t="s">
        <v>49</v>
      </c>
      <c r="Q257" s="52"/>
      <c r="R257" s="53" t="s">
        <v>50</v>
      </c>
    </row>
    <row r="258" spans="1:18">
      <c r="A258" s="3"/>
      <c r="B258" s="4"/>
      <c r="C258" s="5"/>
      <c r="D258" s="279">
        <v>0</v>
      </c>
      <c r="E258" s="280"/>
      <c r="F258" s="279">
        <v>1</v>
      </c>
      <c r="G258" s="280"/>
      <c r="H258" s="6"/>
      <c r="I258" s="7"/>
      <c r="J258" s="8" t="s">
        <v>9</v>
      </c>
      <c r="K258" s="54" t="s">
        <v>51</v>
      </c>
      <c r="L258" s="287" t="s">
        <v>52</v>
      </c>
      <c r="M258" s="288"/>
      <c r="N258" s="214"/>
      <c r="O258" s="53" t="s">
        <v>53</v>
      </c>
      <c r="P258" s="54" t="s">
        <v>54</v>
      </c>
      <c r="Q258" s="55"/>
      <c r="R258" s="54" t="s">
        <v>55</v>
      </c>
    </row>
    <row r="259" spans="1:18">
      <c r="A259" s="9"/>
      <c r="B259" s="10"/>
      <c r="C259" s="11"/>
      <c r="D259" s="290" t="s">
        <v>10</v>
      </c>
      <c r="E259" s="291"/>
      <c r="F259" s="290" t="s">
        <v>11</v>
      </c>
      <c r="G259" s="291"/>
      <c r="H259" s="290" t="s">
        <v>12</v>
      </c>
      <c r="I259" s="292"/>
      <c r="J259" s="12" t="s">
        <v>13</v>
      </c>
      <c r="K259" s="56" t="s">
        <v>56</v>
      </c>
      <c r="L259" s="169" t="s">
        <v>191</v>
      </c>
      <c r="M259" s="192" t="s">
        <v>192</v>
      </c>
      <c r="N259" s="57" t="s">
        <v>57</v>
      </c>
      <c r="O259" s="57" t="s">
        <v>56</v>
      </c>
      <c r="P259" s="57" t="s">
        <v>56</v>
      </c>
      <c r="Q259" s="57" t="s">
        <v>58</v>
      </c>
      <c r="R259" s="57" t="s">
        <v>59</v>
      </c>
    </row>
    <row r="260" spans="1:18" ht="38.25">
      <c r="A260" s="13" t="s">
        <v>14</v>
      </c>
      <c r="B260" s="14" t="s">
        <v>15</v>
      </c>
      <c r="C260" s="15" t="s">
        <v>16</v>
      </c>
      <c r="D260" s="16" t="s">
        <v>17</v>
      </c>
      <c r="E260" s="17" t="s">
        <v>18</v>
      </c>
      <c r="F260" s="16" t="s">
        <v>17</v>
      </c>
      <c r="G260" s="17" t="s">
        <v>18</v>
      </c>
      <c r="H260" s="18" t="s">
        <v>17</v>
      </c>
      <c r="I260" s="19" t="s">
        <v>18</v>
      </c>
      <c r="J260" s="15" t="s">
        <v>18</v>
      </c>
      <c r="K260" s="58" t="s">
        <v>60</v>
      </c>
      <c r="L260" s="170"/>
      <c r="M260" s="59"/>
      <c r="N260" s="170"/>
      <c r="O260" s="58" t="s">
        <v>60</v>
      </c>
      <c r="P260" s="59"/>
      <c r="Q260" s="59"/>
      <c r="R260" s="60" t="s">
        <v>60</v>
      </c>
    </row>
    <row r="261" spans="1:18">
      <c r="A261" s="20" t="s">
        <v>19</v>
      </c>
      <c r="B261" s="21">
        <v>10940248.5</v>
      </c>
      <c r="C261" s="22">
        <v>0.1292265803021185</v>
      </c>
      <c r="D261" s="23">
        <v>0</v>
      </c>
      <c r="E261" s="24">
        <v>0</v>
      </c>
      <c r="F261" s="25">
        <v>0</v>
      </c>
      <c r="G261" s="26">
        <v>0</v>
      </c>
      <c r="H261" s="27">
        <v>0</v>
      </c>
      <c r="I261" s="28">
        <v>0</v>
      </c>
      <c r="J261" s="29">
        <f>H261*I$287</f>
        <v>0</v>
      </c>
      <c r="K261" s="61">
        <f t="shared" ref="K261:K281" si="89">(I$287-M$287)*H261</f>
        <v>0</v>
      </c>
      <c r="L261" s="167">
        <f>ROUND(J261*VLOOKUP($A261,'Actual Load'!$A$4:$B$29,2,FALSE)/VLOOKUP($A261,'Projected Zonal Load'!$A$4:$N$29,14,FALSE),0)</f>
        <v>0</v>
      </c>
      <c r="M261" s="61">
        <f t="shared" ref="M261:M281" si="90">IF(NOT(L$40=0),M$4*L261/L$40,0)</f>
        <v>0</v>
      </c>
      <c r="N261" s="167">
        <f>+J261</f>
        <v>0</v>
      </c>
      <c r="O261" s="61">
        <f t="shared" ref="O261:O267" si="91">+M261-N261</f>
        <v>0</v>
      </c>
      <c r="P261" s="61">
        <f t="shared" ref="P261:P281" si="92">+K261+O261</f>
        <v>0</v>
      </c>
      <c r="Q261" s="62">
        <f>+H261*Interest!$D$16</f>
        <v>0</v>
      </c>
      <c r="R261" s="63">
        <f t="shared" ref="R261:R267" si="93">+P261+Q261</f>
        <v>0</v>
      </c>
    </row>
    <row r="262" spans="1:18">
      <c r="A262" s="30" t="s">
        <v>20</v>
      </c>
      <c r="B262" s="21">
        <v>571800</v>
      </c>
      <c r="C262" s="22">
        <v>6.7541206780404811E-3</v>
      </c>
      <c r="D262" s="23">
        <v>0</v>
      </c>
      <c r="E262" s="24">
        <v>0</v>
      </c>
      <c r="F262" s="25">
        <v>0</v>
      </c>
      <c r="G262" s="24">
        <v>0</v>
      </c>
      <c r="H262" s="27">
        <v>0</v>
      </c>
      <c r="I262" s="31">
        <v>0</v>
      </c>
      <c r="J262" s="29">
        <f t="shared" ref="J262:J281" si="94">H262*I$287</f>
        <v>0</v>
      </c>
      <c r="K262" s="61">
        <f t="shared" si="89"/>
        <v>0</v>
      </c>
      <c r="L262" s="167">
        <f>ROUND(J262*VLOOKUP($A262,'Actual Load'!$A$4:$B$29,2,FALSE)/VLOOKUP($A262,'Projected Zonal Load'!$A$4:$N$29,14,FALSE),0)</f>
        <v>0</v>
      </c>
      <c r="M262" s="61">
        <f t="shared" si="90"/>
        <v>0</v>
      </c>
      <c r="N262" s="167">
        <f t="shared" ref="N262:N281" si="95">+J262</f>
        <v>0</v>
      </c>
      <c r="O262" s="61">
        <f t="shared" si="91"/>
        <v>0</v>
      </c>
      <c r="P262" s="61">
        <f t="shared" si="92"/>
        <v>0</v>
      </c>
      <c r="Q262" s="62">
        <f>+H262*Interest!$D$16</f>
        <v>0</v>
      </c>
      <c r="R262" s="63">
        <f t="shared" si="93"/>
        <v>0</v>
      </c>
    </row>
    <row r="263" spans="1:18">
      <c r="A263" s="30" t="s">
        <v>21</v>
      </c>
      <c r="B263" s="21">
        <v>9981000</v>
      </c>
      <c r="C263" s="22">
        <v>0.11789590501490389</v>
      </c>
      <c r="D263" s="23">
        <v>0</v>
      </c>
      <c r="E263" s="24">
        <v>0</v>
      </c>
      <c r="F263" s="25">
        <v>0</v>
      </c>
      <c r="G263" s="24">
        <v>0</v>
      </c>
      <c r="H263" s="27">
        <v>0</v>
      </c>
      <c r="I263" s="31">
        <v>0</v>
      </c>
      <c r="J263" s="29">
        <f t="shared" si="94"/>
        <v>0</v>
      </c>
      <c r="K263" s="61">
        <f t="shared" si="89"/>
        <v>0</v>
      </c>
      <c r="L263" s="167">
        <f>ROUND(J263*VLOOKUP($A263,'Actual Load'!$A$4:$B$29,2,FALSE)/VLOOKUP($A263,'Projected Zonal Load'!$A$4:$N$29,14,FALSE),0)</f>
        <v>0</v>
      </c>
      <c r="M263" s="61">
        <f t="shared" si="90"/>
        <v>0</v>
      </c>
      <c r="N263" s="167">
        <f t="shared" si="95"/>
        <v>0</v>
      </c>
      <c r="O263" s="61">
        <f t="shared" si="91"/>
        <v>0</v>
      </c>
      <c r="P263" s="61">
        <f t="shared" si="92"/>
        <v>0</v>
      </c>
      <c r="Q263" s="62">
        <f>+H263*Interest!$D$16</f>
        <v>0</v>
      </c>
      <c r="R263" s="63">
        <f t="shared" si="93"/>
        <v>0</v>
      </c>
    </row>
    <row r="264" spans="1:18">
      <c r="A264" s="30" t="s">
        <v>22</v>
      </c>
      <c r="B264" s="21">
        <v>1028167</v>
      </c>
      <c r="C264" s="22">
        <v>1.2144742908672346E-2</v>
      </c>
      <c r="D264" s="23">
        <v>0</v>
      </c>
      <c r="E264" s="24">
        <v>0</v>
      </c>
      <c r="F264" s="25">
        <v>0</v>
      </c>
      <c r="G264" s="24">
        <v>0</v>
      </c>
      <c r="H264" s="27">
        <v>0</v>
      </c>
      <c r="I264" s="31">
        <v>0</v>
      </c>
      <c r="J264" s="29">
        <f t="shared" si="94"/>
        <v>0</v>
      </c>
      <c r="K264" s="61">
        <f t="shared" si="89"/>
        <v>0</v>
      </c>
      <c r="L264" s="167">
        <f>ROUND(J264*VLOOKUP($A264,'Actual Load'!$A$4:$B$29,2,FALSE)/VLOOKUP($A264,'Projected Zonal Load'!$A$4:$N$29,14,FALSE),0)</f>
        <v>0</v>
      </c>
      <c r="M264" s="61">
        <f t="shared" si="90"/>
        <v>0</v>
      </c>
      <c r="N264" s="167">
        <f t="shared" si="95"/>
        <v>0</v>
      </c>
      <c r="O264" s="61">
        <f t="shared" si="91"/>
        <v>0</v>
      </c>
      <c r="P264" s="61">
        <f t="shared" si="92"/>
        <v>0</v>
      </c>
      <c r="Q264" s="62">
        <f>+H264*Interest!$D$16</f>
        <v>0</v>
      </c>
      <c r="R264" s="63">
        <f t="shared" si="93"/>
        <v>0</v>
      </c>
    </row>
    <row r="265" spans="1:18">
      <c r="A265" s="30" t="s">
        <v>23</v>
      </c>
      <c r="B265" s="21">
        <v>2574417</v>
      </c>
      <c r="C265" s="22">
        <v>3.040909949912372E-2</v>
      </c>
      <c r="D265" s="23">
        <v>0</v>
      </c>
      <c r="E265" s="24">
        <v>0</v>
      </c>
      <c r="F265" s="25">
        <v>0</v>
      </c>
      <c r="G265" s="24">
        <v>0</v>
      </c>
      <c r="H265" s="27">
        <v>0</v>
      </c>
      <c r="I265" s="31">
        <v>0</v>
      </c>
      <c r="J265" s="29">
        <f t="shared" si="94"/>
        <v>0</v>
      </c>
      <c r="K265" s="61">
        <f t="shared" si="89"/>
        <v>0</v>
      </c>
      <c r="L265" s="167">
        <f>ROUND(J265*VLOOKUP($A265,'Actual Load'!$A$4:$B$29,2,FALSE)/VLOOKUP($A265,'Projected Zonal Load'!$A$4:$N$29,14,FALSE),0)</f>
        <v>0</v>
      </c>
      <c r="M265" s="61">
        <f t="shared" si="90"/>
        <v>0</v>
      </c>
      <c r="N265" s="167">
        <f t="shared" si="95"/>
        <v>0</v>
      </c>
      <c r="O265" s="61">
        <f t="shared" si="91"/>
        <v>0</v>
      </c>
      <c r="P265" s="61">
        <f t="shared" si="92"/>
        <v>0</v>
      </c>
      <c r="Q265" s="62">
        <f>+H265*Interest!$D$16</f>
        <v>0</v>
      </c>
      <c r="R265" s="63">
        <f t="shared" si="93"/>
        <v>0</v>
      </c>
    </row>
    <row r="266" spans="1:18">
      <c r="A266" s="30" t="s">
        <v>24</v>
      </c>
      <c r="B266" s="21">
        <v>2860240</v>
      </c>
      <c r="C266" s="22">
        <v>3.3785250311574866E-2</v>
      </c>
      <c r="D266" s="23">
        <v>0</v>
      </c>
      <c r="E266" s="24">
        <v>0</v>
      </c>
      <c r="F266" s="25">
        <v>0</v>
      </c>
      <c r="G266" s="24">
        <v>0</v>
      </c>
      <c r="H266" s="27">
        <v>0</v>
      </c>
      <c r="I266" s="31">
        <v>0</v>
      </c>
      <c r="J266" s="29">
        <f t="shared" si="94"/>
        <v>0</v>
      </c>
      <c r="K266" s="61">
        <f t="shared" si="89"/>
        <v>0</v>
      </c>
      <c r="L266" s="167">
        <f>ROUND(J266*VLOOKUP($A266,'Actual Load'!$A$4:$B$29,2,FALSE)/VLOOKUP($A266,'Projected Zonal Load'!$A$4:$N$29,14,FALSE),0)</f>
        <v>0</v>
      </c>
      <c r="M266" s="61">
        <f t="shared" si="90"/>
        <v>0</v>
      </c>
      <c r="N266" s="167">
        <f t="shared" si="95"/>
        <v>0</v>
      </c>
      <c r="O266" s="61">
        <f t="shared" si="91"/>
        <v>0</v>
      </c>
      <c r="P266" s="61">
        <f t="shared" si="92"/>
        <v>0</v>
      </c>
      <c r="Q266" s="62">
        <f>+H266*Interest!$D$16</f>
        <v>0</v>
      </c>
      <c r="R266" s="63">
        <f t="shared" si="93"/>
        <v>0</v>
      </c>
    </row>
    <row r="267" spans="1:18">
      <c r="A267" s="30" t="s">
        <v>25</v>
      </c>
      <c r="B267" s="21">
        <v>7116500</v>
      </c>
      <c r="C267" s="22">
        <v>8.4060335441194622E-2</v>
      </c>
      <c r="D267" s="23">
        <v>0</v>
      </c>
      <c r="E267" s="24">
        <v>0</v>
      </c>
      <c r="F267" s="25">
        <v>0</v>
      </c>
      <c r="G267" s="24">
        <v>0</v>
      </c>
      <c r="H267" s="27">
        <v>0</v>
      </c>
      <c r="I267" s="31">
        <v>0</v>
      </c>
      <c r="J267" s="29">
        <f t="shared" si="94"/>
        <v>0</v>
      </c>
      <c r="K267" s="61">
        <f t="shared" si="89"/>
        <v>0</v>
      </c>
      <c r="L267" s="167">
        <f>ROUND(J267*VLOOKUP($A267,'Actual Load'!$A$4:$B$29,2,FALSE)/VLOOKUP($A267,'Projected Zonal Load'!$A$4:$N$29,14,FALSE),0)</f>
        <v>0</v>
      </c>
      <c r="M267" s="61">
        <f t="shared" si="90"/>
        <v>0</v>
      </c>
      <c r="N267" s="167">
        <f t="shared" si="95"/>
        <v>0</v>
      </c>
      <c r="O267" s="61">
        <f t="shared" si="91"/>
        <v>0</v>
      </c>
      <c r="P267" s="61">
        <f t="shared" si="92"/>
        <v>0</v>
      </c>
      <c r="Q267" s="62">
        <f>+H267*Interest!$D$16</f>
        <v>0</v>
      </c>
      <c r="R267" s="63">
        <f t="shared" si="93"/>
        <v>0</v>
      </c>
    </row>
    <row r="268" spans="1:18">
      <c r="A268" s="30" t="s">
        <v>26</v>
      </c>
      <c r="B268" s="21">
        <v>9342000</v>
      </c>
      <c r="C268" s="22">
        <v>0.11034801569474323</v>
      </c>
      <c r="D268" s="23">
        <v>0</v>
      </c>
      <c r="E268" s="24">
        <v>0</v>
      </c>
      <c r="F268" s="25">
        <v>0</v>
      </c>
      <c r="G268" s="24">
        <v>0</v>
      </c>
      <c r="H268" s="27">
        <v>0</v>
      </c>
      <c r="I268" s="31">
        <v>0</v>
      </c>
      <c r="J268" s="29">
        <f t="shared" si="94"/>
        <v>0</v>
      </c>
      <c r="K268" s="61">
        <f t="shared" si="89"/>
        <v>0</v>
      </c>
      <c r="L268" s="167">
        <f>ROUND(J268*VLOOKUP($A268,'Actual Load'!$A$4:$B$29,2,FALSE)/VLOOKUP($A268,'Projected Zonal Load'!$A$4:$N$29,14,FALSE),0)</f>
        <v>0</v>
      </c>
      <c r="M268" s="61">
        <f t="shared" si="90"/>
        <v>0</v>
      </c>
      <c r="N268" s="167">
        <f t="shared" si="95"/>
        <v>0</v>
      </c>
      <c r="O268" s="61">
        <f>+M268-N268</f>
        <v>0</v>
      </c>
      <c r="P268" s="61">
        <f t="shared" si="92"/>
        <v>0</v>
      </c>
      <c r="Q268" s="62">
        <f>+H268*Interest!$D$16</f>
        <v>0</v>
      </c>
      <c r="R268" s="63">
        <f>+P268+Q268</f>
        <v>0</v>
      </c>
    </row>
    <row r="269" spans="1:18">
      <c r="A269" s="30" t="s">
        <v>27</v>
      </c>
      <c r="B269" s="21">
        <v>2939201</v>
      </c>
      <c r="C269" s="22">
        <v>3.4717940278099442E-2</v>
      </c>
      <c r="D269" s="23">
        <v>0</v>
      </c>
      <c r="E269" s="24">
        <v>0</v>
      </c>
      <c r="F269" s="25">
        <v>0</v>
      </c>
      <c r="G269" s="24">
        <v>0</v>
      </c>
      <c r="H269" s="27">
        <v>0</v>
      </c>
      <c r="I269" s="31">
        <v>0</v>
      </c>
      <c r="J269" s="29">
        <f t="shared" si="94"/>
        <v>0</v>
      </c>
      <c r="K269" s="61">
        <f t="shared" si="89"/>
        <v>0</v>
      </c>
      <c r="L269" s="167">
        <f>ROUND(J269*VLOOKUP($A269,'Actual Load'!$A$4:$B$29,2,FALSE)/VLOOKUP($A269,'Projected Zonal Load'!$A$4:$N$29,14,FALSE),0)</f>
        <v>0</v>
      </c>
      <c r="M269" s="61">
        <f t="shared" si="90"/>
        <v>0</v>
      </c>
      <c r="N269" s="167">
        <f t="shared" si="95"/>
        <v>0</v>
      </c>
      <c r="O269" s="61">
        <f t="shared" ref="O269:O281" si="96">+M269-N269</f>
        <v>0</v>
      </c>
      <c r="P269" s="61">
        <f t="shared" si="92"/>
        <v>0</v>
      </c>
      <c r="Q269" s="62">
        <f>+H269*Interest!$D$16</f>
        <v>0</v>
      </c>
      <c r="R269" s="63">
        <f t="shared" ref="R269:R281" si="97">+P269+Q269</f>
        <v>0</v>
      </c>
    </row>
    <row r="270" spans="1:18">
      <c r="A270" s="30" t="s">
        <v>28</v>
      </c>
      <c r="B270" s="21">
        <v>207000</v>
      </c>
      <c r="C270" s="22">
        <v>2.4450909065309194E-3</v>
      </c>
      <c r="D270" s="23">
        <v>0</v>
      </c>
      <c r="E270" s="24">
        <v>0</v>
      </c>
      <c r="F270" s="25">
        <v>0</v>
      </c>
      <c r="G270" s="24">
        <v>0</v>
      </c>
      <c r="H270" s="27">
        <v>0</v>
      </c>
      <c r="I270" s="31">
        <v>0</v>
      </c>
      <c r="J270" s="29">
        <f t="shared" si="94"/>
        <v>0</v>
      </c>
      <c r="K270" s="61">
        <f t="shared" si="89"/>
        <v>0</v>
      </c>
      <c r="L270" s="167">
        <f>ROUND(J270*VLOOKUP($A270,'Actual Load'!$A$4:$B$29,2,FALSE)/VLOOKUP($A270,'Projected Zonal Load'!$A$4:$N$29,14,FALSE),0)</f>
        <v>0</v>
      </c>
      <c r="M270" s="61">
        <f t="shared" si="90"/>
        <v>0</v>
      </c>
      <c r="N270" s="167">
        <f t="shared" si="95"/>
        <v>0</v>
      </c>
      <c r="O270" s="61">
        <f t="shared" si="96"/>
        <v>0</v>
      </c>
      <c r="P270" s="61">
        <f t="shared" si="92"/>
        <v>0</v>
      </c>
      <c r="Q270" s="62">
        <f>+H270*Interest!$D$16</f>
        <v>0</v>
      </c>
      <c r="R270" s="63">
        <f t="shared" si="97"/>
        <v>0</v>
      </c>
    </row>
    <row r="271" spans="1:18">
      <c r="A271" s="30" t="s">
        <v>29</v>
      </c>
      <c r="B271" s="21">
        <v>7020707</v>
      </c>
      <c r="C271" s="22">
        <v>8.2928825329072323E-2</v>
      </c>
      <c r="D271" s="23">
        <v>0</v>
      </c>
      <c r="E271" s="24">
        <v>0</v>
      </c>
      <c r="F271" s="25">
        <v>0</v>
      </c>
      <c r="G271" s="24">
        <v>0</v>
      </c>
      <c r="H271" s="27">
        <v>0</v>
      </c>
      <c r="I271" s="31">
        <v>0</v>
      </c>
      <c r="J271" s="29">
        <f t="shared" si="94"/>
        <v>0</v>
      </c>
      <c r="K271" s="61">
        <f t="shared" si="89"/>
        <v>0</v>
      </c>
      <c r="L271" s="167">
        <f>ROUND(J271*VLOOKUP($A271,'Actual Load'!$A$4:$B$29,2,FALSE)/VLOOKUP($A271,'Projected Zonal Load'!$A$4:$N$29,14,FALSE),0)</f>
        <v>0</v>
      </c>
      <c r="M271" s="61">
        <f t="shared" si="90"/>
        <v>0</v>
      </c>
      <c r="N271" s="167">
        <f t="shared" si="95"/>
        <v>0</v>
      </c>
      <c r="O271" s="61">
        <f t="shared" si="96"/>
        <v>0</v>
      </c>
      <c r="P271" s="61">
        <f t="shared" si="92"/>
        <v>0</v>
      </c>
      <c r="Q271" s="62">
        <f>+H271*Interest!$D$16</f>
        <v>0</v>
      </c>
      <c r="R271" s="63">
        <f t="shared" si="97"/>
        <v>0</v>
      </c>
    </row>
    <row r="272" spans="1:18">
      <c r="A272" s="30" t="s">
        <v>30</v>
      </c>
      <c r="B272" s="21">
        <v>6927361</v>
      </c>
      <c r="C272" s="22">
        <v>8.1826219262593897E-2</v>
      </c>
      <c r="D272" s="23">
        <v>0</v>
      </c>
      <c r="E272" s="24">
        <v>0</v>
      </c>
      <c r="F272" s="25">
        <v>0</v>
      </c>
      <c r="G272" s="24">
        <v>0</v>
      </c>
      <c r="H272" s="27">
        <v>0</v>
      </c>
      <c r="I272" s="31">
        <v>0</v>
      </c>
      <c r="J272" s="29">
        <f t="shared" si="94"/>
        <v>0</v>
      </c>
      <c r="K272" s="61">
        <f t="shared" si="89"/>
        <v>0</v>
      </c>
      <c r="L272" s="167">
        <f>ROUND(J272*VLOOKUP($A272,'Actual Load'!$A$4:$B$29,2,FALSE)/VLOOKUP($A272,'Projected Zonal Load'!$A$4:$N$29,14,FALSE),0)</f>
        <v>0</v>
      </c>
      <c r="M272" s="61">
        <f t="shared" si="90"/>
        <v>0</v>
      </c>
      <c r="N272" s="167">
        <f t="shared" si="95"/>
        <v>0</v>
      </c>
      <c r="O272" s="61">
        <f t="shared" si="96"/>
        <v>0</v>
      </c>
      <c r="P272" s="61">
        <f t="shared" si="92"/>
        <v>0</v>
      </c>
      <c r="Q272" s="62">
        <f>+H272*Interest!$D$16</f>
        <v>0</v>
      </c>
      <c r="R272" s="63">
        <f t="shared" si="97"/>
        <v>0</v>
      </c>
    </row>
    <row r="273" spans="1:18">
      <c r="A273" s="30" t="s">
        <v>31</v>
      </c>
      <c r="B273" s="21">
        <v>325000</v>
      </c>
      <c r="C273" s="22">
        <v>3.8389108435871924E-3</v>
      </c>
      <c r="D273" s="23">
        <v>0</v>
      </c>
      <c r="E273" s="24">
        <v>0</v>
      </c>
      <c r="F273" s="25">
        <v>0</v>
      </c>
      <c r="G273" s="24">
        <v>0</v>
      </c>
      <c r="H273" s="27">
        <v>0</v>
      </c>
      <c r="I273" s="31">
        <v>0</v>
      </c>
      <c r="J273" s="29">
        <f t="shared" si="94"/>
        <v>0</v>
      </c>
      <c r="K273" s="61">
        <f t="shared" si="89"/>
        <v>0</v>
      </c>
      <c r="L273" s="167">
        <f>ROUND(J273*VLOOKUP($A273,'Actual Load'!$A$4:$B$29,2,FALSE)/VLOOKUP($A273,'Projected Zonal Load'!$A$4:$N$29,14,FALSE),0)</f>
        <v>0</v>
      </c>
      <c r="M273" s="61">
        <f t="shared" si="90"/>
        <v>0</v>
      </c>
      <c r="N273" s="167">
        <f t="shared" si="95"/>
        <v>0</v>
      </c>
      <c r="O273" s="61">
        <f t="shared" si="96"/>
        <v>0</v>
      </c>
      <c r="P273" s="61">
        <f t="shared" si="92"/>
        <v>0</v>
      </c>
      <c r="Q273" s="62">
        <f>+H273*Interest!$D$16</f>
        <v>0</v>
      </c>
      <c r="R273" s="63">
        <f t="shared" si="97"/>
        <v>0</v>
      </c>
    </row>
    <row r="274" spans="1:18">
      <c r="A274" s="30" t="s">
        <v>32</v>
      </c>
      <c r="B274" s="21">
        <v>343000</v>
      </c>
      <c r="C274" s="22">
        <v>4.0515274441550982E-3</v>
      </c>
      <c r="D274" s="23">
        <v>0</v>
      </c>
      <c r="E274" s="24">
        <v>0</v>
      </c>
      <c r="F274" s="25">
        <v>0</v>
      </c>
      <c r="G274" s="24">
        <v>0</v>
      </c>
      <c r="H274" s="27">
        <v>0</v>
      </c>
      <c r="I274" s="31">
        <v>0</v>
      </c>
      <c r="J274" s="29">
        <f t="shared" si="94"/>
        <v>0</v>
      </c>
      <c r="K274" s="61">
        <f t="shared" si="89"/>
        <v>0</v>
      </c>
      <c r="L274" s="167">
        <f>ROUND(J274*VLOOKUP($A274,'Actual Load'!$A$4:$B$29,2,FALSE)/VLOOKUP($A274,'Projected Zonal Load'!$A$4:$N$29,14,FALSE),0)</f>
        <v>0</v>
      </c>
      <c r="M274" s="61">
        <f t="shared" si="90"/>
        <v>0</v>
      </c>
      <c r="N274" s="167">
        <f t="shared" si="95"/>
        <v>0</v>
      </c>
      <c r="O274" s="61">
        <f t="shared" si="96"/>
        <v>0</v>
      </c>
      <c r="P274" s="61">
        <f t="shared" si="92"/>
        <v>0</v>
      </c>
      <c r="Q274" s="62">
        <f>+H274*Interest!$D$16</f>
        <v>0</v>
      </c>
      <c r="R274" s="63">
        <f t="shared" si="97"/>
        <v>0</v>
      </c>
    </row>
    <row r="275" spans="1:18">
      <c r="A275" s="30" t="s">
        <v>33</v>
      </c>
      <c r="B275" s="21">
        <v>10436523.5</v>
      </c>
      <c r="C275" s="22">
        <v>0.12327656379539248</v>
      </c>
      <c r="D275" s="23">
        <v>0</v>
      </c>
      <c r="E275" s="24">
        <v>0</v>
      </c>
      <c r="F275" s="25">
        <v>0</v>
      </c>
      <c r="G275" s="24">
        <v>0</v>
      </c>
      <c r="H275" s="27">
        <v>0</v>
      </c>
      <c r="I275" s="31">
        <v>0</v>
      </c>
      <c r="J275" s="29">
        <f t="shared" si="94"/>
        <v>0</v>
      </c>
      <c r="K275" s="61">
        <f t="shared" si="89"/>
        <v>0</v>
      </c>
      <c r="L275" s="167">
        <f>ROUND(J275*VLOOKUP($A275,'Actual Load'!$A$4:$B$29,2,FALSE)/VLOOKUP($A275,'Projected Zonal Load'!$A$4:$N$29,14,FALSE),0)</f>
        <v>0</v>
      </c>
      <c r="M275" s="61">
        <f t="shared" si="90"/>
        <v>0</v>
      </c>
      <c r="N275" s="167">
        <f t="shared" si="95"/>
        <v>0</v>
      </c>
      <c r="O275" s="61">
        <f t="shared" si="96"/>
        <v>0</v>
      </c>
      <c r="P275" s="61">
        <f t="shared" si="92"/>
        <v>0</v>
      </c>
      <c r="Q275" s="62">
        <f>+H275*Interest!$D$16</f>
        <v>0</v>
      </c>
      <c r="R275" s="63">
        <f t="shared" si="97"/>
        <v>0</v>
      </c>
    </row>
    <row r="276" spans="1:18">
      <c r="A276" s="30" t="s">
        <v>34</v>
      </c>
      <c r="B276" s="21">
        <v>7856545</v>
      </c>
      <c r="C276" s="22">
        <v>9.2801771672709962E-2</v>
      </c>
      <c r="D276" s="23">
        <v>0</v>
      </c>
      <c r="E276" s="24">
        <v>0</v>
      </c>
      <c r="F276" s="25">
        <v>0</v>
      </c>
      <c r="G276" s="24">
        <v>0</v>
      </c>
      <c r="H276" s="27">
        <v>0</v>
      </c>
      <c r="I276" s="31">
        <v>0</v>
      </c>
      <c r="J276" s="29">
        <f t="shared" si="94"/>
        <v>0</v>
      </c>
      <c r="K276" s="61">
        <f t="shared" si="89"/>
        <v>0</v>
      </c>
      <c r="L276" s="167">
        <f>ROUND(J276*VLOOKUP($A276,'Actual Load'!$A$4:$B$29,2,FALSE)/VLOOKUP($A276,'Projected Zonal Load'!$A$4:$N$29,14,FALSE),0)</f>
        <v>0</v>
      </c>
      <c r="M276" s="61">
        <f t="shared" si="90"/>
        <v>0</v>
      </c>
      <c r="N276" s="167">
        <f t="shared" si="95"/>
        <v>0</v>
      </c>
      <c r="O276" s="61">
        <f t="shared" si="96"/>
        <v>0</v>
      </c>
      <c r="P276" s="61">
        <f t="shared" si="92"/>
        <v>0</v>
      </c>
      <c r="Q276" s="62">
        <f>+H276*Interest!$D$16</f>
        <v>0</v>
      </c>
      <c r="R276" s="63">
        <f t="shared" si="97"/>
        <v>0</v>
      </c>
    </row>
    <row r="277" spans="1:18">
      <c r="A277" s="30" t="s">
        <v>35</v>
      </c>
      <c r="B277" s="21">
        <v>1680898</v>
      </c>
      <c r="C277" s="22">
        <v>1.9854823258966228E-2</v>
      </c>
      <c r="D277" s="23">
        <v>0</v>
      </c>
      <c r="E277" s="24">
        <v>0</v>
      </c>
      <c r="F277" s="25">
        <v>0</v>
      </c>
      <c r="G277" s="24">
        <v>0</v>
      </c>
      <c r="H277" s="27">
        <v>0</v>
      </c>
      <c r="I277" s="31">
        <v>0</v>
      </c>
      <c r="J277" s="29">
        <f t="shared" si="94"/>
        <v>0</v>
      </c>
      <c r="K277" s="61">
        <f t="shared" si="89"/>
        <v>0</v>
      </c>
      <c r="L277" s="167">
        <f>ROUND(J277*VLOOKUP($A277,'Actual Load'!$A$4:$B$29,2,FALSE)/VLOOKUP($A277,'Projected Zonal Load'!$A$4:$N$29,14,FALSE),0)</f>
        <v>0</v>
      </c>
      <c r="M277" s="61">
        <f t="shared" si="90"/>
        <v>0</v>
      </c>
      <c r="N277" s="167">
        <f t="shared" si="95"/>
        <v>0</v>
      </c>
      <c r="O277" s="61">
        <f t="shared" si="96"/>
        <v>0</v>
      </c>
      <c r="P277" s="61">
        <f t="shared" si="92"/>
        <v>0</v>
      </c>
      <c r="Q277" s="62">
        <f>+H277*Interest!$D$16</f>
        <v>0</v>
      </c>
      <c r="R277" s="63">
        <f t="shared" si="97"/>
        <v>0</v>
      </c>
    </row>
    <row r="278" spans="1:18">
      <c r="A278" s="30" t="s">
        <v>36</v>
      </c>
      <c r="B278" s="21">
        <v>255700</v>
      </c>
      <c r="C278" s="22">
        <v>3.020336931400754E-3</v>
      </c>
      <c r="D278" s="23">
        <v>0</v>
      </c>
      <c r="E278" s="24">
        <v>0</v>
      </c>
      <c r="F278" s="25">
        <v>0</v>
      </c>
      <c r="G278" s="24">
        <v>0</v>
      </c>
      <c r="H278" s="27">
        <v>0</v>
      </c>
      <c r="I278" s="31">
        <v>0</v>
      </c>
      <c r="J278" s="29">
        <f t="shared" si="94"/>
        <v>0</v>
      </c>
      <c r="K278" s="61">
        <f t="shared" si="89"/>
        <v>0</v>
      </c>
      <c r="L278" s="167">
        <f>ROUND(J278*VLOOKUP($A278,'Actual Load'!$A$4:$B$29,2,FALSE)/VLOOKUP($A278,'Projected Zonal Load'!$A$4:$N$29,14,FALSE),0)</f>
        <v>0</v>
      </c>
      <c r="M278" s="61">
        <f t="shared" si="90"/>
        <v>0</v>
      </c>
      <c r="N278" s="167">
        <f t="shared" si="95"/>
        <v>0</v>
      </c>
      <c r="O278" s="61">
        <f t="shared" si="96"/>
        <v>0</v>
      </c>
      <c r="P278" s="61">
        <f t="shared" si="92"/>
        <v>0</v>
      </c>
      <c r="Q278" s="62">
        <f>+H278*Interest!$D$16</f>
        <v>0</v>
      </c>
      <c r="R278" s="63">
        <f t="shared" si="97"/>
        <v>0</v>
      </c>
    </row>
    <row r="279" spans="1:18">
      <c r="A279" s="30" t="s">
        <v>37</v>
      </c>
      <c r="B279" s="21">
        <v>999226</v>
      </c>
      <c r="C279" s="22">
        <v>1.1802890851059249E-2</v>
      </c>
      <c r="D279" s="23">
        <v>0</v>
      </c>
      <c r="E279" s="24">
        <v>0</v>
      </c>
      <c r="F279" s="25">
        <v>1</v>
      </c>
      <c r="G279" s="24">
        <v>0</v>
      </c>
      <c r="H279" s="27">
        <v>1</v>
      </c>
      <c r="I279" s="31">
        <v>0</v>
      </c>
      <c r="J279" s="29">
        <f t="shared" si="94"/>
        <v>6415.7</v>
      </c>
      <c r="K279" s="61">
        <f t="shared" si="89"/>
        <v>333.69999999999982</v>
      </c>
      <c r="L279" s="167">
        <f>ROUND(J279*VLOOKUP($A279,'Actual Load'!$A$4:$B$29,2,FALSE)/VLOOKUP($A279,'Projected Zonal Load'!$A$4:$N$29,14,FALSE),0)</f>
        <v>6395</v>
      </c>
      <c r="M279" s="61">
        <f t="shared" si="90"/>
        <v>6752.3288024397298</v>
      </c>
      <c r="N279" s="167">
        <f t="shared" si="95"/>
        <v>6415.7</v>
      </c>
      <c r="O279" s="61">
        <f t="shared" si="96"/>
        <v>336.62880243972995</v>
      </c>
      <c r="P279" s="61">
        <f t="shared" si="92"/>
        <v>670.32880243972977</v>
      </c>
      <c r="Q279" s="62">
        <f>+H279*Interest!$D$16</f>
        <v>44.030018181304357</v>
      </c>
      <c r="R279" s="63">
        <f t="shared" si="97"/>
        <v>714.35882062103417</v>
      </c>
    </row>
    <row r="280" spans="1:18">
      <c r="A280" s="30" t="s">
        <v>38</v>
      </c>
      <c r="B280" s="21">
        <v>700616</v>
      </c>
      <c r="C280" s="22">
        <v>8.2756995679713358E-3</v>
      </c>
      <c r="D280" s="23">
        <v>0</v>
      </c>
      <c r="E280" s="24">
        <v>0</v>
      </c>
      <c r="F280" s="25">
        <v>0</v>
      </c>
      <c r="G280" s="24">
        <v>0</v>
      </c>
      <c r="H280" s="27">
        <v>0</v>
      </c>
      <c r="I280" s="31">
        <v>0</v>
      </c>
      <c r="J280" s="29">
        <f t="shared" si="94"/>
        <v>0</v>
      </c>
      <c r="K280" s="61">
        <f t="shared" si="89"/>
        <v>0</v>
      </c>
      <c r="L280" s="167">
        <f>ROUND(J280*VLOOKUP($A280,'Actual Load'!$A$4:$B$29,2,FALSE)/VLOOKUP($A280,'Projected Zonal Load'!$A$4:$N$29,14,FALSE),0)</f>
        <v>0</v>
      </c>
      <c r="M280" s="61">
        <f t="shared" si="90"/>
        <v>0</v>
      </c>
      <c r="N280" s="167">
        <f t="shared" si="95"/>
        <v>0</v>
      </c>
      <c r="O280" s="61">
        <f t="shared" si="96"/>
        <v>0</v>
      </c>
      <c r="P280" s="61">
        <f t="shared" si="92"/>
        <v>0</v>
      </c>
      <c r="Q280" s="62">
        <f>+H280*Interest!$D$16</f>
        <v>0</v>
      </c>
      <c r="R280" s="63">
        <f t="shared" si="97"/>
        <v>0</v>
      </c>
    </row>
    <row r="281" spans="1:18">
      <c r="A281" s="32" t="s">
        <v>39</v>
      </c>
      <c r="B281" s="21">
        <v>553279</v>
      </c>
      <c r="C281" s="22">
        <v>6.5353500080894715E-3</v>
      </c>
      <c r="D281" s="23">
        <v>0</v>
      </c>
      <c r="E281" s="24">
        <v>0</v>
      </c>
      <c r="F281" s="25">
        <v>0</v>
      </c>
      <c r="G281" s="33">
        <v>0</v>
      </c>
      <c r="H281" s="34">
        <v>0</v>
      </c>
      <c r="I281" s="35">
        <v>0</v>
      </c>
      <c r="J281" s="29">
        <f t="shared" si="94"/>
        <v>0</v>
      </c>
      <c r="K281" s="61">
        <f t="shared" si="89"/>
        <v>0</v>
      </c>
      <c r="L281" s="167">
        <f>ROUND(J281*VLOOKUP($A281,'Actual Load'!$A$4:$B$29,2,FALSE)/VLOOKUP($A281,'Projected Zonal Load'!$A$4:$N$29,14,FALSE),0)</f>
        <v>0</v>
      </c>
      <c r="M281" s="61">
        <f t="shared" si="90"/>
        <v>0</v>
      </c>
      <c r="N281" s="167">
        <f t="shared" si="95"/>
        <v>0</v>
      </c>
      <c r="O281" s="61">
        <f t="shared" si="96"/>
        <v>0</v>
      </c>
      <c r="P281" s="61">
        <f t="shared" si="92"/>
        <v>0</v>
      </c>
      <c r="Q281" s="62">
        <f>+H281*Interest!$D$16</f>
        <v>0</v>
      </c>
      <c r="R281" s="63">
        <f t="shared" si="97"/>
        <v>0</v>
      </c>
    </row>
    <row r="282" spans="1:18">
      <c r="A282" s="36"/>
      <c r="B282" s="37">
        <v>84659429</v>
      </c>
      <c r="C282" s="38">
        <v>1.0000000000000002</v>
      </c>
      <c r="D282" s="39">
        <v>0</v>
      </c>
      <c r="E282" s="40">
        <v>0</v>
      </c>
      <c r="F282" s="41">
        <v>1</v>
      </c>
      <c r="G282" s="40">
        <v>0</v>
      </c>
      <c r="H282" s="42">
        <v>1</v>
      </c>
      <c r="I282" s="43">
        <v>0</v>
      </c>
      <c r="J282" s="44">
        <f>SUM(J261:J281)</f>
        <v>6415.7</v>
      </c>
      <c r="K282" s="64">
        <f>SUM(K261:K281)</f>
        <v>333.69999999999982</v>
      </c>
      <c r="L282" s="171">
        <f t="shared" ref="L282:R282" si="98">SUM(L261:L281)</f>
        <v>6395</v>
      </c>
      <c r="M282" s="65">
        <f t="shared" si="98"/>
        <v>6752.3288024397298</v>
      </c>
      <c r="N282" s="171">
        <f t="shared" si="98"/>
        <v>6415.7</v>
      </c>
      <c r="O282" s="65">
        <f t="shared" si="98"/>
        <v>336.62880243972995</v>
      </c>
      <c r="P282" s="65">
        <f t="shared" si="98"/>
        <v>670.32880243972977</v>
      </c>
      <c r="Q282" s="65">
        <f t="shared" si="98"/>
        <v>44.030018181304357</v>
      </c>
      <c r="R282" s="66">
        <f t="shared" si="98"/>
        <v>714.35882062103417</v>
      </c>
    </row>
    <row r="283" spans="1:18">
      <c r="H283" s="45"/>
      <c r="I283" s="46"/>
    </row>
    <row r="284" spans="1:18">
      <c r="A284" s="47" t="s">
        <v>40</v>
      </c>
      <c r="O284" s="164"/>
      <c r="P284" s="164"/>
      <c r="Q284" s="164"/>
      <c r="R284" s="164"/>
    </row>
    <row r="285" spans="1:18">
      <c r="H285" s="194" t="s">
        <v>187</v>
      </c>
      <c r="I285" s="196">
        <v>6501.7</v>
      </c>
      <c r="K285" s="67"/>
      <c r="L285" s="194" t="s">
        <v>190</v>
      </c>
      <c r="M285" s="196">
        <v>6168</v>
      </c>
      <c r="O285" s="164"/>
      <c r="P285" s="164"/>
      <c r="Q285" s="164"/>
      <c r="R285" s="164"/>
    </row>
    <row r="286" spans="1:18">
      <c r="H286" s="161" t="s">
        <v>189</v>
      </c>
      <c r="I286" s="196">
        <v>-86</v>
      </c>
      <c r="K286" s="67"/>
      <c r="L286" s="161" t="s">
        <v>189</v>
      </c>
      <c r="M286" s="196">
        <v>-86</v>
      </c>
      <c r="O286" s="164"/>
      <c r="P286" s="164"/>
      <c r="Q286" s="164"/>
      <c r="R286" s="164"/>
    </row>
    <row r="287" spans="1:18">
      <c r="G287" s="67"/>
      <c r="H287" s="195" t="s">
        <v>188</v>
      </c>
      <c r="I287" s="197">
        <f>SUM(I285:I286)</f>
        <v>6415.7</v>
      </c>
      <c r="J287" s="225" t="s">
        <v>137</v>
      </c>
      <c r="K287" s="198"/>
      <c r="L287" s="195" t="s">
        <v>188</v>
      </c>
      <c r="M287" s="197">
        <f>SUM(M285:M286)</f>
        <v>6082</v>
      </c>
      <c r="O287" s="207" t="s">
        <v>137</v>
      </c>
      <c r="P287" s="164"/>
      <c r="Q287" s="164"/>
      <c r="R287" s="164"/>
    </row>
    <row r="288" spans="1:18">
      <c r="O288" s="164"/>
      <c r="P288" s="164"/>
      <c r="Q288" s="164"/>
      <c r="R288" s="164"/>
    </row>
    <row r="291" spans="1:18" ht="15.75">
      <c r="A291" s="281" t="s">
        <v>0</v>
      </c>
      <c r="B291" s="282"/>
      <c r="C291" s="282" t="s">
        <v>1</v>
      </c>
      <c r="D291" s="282"/>
      <c r="E291" s="282"/>
      <c r="F291" s="282"/>
      <c r="G291" s="282"/>
      <c r="H291" s="283"/>
      <c r="I291" s="1"/>
    </row>
    <row r="292" spans="1:18" ht="15.75" hidden="1" outlineLevel="1">
      <c r="A292" s="132" t="s">
        <v>142</v>
      </c>
      <c r="B292" s="133"/>
      <c r="C292" s="136" t="s">
        <v>140</v>
      </c>
      <c r="D292" s="134"/>
      <c r="E292" s="134"/>
      <c r="F292" s="134"/>
      <c r="G292" s="134"/>
      <c r="H292" s="135"/>
      <c r="I292" s="1"/>
    </row>
    <row r="293" spans="1:18" ht="15.75" collapsed="1">
      <c r="A293" s="269" t="s">
        <v>2</v>
      </c>
      <c r="B293" s="270"/>
      <c r="C293" s="284" t="s">
        <v>3</v>
      </c>
      <c r="D293" s="285"/>
      <c r="E293" s="285"/>
      <c r="F293" s="285"/>
      <c r="G293" s="285"/>
      <c r="H293" s="286"/>
      <c r="I293" s="1"/>
    </row>
    <row r="294" spans="1:18" ht="15.75">
      <c r="A294" s="269" t="s">
        <v>4</v>
      </c>
      <c r="B294" s="270"/>
      <c r="C294" s="284" t="s">
        <v>5</v>
      </c>
      <c r="D294" s="285"/>
      <c r="E294" s="285"/>
      <c r="F294" s="285"/>
      <c r="G294" s="285"/>
      <c r="H294" s="286"/>
      <c r="I294" s="1"/>
    </row>
    <row r="295" spans="1:18" ht="15.75">
      <c r="A295" s="269" t="s">
        <v>6</v>
      </c>
      <c r="B295" s="270"/>
      <c r="C295" s="271">
        <v>0</v>
      </c>
      <c r="D295" s="272"/>
      <c r="E295" s="272"/>
      <c r="F295" s="272"/>
      <c r="G295" s="272"/>
      <c r="H295" s="273"/>
      <c r="I295" s="1"/>
      <c r="M295" s="50"/>
      <c r="O295" s="50" t="s">
        <v>46</v>
      </c>
      <c r="P295" s="50" t="s">
        <v>42</v>
      </c>
      <c r="R295" s="50" t="s">
        <v>47</v>
      </c>
    </row>
    <row r="296" spans="1:18" ht="15.75">
      <c r="A296" s="274" t="s">
        <v>7</v>
      </c>
      <c r="B296" s="275"/>
      <c r="C296" s="276" t="s">
        <v>8</v>
      </c>
      <c r="D296" s="277"/>
      <c r="E296" s="277"/>
      <c r="F296" s="277"/>
      <c r="G296" s="277"/>
      <c r="H296" s="278"/>
      <c r="I296" s="1"/>
      <c r="K296" s="50" t="s">
        <v>44</v>
      </c>
      <c r="L296" s="168" t="s">
        <v>45</v>
      </c>
      <c r="M296" s="51" t="s">
        <v>194</v>
      </c>
      <c r="N296" s="51" t="s">
        <v>41</v>
      </c>
      <c r="O296" s="51" t="s">
        <v>195</v>
      </c>
      <c r="P296" s="51" t="s">
        <v>196</v>
      </c>
      <c r="Q296" s="51" t="s">
        <v>43</v>
      </c>
      <c r="R296" s="51" t="s">
        <v>197</v>
      </c>
    </row>
    <row r="297" spans="1:18">
      <c r="A297" s="2"/>
      <c r="B297" s="2"/>
      <c r="C297" s="2"/>
      <c r="D297" s="2"/>
      <c r="E297" s="2"/>
      <c r="F297" s="2"/>
      <c r="G297" s="2"/>
      <c r="H297" s="2"/>
      <c r="I297" s="2"/>
      <c r="K297" s="52"/>
      <c r="L297" s="287" t="s">
        <v>48</v>
      </c>
      <c r="M297" s="288"/>
      <c r="N297" s="288"/>
      <c r="O297" s="289"/>
      <c r="P297" s="53" t="s">
        <v>49</v>
      </c>
      <c r="Q297" s="52"/>
      <c r="R297" s="53" t="s">
        <v>50</v>
      </c>
    </row>
    <row r="298" spans="1:18">
      <c r="A298" s="3"/>
      <c r="B298" s="4"/>
      <c r="C298" s="5"/>
      <c r="D298" s="279">
        <v>0</v>
      </c>
      <c r="E298" s="280"/>
      <c r="F298" s="279">
        <v>1</v>
      </c>
      <c r="G298" s="280"/>
      <c r="H298" s="6"/>
      <c r="I298" s="7"/>
      <c r="J298" s="8" t="s">
        <v>9</v>
      </c>
      <c r="K298" s="54" t="s">
        <v>51</v>
      </c>
      <c r="L298" s="287" t="s">
        <v>52</v>
      </c>
      <c r="M298" s="288"/>
      <c r="N298" s="214"/>
      <c r="O298" s="53" t="s">
        <v>53</v>
      </c>
      <c r="P298" s="54" t="s">
        <v>54</v>
      </c>
      <c r="Q298" s="55"/>
      <c r="R298" s="54" t="s">
        <v>55</v>
      </c>
    </row>
    <row r="299" spans="1:18">
      <c r="A299" s="9"/>
      <c r="B299" s="10"/>
      <c r="C299" s="11"/>
      <c r="D299" s="290" t="s">
        <v>10</v>
      </c>
      <c r="E299" s="291"/>
      <c r="F299" s="290" t="s">
        <v>11</v>
      </c>
      <c r="G299" s="291"/>
      <c r="H299" s="290" t="s">
        <v>12</v>
      </c>
      <c r="I299" s="292"/>
      <c r="J299" s="12" t="s">
        <v>13</v>
      </c>
      <c r="K299" s="56" t="s">
        <v>56</v>
      </c>
      <c r="L299" s="169" t="s">
        <v>191</v>
      </c>
      <c r="M299" s="192" t="s">
        <v>192</v>
      </c>
      <c r="N299" s="57" t="s">
        <v>57</v>
      </c>
      <c r="O299" s="57" t="s">
        <v>56</v>
      </c>
      <c r="P299" s="57" t="s">
        <v>56</v>
      </c>
      <c r="Q299" s="57" t="s">
        <v>58</v>
      </c>
      <c r="R299" s="57" t="s">
        <v>59</v>
      </c>
    </row>
    <row r="300" spans="1:18" ht="38.25">
      <c r="A300" s="13" t="s">
        <v>14</v>
      </c>
      <c r="B300" s="14" t="s">
        <v>15</v>
      </c>
      <c r="C300" s="15" t="s">
        <v>16</v>
      </c>
      <c r="D300" s="16" t="s">
        <v>17</v>
      </c>
      <c r="E300" s="17" t="s">
        <v>18</v>
      </c>
      <c r="F300" s="16" t="s">
        <v>17</v>
      </c>
      <c r="G300" s="17" t="s">
        <v>18</v>
      </c>
      <c r="H300" s="18" t="s">
        <v>17</v>
      </c>
      <c r="I300" s="19" t="s">
        <v>18</v>
      </c>
      <c r="J300" s="15" t="s">
        <v>18</v>
      </c>
      <c r="K300" s="58" t="s">
        <v>60</v>
      </c>
      <c r="L300" s="170"/>
      <c r="M300" s="59"/>
      <c r="N300" s="170"/>
      <c r="O300" s="58" t="s">
        <v>60</v>
      </c>
      <c r="P300" s="59"/>
      <c r="Q300" s="59"/>
      <c r="R300" s="60" t="s">
        <v>60</v>
      </c>
    </row>
    <row r="301" spans="1:18">
      <c r="A301" s="20" t="s">
        <v>19</v>
      </c>
      <c r="B301" s="21">
        <v>10940248.5</v>
      </c>
      <c r="C301" s="22">
        <v>0.1292265803021185</v>
      </c>
      <c r="D301" s="23">
        <v>0</v>
      </c>
      <c r="E301" s="24">
        <v>0</v>
      </c>
      <c r="F301" s="25">
        <v>0</v>
      </c>
      <c r="G301" s="26">
        <v>0</v>
      </c>
      <c r="H301" s="27">
        <v>0</v>
      </c>
      <c r="I301" s="28">
        <v>0</v>
      </c>
      <c r="J301" s="29">
        <f>H301*I$327</f>
        <v>0</v>
      </c>
      <c r="K301" s="61">
        <f t="shared" ref="K301:K321" si="99">(I$327-M$327)*H301</f>
        <v>0</v>
      </c>
      <c r="L301" s="167">
        <f>ROUND(J301*VLOOKUP($A301,'Actual Load'!$A$4:$B$29,2,FALSE)/VLOOKUP($A301,'Projected Zonal Load'!$A$4:$N$29,14,FALSE),0)</f>
        <v>0</v>
      </c>
      <c r="M301" s="61">
        <f t="shared" ref="M301:M321" si="100">IF(NOT(L$40=0),M$4*L301/L$40,0)</f>
        <v>0</v>
      </c>
      <c r="N301" s="167">
        <f>+J301</f>
        <v>0</v>
      </c>
      <c r="O301" s="61">
        <f t="shared" ref="O301:O307" si="101">+M301-N301</f>
        <v>0</v>
      </c>
      <c r="P301" s="61">
        <f t="shared" ref="P301:P321" si="102">+K301+O301</f>
        <v>0</v>
      </c>
      <c r="Q301" s="62">
        <f>+H301*Interest!$D$17</f>
        <v>0</v>
      </c>
      <c r="R301" s="63">
        <f t="shared" ref="R301:R307" si="103">+P301+Q301</f>
        <v>0</v>
      </c>
    </row>
    <row r="302" spans="1:18">
      <c r="A302" s="30" t="s">
        <v>20</v>
      </c>
      <c r="B302" s="21">
        <v>571800</v>
      </c>
      <c r="C302" s="22">
        <v>6.7541206780404811E-3</v>
      </c>
      <c r="D302" s="23">
        <v>0</v>
      </c>
      <c r="E302" s="24">
        <v>0</v>
      </c>
      <c r="F302" s="25">
        <v>0</v>
      </c>
      <c r="G302" s="24">
        <v>0</v>
      </c>
      <c r="H302" s="27">
        <v>0</v>
      </c>
      <c r="I302" s="31">
        <v>0</v>
      </c>
      <c r="J302" s="29">
        <f t="shared" ref="J302:J321" si="104">H302*I$327</f>
        <v>0</v>
      </c>
      <c r="K302" s="61">
        <f t="shared" si="99"/>
        <v>0</v>
      </c>
      <c r="L302" s="167">
        <f>ROUND(J302*VLOOKUP($A302,'Actual Load'!$A$4:$B$29,2,FALSE)/VLOOKUP($A302,'Projected Zonal Load'!$A$4:$N$29,14,FALSE),0)</f>
        <v>0</v>
      </c>
      <c r="M302" s="61">
        <f t="shared" si="100"/>
        <v>0</v>
      </c>
      <c r="N302" s="167">
        <f t="shared" ref="N302:N321" si="105">+J302</f>
        <v>0</v>
      </c>
      <c r="O302" s="61">
        <f t="shared" si="101"/>
        <v>0</v>
      </c>
      <c r="P302" s="61">
        <f t="shared" si="102"/>
        <v>0</v>
      </c>
      <c r="Q302" s="62">
        <f>+H302*Interest!$D$17</f>
        <v>0</v>
      </c>
      <c r="R302" s="63">
        <f t="shared" si="103"/>
        <v>0</v>
      </c>
    </row>
    <row r="303" spans="1:18">
      <c r="A303" s="30" t="s">
        <v>21</v>
      </c>
      <c r="B303" s="21">
        <v>9981000</v>
      </c>
      <c r="C303" s="22">
        <v>0.11789590501490389</v>
      </c>
      <c r="D303" s="23">
        <v>0</v>
      </c>
      <c r="E303" s="24">
        <v>0</v>
      </c>
      <c r="F303" s="25">
        <v>0</v>
      </c>
      <c r="G303" s="24">
        <v>0</v>
      </c>
      <c r="H303" s="27">
        <v>0</v>
      </c>
      <c r="I303" s="31">
        <v>0</v>
      </c>
      <c r="J303" s="29">
        <f t="shared" si="104"/>
        <v>0</v>
      </c>
      <c r="K303" s="61">
        <f t="shared" si="99"/>
        <v>0</v>
      </c>
      <c r="L303" s="167">
        <f>ROUND(J303*VLOOKUP($A303,'Actual Load'!$A$4:$B$29,2,FALSE)/VLOOKUP($A303,'Projected Zonal Load'!$A$4:$N$29,14,FALSE),0)</f>
        <v>0</v>
      </c>
      <c r="M303" s="61">
        <f t="shared" si="100"/>
        <v>0</v>
      </c>
      <c r="N303" s="167">
        <f t="shared" si="105"/>
        <v>0</v>
      </c>
      <c r="O303" s="61">
        <f t="shared" si="101"/>
        <v>0</v>
      </c>
      <c r="P303" s="61">
        <f t="shared" si="102"/>
        <v>0</v>
      </c>
      <c r="Q303" s="62">
        <f>+H303*Interest!$D$17</f>
        <v>0</v>
      </c>
      <c r="R303" s="63">
        <f t="shared" si="103"/>
        <v>0</v>
      </c>
    </row>
    <row r="304" spans="1:18">
      <c r="A304" s="30" t="s">
        <v>22</v>
      </c>
      <c r="B304" s="21">
        <v>1028167</v>
      </c>
      <c r="C304" s="22">
        <v>1.2144742908672346E-2</v>
      </c>
      <c r="D304" s="23">
        <v>0</v>
      </c>
      <c r="E304" s="24">
        <v>0</v>
      </c>
      <c r="F304" s="25">
        <v>0</v>
      </c>
      <c r="G304" s="24">
        <v>0</v>
      </c>
      <c r="H304" s="27">
        <v>0</v>
      </c>
      <c r="I304" s="31">
        <v>0</v>
      </c>
      <c r="J304" s="29">
        <f t="shared" si="104"/>
        <v>0</v>
      </c>
      <c r="K304" s="61">
        <f t="shared" si="99"/>
        <v>0</v>
      </c>
      <c r="L304" s="167">
        <f>ROUND(J304*VLOOKUP($A304,'Actual Load'!$A$4:$B$29,2,FALSE)/VLOOKUP($A304,'Projected Zonal Load'!$A$4:$N$29,14,FALSE),0)</f>
        <v>0</v>
      </c>
      <c r="M304" s="61">
        <f t="shared" si="100"/>
        <v>0</v>
      </c>
      <c r="N304" s="167">
        <f t="shared" si="105"/>
        <v>0</v>
      </c>
      <c r="O304" s="61">
        <f t="shared" si="101"/>
        <v>0</v>
      </c>
      <c r="P304" s="61">
        <f t="shared" si="102"/>
        <v>0</v>
      </c>
      <c r="Q304" s="62">
        <f>+H304*Interest!$D$17</f>
        <v>0</v>
      </c>
      <c r="R304" s="63">
        <f t="shared" si="103"/>
        <v>0</v>
      </c>
    </row>
    <row r="305" spans="1:18">
      <c r="A305" s="30" t="s">
        <v>23</v>
      </c>
      <c r="B305" s="21">
        <v>2574417</v>
      </c>
      <c r="C305" s="22">
        <v>3.040909949912372E-2</v>
      </c>
      <c r="D305" s="23">
        <v>0</v>
      </c>
      <c r="E305" s="24">
        <v>0</v>
      </c>
      <c r="F305" s="25">
        <v>0</v>
      </c>
      <c r="G305" s="24">
        <v>0</v>
      </c>
      <c r="H305" s="27">
        <v>0</v>
      </c>
      <c r="I305" s="31">
        <v>0</v>
      </c>
      <c r="J305" s="29">
        <f t="shared" si="104"/>
        <v>0</v>
      </c>
      <c r="K305" s="61">
        <f t="shared" si="99"/>
        <v>0</v>
      </c>
      <c r="L305" s="167">
        <f>ROUND(J305*VLOOKUP($A305,'Actual Load'!$A$4:$B$29,2,FALSE)/VLOOKUP($A305,'Projected Zonal Load'!$A$4:$N$29,14,FALSE),0)</f>
        <v>0</v>
      </c>
      <c r="M305" s="61">
        <f t="shared" si="100"/>
        <v>0</v>
      </c>
      <c r="N305" s="167">
        <f t="shared" si="105"/>
        <v>0</v>
      </c>
      <c r="O305" s="61">
        <f t="shared" si="101"/>
        <v>0</v>
      </c>
      <c r="P305" s="61">
        <f t="shared" si="102"/>
        <v>0</v>
      </c>
      <c r="Q305" s="62">
        <f>+H305*Interest!$D$17</f>
        <v>0</v>
      </c>
      <c r="R305" s="63">
        <f t="shared" si="103"/>
        <v>0</v>
      </c>
    </row>
    <row r="306" spans="1:18">
      <c r="A306" s="30" t="s">
        <v>24</v>
      </c>
      <c r="B306" s="21">
        <v>2860240</v>
      </c>
      <c r="C306" s="22">
        <v>3.3785250311574866E-2</v>
      </c>
      <c r="D306" s="23">
        <v>0</v>
      </c>
      <c r="E306" s="24">
        <v>0</v>
      </c>
      <c r="F306" s="25">
        <v>0</v>
      </c>
      <c r="G306" s="24">
        <v>0</v>
      </c>
      <c r="H306" s="27">
        <v>0</v>
      </c>
      <c r="I306" s="31">
        <v>0</v>
      </c>
      <c r="J306" s="29">
        <f t="shared" si="104"/>
        <v>0</v>
      </c>
      <c r="K306" s="61">
        <f t="shared" si="99"/>
        <v>0</v>
      </c>
      <c r="L306" s="167">
        <f>ROUND(J306*VLOOKUP($A306,'Actual Load'!$A$4:$B$29,2,FALSE)/VLOOKUP($A306,'Projected Zonal Load'!$A$4:$N$29,14,FALSE),0)</f>
        <v>0</v>
      </c>
      <c r="M306" s="61">
        <f t="shared" si="100"/>
        <v>0</v>
      </c>
      <c r="N306" s="167">
        <f t="shared" si="105"/>
        <v>0</v>
      </c>
      <c r="O306" s="61">
        <f t="shared" si="101"/>
        <v>0</v>
      </c>
      <c r="P306" s="61">
        <f t="shared" si="102"/>
        <v>0</v>
      </c>
      <c r="Q306" s="62">
        <f>+H306*Interest!$D$17</f>
        <v>0</v>
      </c>
      <c r="R306" s="63">
        <f t="shared" si="103"/>
        <v>0</v>
      </c>
    </row>
    <row r="307" spans="1:18">
      <c r="A307" s="30" t="s">
        <v>25</v>
      </c>
      <c r="B307" s="21">
        <v>7116500</v>
      </c>
      <c r="C307" s="22">
        <v>8.4060335441194622E-2</v>
      </c>
      <c r="D307" s="23">
        <v>0</v>
      </c>
      <c r="E307" s="24">
        <v>0</v>
      </c>
      <c r="F307" s="25">
        <v>0</v>
      </c>
      <c r="G307" s="24">
        <v>0</v>
      </c>
      <c r="H307" s="27">
        <v>0</v>
      </c>
      <c r="I307" s="31">
        <v>0</v>
      </c>
      <c r="J307" s="29">
        <f t="shared" si="104"/>
        <v>0</v>
      </c>
      <c r="K307" s="61">
        <f t="shared" si="99"/>
        <v>0</v>
      </c>
      <c r="L307" s="167">
        <f>ROUND(J307*VLOOKUP($A307,'Actual Load'!$A$4:$B$29,2,FALSE)/VLOOKUP($A307,'Projected Zonal Load'!$A$4:$N$29,14,FALSE),0)</f>
        <v>0</v>
      </c>
      <c r="M307" s="61">
        <f t="shared" si="100"/>
        <v>0</v>
      </c>
      <c r="N307" s="167">
        <f t="shared" si="105"/>
        <v>0</v>
      </c>
      <c r="O307" s="61">
        <f t="shared" si="101"/>
        <v>0</v>
      </c>
      <c r="P307" s="61">
        <f t="shared" si="102"/>
        <v>0</v>
      </c>
      <c r="Q307" s="62">
        <f>+H307*Interest!$D$17</f>
        <v>0</v>
      </c>
      <c r="R307" s="63">
        <f t="shared" si="103"/>
        <v>0</v>
      </c>
    </row>
    <row r="308" spans="1:18">
      <c r="A308" s="30" t="s">
        <v>26</v>
      </c>
      <c r="B308" s="21">
        <v>9342000</v>
      </c>
      <c r="C308" s="22">
        <v>0.11034801569474323</v>
      </c>
      <c r="D308" s="23">
        <v>0</v>
      </c>
      <c r="E308" s="24">
        <v>0</v>
      </c>
      <c r="F308" s="25">
        <v>0</v>
      </c>
      <c r="G308" s="24">
        <v>0</v>
      </c>
      <c r="H308" s="27">
        <v>0</v>
      </c>
      <c r="I308" s="31">
        <v>0</v>
      </c>
      <c r="J308" s="29">
        <f t="shared" si="104"/>
        <v>0</v>
      </c>
      <c r="K308" s="61">
        <f t="shared" si="99"/>
        <v>0</v>
      </c>
      <c r="L308" s="167">
        <f>ROUND(J308*VLOOKUP($A308,'Actual Load'!$A$4:$B$29,2,FALSE)/VLOOKUP($A308,'Projected Zonal Load'!$A$4:$N$29,14,FALSE),0)</f>
        <v>0</v>
      </c>
      <c r="M308" s="61">
        <f t="shared" si="100"/>
        <v>0</v>
      </c>
      <c r="N308" s="167">
        <f t="shared" si="105"/>
        <v>0</v>
      </c>
      <c r="O308" s="61">
        <f>+M308-N308</f>
        <v>0</v>
      </c>
      <c r="P308" s="61">
        <f t="shared" si="102"/>
        <v>0</v>
      </c>
      <c r="Q308" s="62">
        <f>+H308*Interest!$D$17</f>
        <v>0</v>
      </c>
      <c r="R308" s="63">
        <f>+P308+Q308</f>
        <v>0</v>
      </c>
    </row>
    <row r="309" spans="1:18">
      <c r="A309" s="30" t="s">
        <v>27</v>
      </c>
      <c r="B309" s="21">
        <v>2939201</v>
      </c>
      <c r="C309" s="22">
        <v>3.4717940278099442E-2</v>
      </c>
      <c r="D309" s="23">
        <v>0</v>
      </c>
      <c r="E309" s="24">
        <v>0</v>
      </c>
      <c r="F309" s="25">
        <v>0</v>
      </c>
      <c r="G309" s="24">
        <v>0</v>
      </c>
      <c r="H309" s="27">
        <v>0</v>
      </c>
      <c r="I309" s="31">
        <v>0</v>
      </c>
      <c r="J309" s="29">
        <f t="shared" si="104"/>
        <v>0</v>
      </c>
      <c r="K309" s="61">
        <f t="shared" si="99"/>
        <v>0</v>
      </c>
      <c r="L309" s="167">
        <f>ROUND(J309*VLOOKUP($A309,'Actual Load'!$A$4:$B$29,2,FALSE)/VLOOKUP($A309,'Projected Zonal Load'!$A$4:$N$29,14,FALSE),0)</f>
        <v>0</v>
      </c>
      <c r="M309" s="61">
        <f t="shared" si="100"/>
        <v>0</v>
      </c>
      <c r="N309" s="167">
        <f t="shared" si="105"/>
        <v>0</v>
      </c>
      <c r="O309" s="61">
        <f t="shared" ref="O309:O321" si="106">+M309-N309</f>
        <v>0</v>
      </c>
      <c r="P309" s="61">
        <f t="shared" si="102"/>
        <v>0</v>
      </c>
      <c r="Q309" s="62">
        <f>+H309*Interest!$D$17</f>
        <v>0</v>
      </c>
      <c r="R309" s="63">
        <f t="shared" ref="R309:R321" si="107">+P309+Q309</f>
        <v>0</v>
      </c>
    </row>
    <row r="310" spans="1:18">
      <c r="A310" s="30" t="s">
        <v>28</v>
      </c>
      <c r="B310" s="21">
        <v>207000</v>
      </c>
      <c r="C310" s="22">
        <v>2.4450909065309194E-3</v>
      </c>
      <c r="D310" s="23">
        <v>0</v>
      </c>
      <c r="E310" s="24">
        <v>0</v>
      </c>
      <c r="F310" s="25">
        <v>0</v>
      </c>
      <c r="G310" s="24">
        <v>0</v>
      </c>
      <c r="H310" s="27">
        <v>0</v>
      </c>
      <c r="I310" s="31">
        <v>0</v>
      </c>
      <c r="J310" s="29">
        <f t="shared" si="104"/>
        <v>0</v>
      </c>
      <c r="K310" s="61">
        <f t="shared" si="99"/>
        <v>0</v>
      </c>
      <c r="L310" s="167">
        <f>ROUND(J310*VLOOKUP($A310,'Actual Load'!$A$4:$B$29,2,FALSE)/VLOOKUP($A310,'Projected Zonal Load'!$A$4:$N$29,14,FALSE),0)</f>
        <v>0</v>
      </c>
      <c r="M310" s="61">
        <f t="shared" si="100"/>
        <v>0</v>
      </c>
      <c r="N310" s="167">
        <f t="shared" si="105"/>
        <v>0</v>
      </c>
      <c r="O310" s="61">
        <f t="shared" si="106"/>
        <v>0</v>
      </c>
      <c r="P310" s="61">
        <f t="shared" si="102"/>
        <v>0</v>
      </c>
      <c r="Q310" s="62">
        <f>+H310*Interest!$D$17</f>
        <v>0</v>
      </c>
      <c r="R310" s="63">
        <f t="shared" si="107"/>
        <v>0</v>
      </c>
    </row>
    <row r="311" spans="1:18">
      <c r="A311" s="30" t="s">
        <v>29</v>
      </c>
      <c r="B311" s="21">
        <v>7020707</v>
      </c>
      <c r="C311" s="22">
        <v>8.2928825329072323E-2</v>
      </c>
      <c r="D311" s="23">
        <v>0</v>
      </c>
      <c r="E311" s="24">
        <v>0</v>
      </c>
      <c r="F311" s="25">
        <v>0</v>
      </c>
      <c r="G311" s="24">
        <v>0</v>
      </c>
      <c r="H311" s="27">
        <v>0</v>
      </c>
      <c r="I311" s="31">
        <v>0</v>
      </c>
      <c r="J311" s="29">
        <f t="shared" si="104"/>
        <v>0</v>
      </c>
      <c r="K311" s="61">
        <f t="shared" si="99"/>
        <v>0</v>
      </c>
      <c r="L311" s="167">
        <f>ROUND(J311*VLOOKUP($A311,'Actual Load'!$A$4:$B$29,2,FALSE)/VLOOKUP($A311,'Projected Zonal Load'!$A$4:$N$29,14,FALSE),0)</f>
        <v>0</v>
      </c>
      <c r="M311" s="61">
        <f t="shared" si="100"/>
        <v>0</v>
      </c>
      <c r="N311" s="167">
        <f t="shared" si="105"/>
        <v>0</v>
      </c>
      <c r="O311" s="61">
        <f t="shared" si="106"/>
        <v>0</v>
      </c>
      <c r="P311" s="61">
        <f t="shared" si="102"/>
        <v>0</v>
      </c>
      <c r="Q311" s="62">
        <f>+H311*Interest!$D$17</f>
        <v>0</v>
      </c>
      <c r="R311" s="63">
        <f t="shared" si="107"/>
        <v>0</v>
      </c>
    </row>
    <row r="312" spans="1:18">
      <c r="A312" s="30" t="s">
        <v>30</v>
      </c>
      <c r="B312" s="21">
        <v>6927361</v>
      </c>
      <c r="C312" s="22">
        <v>8.1826219262593897E-2</v>
      </c>
      <c r="D312" s="23">
        <v>0</v>
      </c>
      <c r="E312" s="24">
        <v>0</v>
      </c>
      <c r="F312" s="25">
        <v>0</v>
      </c>
      <c r="G312" s="24">
        <v>0</v>
      </c>
      <c r="H312" s="27">
        <v>0</v>
      </c>
      <c r="I312" s="31">
        <v>0</v>
      </c>
      <c r="J312" s="29">
        <f t="shared" si="104"/>
        <v>0</v>
      </c>
      <c r="K312" s="61">
        <f t="shared" si="99"/>
        <v>0</v>
      </c>
      <c r="L312" s="167">
        <f>ROUND(J312*VLOOKUP($A312,'Actual Load'!$A$4:$B$29,2,FALSE)/VLOOKUP($A312,'Projected Zonal Load'!$A$4:$N$29,14,FALSE),0)</f>
        <v>0</v>
      </c>
      <c r="M312" s="61">
        <f t="shared" si="100"/>
        <v>0</v>
      </c>
      <c r="N312" s="167">
        <f t="shared" si="105"/>
        <v>0</v>
      </c>
      <c r="O312" s="61">
        <f t="shared" si="106"/>
        <v>0</v>
      </c>
      <c r="P312" s="61">
        <f t="shared" si="102"/>
        <v>0</v>
      </c>
      <c r="Q312" s="62">
        <f>+H312*Interest!$D$17</f>
        <v>0</v>
      </c>
      <c r="R312" s="63">
        <f t="shared" si="107"/>
        <v>0</v>
      </c>
    </row>
    <row r="313" spans="1:18">
      <c r="A313" s="30" t="s">
        <v>31</v>
      </c>
      <c r="B313" s="21">
        <v>325000</v>
      </c>
      <c r="C313" s="22">
        <v>3.8389108435871924E-3</v>
      </c>
      <c r="D313" s="23">
        <v>0</v>
      </c>
      <c r="E313" s="24">
        <v>0</v>
      </c>
      <c r="F313" s="25">
        <v>0</v>
      </c>
      <c r="G313" s="24">
        <v>0</v>
      </c>
      <c r="H313" s="27">
        <v>0</v>
      </c>
      <c r="I313" s="31">
        <v>0</v>
      </c>
      <c r="J313" s="29">
        <f t="shared" si="104"/>
        <v>0</v>
      </c>
      <c r="K313" s="61">
        <f t="shared" si="99"/>
        <v>0</v>
      </c>
      <c r="L313" s="167">
        <f>ROUND(J313*VLOOKUP($A313,'Actual Load'!$A$4:$B$29,2,FALSE)/VLOOKUP($A313,'Projected Zonal Load'!$A$4:$N$29,14,FALSE),0)</f>
        <v>0</v>
      </c>
      <c r="M313" s="61">
        <f t="shared" si="100"/>
        <v>0</v>
      </c>
      <c r="N313" s="167">
        <f t="shared" si="105"/>
        <v>0</v>
      </c>
      <c r="O313" s="61">
        <f t="shared" si="106"/>
        <v>0</v>
      </c>
      <c r="P313" s="61">
        <f t="shared" si="102"/>
        <v>0</v>
      </c>
      <c r="Q313" s="62">
        <f>+H313*Interest!$D$17</f>
        <v>0</v>
      </c>
      <c r="R313" s="63">
        <f t="shared" si="107"/>
        <v>0</v>
      </c>
    </row>
    <row r="314" spans="1:18">
      <c r="A314" s="30" t="s">
        <v>32</v>
      </c>
      <c r="B314" s="21">
        <v>343000</v>
      </c>
      <c r="C314" s="22">
        <v>4.0515274441550982E-3</v>
      </c>
      <c r="D314" s="23">
        <v>0</v>
      </c>
      <c r="E314" s="24">
        <v>0</v>
      </c>
      <c r="F314" s="25">
        <v>0</v>
      </c>
      <c r="G314" s="24">
        <v>0</v>
      </c>
      <c r="H314" s="27">
        <v>0</v>
      </c>
      <c r="I314" s="31">
        <v>0</v>
      </c>
      <c r="J314" s="29">
        <f t="shared" si="104"/>
        <v>0</v>
      </c>
      <c r="K314" s="61">
        <f t="shared" si="99"/>
        <v>0</v>
      </c>
      <c r="L314" s="167">
        <f>ROUND(J314*VLOOKUP($A314,'Actual Load'!$A$4:$B$29,2,FALSE)/VLOOKUP($A314,'Projected Zonal Load'!$A$4:$N$29,14,FALSE),0)</f>
        <v>0</v>
      </c>
      <c r="M314" s="61">
        <f t="shared" si="100"/>
        <v>0</v>
      </c>
      <c r="N314" s="167">
        <f t="shared" si="105"/>
        <v>0</v>
      </c>
      <c r="O314" s="61">
        <f t="shared" si="106"/>
        <v>0</v>
      </c>
      <c r="P314" s="61">
        <f t="shared" si="102"/>
        <v>0</v>
      </c>
      <c r="Q314" s="62">
        <f>+H314*Interest!$D$17</f>
        <v>0</v>
      </c>
      <c r="R314" s="63">
        <f t="shared" si="107"/>
        <v>0</v>
      </c>
    </row>
    <row r="315" spans="1:18">
      <c r="A315" s="30" t="s">
        <v>33</v>
      </c>
      <c r="B315" s="21">
        <v>10436523.5</v>
      </c>
      <c r="C315" s="22">
        <v>0.12327656379539248</v>
      </c>
      <c r="D315" s="23">
        <v>0</v>
      </c>
      <c r="E315" s="24">
        <v>0</v>
      </c>
      <c r="F315" s="25">
        <v>0</v>
      </c>
      <c r="G315" s="24">
        <v>0</v>
      </c>
      <c r="H315" s="27">
        <v>0</v>
      </c>
      <c r="I315" s="31">
        <v>0</v>
      </c>
      <c r="J315" s="29">
        <f t="shared" si="104"/>
        <v>0</v>
      </c>
      <c r="K315" s="61">
        <f t="shared" si="99"/>
        <v>0</v>
      </c>
      <c r="L315" s="167">
        <f>ROUND(J315*VLOOKUP($A315,'Actual Load'!$A$4:$B$29,2,FALSE)/VLOOKUP($A315,'Projected Zonal Load'!$A$4:$N$29,14,FALSE),0)</f>
        <v>0</v>
      </c>
      <c r="M315" s="61">
        <f t="shared" si="100"/>
        <v>0</v>
      </c>
      <c r="N315" s="167">
        <f t="shared" si="105"/>
        <v>0</v>
      </c>
      <c r="O315" s="61">
        <f t="shared" si="106"/>
        <v>0</v>
      </c>
      <c r="P315" s="61">
        <f t="shared" si="102"/>
        <v>0</v>
      </c>
      <c r="Q315" s="62">
        <f>+H315*Interest!$D$17</f>
        <v>0</v>
      </c>
      <c r="R315" s="63">
        <f t="shared" si="107"/>
        <v>0</v>
      </c>
    </row>
    <row r="316" spans="1:18">
      <c r="A316" s="30" t="s">
        <v>34</v>
      </c>
      <c r="B316" s="21">
        <v>7856545</v>
      </c>
      <c r="C316" s="22">
        <v>9.2801771672709962E-2</v>
      </c>
      <c r="D316" s="23">
        <v>0</v>
      </c>
      <c r="E316" s="24">
        <v>0</v>
      </c>
      <c r="F316" s="25">
        <v>0</v>
      </c>
      <c r="G316" s="24">
        <v>0</v>
      </c>
      <c r="H316" s="27">
        <v>0</v>
      </c>
      <c r="I316" s="31">
        <v>0</v>
      </c>
      <c r="J316" s="29">
        <f t="shared" si="104"/>
        <v>0</v>
      </c>
      <c r="K316" s="61">
        <f t="shared" si="99"/>
        <v>0</v>
      </c>
      <c r="L316" s="167">
        <f>ROUND(J316*VLOOKUP($A316,'Actual Load'!$A$4:$B$29,2,FALSE)/VLOOKUP($A316,'Projected Zonal Load'!$A$4:$N$29,14,FALSE),0)</f>
        <v>0</v>
      </c>
      <c r="M316" s="61">
        <f t="shared" si="100"/>
        <v>0</v>
      </c>
      <c r="N316" s="167">
        <f t="shared" si="105"/>
        <v>0</v>
      </c>
      <c r="O316" s="61">
        <f t="shared" si="106"/>
        <v>0</v>
      </c>
      <c r="P316" s="61">
        <f t="shared" si="102"/>
        <v>0</v>
      </c>
      <c r="Q316" s="62">
        <f>+H316*Interest!$D$17</f>
        <v>0</v>
      </c>
      <c r="R316" s="63">
        <f t="shared" si="107"/>
        <v>0</v>
      </c>
    </row>
    <row r="317" spans="1:18">
      <c r="A317" s="30" t="s">
        <v>35</v>
      </c>
      <c r="B317" s="21">
        <v>1680898</v>
      </c>
      <c r="C317" s="22">
        <v>1.9854823258966228E-2</v>
      </c>
      <c r="D317" s="23">
        <v>0</v>
      </c>
      <c r="E317" s="24">
        <v>0</v>
      </c>
      <c r="F317" s="25">
        <v>0</v>
      </c>
      <c r="G317" s="24">
        <v>0</v>
      </c>
      <c r="H317" s="27">
        <v>0</v>
      </c>
      <c r="I317" s="31">
        <v>0</v>
      </c>
      <c r="J317" s="29">
        <f t="shared" si="104"/>
        <v>0</v>
      </c>
      <c r="K317" s="61">
        <f t="shared" si="99"/>
        <v>0</v>
      </c>
      <c r="L317" s="167">
        <f>ROUND(J317*VLOOKUP($A317,'Actual Load'!$A$4:$B$29,2,FALSE)/VLOOKUP($A317,'Projected Zonal Load'!$A$4:$N$29,14,FALSE),0)</f>
        <v>0</v>
      </c>
      <c r="M317" s="61">
        <f t="shared" si="100"/>
        <v>0</v>
      </c>
      <c r="N317" s="167">
        <f t="shared" si="105"/>
        <v>0</v>
      </c>
      <c r="O317" s="61">
        <f t="shared" si="106"/>
        <v>0</v>
      </c>
      <c r="P317" s="61">
        <f t="shared" si="102"/>
        <v>0</v>
      </c>
      <c r="Q317" s="62">
        <f>+H317*Interest!$D$17</f>
        <v>0</v>
      </c>
      <c r="R317" s="63">
        <f t="shared" si="107"/>
        <v>0</v>
      </c>
    </row>
    <row r="318" spans="1:18">
      <c r="A318" s="30" t="s">
        <v>36</v>
      </c>
      <c r="B318" s="21">
        <v>255700</v>
      </c>
      <c r="C318" s="22">
        <v>3.020336931400754E-3</v>
      </c>
      <c r="D318" s="23">
        <v>0</v>
      </c>
      <c r="E318" s="24">
        <v>0</v>
      </c>
      <c r="F318" s="25">
        <v>0</v>
      </c>
      <c r="G318" s="24">
        <v>0</v>
      </c>
      <c r="H318" s="27">
        <v>0</v>
      </c>
      <c r="I318" s="31">
        <v>0</v>
      </c>
      <c r="J318" s="29">
        <f t="shared" si="104"/>
        <v>0</v>
      </c>
      <c r="K318" s="61">
        <f t="shared" si="99"/>
        <v>0</v>
      </c>
      <c r="L318" s="167">
        <f>ROUND(J318*VLOOKUP($A318,'Actual Load'!$A$4:$B$29,2,FALSE)/VLOOKUP($A318,'Projected Zonal Load'!$A$4:$N$29,14,FALSE),0)</f>
        <v>0</v>
      </c>
      <c r="M318" s="61">
        <f t="shared" si="100"/>
        <v>0</v>
      </c>
      <c r="N318" s="167">
        <f t="shared" si="105"/>
        <v>0</v>
      </c>
      <c r="O318" s="61">
        <f t="shared" si="106"/>
        <v>0</v>
      </c>
      <c r="P318" s="61">
        <f t="shared" si="102"/>
        <v>0</v>
      </c>
      <c r="Q318" s="62">
        <f>+H318*Interest!$D$17</f>
        <v>0</v>
      </c>
      <c r="R318" s="63">
        <f t="shared" si="107"/>
        <v>0</v>
      </c>
    </row>
    <row r="319" spans="1:18">
      <c r="A319" s="30" t="s">
        <v>37</v>
      </c>
      <c r="B319" s="21">
        <v>999226</v>
      </c>
      <c r="C319" s="22">
        <v>1.1802890851059249E-2</v>
      </c>
      <c r="D319" s="23">
        <v>0</v>
      </c>
      <c r="E319" s="24">
        <v>0</v>
      </c>
      <c r="F319" s="25">
        <v>1</v>
      </c>
      <c r="G319" s="24">
        <v>0</v>
      </c>
      <c r="H319" s="27">
        <v>1</v>
      </c>
      <c r="I319" s="31">
        <v>0</v>
      </c>
      <c r="J319" s="29">
        <f t="shared" si="104"/>
        <v>7055.07</v>
      </c>
      <c r="K319" s="61">
        <f t="shared" si="99"/>
        <v>367.06999999999971</v>
      </c>
      <c r="L319" s="167">
        <f>ROUND(J319*VLOOKUP($A319,'Actual Load'!$A$4:$B$29,2,FALSE)/VLOOKUP($A319,'Projected Zonal Load'!$A$4:$N$29,14,FALSE),0)</f>
        <v>7032</v>
      </c>
      <c r="M319" s="61">
        <f t="shared" si="100"/>
        <v>7424.9219919868929</v>
      </c>
      <c r="N319" s="167">
        <f>+J319</f>
        <v>7055.07</v>
      </c>
      <c r="O319" s="61">
        <f>+M319-N319</f>
        <v>369.85199198689315</v>
      </c>
      <c r="P319" s="61">
        <f t="shared" si="102"/>
        <v>736.92199198689286</v>
      </c>
      <c r="Q319" s="62">
        <f>+H319*Interest!$D$17</f>
        <v>48.404139263139065</v>
      </c>
      <c r="R319" s="63">
        <f t="shared" si="107"/>
        <v>785.32613125003195</v>
      </c>
    </row>
    <row r="320" spans="1:18">
      <c r="A320" s="30" t="s">
        <v>38</v>
      </c>
      <c r="B320" s="21">
        <v>700616</v>
      </c>
      <c r="C320" s="22">
        <v>8.2756995679713358E-3</v>
      </c>
      <c r="D320" s="23">
        <v>0</v>
      </c>
      <c r="E320" s="24">
        <v>0</v>
      </c>
      <c r="F320" s="25">
        <v>0</v>
      </c>
      <c r="G320" s="24">
        <v>0</v>
      </c>
      <c r="H320" s="27">
        <v>0</v>
      </c>
      <c r="I320" s="31">
        <v>0</v>
      </c>
      <c r="J320" s="29">
        <f t="shared" si="104"/>
        <v>0</v>
      </c>
      <c r="K320" s="61">
        <f t="shared" si="99"/>
        <v>0</v>
      </c>
      <c r="L320" s="167">
        <f>ROUND(J320*VLOOKUP($A320,'Actual Load'!$A$4:$B$29,2,FALSE)/VLOOKUP($A320,'Projected Zonal Load'!$A$4:$N$29,14,FALSE),0)</f>
        <v>0</v>
      </c>
      <c r="M320" s="61">
        <f t="shared" si="100"/>
        <v>0</v>
      </c>
      <c r="N320" s="167">
        <f t="shared" si="105"/>
        <v>0</v>
      </c>
      <c r="O320" s="61">
        <f t="shared" si="106"/>
        <v>0</v>
      </c>
      <c r="P320" s="61">
        <f t="shared" si="102"/>
        <v>0</v>
      </c>
      <c r="Q320" s="62">
        <f>+H320*Interest!$D$17</f>
        <v>0</v>
      </c>
      <c r="R320" s="63">
        <f t="shared" si="107"/>
        <v>0</v>
      </c>
    </row>
    <row r="321" spans="1:18">
      <c r="A321" s="32" t="s">
        <v>39</v>
      </c>
      <c r="B321" s="21">
        <v>553279</v>
      </c>
      <c r="C321" s="22">
        <v>6.5353500080894715E-3</v>
      </c>
      <c r="D321" s="23">
        <v>0</v>
      </c>
      <c r="E321" s="24">
        <v>0</v>
      </c>
      <c r="F321" s="25">
        <v>0</v>
      </c>
      <c r="G321" s="33">
        <v>0</v>
      </c>
      <c r="H321" s="34">
        <v>0</v>
      </c>
      <c r="I321" s="35">
        <v>0</v>
      </c>
      <c r="J321" s="193">
        <f t="shared" si="104"/>
        <v>0</v>
      </c>
      <c r="K321" s="61">
        <f t="shared" si="99"/>
        <v>0</v>
      </c>
      <c r="L321" s="167">
        <f>ROUND(J321*VLOOKUP($A321,'Actual Load'!$A$4:$B$29,2,FALSE)/VLOOKUP($A321,'Projected Zonal Load'!$A$4:$N$29,14,FALSE),0)</f>
        <v>0</v>
      </c>
      <c r="M321" s="61">
        <f t="shared" si="100"/>
        <v>0</v>
      </c>
      <c r="N321" s="167">
        <f t="shared" si="105"/>
        <v>0</v>
      </c>
      <c r="O321" s="61">
        <f t="shared" si="106"/>
        <v>0</v>
      </c>
      <c r="P321" s="61">
        <f t="shared" si="102"/>
        <v>0</v>
      </c>
      <c r="Q321" s="62">
        <f>+H321*Interest!$D$17</f>
        <v>0</v>
      </c>
      <c r="R321" s="63">
        <f t="shared" si="107"/>
        <v>0</v>
      </c>
    </row>
    <row r="322" spans="1:18">
      <c r="A322" s="36"/>
      <c r="B322" s="37">
        <v>84659429</v>
      </c>
      <c r="C322" s="38">
        <v>1.0000000000000002</v>
      </c>
      <c r="D322" s="39">
        <v>0</v>
      </c>
      <c r="E322" s="40">
        <v>0</v>
      </c>
      <c r="F322" s="41">
        <v>1</v>
      </c>
      <c r="G322" s="40">
        <v>0</v>
      </c>
      <c r="H322" s="42">
        <v>1</v>
      </c>
      <c r="I322" s="43">
        <v>0</v>
      </c>
      <c r="J322" s="43">
        <f t="shared" ref="J322:R322" si="108">SUM(J301:J321)</f>
        <v>7055.07</v>
      </c>
      <c r="K322" s="64">
        <f t="shared" si="108"/>
        <v>367.06999999999971</v>
      </c>
      <c r="L322" s="171">
        <f t="shared" si="108"/>
        <v>7032</v>
      </c>
      <c r="M322" s="65">
        <f t="shared" si="108"/>
        <v>7424.9219919868929</v>
      </c>
      <c r="N322" s="171">
        <f t="shared" si="108"/>
        <v>7055.07</v>
      </c>
      <c r="O322" s="65">
        <f t="shared" si="108"/>
        <v>369.85199198689315</v>
      </c>
      <c r="P322" s="65">
        <f t="shared" si="108"/>
        <v>736.92199198689286</v>
      </c>
      <c r="Q322" s="65">
        <f t="shared" si="108"/>
        <v>48.404139263139065</v>
      </c>
      <c r="R322" s="66">
        <f t="shared" si="108"/>
        <v>785.32613125003195</v>
      </c>
    </row>
    <row r="323" spans="1:18">
      <c r="H323" s="45"/>
      <c r="I323" s="46"/>
    </row>
    <row r="324" spans="1:18">
      <c r="A324" s="47" t="s">
        <v>40</v>
      </c>
      <c r="O324" s="164"/>
      <c r="P324" s="164"/>
      <c r="Q324" s="164"/>
      <c r="R324" s="164"/>
    </row>
    <row r="325" spans="1:18">
      <c r="H325" s="194" t="s">
        <v>187</v>
      </c>
      <c r="I325" s="196">
        <v>7152.07</v>
      </c>
      <c r="K325" s="67"/>
      <c r="L325" s="194" t="s">
        <v>190</v>
      </c>
      <c r="M325" s="196">
        <v>6785</v>
      </c>
      <c r="O325" s="164"/>
      <c r="P325" s="164"/>
      <c r="Q325" s="164"/>
      <c r="R325" s="164"/>
    </row>
    <row r="326" spans="1:18">
      <c r="H326" s="161" t="s">
        <v>189</v>
      </c>
      <c r="I326" s="196">
        <v>-97</v>
      </c>
      <c r="K326" s="67"/>
      <c r="L326" s="161" t="s">
        <v>189</v>
      </c>
      <c r="M326" s="196">
        <v>-97</v>
      </c>
      <c r="O326" s="164"/>
      <c r="P326" s="164"/>
      <c r="Q326" s="164"/>
      <c r="R326" s="164"/>
    </row>
    <row r="327" spans="1:18">
      <c r="G327" s="67"/>
      <c r="H327" s="195" t="s">
        <v>188</v>
      </c>
      <c r="I327" s="197">
        <f>SUM(I325:I326)</f>
        <v>7055.07</v>
      </c>
      <c r="J327" s="225" t="s">
        <v>137</v>
      </c>
      <c r="K327" s="198"/>
      <c r="L327" s="195" t="s">
        <v>188</v>
      </c>
      <c r="M327" s="197">
        <f>SUM(M325:M326)</f>
        <v>6688</v>
      </c>
      <c r="O327" s="207" t="s">
        <v>137</v>
      </c>
      <c r="P327" s="164"/>
      <c r="Q327" s="164"/>
      <c r="R327" s="164"/>
    </row>
    <row r="328" spans="1:18">
      <c r="I328" s="49"/>
      <c r="O328" s="164"/>
      <c r="P328" s="164"/>
      <c r="Q328" s="164"/>
      <c r="R328" s="164"/>
    </row>
    <row r="330" spans="1:18" ht="15.75">
      <c r="A330" s="281" t="s">
        <v>0</v>
      </c>
      <c r="B330" s="282"/>
      <c r="C330" s="282" t="s">
        <v>207</v>
      </c>
      <c r="D330" s="282"/>
      <c r="E330" s="282"/>
      <c r="F330" s="282"/>
      <c r="G330" s="282"/>
      <c r="H330" s="283"/>
      <c r="I330" s="1"/>
    </row>
    <row r="331" spans="1:18" ht="15.75" hidden="1" outlineLevel="1">
      <c r="A331" s="132" t="s">
        <v>142</v>
      </c>
      <c r="B331" s="133"/>
      <c r="C331" s="136" t="s">
        <v>140</v>
      </c>
      <c r="D331" s="134"/>
      <c r="E331" s="134"/>
      <c r="F331" s="134"/>
      <c r="G331" s="134"/>
      <c r="H331" s="135"/>
      <c r="I331" s="1"/>
    </row>
    <row r="332" spans="1:18" ht="15.75" collapsed="1">
      <c r="A332" s="269" t="s">
        <v>2</v>
      </c>
      <c r="B332" s="270"/>
      <c r="C332" s="322" t="s">
        <v>233</v>
      </c>
      <c r="D332" s="323"/>
      <c r="E332" s="323"/>
      <c r="F332" s="323"/>
      <c r="G332" s="323"/>
      <c r="H332" s="324"/>
      <c r="I332" s="1"/>
    </row>
    <row r="333" spans="1:18" ht="15.75">
      <c r="A333" s="269" t="s">
        <v>4</v>
      </c>
      <c r="B333" s="270"/>
      <c r="C333" s="322" t="s">
        <v>137</v>
      </c>
      <c r="D333" s="323"/>
      <c r="E333" s="323"/>
      <c r="F333" s="323"/>
      <c r="G333" s="323"/>
      <c r="H333" s="324"/>
      <c r="I333" s="1"/>
    </row>
    <row r="334" spans="1:18" ht="15.75">
      <c r="A334" s="269" t="s">
        <v>6</v>
      </c>
      <c r="B334" s="270"/>
      <c r="C334" s="271">
        <v>398000</v>
      </c>
      <c r="D334" s="272"/>
      <c r="E334" s="272"/>
      <c r="F334" s="272"/>
      <c r="G334" s="272"/>
      <c r="H334" s="273"/>
      <c r="I334" s="1"/>
      <c r="M334" s="50"/>
      <c r="O334" s="50" t="s">
        <v>46</v>
      </c>
      <c r="P334" s="50" t="s">
        <v>42</v>
      </c>
      <c r="R334" s="50" t="s">
        <v>47</v>
      </c>
    </row>
    <row r="335" spans="1:18" ht="15.75">
      <c r="A335" s="274" t="s">
        <v>7</v>
      </c>
      <c r="B335" s="275"/>
      <c r="C335" s="276" t="s">
        <v>37</v>
      </c>
      <c r="D335" s="277"/>
      <c r="E335" s="277"/>
      <c r="F335" s="277"/>
      <c r="G335" s="277"/>
      <c r="H335" s="278"/>
      <c r="I335" s="1"/>
      <c r="K335" s="50" t="s">
        <v>44</v>
      </c>
      <c r="L335" s="168" t="s">
        <v>45</v>
      </c>
      <c r="M335" s="51" t="s">
        <v>194</v>
      </c>
      <c r="N335" s="51" t="s">
        <v>41</v>
      </c>
      <c r="O335" s="51" t="s">
        <v>195</v>
      </c>
      <c r="P335" s="51" t="s">
        <v>196</v>
      </c>
      <c r="Q335" s="51" t="s">
        <v>43</v>
      </c>
      <c r="R335" s="51" t="s">
        <v>197</v>
      </c>
    </row>
    <row r="336" spans="1:18">
      <c r="A336" s="2"/>
      <c r="B336" s="2"/>
      <c r="C336" s="2"/>
      <c r="D336" s="2"/>
      <c r="E336" s="2"/>
      <c r="F336" s="2"/>
      <c r="G336" s="2"/>
      <c r="H336" s="2"/>
      <c r="I336" s="2"/>
      <c r="K336" s="52"/>
      <c r="L336" s="287" t="s">
        <v>48</v>
      </c>
      <c r="M336" s="288"/>
      <c r="N336" s="288"/>
      <c r="O336" s="289"/>
      <c r="P336" s="53" t="s">
        <v>49</v>
      </c>
      <c r="Q336" s="52"/>
      <c r="R336" s="53" t="s">
        <v>50</v>
      </c>
    </row>
    <row r="337" spans="1:18">
      <c r="A337" s="3"/>
      <c r="B337" s="4"/>
      <c r="C337" s="5"/>
      <c r="D337" s="279">
        <v>0</v>
      </c>
      <c r="E337" s="280"/>
      <c r="F337" s="279">
        <v>1</v>
      </c>
      <c r="G337" s="280"/>
      <c r="H337" s="218"/>
      <c r="I337" s="7"/>
      <c r="J337" s="8" t="s">
        <v>9</v>
      </c>
      <c r="K337" s="54" t="s">
        <v>51</v>
      </c>
      <c r="L337" s="287" t="s">
        <v>52</v>
      </c>
      <c r="M337" s="288"/>
      <c r="N337" s="214"/>
      <c r="O337" s="53" t="s">
        <v>53</v>
      </c>
      <c r="P337" s="54" t="s">
        <v>54</v>
      </c>
      <c r="Q337" s="55"/>
      <c r="R337" s="54" t="s">
        <v>55</v>
      </c>
    </row>
    <row r="338" spans="1:18">
      <c r="A338" s="9"/>
      <c r="B338" s="10"/>
      <c r="C338" s="11"/>
      <c r="D338" s="290" t="s">
        <v>10</v>
      </c>
      <c r="E338" s="291"/>
      <c r="F338" s="290" t="s">
        <v>11</v>
      </c>
      <c r="G338" s="291"/>
      <c r="H338" s="290" t="s">
        <v>12</v>
      </c>
      <c r="I338" s="292"/>
      <c r="J338" s="12" t="s">
        <v>13</v>
      </c>
      <c r="K338" s="56" t="s">
        <v>56</v>
      </c>
      <c r="L338" s="169" t="s">
        <v>191</v>
      </c>
      <c r="M338" s="217" t="s">
        <v>192</v>
      </c>
      <c r="N338" s="57" t="s">
        <v>57</v>
      </c>
      <c r="O338" s="57" t="s">
        <v>56</v>
      </c>
      <c r="P338" s="57" t="s">
        <v>56</v>
      </c>
      <c r="Q338" s="57" t="s">
        <v>58</v>
      </c>
      <c r="R338" s="57" t="s">
        <v>59</v>
      </c>
    </row>
    <row r="339" spans="1:18" ht="38.25">
      <c r="A339" s="13" t="s">
        <v>14</v>
      </c>
      <c r="B339" s="14" t="s">
        <v>15</v>
      </c>
      <c r="C339" s="15" t="s">
        <v>16</v>
      </c>
      <c r="D339" s="16" t="s">
        <v>17</v>
      </c>
      <c r="E339" s="17" t="s">
        <v>18</v>
      </c>
      <c r="F339" s="16" t="s">
        <v>17</v>
      </c>
      <c r="G339" s="17" t="s">
        <v>18</v>
      </c>
      <c r="H339" s="18" t="s">
        <v>17</v>
      </c>
      <c r="I339" s="19" t="s">
        <v>18</v>
      </c>
      <c r="J339" s="15" t="s">
        <v>18</v>
      </c>
      <c r="K339" s="58" t="s">
        <v>60</v>
      </c>
      <c r="L339" s="170"/>
      <c r="M339" s="59"/>
      <c r="N339" s="170"/>
      <c r="O339" s="58" t="s">
        <v>60</v>
      </c>
      <c r="P339" s="59"/>
      <c r="Q339" s="59"/>
      <c r="R339" s="60" t="s">
        <v>60</v>
      </c>
    </row>
    <row r="340" spans="1:18">
      <c r="A340" s="20" t="s">
        <v>19</v>
      </c>
      <c r="B340" s="21"/>
      <c r="C340" s="22"/>
      <c r="D340" s="23">
        <v>0</v>
      </c>
      <c r="E340" s="24">
        <v>0</v>
      </c>
      <c r="F340" s="25">
        <v>0</v>
      </c>
      <c r="G340" s="26">
        <v>0</v>
      </c>
      <c r="H340" s="27">
        <v>2.417634894230071E-2</v>
      </c>
      <c r="I340" s="28">
        <f>H340*$C$334</f>
        <v>9622.1868790356821</v>
      </c>
      <c r="J340" s="29">
        <f t="shared" ref="J340:J365" si="109">H340*I$371</f>
        <v>1721.527213242322</v>
      </c>
      <c r="K340" s="61">
        <f>(I$371-M$371)*H340</f>
        <v>159.4449553823886</v>
      </c>
      <c r="L340" s="167">
        <f>ROUND(J340*VLOOKUP($A340,'Actual Load'!$A$4:$B$29,2,FALSE)/VLOOKUP($A340,'Projected Zonal Load'!$A$4:$N$29,14,FALSE),0)</f>
        <v>1848</v>
      </c>
      <c r="M340" s="61">
        <f t="shared" ref="M340:M365" si="110">IF(NOT(L$40=0),M$4*L340/L$40,0)</f>
        <v>1951.2593630818797</v>
      </c>
      <c r="N340" s="167">
        <f>+J340</f>
        <v>1721.527213242322</v>
      </c>
      <c r="O340" s="61">
        <f t="shared" ref="O340:O354" si="111">+M340-N340</f>
        <v>229.73214983955768</v>
      </c>
      <c r="P340" s="61">
        <f t="shared" ref="P340:P365" si="112">+K340+O340</f>
        <v>389.17710522194625</v>
      </c>
      <c r="Q340" s="62">
        <f>+H340*Interest!$D$21</f>
        <v>17.540713626161761</v>
      </c>
      <c r="R340" s="63">
        <f t="shared" ref="R340:R354" si="113">+P340+Q340</f>
        <v>406.71781884810798</v>
      </c>
    </row>
    <row r="341" spans="1:18">
      <c r="A341" s="30" t="s">
        <v>20</v>
      </c>
      <c r="B341" s="21"/>
      <c r="C341" s="22"/>
      <c r="D341" s="23">
        <v>0</v>
      </c>
      <c r="E341" s="24">
        <v>0</v>
      </c>
      <c r="F341" s="25">
        <v>0</v>
      </c>
      <c r="G341" s="24">
        <v>0</v>
      </c>
      <c r="H341" s="27">
        <v>1.2876944585364467E-3</v>
      </c>
      <c r="I341" s="31">
        <f t="shared" ref="I341:I365" si="114">H341*$C$334</f>
        <v>512.50239449750575</v>
      </c>
      <c r="J341" s="29">
        <f t="shared" si="109"/>
        <v>91.692962324561449</v>
      </c>
      <c r="K341" s="61">
        <f t="shared" ref="K341:K365" si="115">(I$371-M$371)*H341</f>
        <v>8.4924479696045516</v>
      </c>
      <c r="L341" s="167">
        <f>ROUND(J341*VLOOKUP($A341,'Actual Load'!$A$4:$B$29,2,FALSE)/VLOOKUP($A341,'Projected Zonal Load'!$A$4:$N$29,14,FALSE),0)</f>
        <v>94</v>
      </c>
      <c r="M341" s="61">
        <f t="shared" si="110"/>
        <v>99.252370200052326</v>
      </c>
      <c r="N341" s="167">
        <f t="shared" ref="N341:N365" si="116">+J341</f>
        <v>91.692962324561449</v>
      </c>
      <c r="O341" s="61">
        <f t="shared" si="111"/>
        <v>7.5594078754908764</v>
      </c>
      <c r="P341" s="61">
        <f t="shared" si="112"/>
        <v>16.051855845095428</v>
      </c>
      <c r="Q341" s="62">
        <f>+H341*Interest!$D$21</f>
        <v>0.93426347332633153</v>
      </c>
      <c r="R341" s="63">
        <f t="shared" si="113"/>
        <v>16.98611931842176</v>
      </c>
    </row>
    <row r="342" spans="1:18">
      <c r="A342" s="30" t="s">
        <v>21</v>
      </c>
      <c r="B342" s="21"/>
      <c r="C342" s="22"/>
      <c r="D342" s="23">
        <v>0</v>
      </c>
      <c r="E342" s="24">
        <v>0</v>
      </c>
      <c r="F342" s="25">
        <v>0</v>
      </c>
      <c r="G342" s="24">
        <v>0</v>
      </c>
      <c r="H342" s="27">
        <v>2.2594287876127255E-2</v>
      </c>
      <c r="I342" s="31">
        <f t="shared" si="114"/>
        <v>8992.5265746986479</v>
      </c>
      <c r="J342" s="29">
        <f t="shared" si="109"/>
        <v>1608.8732643384235</v>
      </c>
      <c r="K342" s="61">
        <f t="shared" si="115"/>
        <v>149.01113608608938</v>
      </c>
      <c r="L342" s="167">
        <f>ROUND(J342*VLOOKUP($A342,'Actual Load'!$A$4:$B$29,2,FALSE)/VLOOKUP($A342,'Projected Zonal Load'!$A$4:$N$29,14,FALSE),0)</f>
        <v>1699</v>
      </c>
      <c r="M342" s="61">
        <f t="shared" si="110"/>
        <v>1793.9337975520095</v>
      </c>
      <c r="N342" s="167">
        <f t="shared" si="116"/>
        <v>1608.8732643384235</v>
      </c>
      <c r="O342" s="61">
        <f t="shared" si="111"/>
        <v>185.06053321358604</v>
      </c>
      <c r="P342" s="61">
        <f t="shared" si="112"/>
        <v>334.07166929967542</v>
      </c>
      <c r="Q342" s="62">
        <f>+H342*Interest!$D$21</f>
        <v>16.392877773565573</v>
      </c>
      <c r="R342" s="63">
        <f t="shared" si="113"/>
        <v>350.46454707324096</v>
      </c>
    </row>
    <row r="343" spans="1:18">
      <c r="A343" s="30" t="s">
        <v>22</v>
      </c>
      <c r="B343" s="21"/>
      <c r="C343" s="22"/>
      <c r="D343" s="23">
        <v>0</v>
      </c>
      <c r="E343" s="24">
        <v>0</v>
      </c>
      <c r="F343" s="25">
        <v>0</v>
      </c>
      <c r="G343" s="24">
        <v>0</v>
      </c>
      <c r="H343" s="27">
        <v>2.2749769753202301E-3</v>
      </c>
      <c r="I343" s="31">
        <f t="shared" si="114"/>
        <v>905.44083617745162</v>
      </c>
      <c r="J343" s="29">
        <f t="shared" si="109"/>
        <v>161.99446747978567</v>
      </c>
      <c r="K343" s="61">
        <f t="shared" si="115"/>
        <v>15.003655150394946</v>
      </c>
      <c r="L343" s="167">
        <f>ROUND(J343*VLOOKUP($A343,'Actual Load'!$A$4:$B$29,2,FALSE)/VLOOKUP($A343,'Projected Zonal Load'!$A$4:$N$29,14,FALSE),0)</f>
        <v>172</v>
      </c>
      <c r="M343" s="61">
        <f t="shared" si="110"/>
        <v>181.61071994052128</v>
      </c>
      <c r="N343" s="167">
        <f t="shared" si="116"/>
        <v>161.99446747978567</v>
      </c>
      <c r="O343" s="61">
        <f t="shared" si="111"/>
        <v>19.616252460735609</v>
      </c>
      <c r="P343" s="61">
        <f t="shared" si="112"/>
        <v>34.619907611130557</v>
      </c>
      <c r="Q343" s="62">
        <f>+H343*Interest!$D$21</f>
        <v>1.6505684843249269</v>
      </c>
      <c r="R343" s="63">
        <f t="shared" si="113"/>
        <v>36.270476095455486</v>
      </c>
    </row>
    <row r="344" spans="1:18">
      <c r="A344" s="30" t="s">
        <v>23</v>
      </c>
      <c r="B344" s="21"/>
      <c r="C344" s="22"/>
      <c r="D344" s="23">
        <v>0</v>
      </c>
      <c r="E344" s="24">
        <v>0</v>
      </c>
      <c r="F344" s="25">
        <v>0</v>
      </c>
      <c r="G344" s="24">
        <v>0</v>
      </c>
      <c r="H344" s="27">
        <v>5.8193712054392839E-3</v>
      </c>
      <c r="I344" s="31">
        <f t="shared" si="114"/>
        <v>2316.109739764835</v>
      </c>
      <c r="J344" s="29">
        <f t="shared" si="109"/>
        <v>414.38043097541151</v>
      </c>
      <c r="K344" s="61">
        <f t="shared" si="115"/>
        <v>38.379218649568521</v>
      </c>
      <c r="L344" s="167">
        <f>ROUND(J344*VLOOKUP($A344,'Actual Load'!$A$4:$B$29,2,FALSE)/VLOOKUP($A344,'Projected Zonal Load'!$A$4:$N$29,14,FALSE),0)</f>
        <v>418</v>
      </c>
      <c r="M344" s="61">
        <f t="shared" ref="M344:M351" si="117">IF(NOT(L$40=0),M$4*L344/L$40,0)</f>
        <v>441.35628450661562</v>
      </c>
      <c r="N344" s="167">
        <f t="shared" ref="N344:N351" si="118">+J344</f>
        <v>414.38043097541151</v>
      </c>
      <c r="O344" s="61">
        <f t="shared" ref="O344:O346" si="119">+M344-N344</f>
        <v>26.975853531204109</v>
      </c>
      <c r="P344" s="61">
        <f t="shared" ref="P344:P351" si="120">+K344+O344</f>
        <v>65.355072180772623</v>
      </c>
      <c r="Q344" s="62">
        <f>+H344*Interest!$D$21</f>
        <v>4.2221397466820454</v>
      </c>
      <c r="R344" s="63">
        <f t="shared" ref="R344:R346" si="121">+P344+Q344</f>
        <v>69.57721192745467</v>
      </c>
    </row>
    <row r="345" spans="1:18">
      <c r="A345" s="30" t="s">
        <v>24</v>
      </c>
      <c r="B345" s="21"/>
      <c r="C345" s="22"/>
      <c r="D345" s="23">
        <v>0</v>
      </c>
      <c r="E345" s="24">
        <v>0</v>
      </c>
      <c r="F345" s="25">
        <v>0</v>
      </c>
      <c r="G345" s="24">
        <v>0</v>
      </c>
      <c r="H345" s="27">
        <v>6.204484835640546E-3</v>
      </c>
      <c r="I345" s="31">
        <f t="shared" si="114"/>
        <v>2469.3849645849373</v>
      </c>
      <c r="J345" s="29">
        <f t="shared" si="109"/>
        <v>441.80324805024321</v>
      </c>
      <c r="K345" s="61">
        <f t="shared" si="115"/>
        <v>40.919073849836266</v>
      </c>
      <c r="L345" s="167">
        <f>ROUND(J345*VLOOKUP($A345,'Actual Load'!$A$4:$B$29,2,FALSE)/VLOOKUP($A345,'Projected Zonal Load'!$A$4:$N$29,14,FALSE),0)</f>
        <v>475</v>
      </c>
      <c r="M345" s="61">
        <f t="shared" si="117"/>
        <v>501.54123239388139</v>
      </c>
      <c r="N345" s="167">
        <f t="shared" si="118"/>
        <v>441.80324805024321</v>
      </c>
      <c r="O345" s="61">
        <f t="shared" si="119"/>
        <v>59.737984343638175</v>
      </c>
      <c r="P345" s="61">
        <f t="shared" si="120"/>
        <v>100.65705819347444</v>
      </c>
      <c r="Q345" s="62">
        <f>+H345*Interest!$D$21</f>
        <v>4.501551990317914</v>
      </c>
      <c r="R345" s="63">
        <f t="shared" si="121"/>
        <v>105.15861018379235</v>
      </c>
    </row>
    <row r="346" spans="1:18">
      <c r="A346" s="30" t="s">
        <v>25</v>
      </c>
      <c r="B346" s="21"/>
      <c r="C346" s="22"/>
      <c r="D346" s="23">
        <v>0</v>
      </c>
      <c r="E346" s="24">
        <v>0</v>
      </c>
      <c r="F346" s="25">
        <v>0</v>
      </c>
      <c r="G346" s="24">
        <v>0</v>
      </c>
      <c r="H346" s="27">
        <v>1.5156413679503017E-2</v>
      </c>
      <c r="I346" s="31">
        <f t="shared" si="114"/>
        <v>6032.252644442201</v>
      </c>
      <c r="J346" s="29">
        <f t="shared" si="109"/>
        <v>1079.2439613894658</v>
      </c>
      <c r="K346" s="61">
        <f t="shared" si="115"/>
        <v>99.957760729416776</v>
      </c>
      <c r="L346" s="167">
        <f>ROUND(J346*VLOOKUP($A346,'Actual Load'!$A$4:$B$29,2,FALSE)/VLOOKUP($A346,'Projected Zonal Load'!$A$4:$N$29,14,FALSE),0)</f>
        <v>1143</v>
      </c>
      <c r="M346" s="61">
        <f t="shared" si="117"/>
        <v>1206.8665865814874</v>
      </c>
      <c r="N346" s="167">
        <f t="shared" si="118"/>
        <v>1079.2439613894658</v>
      </c>
      <c r="O346" s="61">
        <f t="shared" si="119"/>
        <v>127.62262519202159</v>
      </c>
      <c r="P346" s="61">
        <f t="shared" si="120"/>
        <v>227.58038592143836</v>
      </c>
      <c r="Q346" s="62">
        <f>+H346*Interest!$D$21</f>
        <v>10.996462393320479</v>
      </c>
      <c r="R346" s="63">
        <f t="shared" si="121"/>
        <v>238.57684831475885</v>
      </c>
    </row>
    <row r="347" spans="1:18">
      <c r="A347" s="30" t="s">
        <v>26</v>
      </c>
      <c r="B347" s="21"/>
      <c r="C347" s="22"/>
      <c r="D347" s="23">
        <v>0</v>
      </c>
      <c r="E347" s="24">
        <v>0</v>
      </c>
      <c r="F347" s="25">
        <v>0</v>
      </c>
      <c r="G347" s="24">
        <v>0</v>
      </c>
      <c r="H347" s="27">
        <v>1.9023895837418203E-2</v>
      </c>
      <c r="I347" s="31">
        <f t="shared" si="114"/>
        <v>7571.5105432924447</v>
      </c>
      <c r="J347" s="29">
        <f t="shared" si="109"/>
        <v>1354.636072806705</v>
      </c>
      <c r="K347" s="61">
        <f t="shared" si="115"/>
        <v>125.46411495944008</v>
      </c>
      <c r="L347" s="167">
        <f>ROUND(J347*VLOOKUP($A347,'Actual Load'!$A$4:$B$29,2,FALSE)/VLOOKUP($A347,'Projected Zonal Load'!$A$4:$N$29,14,FALSE),0)</f>
        <v>1458</v>
      </c>
      <c r="M347" s="61">
        <f t="shared" si="117"/>
        <v>1539.467614379535</v>
      </c>
      <c r="N347" s="167">
        <f t="shared" si="118"/>
        <v>1354.636072806705</v>
      </c>
      <c r="O347" s="61">
        <f>+M347-N347</f>
        <v>184.83154157283002</v>
      </c>
      <c r="P347" s="61">
        <f t="shared" si="120"/>
        <v>310.29565653227007</v>
      </c>
      <c r="Q347" s="62">
        <f>+H347*Interest!$D$21</f>
        <v>13.802444270409678</v>
      </c>
      <c r="R347" s="63">
        <f>+P347+Q347</f>
        <v>324.09810080267977</v>
      </c>
    </row>
    <row r="348" spans="1:18">
      <c r="A348" s="30" t="s">
        <v>27</v>
      </c>
      <c r="B348" s="21"/>
      <c r="C348" s="22"/>
      <c r="D348" s="23">
        <v>0</v>
      </c>
      <c r="E348" s="24">
        <v>0</v>
      </c>
      <c r="F348" s="25">
        <v>0</v>
      </c>
      <c r="G348" s="24">
        <v>0</v>
      </c>
      <c r="H348" s="27">
        <v>6.8877559718316262E-3</v>
      </c>
      <c r="I348" s="31">
        <f t="shared" si="114"/>
        <v>2741.3268767889872</v>
      </c>
      <c r="J348" s="29">
        <f t="shared" si="109"/>
        <v>490.45699050669236</v>
      </c>
      <c r="K348" s="61">
        <f t="shared" si="115"/>
        <v>45.425301654707333</v>
      </c>
      <c r="L348" s="167">
        <f>ROUND(J348*VLOOKUP($A348,'Actual Load'!$A$4:$B$29,2,FALSE)/VLOOKUP($A348,'Projected Zonal Load'!$A$4:$N$29,14,FALSE),0)</f>
        <v>504</v>
      </c>
      <c r="M348" s="61">
        <f t="shared" si="117"/>
        <v>532.16164447687629</v>
      </c>
      <c r="N348" s="167">
        <f t="shared" si="118"/>
        <v>490.45699050669236</v>
      </c>
      <c r="O348" s="61">
        <f t="shared" ref="O348:O351" si="122">+M348-N348</f>
        <v>41.704653970183927</v>
      </c>
      <c r="P348" s="61">
        <f t="shared" si="120"/>
        <v>87.129955624891267</v>
      </c>
      <c r="Q348" s="62">
        <f>+H348*Interest!$D$21</f>
        <v>4.9972870311031645</v>
      </c>
      <c r="R348" s="63">
        <f t="shared" ref="R348:R351" si="123">+P348+Q348</f>
        <v>92.127242655994436</v>
      </c>
    </row>
    <row r="349" spans="1:18">
      <c r="A349" s="30" t="s">
        <v>28</v>
      </c>
      <c r="B349" s="21"/>
      <c r="C349" s="22"/>
      <c r="D349" s="23">
        <v>0</v>
      </c>
      <c r="E349" s="24">
        <v>0</v>
      </c>
      <c r="F349" s="25">
        <v>0</v>
      </c>
      <c r="G349" s="24">
        <v>0</v>
      </c>
      <c r="H349" s="27">
        <v>5.3847987966022099E-4</v>
      </c>
      <c r="I349" s="31">
        <f t="shared" si="114"/>
        <v>214.31499210476795</v>
      </c>
      <c r="J349" s="29">
        <f t="shared" si="109"/>
        <v>38.343579869355729</v>
      </c>
      <c r="K349" s="61">
        <f t="shared" si="115"/>
        <v>3.551317884749531</v>
      </c>
      <c r="L349" s="167">
        <f>ROUND(J349*VLOOKUP($A349,'Actual Load'!$A$4:$B$29,2,FALSE)/VLOOKUP($A349,'Projected Zonal Load'!$A$4:$N$29,14,FALSE),0)</f>
        <v>41</v>
      </c>
      <c r="M349" s="61">
        <f t="shared" si="117"/>
        <v>43.290927427682398</v>
      </c>
      <c r="N349" s="167">
        <f t="shared" si="118"/>
        <v>38.343579869355729</v>
      </c>
      <c r="O349" s="61">
        <f t="shared" si="122"/>
        <v>4.9473475583266691</v>
      </c>
      <c r="P349" s="61">
        <f t="shared" si="120"/>
        <v>8.4986654430762005</v>
      </c>
      <c r="Q349" s="62">
        <f>+H349*Interest!$D$21</f>
        <v>0.39068435788680062</v>
      </c>
      <c r="R349" s="63">
        <f t="shared" si="123"/>
        <v>8.8893498009630019</v>
      </c>
    </row>
    <row r="350" spans="1:18">
      <c r="A350" s="30" t="s">
        <v>30</v>
      </c>
      <c r="B350" s="21"/>
      <c r="C350" s="22"/>
      <c r="D350" s="23">
        <v>0</v>
      </c>
      <c r="E350" s="24">
        <v>0</v>
      </c>
      <c r="F350" s="25">
        <v>0</v>
      </c>
      <c r="G350" s="24">
        <v>0</v>
      </c>
      <c r="H350" s="27">
        <v>1.5333516122057401E-2</v>
      </c>
      <c r="I350" s="31">
        <f t="shared" si="114"/>
        <v>6102.7394165788455</v>
      </c>
      <c r="J350" s="29">
        <f t="shared" si="109"/>
        <v>1091.8549091846312</v>
      </c>
      <c r="K350" s="61">
        <f t="shared" si="115"/>
        <v>101.12576550625835</v>
      </c>
      <c r="L350" s="167">
        <f>ROUND(J350*VLOOKUP($A350,'Actual Load'!$A$4:$B$29,2,FALSE)/VLOOKUP($A350,'Projected Zonal Load'!$A$4:$N$29,14,FALSE),0)</f>
        <v>1123</v>
      </c>
      <c r="M350" s="61">
        <f t="shared" si="117"/>
        <v>1185.7490610070081</v>
      </c>
      <c r="N350" s="167">
        <f t="shared" si="118"/>
        <v>1091.8549091846312</v>
      </c>
      <c r="O350" s="61">
        <f t="shared" si="122"/>
        <v>93.894151822376898</v>
      </c>
      <c r="P350" s="61">
        <f t="shared" si="120"/>
        <v>195.01991732863524</v>
      </c>
      <c r="Q350" s="62">
        <f>+H350*Interest!$D$21</f>
        <v>11.124955874067062</v>
      </c>
      <c r="R350" s="63">
        <f t="shared" si="123"/>
        <v>206.14487320270231</v>
      </c>
    </row>
    <row r="351" spans="1:18">
      <c r="A351" s="30" t="s">
        <v>29</v>
      </c>
      <c r="B351" s="21"/>
      <c r="C351" s="22"/>
      <c r="D351" s="23">
        <v>0</v>
      </c>
      <c r="E351" s="24">
        <v>0</v>
      </c>
      <c r="F351" s="25">
        <v>0</v>
      </c>
      <c r="G351" s="24">
        <v>0</v>
      </c>
      <c r="H351" s="27">
        <v>1.5663582749093932E-2</v>
      </c>
      <c r="I351" s="31">
        <f t="shared" si="114"/>
        <v>6234.1059341393848</v>
      </c>
      <c r="J351" s="29">
        <f t="shared" si="109"/>
        <v>1115.3579899013516</v>
      </c>
      <c r="K351" s="61">
        <f t="shared" si="115"/>
        <v>103.30258131689443</v>
      </c>
      <c r="L351" s="167">
        <f>ROUND(J351*VLOOKUP($A351,'Actual Load'!$A$4:$B$29,2,FALSE)/VLOOKUP($A351,'Projected Zonal Load'!$A$4:$N$29,14,FALSE),0)</f>
        <v>1169</v>
      </c>
      <c r="M351" s="61">
        <f t="shared" si="117"/>
        <v>1234.3193698283103</v>
      </c>
      <c r="N351" s="167">
        <f t="shared" si="118"/>
        <v>1115.3579899013516</v>
      </c>
      <c r="O351" s="61">
        <f t="shared" si="122"/>
        <v>118.96137992695867</v>
      </c>
      <c r="P351" s="61">
        <f t="shared" si="120"/>
        <v>222.26396124385309</v>
      </c>
      <c r="Q351" s="62">
        <f>+H351*Interest!$D$21</f>
        <v>11.364429758077357</v>
      </c>
      <c r="R351" s="63">
        <f t="shared" si="123"/>
        <v>233.62839100193045</v>
      </c>
    </row>
    <row r="352" spans="1:18">
      <c r="A352" s="30" t="s">
        <v>72</v>
      </c>
      <c r="B352" s="21"/>
      <c r="C352" s="22"/>
      <c r="D352" s="23">
        <v>0</v>
      </c>
      <c r="E352" s="24">
        <v>0</v>
      </c>
      <c r="F352" s="25">
        <v>0</v>
      </c>
      <c r="G352" s="24">
        <v>0</v>
      </c>
      <c r="H352" s="27">
        <v>1.1552762730182244E-3</v>
      </c>
      <c r="I352" s="31">
        <f t="shared" si="114"/>
        <v>459.7999566612533</v>
      </c>
      <c r="J352" s="29">
        <f t="shared" si="109"/>
        <v>82.263849994910544</v>
      </c>
      <c r="K352" s="61">
        <f t="shared" si="115"/>
        <v>7.6191394426570334</v>
      </c>
      <c r="L352" s="167">
        <f>ROUND(J352*VLOOKUP($A352,'Actual Load'!$A$4:$B$29,2,FALSE)/VLOOKUP($A352,'Projected Zonal Load'!$A$4:$N$29,14,FALSE),0)</f>
        <v>87</v>
      </c>
      <c r="M352" s="245">
        <f t="shared" si="110"/>
        <v>91.861236248984596</v>
      </c>
      <c r="N352" s="167">
        <f t="shared" si="116"/>
        <v>82.263849994910544</v>
      </c>
      <c r="O352" s="61">
        <f t="shared" si="111"/>
        <v>9.5973862540740527</v>
      </c>
      <c r="P352" s="61">
        <f t="shared" si="112"/>
        <v>17.216525696731086</v>
      </c>
      <c r="Q352" s="62">
        <f>+H352*Interest!$D$21</f>
        <v>0.83818984878465741</v>
      </c>
      <c r="R352" s="63">
        <f t="shared" si="113"/>
        <v>18.054715545515744</v>
      </c>
    </row>
    <row r="353" spans="1:18">
      <c r="A353" s="30" t="s">
        <v>73</v>
      </c>
      <c r="B353" s="21"/>
      <c r="C353" s="22"/>
      <c r="D353" s="23">
        <v>0</v>
      </c>
      <c r="E353" s="24">
        <v>0</v>
      </c>
      <c r="F353" s="25">
        <v>0</v>
      </c>
      <c r="G353" s="24">
        <v>0</v>
      </c>
      <c r="H353" s="27">
        <v>3.0274535456452421E-4</v>
      </c>
      <c r="I353" s="31">
        <f t="shared" si="114"/>
        <v>120.49265111668063</v>
      </c>
      <c r="J353" s="29">
        <f t="shared" si="109"/>
        <v>21.557612682104441</v>
      </c>
      <c r="K353" s="61">
        <f t="shared" si="115"/>
        <v>1.996629832981403</v>
      </c>
      <c r="L353" s="167">
        <v>0</v>
      </c>
      <c r="M353" s="245">
        <f t="shared" si="110"/>
        <v>0</v>
      </c>
      <c r="N353" s="167">
        <f t="shared" si="116"/>
        <v>21.557612682104441</v>
      </c>
      <c r="O353" s="61">
        <f t="shared" si="111"/>
        <v>-21.557612682104441</v>
      </c>
      <c r="P353" s="61">
        <f t="shared" si="112"/>
        <v>-19.56098284912304</v>
      </c>
      <c r="Q353" s="62">
        <f>+H353*Interest!$D$21</f>
        <v>0.219651427878579</v>
      </c>
      <c r="R353" s="63">
        <f t="shared" si="113"/>
        <v>-19.341331421244462</v>
      </c>
    </row>
    <row r="354" spans="1:18">
      <c r="A354" s="30" t="s">
        <v>31</v>
      </c>
      <c r="B354" s="21"/>
      <c r="C354" s="22"/>
      <c r="D354" s="23">
        <v>0</v>
      </c>
      <c r="E354" s="24">
        <v>0</v>
      </c>
      <c r="F354" s="25">
        <v>0</v>
      </c>
      <c r="G354" s="24">
        <v>0</v>
      </c>
      <c r="H354" s="27">
        <v>7.9455697798752601E-4</v>
      </c>
      <c r="I354" s="31">
        <f t="shared" si="114"/>
        <v>316.23367723903533</v>
      </c>
      <c r="J354" s="29">
        <f t="shared" si="109"/>
        <v>56.578082296116001</v>
      </c>
      <c r="K354" s="61">
        <f t="shared" si="115"/>
        <v>5.240166834385974</v>
      </c>
      <c r="L354" s="167">
        <f>ROUND(J354*VLOOKUP($A354,'Actual Load'!$A$4:$B$29,2,FALSE)/VLOOKUP($A354,'Projected Zonal Load'!$A$4:$N$29,14,FALSE),0)</f>
        <v>58</v>
      </c>
      <c r="M354" s="61">
        <f t="shared" si="110"/>
        <v>61.240824165989729</v>
      </c>
      <c r="N354" s="167">
        <f t="shared" si="116"/>
        <v>56.578082296116001</v>
      </c>
      <c r="O354" s="61">
        <f t="shared" si="111"/>
        <v>4.6627418698737273</v>
      </c>
      <c r="P354" s="61">
        <f t="shared" si="112"/>
        <v>9.9029087042597013</v>
      </c>
      <c r="Q354" s="62">
        <f>+H354*Interest!$D$21</f>
        <v>0.57647647474852348</v>
      </c>
      <c r="R354" s="63">
        <f t="shared" si="113"/>
        <v>10.479385179008224</v>
      </c>
    </row>
    <row r="355" spans="1:18">
      <c r="A355" s="30" t="s">
        <v>32</v>
      </c>
      <c r="B355" s="21"/>
      <c r="C355" s="22"/>
      <c r="D355" s="23">
        <v>0</v>
      </c>
      <c r="E355" s="24">
        <v>0</v>
      </c>
      <c r="F355" s="25">
        <v>0</v>
      </c>
      <c r="G355" s="24">
        <v>0</v>
      </c>
      <c r="H355" s="27">
        <v>8.6615565603105854E-4</v>
      </c>
      <c r="I355" s="31">
        <f t="shared" si="114"/>
        <v>344.72995110036129</v>
      </c>
      <c r="J355" s="29">
        <f t="shared" si="109"/>
        <v>61.676415091456072</v>
      </c>
      <c r="K355" s="61">
        <f t="shared" si="115"/>
        <v>5.7123658439773148</v>
      </c>
      <c r="L355" s="167">
        <f>ROUND(J355*VLOOKUP($A355,'Actual Load'!$A$4:$B$29,2,FALSE)/VLOOKUP($A355,'Projected Zonal Load'!$A$4:$N$29,14,FALSE),0)</f>
        <v>62</v>
      </c>
      <c r="M355" s="61">
        <f t="shared" si="110"/>
        <v>65.464329280885579</v>
      </c>
      <c r="N355" s="167">
        <f t="shared" si="116"/>
        <v>61.676415091456072</v>
      </c>
      <c r="O355" s="61">
        <f>+M355-N355</f>
        <v>3.7879141894295074</v>
      </c>
      <c r="P355" s="61">
        <f t="shared" si="112"/>
        <v>9.5002800334068223</v>
      </c>
      <c r="Q355" s="62">
        <f>+H355*Interest!$D$21</f>
        <v>0.62842360334807645</v>
      </c>
      <c r="R355" s="63">
        <f>+P355+Q355</f>
        <v>10.128703636754899</v>
      </c>
    </row>
    <row r="356" spans="1:18">
      <c r="A356" s="30" t="s">
        <v>33</v>
      </c>
      <c r="B356" s="21"/>
      <c r="C356" s="22"/>
      <c r="D356" s="23">
        <v>0</v>
      </c>
      <c r="E356" s="24">
        <v>0</v>
      </c>
      <c r="F356" s="25">
        <v>0</v>
      </c>
      <c r="G356" s="24">
        <v>0</v>
      </c>
      <c r="H356" s="27">
        <v>2.3414313850310516E-2</v>
      </c>
      <c r="I356" s="31">
        <f t="shared" si="114"/>
        <v>9318.8969124235846</v>
      </c>
      <c r="J356" s="29">
        <f t="shared" si="109"/>
        <v>1667.264919484169</v>
      </c>
      <c r="K356" s="61">
        <f t="shared" si="115"/>
        <v>154.41927298790591</v>
      </c>
      <c r="L356" s="167">
        <f>ROUND(J356*VLOOKUP($A356,'Actual Load'!$A$4:$B$29,2,FALSE)/VLOOKUP($A356,'Projected Zonal Load'!$A$4:$N$29,14,FALSE),0)</f>
        <v>1733</v>
      </c>
      <c r="M356" s="61">
        <f t="shared" si="110"/>
        <v>1829.8335910286241</v>
      </c>
      <c r="N356" s="167">
        <f t="shared" si="116"/>
        <v>1667.264919484169</v>
      </c>
      <c r="O356" s="61">
        <f t="shared" ref="O356:O365" si="124">+M356-N356</f>
        <v>162.56867154445513</v>
      </c>
      <c r="P356" s="61">
        <f t="shared" si="112"/>
        <v>316.98794453236104</v>
      </c>
      <c r="Q356" s="62">
        <f>+H356*Interest!$D$21</f>
        <v>16.987832818824529</v>
      </c>
      <c r="R356" s="63">
        <f t="shared" ref="R356:R365" si="125">+P356+Q356</f>
        <v>333.97577735118557</v>
      </c>
    </row>
    <row r="357" spans="1:18">
      <c r="A357" s="30" t="s">
        <v>34</v>
      </c>
      <c r="B357" s="21"/>
      <c r="C357" s="22"/>
      <c r="D357" s="23">
        <v>0</v>
      </c>
      <c r="E357" s="24">
        <v>0</v>
      </c>
      <c r="F357" s="25">
        <v>0</v>
      </c>
      <c r="G357" s="24">
        <v>0</v>
      </c>
      <c r="H357" s="27">
        <v>1.8775323951991409E-2</v>
      </c>
      <c r="I357" s="31">
        <f t="shared" si="114"/>
        <v>7472.5789328925812</v>
      </c>
      <c r="J357" s="29">
        <f t="shared" si="109"/>
        <v>1336.9359946753684</v>
      </c>
      <c r="K357" s="61">
        <f t="shared" si="115"/>
        <v>123.82476348929954</v>
      </c>
      <c r="L357" s="167">
        <f>ROUND(J357*VLOOKUP($A357,'Actual Load'!$A$4:$B$29,2,FALSE)/VLOOKUP($A357,'Projected Zonal Load'!$A$4:$N$29,14,FALSE),0)</f>
        <v>1326</v>
      </c>
      <c r="M357" s="61">
        <f t="shared" si="110"/>
        <v>1400.0919455879721</v>
      </c>
      <c r="N357" s="167">
        <f t="shared" si="116"/>
        <v>1336.9359946753684</v>
      </c>
      <c r="O357" s="61">
        <f t="shared" si="124"/>
        <v>63.155950912603657</v>
      </c>
      <c r="P357" s="61">
        <f t="shared" si="112"/>
        <v>186.98071440190319</v>
      </c>
      <c r="Q357" s="62">
        <f>+H357*Interest!$D$21</f>
        <v>13.622097425309436</v>
      </c>
      <c r="R357" s="63">
        <f t="shared" si="125"/>
        <v>200.60281182721263</v>
      </c>
    </row>
    <row r="358" spans="1:18">
      <c r="A358" s="30" t="s">
        <v>35</v>
      </c>
      <c r="B358" s="21"/>
      <c r="C358" s="22"/>
      <c r="D358" s="23">
        <v>0</v>
      </c>
      <c r="E358" s="24">
        <v>0</v>
      </c>
      <c r="F358" s="25">
        <v>0</v>
      </c>
      <c r="G358" s="24">
        <v>0</v>
      </c>
      <c r="H358" s="27">
        <v>3.9201526698776851E-3</v>
      </c>
      <c r="I358" s="31">
        <f t="shared" si="114"/>
        <v>1560.2207626113186</v>
      </c>
      <c r="J358" s="29">
        <f t="shared" si="109"/>
        <v>279.14262477619394</v>
      </c>
      <c r="K358" s="61">
        <f t="shared" si="115"/>
        <v>25.853720470056931</v>
      </c>
      <c r="L358" s="167">
        <f>ROUND(J358*VLOOKUP($A358,'Actual Load'!$A$4:$B$29,2,FALSE)/VLOOKUP($A358,'Projected Zonal Load'!$A$4:$N$29,14,FALSE),0)</f>
        <v>278</v>
      </c>
      <c r="M358" s="61">
        <f t="shared" si="110"/>
        <v>293.53360548526109</v>
      </c>
      <c r="N358" s="167">
        <f t="shared" si="116"/>
        <v>279.14262477619394</v>
      </c>
      <c r="O358" s="61">
        <f t="shared" si="124"/>
        <v>14.390980709067151</v>
      </c>
      <c r="P358" s="61">
        <f t="shared" si="112"/>
        <v>40.244701179124078</v>
      </c>
      <c r="Q358" s="62">
        <f>+H358*Interest!$D$21</f>
        <v>2.8441960164152995</v>
      </c>
      <c r="R358" s="63">
        <f t="shared" si="125"/>
        <v>43.088897195539374</v>
      </c>
    </row>
    <row r="359" spans="1:18">
      <c r="A359" s="30" t="s">
        <v>36</v>
      </c>
      <c r="B359" s="21"/>
      <c r="C359" s="22"/>
      <c r="D359" s="23">
        <v>0</v>
      </c>
      <c r="E359" s="24">
        <v>0</v>
      </c>
      <c r="F359" s="25">
        <v>0</v>
      </c>
      <c r="G359" s="24">
        <v>0</v>
      </c>
      <c r="H359" s="27">
        <v>5.8079243198196626E-4</v>
      </c>
      <c r="I359" s="31">
        <f t="shared" si="114"/>
        <v>231.15538792882256</v>
      </c>
      <c r="J359" s="29">
        <f t="shared" si="109"/>
        <v>41.35653316753443</v>
      </c>
      <c r="K359" s="61">
        <f t="shared" si="115"/>
        <v>3.8303725523156271</v>
      </c>
      <c r="L359" s="167">
        <f>ROUND(J359*VLOOKUP($A359,'Actual Load'!$A$4:$B$29,2,FALSE)/VLOOKUP($A359,'Projected Zonal Load'!$A$4:$N$29,14,FALSE),0)</f>
        <v>41</v>
      </c>
      <c r="M359" s="61">
        <f t="shared" si="110"/>
        <v>43.290927427682398</v>
      </c>
      <c r="N359" s="167">
        <f t="shared" si="116"/>
        <v>41.35653316753443</v>
      </c>
      <c r="O359" s="61">
        <f t="shared" si="124"/>
        <v>1.9343942601479682</v>
      </c>
      <c r="P359" s="61">
        <f t="shared" si="112"/>
        <v>5.7647668124635949</v>
      </c>
      <c r="Q359" s="62">
        <f>+H359*Interest!$D$21</f>
        <v>0.42138346654208336</v>
      </c>
      <c r="R359" s="63">
        <f t="shared" si="125"/>
        <v>6.1861502790056786</v>
      </c>
    </row>
    <row r="360" spans="1:18">
      <c r="A360" s="30" t="s">
        <v>37</v>
      </c>
      <c r="B360" s="21"/>
      <c r="C360" s="22"/>
      <c r="D360" s="23">
        <v>0</v>
      </c>
      <c r="E360" s="24">
        <v>0</v>
      </c>
      <c r="F360" s="25">
        <v>0</v>
      </c>
      <c r="G360" s="24">
        <v>0</v>
      </c>
      <c r="H360" s="27">
        <v>0.80234267705903506</v>
      </c>
      <c r="I360" s="31">
        <f t="shared" si="114"/>
        <v>319332.38546949596</v>
      </c>
      <c r="J360" s="29">
        <f t="shared" si="109"/>
        <v>57132.479192756873</v>
      </c>
      <c r="K360" s="61">
        <f t="shared" si="115"/>
        <v>5291.5141426185028</v>
      </c>
      <c r="L360" s="167">
        <f>ROUND(J360*VLOOKUP($A360,'Actual Load'!$A$4:$B$29,2,FALSE)/VLOOKUP($A360,'Projected Zonal Load'!$A$4:$N$29,14,FALSE),0)</f>
        <v>56949</v>
      </c>
      <c r="M360" s="61">
        <f t="shared" si="110"/>
        <v>60131.098197050844</v>
      </c>
      <c r="N360" s="167">
        <f t="shared" si="116"/>
        <v>57132.479192756873</v>
      </c>
      <c r="O360" s="61">
        <f t="shared" si="124"/>
        <v>2998.6190042939706</v>
      </c>
      <c r="P360" s="61">
        <f t="shared" si="112"/>
        <v>8290.1331469124743</v>
      </c>
      <c r="Q360" s="62">
        <f>+H360*Interest!$D$21</f>
        <v>582.12524818899396</v>
      </c>
      <c r="R360" s="63">
        <f t="shared" si="125"/>
        <v>8872.2583951014676</v>
      </c>
    </row>
    <row r="361" spans="1:18">
      <c r="A361" s="30" t="s">
        <v>38</v>
      </c>
      <c r="B361" s="21"/>
      <c r="C361" s="22"/>
      <c r="D361" s="23">
        <v>0</v>
      </c>
      <c r="E361" s="24">
        <v>0</v>
      </c>
      <c r="F361" s="25">
        <v>0</v>
      </c>
      <c r="G361" s="24">
        <v>0</v>
      </c>
      <c r="H361" s="27">
        <v>2.6058955971885768E-3</v>
      </c>
      <c r="I361" s="31">
        <f t="shared" si="114"/>
        <v>1037.1464476810536</v>
      </c>
      <c r="J361" s="29">
        <f t="shared" si="109"/>
        <v>185.55821626065477</v>
      </c>
      <c r="K361" s="61">
        <f t="shared" si="115"/>
        <v>17.186089935106445</v>
      </c>
      <c r="L361" s="167">
        <f>ROUND(J361*VLOOKUP($A361,'Actual Load'!$A$4:$B$29,2,FALSE)/VLOOKUP($A361,'Projected Zonal Load'!$A$4:$N$29,14,FALSE),0)</f>
        <v>201</v>
      </c>
      <c r="M361" s="61">
        <f t="shared" si="110"/>
        <v>212.23113202351612</v>
      </c>
      <c r="N361" s="167">
        <f t="shared" si="116"/>
        <v>185.55821626065477</v>
      </c>
      <c r="O361" s="61">
        <f t="shared" si="124"/>
        <v>26.672915762861351</v>
      </c>
      <c r="P361" s="61">
        <f t="shared" si="112"/>
        <v>43.859005697967795</v>
      </c>
      <c r="Q361" s="62">
        <f>+H361*Interest!$D$21</f>
        <v>1.890660517808143</v>
      </c>
      <c r="R361" s="63">
        <f t="shared" si="125"/>
        <v>45.749666215775939</v>
      </c>
    </row>
    <row r="362" spans="1:18">
      <c r="A362" s="226" t="s">
        <v>39</v>
      </c>
      <c r="B362" s="21"/>
      <c r="C362" s="22"/>
      <c r="D362" s="23">
        <v>0</v>
      </c>
      <c r="E362" s="24">
        <v>0</v>
      </c>
      <c r="F362" s="25">
        <v>0</v>
      </c>
      <c r="G362" s="24">
        <v>0</v>
      </c>
      <c r="H362" s="27">
        <v>1.4774069032505166E-3</v>
      </c>
      <c r="I362" s="31">
        <f t="shared" si="114"/>
        <v>588.00794749370561</v>
      </c>
      <c r="J362" s="29">
        <f t="shared" si="109"/>
        <v>105.2018315523118</v>
      </c>
      <c r="K362" s="61">
        <f t="shared" si="115"/>
        <v>9.7436167194894203</v>
      </c>
      <c r="L362" s="167">
        <f>ROUND(J362*VLOOKUP($A362,'Actual Load'!$A$4:$B$29,2,FALSE)/VLOOKUP($A362,'Projected Zonal Load'!$A$4:$N$29,14,FALSE),0)</f>
        <v>109</v>
      </c>
      <c r="M362" s="61">
        <f t="shared" si="110"/>
        <v>115.09051438091173</v>
      </c>
      <c r="N362" s="167">
        <f t="shared" si="116"/>
        <v>105.2018315523118</v>
      </c>
      <c r="O362" s="61">
        <f t="shared" si="124"/>
        <v>9.8886828285999258</v>
      </c>
      <c r="P362" s="61">
        <f t="shared" si="112"/>
        <v>19.632299548089346</v>
      </c>
      <c r="Q362" s="62">
        <f>+H362*Interest!$D$21</f>
        <v>1.0719059135471614</v>
      </c>
      <c r="R362" s="63">
        <f t="shared" si="125"/>
        <v>20.704205461636509</v>
      </c>
    </row>
    <row r="363" spans="1:18">
      <c r="A363" s="226" t="s">
        <v>96</v>
      </c>
      <c r="B363" s="21"/>
      <c r="C363" s="22"/>
      <c r="D363" s="23">
        <v>0</v>
      </c>
      <c r="E363" s="24">
        <v>0</v>
      </c>
      <c r="F363" s="25">
        <v>0</v>
      </c>
      <c r="G363" s="24">
        <v>0</v>
      </c>
      <c r="H363" s="27">
        <v>8.5203551696441272E-3</v>
      </c>
      <c r="I363" s="31">
        <f t="shared" si="114"/>
        <v>3391.1013575183624</v>
      </c>
      <c r="J363" s="29">
        <f t="shared" si="109"/>
        <v>606.70961219326296</v>
      </c>
      <c r="K363" s="61">
        <f t="shared" si="115"/>
        <v>56.192423972216602</v>
      </c>
      <c r="L363" s="167">
        <f>ROUND(J363*VLOOKUP($A363,'Actual Load'!$A$4:$B$29,2,FALSE)/VLOOKUP($A363,'Projected Zonal Load'!$A$4:$N$29,14,FALSE),0)</f>
        <v>645</v>
      </c>
      <c r="M363" s="61">
        <f t="shared" si="110"/>
        <v>681.04019977695475</v>
      </c>
      <c r="N363" s="167">
        <f t="shared" si="116"/>
        <v>606.70961219326296</v>
      </c>
      <c r="O363" s="61">
        <f t="shared" si="124"/>
        <v>74.330587583691795</v>
      </c>
      <c r="P363" s="61">
        <f t="shared" si="112"/>
        <v>130.5230115559084</v>
      </c>
      <c r="Q363" s="62">
        <f>+H363*Interest!$D$21</f>
        <v>6.1817899129682257</v>
      </c>
      <c r="R363" s="63">
        <f t="shared" si="125"/>
        <v>136.70480146887661</v>
      </c>
    </row>
    <row r="364" spans="1:18">
      <c r="A364" s="226" t="s">
        <v>97</v>
      </c>
      <c r="B364" s="21"/>
      <c r="C364" s="22"/>
      <c r="D364" s="23">
        <v>0</v>
      </c>
      <c r="E364" s="24">
        <v>0</v>
      </c>
      <c r="F364" s="25">
        <v>0</v>
      </c>
      <c r="G364" s="24">
        <v>0</v>
      </c>
      <c r="H364" s="27">
        <v>2.8353957218997631E-4</v>
      </c>
      <c r="I364" s="31">
        <f t="shared" si="114"/>
        <v>112.84874973161057</v>
      </c>
      <c r="J364" s="29">
        <f t="shared" si="109"/>
        <v>20.190025000097418</v>
      </c>
      <c r="K364" s="61">
        <f t="shared" si="115"/>
        <v>1.8699661617586694</v>
      </c>
      <c r="L364" s="167">
        <f>ROUND(J364*VLOOKUP($A364,'Actual Load'!$A$4:$B$29,2,FALSE)/VLOOKUP($A364,'Projected Zonal Load'!$A$4:$N$29,14,FALSE),0)</f>
        <v>21</v>
      </c>
      <c r="M364" s="61">
        <f t="shared" si="110"/>
        <v>22.173401853203178</v>
      </c>
      <c r="N364" s="167">
        <f t="shared" si="116"/>
        <v>20.190025000097418</v>
      </c>
      <c r="O364" s="61">
        <f t="shared" si="124"/>
        <v>1.9833768531057601</v>
      </c>
      <c r="P364" s="61">
        <f t="shared" si="112"/>
        <v>3.8533430148644294</v>
      </c>
      <c r="Q364" s="62">
        <f>+H364*Interest!$D$21</f>
        <v>0.20571701911394974</v>
      </c>
      <c r="R364" s="63">
        <f t="shared" si="125"/>
        <v>4.0590600339783789</v>
      </c>
    </row>
    <row r="365" spans="1:18">
      <c r="A365" s="32" t="s">
        <v>98</v>
      </c>
      <c r="B365" s="21"/>
      <c r="C365" s="22"/>
      <c r="D365" s="23">
        <v>0</v>
      </c>
      <c r="E365" s="24">
        <v>0</v>
      </c>
      <c r="F365" s="25">
        <v>0</v>
      </c>
      <c r="G365" s="33">
        <v>0</v>
      </c>
      <c r="H365" s="227">
        <v>0</v>
      </c>
      <c r="I365" s="35">
        <f t="shared" si="114"/>
        <v>0</v>
      </c>
      <c r="J365" s="228">
        <f t="shared" si="109"/>
        <v>0</v>
      </c>
      <c r="K365" s="61">
        <f t="shared" si="115"/>
        <v>0</v>
      </c>
      <c r="L365" s="167">
        <f>ROUND(J365*VLOOKUP($A365,'Actual Load'!$A$4:$B$29,2,FALSE)/VLOOKUP($A365,'Projected Zonal Load'!$A$4:$N$29,14,FALSE),0)</f>
        <v>0</v>
      </c>
      <c r="M365" s="61">
        <f t="shared" si="110"/>
        <v>0</v>
      </c>
      <c r="N365" s="167">
        <f t="shared" si="116"/>
        <v>0</v>
      </c>
      <c r="O365" s="61">
        <f t="shared" si="124"/>
        <v>0</v>
      </c>
      <c r="P365" s="61">
        <f t="shared" si="112"/>
        <v>0</v>
      </c>
      <c r="Q365" s="62">
        <f>+H365*Interest!$D$21</f>
        <v>0</v>
      </c>
      <c r="R365" s="63">
        <f t="shared" si="125"/>
        <v>0</v>
      </c>
    </row>
    <row r="366" spans="1:18">
      <c r="A366" s="36"/>
      <c r="B366" s="37"/>
      <c r="C366" s="38"/>
      <c r="D366" s="39">
        <v>0</v>
      </c>
      <c r="E366" s="40">
        <v>0</v>
      </c>
      <c r="F366" s="41">
        <v>1</v>
      </c>
      <c r="G366" s="43">
        <v>0</v>
      </c>
      <c r="H366" s="42">
        <v>1</v>
      </c>
      <c r="I366" s="43">
        <f t="shared" ref="I366:J366" si="126">SUM(I340:I365)</f>
        <v>398000</v>
      </c>
      <c r="J366" s="43">
        <f t="shared" si="126"/>
        <v>71207.080000000016</v>
      </c>
      <c r="K366" s="64">
        <f t="shared" ref="K366:R366" si="127">SUM(K340:K365)</f>
        <v>6595.0800000000027</v>
      </c>
      <c r="L366" s="171">
        <f t="shared" si="127"/>
        <v>71654</v>
      </c>
      <c r="M366" s="65">
        <f t="shared" si="127"/>
        <v>75657.758875686675</v>
      </c>
      <c r="N366" s="171">
        <f t="shared" si="127"/>
        <v>71207.080000000016</v>
      </c>
      <c r="O366" s="65">
        <f t="shared" si="127"/>
        <v>4450.6788756866863</v>
      </c>
      <c r="P366" s="65">
        <f t="shared" si="127"/>
        <v>11045.75887568669</v>
      </c>
      <c r="Q366" s="65">
        <f t="shared" si="127"/>
        <v>725.5319514135258</v>
      </c>
      <c r="R366" s="66">
        <f t="shared" si="127"/>
        <v>11771.290827100212</v>
      </c>
    </row>
    <row r="367" spans="1:18">
      <c r="H367" s="45"/>
      <c r="I367" s="46"/>
    </row>
    <row r="368" spans="1:18">
      <c r="A368" s="47"/>
      <c r="O368" s="164"/>
      <c r="P368" s="164"/>
      <c r="Q368" s="164"/>
      <c r="R368" s="164"/>
    </row>
    <row r="369" spans="1:18">
      <c r="H369" s="194" t="s">
        <v>187</v>
      </c>
      <c r="I369" s="196">
        <v>71207.08</v>
      </c>
      <c r="K369" s="67"/>
      <c r="L369" s="194" t="s">
        <v>190</v>
      </c>
      <c r="M369" s="196">
        <v>64612</v>
      </c>
      <c r="O369" s="164"/>
      <c r="P369" s="164"/>
      <c r="Q369" s="164"/>
      <c r="R369" s="164"/>
    </row>
    <row r="370" spans="1:18">
      <c r="H370" s="161" t="s">
        <v>189</v>
      </c>
      <c r="I370" s="196">
        <v>0</v>
      </c>
      <c r="K370" s="67"/>
      <c r="L370" s="161" t="s">
        <v>189</v>
      </c>
      <c r="M370" s="196">
        <v>0</v>
      </c>
      <c r="O370" s="164"/>
      <c r="P370" s="164"/>
      <c r="Q370" s="164"/>
      <c r="R370" s="164"/>
    </row>
    <row r="371" spans="1:18">
      <c r="G371" s="67"/>
      <c r="H371" s="195" t="s">
        <v>188</v>
      </c>
      <c r="I371" s="197">
        <f>SUM(I369:I370)</f>
        <v>71207.08</v>
      </c>
      <c r="J371" s="225" t="s">
        <v>137</v>
      </c>
      <c r="K371" s="198"/>
      <c r="L371" s="195" t="s">
        <v>188</v>
      </c>
      <c r="M371" s="197">
        <f>SUM(M369:M370)</f>
        <v>64612</v>
      </c>
      <c r="O371" s="207" t="s">
        <v>137</v>
      </c>
      <c r="P371" s="164"/>
      <c r="Q371" s="164"/>
      <c r="R371" s="164"/>
    </row>
    <row r="372" spans="1:18">
      <c r="I372" s="49"/>
      <c r="O372" s="164"/>
      <c r="P372" s="164"/>
      <c r="Q372" s="164"/>
      <c r="R372" s="164"/>
    </row>
    <row r="374" spans="1:18" ht="15.75">
      <c r="A374" s="281" t="s">
        <v>0</v>
      </c>
      <c r="B374" s="282"/>
      <c r="C374" s="282" t="s">
        <v>208</v>
      </c>
      <c r="D374" s="282"/>
      <c r="E374" s="282"/>
      <c r="F374" s="282"/>
      <c r="G374" s="282"/>
      <c r="H374" s="283"/>
      <c r="I374" s="1"/>
    </row>
    <row r="375" spans="1:18" ht="15.75" hidden="1" outlineLevel="1">
      <c r="A375" s="132" t="s">
        <v>142</v>
      </c>
      <c r="B375" s="133"/>
      <c r="C375" s="136" t="s">
        <v>140</v>
      </c>
      <c r="D375" s="134"/>
      <c r="E375" s="134"/>
      <c r="F375" s="134"/>
      <c r="G375" s="134"/>
      <c r="H375" s="135"/>
      <c r="I375" s="1"/>
    </row>
    <row r="376" spans="1:18" ht="15.75" collapsed="1">
      <c r="A376" s="269" t="s">
        <v>2</v>
      </c>
      <c r="B376" s="270"/>
      <c r="C376" s="322" t="s">
        <v>232</v>
      </c>
      <c r="D376" s="323"/>
      <c r="E376" s="323"/>
      <c r="F376" s="323"/>
      <c r="G376" s="323"/>
      <c r="H376" s="324"/>
      <c r="I376" s="1"/>
    </row>
    <row r="377" spans="1:18" ht="15.75">
      <c r="A377" s="269" t="s">
        <v>4</v>
      </c>
      <c r="B377" s="270"/>
      <c r="C377" s="322"/>
      <c r="D377" s="323"/>
      <c r="E377" s="323"/>
      <c r="F377" s="323"/>
      <c r="G377" s="323"/>
      <c r="H377" s="324"/>
      <c r="I377" s="1"/>
    </row>
    <row r="378" spans="1:18" ht="15.75">
      <c r="A378" s="269" t="s">
        <v>6</v>
      </c>
      <c r="B378" s="270"/>
      <c r="C378" s="271">
        <v>75000</v>
      </c>
      <c r="D378" s="272"/>
      <c r="E378" s="272"/>
      <c r="F378" s="272"/>
      <c r="G378" s="272"/>
      <c r="H378" s="273"/>
      <c r="I378" s="1"/>
      <c r="M378" s="50"/>
      <c r="O378" s="50" t="s">
        <v>46</v>
      </c>
      <c r="P378" s="50" t="s">
        <v>42</v>
      </c>
      <c r="R378" s="50" t="s">
        <v>47</v>
      </c>
    </row>
    <row r="379" spans="1:18" ht="15.75">
      <c r="A379" s="274" t="s">
        <v>7</v>
      </c>
      <c r="B379" s="275"/>
      <c r="C379" s="276" t="s">
        <v>37</v>
      </c>
      <c r="D379" s="277"/>
      <c r="E379" s="277"/>
      <c r="F379" s="277"/>
      <c r="G379" s="277"/>
      <c r="H379" s="278"/>
      <c r="I379" s="1"/>
      <c r="K379" s="50" t="s">
        <v>44</v>
      </c>
      <c r="L379" s="168" t="s">
        <v>45</v>
      </c>
      <c r="M379" s="51" t="s">
        <v>194</v>
      </c>
      <c r="N379" s="51" t="s">
        <v>41</v>
      </c>
      <c r="O379" s="51" t="s">
        <v>195</v>
      </c>
      <c r="P379" s="51" t="s">
        <v>196</v>
      </c>
      <c r="Q379" s="51" t="s">
        <v>43</v>
      </c>
      <c r="R379" s="51" t="s">
        <v>197</v>
      </c>
    </row>
    <row r="380" spans="1:18">
      <c r="A380" s="2"/>
      <c r="B380" s="2"/>
      <c r="C380" s="2"/>
      <c r="D380" s="2"/>
      <c r="E380" s="2"/>
      <c r="F380" s="2"/>
      <c r="G380" s="2"/>
      <c r="H380" s="2"/>
      <c r="I380" s="2"/>
      <c r="K380" s="52"/>
      <c r="L380" s="287" t="s">
        <v>48</v>
      </c>
      <c r="M380" s="288"/>
      <c r="N380" s="288"/>
      <c r="O380" s="289"/>
      <c r="P380" s="53" t="s">
        <v>49</v>
      </c>
      <c r="Q380" s="52"/>
      <c r="R380" s="53" t="s">
        <v>50</v>
      </c>
    </row>
    <row r="381" spans="1:18">
      <c r="A381" s="3"/>
      <c r="B381" s="4"/>
      <c r="C381" s="5"/>
      <c r="D381" s="279">
        <v>0</v>
      </c>
      <c r="E381" s="280"/>
      <c r="F381" s="279">
        <v>1</v>
      </c>
      <c r="G381" s="280"/>
      <c r="H381" s="218"/>
      <c r="I381" s="7"/>
      <c r="J381" s="8" t="s">
        <v>9</v>
      </c>
      <c r="K381" s="54" t="s">
        <v>51</v>
      </c>
      <c r="L381" s="287" t="s">
        <v>52</v>
      </c>
      <c r="M381" s="288"/>
      <c r="N381" s="214"/>
      <c r="O381" s="53" t="s">
        <v>53</v>
      </c>
      <c r="P381" s="54" t="s">
        <v>54</v>
      </c>
      <c r="Q381" s="55"/>
      <c r="R381" s="54" t="s">
        <v>55</v>
      </c>
    </row>
    <row r="382" spans="1:18">
      <c r="A382" s="9"/>
      <c r="B382" s="10"/>
      <c r="C382" s="11"/>
      <c r="D382" s="290" t="s">
        <v>10</v>
      </c>
      <c r="E382" s="291"/>
      <c r="F382" s="290" t="s">
        <v>11</v>
      </c>
      <c r="G382" s="291"/>
      <c r="H382" s="290" t="s">
        <v>12</v>
      </c>
      <c r="I382" s="292"/>
      <c r="J382" s="12" t="s">
        <v>13</v>
      </c>
      <c r="K382" s="56" t="s">
        <v>56</v>
      </c>
      <c r="L382" s="169" t="s">
        <v>191</v>
      </c>
      <c r="M382" s="217" t="s">
        <v>192</v>
      </c>
      <c r="N382" s="57" t="s">
        <v>57</v>
      </c>
      <c r="O382" s="57" t="s">
        <v>56</v>
      </c>
      <c r="P382" s="57" t="s">
        <v>56</v>
      </c>
      <c r="Q382" s="57" t="s">
        <v>58</v>
      </c>
      <c r="R382" s="57" t="s">
        <v>59</v>
      </c>
    </row>
    <row r="383" spans="1:18" ht="38.25">
      <c r="A383" s="13" t="s">
        <v>14</v>
      </c>
      <c r="B383" s="14" t="s">
        <v>15</v>
      </c>
      <c r="C383" s="15" t="s">
        <v>16</v>
      </c>
      <c r="D383" s="16" t="s">
        <v>17</v>
      </c>
      <c r="E383" s="17" t="s">
        <v>18</v>
      </c>
      <c r="F383" s="16" t="s">
        <v>17</v>
      </c>
      <c r="G383" s="17" t="s">
        <v>18</v>
      </c>
      <c r="H383" s="18" t="s">
        <v>17</v>
      </c>
      <c r="I383" s="19" t="s">
        <v>18</v>
      </c>
      <c r="J383" s="15" t="s">
        <v>18</v>
      </c>
      <c r="K383" s="58" t="s">
        <v>60</v>
      </c>
      <c r="L383" s="170"/>
      <c r="M383" s="59"/>
      <c r="N383" s="170"/>
      <c r="O383" s="58" t="s">
        <v>60</v>
      </c>
      <c r="P383" s="59"/>
      <c r="Q383" s="59"/>
      <c r="R383" s="60" t="s">
        <v>60</v>
      </c>
    </row>
    <row r="384" spans="1:18">
      <c r="A384" s="20" t="s">
        <v>19</v>
      </c>
      <c r="B384" s="21"/>
      <c r="C384" s="22"/>
      <c r="D384" s="23">
        <v>0</v>
      </c>
      <c r="E384" s="24">
        <v>0</v>
      </c>
      <c r="F384" s="25">
        <v>0</v>
      </c>
      <c r="G384" s="26">
        <v>0</v>
      </c>
      <c r="H384" s="23">
        <v>0</v>
      </c>
      <c r="I384" s="28">
        <f>H384*$C$378</f>
        <v>0</v>
      </c>
      <c r="J384" s="29">
        <f>H384*I$415</f>
        <v>0</v>
      </c>
      <c r="K384" s="61">
        <f t="shared" ref="K384:K408" si="128">(I$415-M$415)*H384</f>
        <v>0</v>
      </c>
      <c r="L384" s="167">
        <f>ROUND(J384*VLOOKUP($A384,'Actual Load'!$A$4:$B$29,2,FALSE)/VLOOKUP($A384,'Projected Zonal Load'!$A$4:$N$29,14,FALSE),0)</f>
        <v>0</v>
      </c>
      <c r="M384" s="61">
        <f t="shared" ref="M384:M409" si="129">IF(NOT(L$40=0),M$4*L384/L$40,0)</f>
        <v>0</v>
      </c>
      <c r="N384" s="167">
        <f>+J384</f>
        <v>0</v>
      </c>
      <c r="O384" s="61">
        <f t="shared" ref="O384:O387" si="130">+M384-N384</f>
        <v>0</v>
      </c>
      <c r="P384" s="61">
        <f t="shared" ref="P384:P409" si="131">+K384+O384</f>
        <v>0</v>
      </c>
      <c r="Q384" s="62">
        <f>+H384*Interest!$D$22</f>
        <v>0</v>
      </c>
      <c r="R384" s="63">
        <f t="shared" ref="R384:R387" si="132">+P384+Q384</f>
        <v>0</v>
      </c>
    </row>
    <row r="385" spans="1:18">
      <c r="A385" s="30" t="s">
        <v>20</v>
      </c>
      <c r="B385" s="21"/>
      <c r="C385" s="22"/>
      <c r="D385" s="23">
        <v>0</v>
      </c>
      <c r="E385" s="24">
        <v>0</v>
      </c>
      <c r="F385" s="25">
        <v>0</v>
      </c>
      <c r="G385" s="24">
        <v>0</v>
      </c>
      <c r="H385" s="23">
        <v>0</v>
      </c>
      <c r="I385" s="31">
        <f t="shared" ref="I385:I409" si="133">H385*$C$378</f>
        <v>0</v>
      </c>
      <c r="J385" s="29">
        <f>H385*I$415</f>
        <v>0</v>
      </c>
      <c r="K385" s="61">
        <f t="shared" si="128"/>
        <v>0</v>
      </c>
      <c r="L385" s="167">
        <f>ROUND(J385*VLOOKUP($A385,'Actual Load'!$A$4:$B$29,2,FALSE)/VLOOKUP($A385,'Projected Zonal Load'!$A$4:$N$29,14,FALSE),0)</f>
        <v>0</v>
      </c>
      <c r="M385" s="61">
        <f t="shared" si="129"/>
        <v>0</v>
      </c>
      <c r="N385" s="167">
        <f t="shared" ref="N385:N409" si="134">+J385</f>
        <v>0</v>
      </c>
      <c r="O385" s="61">
        <f t="shared" si="130"/>
        <v>0</v>
      </c>
      <c r="P385" s="61">
        <f t="shared" si="131"/>
        <v>0</v>
      </c>
      <c r="Q385" s="62">
        <f>+H385*Interest!$D$22</f>
        <v>0</v>
      </c>
      <c r="R385" s="63">
        <f t="shared" si="132"/>
        <v>0</v>
      </c>
    </row>
    <row r="386" spans="1:18">
      <c r="A386" s="30" t="s">
        <v>21</v>
      </c>
      <c r="B386" s="21"/>
      <c r="C386" s="22"/>
      <c r="D386" s="23">
        <v>0</v>
      </c>
      <c r="E386" s="24">
        <v>0</v>
      </c>
      <c r="F386" s="25">
        <v>0</v>
      </c>
      <c r="G386" s="24">
        <v>0</v>
      </c>
      <c r="H386" s="23">
        <v>0</v>
      </c>
      <c r="I386" s="31">
        <f t="shared" si="133"/>
        <v>0</v>
      </c>
      <c r="J386" s="29">
        <f>H386*I$415</f>
        <v>0</v>
      </c>
      <c r="K386" s="61">
        <f t="shared" si="128"/>
        <v>0</v>
      </c>
      <c r="L386" s="167">
        <f>ROUND(J386*VLOOKUP($A386,'Actual Load'!$A$4:$B$29,2,FALSE)/VLOOKUP($A386,'Projected Zonal Load'!$A$4:$N$29,14,FALSE),0)</f>
        <v>0</v>
      </c>
      <c r="M386" s="61">
        <f t="shared" si="129"/>
        <v>0</v>
      </c>
      <c r="N386" s="167">
        <f t="shared" si="134"/>
        <v>0</v>
      </c>
      <c r="O386" s="61">
        <f t="shared" si="130"/>
        <v>0</v>
      </c>
      <c r="P386" s="61">
        <f t="shared" si="131"/>
        <v>0</v>
      </c>
      <c r="Q386" s="62">
        <f>+H386*Interest!$D$22</f>
        <v>0</v>
      </c>
      <c r="R386" s="63">
        <f t="shared" si="132"/>
        <v>0</v>
      </c>
    </row>
    <row r="387" spans="1:18">
      <c r="A387" s="30" t="s">
        <v>22</v>
      </c>
      <c r="B387" s="21"/>
      <c r="C387" s="22"/>
      <c r="D387" s="23">
        <v>0</v>
      </c>
      <c r="E387" s="24">
        <v>0</v>
      </c>
      <c r="F387" s="25">
        <v>0</v>
      </c>
      <c r="G387" s="24">
        <v>0</v>
      </c>
      <c r="H387" s="23">
        <v>0</v>
      </c>
      <c r="I387" s="31">
        <f t="shared" si="133"/>
        <v>0</v>
      </c>
      <c r="J387" s="29">
        <f>H387*I$415</f>
        <v>0</v>
      </c>
      <c r="K387" s="61">
        <f t="shared" si="128"/>
        <v>0</v>
      </c>
      <c r="L387" s="167">
        <f>ROUND(J387*VLOOKUP($A387,'Actual Load'!$A$4:$B$29,2,FALSE)/VLOOKUP($A387,'Projected Zonal Load'!$A$4:$N$29,14,FALSE),0)</f>
        <v>0</v>
      </c>
      <c r="M387" s="61">
        <f t="shared" si="129"/>
        <v>0</v>
      </c>
      <c r="N387" s="167">
        <f t="shared" si="134"/>
        <v>0</v>
      </c>
      <c r="O387" s="61">
        <f t="shared" si="130"/>
        <v>0</v>
      </c>
      <c r="P387" s="61">
        <f t="shared" si="131"/>
        <v>0</v>
      </c>
      <c r="Q387" s="62">
        <f>+H387*Interest!$D$22</f>
        <v>0</v>
      </c>
      <c r="R387" s="63">
        <f t="shared" si="132"/>
        <v>0</v>
      </c>
    </row>
    <row r="388" spans="1:18">
      <c r="A388" s="30" t="s">
        <v>23</v>
      </c>
      <c r="B388" s="21"/>
      <c r="C388" s="22"/>
      <c r="D388" s="23">
        <v>0</v>
      </c>
      <c r="E388" s="24">
        <v>0</v>
      </c>
      <c r="F388" s="25">
        <v>0</v>
      </c>
      <c r="G388" s="24">
        <v>0</v>
      </c>
      <c r="H388" s="23">
        <v>0</v>
      </c>
      <c r="I388" s="31">
        <f t="shared" si="133"/>
        <v>0</v>
      </c>
      <c r="J388" s="29">
        <f t="shared" ref="J388:J406" si="135">H388*I$415</f>
        <v>0</v>
      </c>
      <c r="K388" s="61">
        <f t="shared" si="128"/>
        <v>0</v>
      </c>
      <c r="L388" s="167">
        <f>ROUND(J388*VLOOKUP($A388,'Actual Load'!$A$4:$B$29,2,FALSE)/VLOOKUP($A388,'Projected Zonal Load'!$A$4:$N$29,14,FALSE),0)</f>
        <v>0</v>
      </c>
      <c r="M388" s="61">
        <f t="shared" ref="M388:M406" si="136">IF(NOT(L$40=0),M$4*L388/L$40,0)</f>
        <v>0</v>
      </c>
      <c r="N388" s="167">
        <f t="shared" ref="N388:N406" si="137">+J388</f>
        <v>0</v>
      </c>
      <c r="O388" s="61">
        <f t="shared" ref="O388:O406" si="138">+M388-N388</f>
        <v>0</v>
      </c>
      <c r="P388" s="61">
        <f t="shared" ref="P388:P406" si="139">+K388+O388</f>
        <v>0</v>
      </c>
      <c r="Q388" s="62">
        <f>+H388*Interest!$D$22</f>
        <v>0</v>
      </c>
      <c r="R388" s="63">
        <f t="shared" ref="R388:R406" si="140">+P388+Q388</f>
        <v>0</v>
      </c>
    </row>
    <row r="389" spans="1:18">
      <c r="A389" s="30" t="s">
        <v>24</v>
      </c>
      <c r="B389" s="21"/>
      <c r="C389" s="22"/>
      <c r="D389" s="23">
        <v>0</v>
      </c>
      <c r="E389" s="24">
        <v>0</v>
      </c>
      <c r="F389" s="25">
        <v>0</v>
      </c>
      <c r="G389" s="24">
        <v>0</v>
      </c>
      <c r="H389" s="23">
        <v>0</v>
      </c>
      <c r="I389" s="31">
        <f t="shared" si="133"/>
        <v>0</v>
      </c>
      <c r="J389" s="29">
        <f t="shared" si="135"/>
        <v>0</v>
      </c>
      <c r="K389" s="61">
        <f t="shared" si="128"/>
        <v>0</v>
      </c>
      <c r="L389" s="167">
        <f>ROUND(J389*VLOOKUP($A389,'Actual Load'!$A$4:$B$29,2,FALSE)/VLOOKUP($A389,'Projected Zonal Load'!$A$4:$N$29,14,FALSE),0)</f>
        <v>0</v>
      </c>
      <c r="M389" s="61">
        <f t="shared" si="136"/>
        <v>0</v>
      </c>
      <c r="N389" s="167">
        <f t="shared" si="137"/>
        <v>0</v>
      </c>
      <c r="O389" s="61">
        <f t="shared" si="138"/>
        <v>0</v>
      </c>
      <c r="P389" s="61">
        <f t="shared" si="139"/>
        <v>0</v>
      </c>
      <c r="Q389" s="62">
        <f>+H389*Interest!$D$22</f>
        <v>0</v>
      </c>
      <c r="R389" s="63">
        <f t="shared" si="140"/>
        <v>0</v>
      </c>
    </row>
    <row r="390" spans="1:18">
      <c r="A390" s="30" t="s">
        <v>25</v>
      </c>
      <c r="B390" s="21"/>
      <c r="C390" s="22"/>
      <c r="D390" s="23">
        <v>0</v>
      </c>
      <c r="E390" s="24">
        <v>0</v>
      </c>
      <c r="F390" s="25">
        <v>0</v>
      </c>
      <c r="G390" s="24">
        <v>0</v>
      </c>
      <c r="H390" s="23">
        <v>0</v>
      </c>
      <c r="I390" s="31">
        <f t="shared" si="133"/>
        <v>0</v>
      </c>
      <c r="J390" s="29">
        <f t="shared" si="135"/>
        <v>0</v>
      </c>
      <c r="K390" s="61">
        <f t="shared" si="128"/>
        <v>0</v>
      </c>
      <c r="L390" s="167">
        <f>ROUND(J390*VLOOKUP($A390,'Actual Load'!$A$4:$B$29,2,FALSE)/VLOOKUP($A390,'Projected Zonal Load'!$A$4:$N$29,14,FALSE),0)</f>
        <v>0</v>
      </c>
      <c r="M390" s="61">
        <f t="shared" si="136"/>
        <v>0</v>
      </c>
      <c r="N390" s="167">
        <f t="shared" si="137"/>
        <v>0</v>
      </c>
      <c r="O390" s="61">
        <f t="shared" si="138"/>
        <v>0</v>
      </c>
      <c r="P390" s="61">
        <f t="shared" si="139"/>
        <v>0</v>
      </c>
      <c r="Q390" s="62">
        <f>+H390*Interest!$D$22</f>
        <v>0</v>
      </c>
      <c r="R390" s="63">
        <f t="shared" si="140"/>
        <v>0</v>
      </c>
    </row>
    <row r="391" spans="1:18">
      <c r="A391" s="30" t="s">
        <v>26</v>
      </c>
      <c r="B391" s="21"/>
      <c r="C391" s="22"/>
      <c r="D391" s="23">
        <v>0</v>
      </c>
      <c r="E391" s="24">
        <v>0</v>
      </c>
      <c r="F391" s="25">
        <v>0</v>
      </c>
      <c r="G391" s="24">
        <v>0</v>
      </c>
      <c r="H391" s="23">
        <v>0</v>
      </c>
      <c r="I391" s="31">
        <f t="shared" si="133"/>
        <v>0</v>
      </c>
      <c r="J391" s="29">
        <f t="shared" si="135"/>
        <v>0</v>
      </c>
      <c r="K391" s="61">
        <f t="shared" si="128"/>
        <v>0</v>
      </c>
      <c r="L391" s="167">
        <f>ROUND(J391*VLOOKUP($A391,'Actual Load'!$A$4:$B$29,2,FALSE)/VLOOKUP($A391,'Projected Zonal Load'!$A$4:$N$29,14,FALSE),0)</f>
        <v>0</v>
      </c>
      <c r="M391" s="61">
        <f t="shared" si="136"/>
        <v>0</v>
      </c>
      <c r="N391" s="167">
        <f t="shared" si="137"/>
        <v>0</v>
      </c>
      <c r="O391" s="61">
        <f t="shared" si="138"/>
        <v>0</v>
      </c>
      <c r="P391" s="61">
        <f t="shared" si="139"/>
        <v>0</v>
      </c>
      <c r="Q391" s="62">
        <f>+H391*Interest!$D$22</f>
        <v>0</v>
      </c>
      <c r="R391" s="63">
        <f t="shared" si="140"/>
        <v>0</v>
      </c>
    </row>
    <row r="392" spans="1:18">
      <c r="A392" s="30" t="s">
        <v>27</v>
      </c>
      <c r="B392" s="21"/>
      <c r="C392" s="22"/>
      <c r="D392" s="23">
        <v>0</v>
      </c>
      <c r="E392" s="24">
        <v>0</v>
      </c>
      <c r="F392" s="25">
        <v>0</v>
      </c>
      <c r="G392" s="24">
        <v>0</v>
      </c>
      <c r="H392" s="23">
        <v>0</v>
      </c>
      <c r="I392" s="31">
        <f t="shared" si="133"/>
        <v>0</v>
      </c>
      <c r="J392" s="29">
        <f t="shared" si="135"/>
        <v>0</v>
      </c>
      <c r="K392" s="61">
        <f t="shared" si="128"/>
        <v>0</v>
      </c>
      <c r="L392" s="167">
        <f>ROUND(J392*VLOOKUP($A392,'Actual Load'!$A$4:$B$29,2,FALSE)/VLOOKUP($A392,'Projected Zonal Load'!$A$4:$N$29,14,FALSE),0)</f>
        <v>0</v>
      </c>
      <c r="M392" s="61">
        <f t="shared" si="136"/>
        <v>0</v>
      </c>
      <c r="N392" s="167">
        <f t="shared" si="137"/>
        <v>0</v>
      </c>
      <c r="O392" s="61">
        <f t="shared" si="138"/>
        <v>0</v>
      </c>
      <c r="P392" s="61">
        <f t="shared" si="139"/>
        <v>0</v>
      </c>
      <c r="Q392" s="62">
        <f>+H392*Interest!$D$22</f>
        <v>0</v>
      </c>
      <c r="R392" s="63">
        <f t="shared" si="140"/>
        <v>0</v>
      </c>
    </row>
    <row r="393" spans="1:18">
      <c r="A393" s="30" t="s">
        <v>28</v>
      </c>
      <c r="B393" s="21"/>
      <c r="C393" s="22"/>
      <c r="D393" s="23">
        <v>0</v>
      </c>
      <c r="E393" s="24">
        <v>0</v>
      </c>
      <c r="F393" s="25">
        <v>0</v>
      </c>
      <c r="G393" s="24">
        <v>0</v>
      </c>
      <c r="H393" s="23">
        <v>0</v>
      </c>
      <c r="I393" s="31">
        <f t="shared" si="133"/>
        <v>0</v>
      </c>
      <c r="J393" s="29">
        <f t="shared" si="135"/>
        <v>0</v>
      </c>
      <c r="K393" s="61">
        <f t="shared" si="128"/>
        <v>0</v>
      </c>
      <c r="L393" s="167">
        <f>ROUND(J393*VLOOKUP($A393,'Actual Load'!$A$4:$B$29,2,FALSE)/VLOOKUP($A393,'Projected Zonal Load'!$A$4:$N$29,14,FALSE),0)</f>
        <v>0</v>
      </c>
      <c r="M393" s="61">
        <f t="shared" si="136"/>
        <v>0</v>
      </c>
      <c r="N393" s="167">
        <f t="shared" si="137"/>
        <v>0</v>
      </c>
      <c r="O393" s="61">
        <f t="shared" si="138"/>
        <v>0</v>
      </c>
      <c r="P393" s="61">
        <f t="shared" si="139"/>
        <v>0</v>
      </c>
      <c r="Q393" s="62">
        <f>+H393*Interest!$D$22</f>
        <v>0</v>
      </c>
      <c r="R393" s="63">
        <f t="shared" si="140"/>
        <v>0</v>
      </c>
    </row>
    <row r="394" spans="1:18">
      <c r="A394" s="30" t="s">
        <v>30</v>
      </c>
      <c r="B394" s="21"/>
      <c r="C394" s="22"/>
      <c r="D394" s="23">
        <v>0</v>
      </c>
      <c r="E394" s="24">
        <v>0</v>
      </c>
      <c r="F394" s="25">
        <v>0</v>
      </c>
      <c r="G394" s="24">
        <v>0</v>
      </c>
      <c r="H394" s="23">
        <v>0</v>
      </c>
      <c r="I394" s="31">
        <f t="shared" si="133"/>
        <v>0</v>
      </c>
      <c r="J394" s="29">
        <f t="shared" si="135"/>
        <v>0</v>
      </c>
      <c r="K394" s="61">
        <f t="shared" si="128"/>
        <v>0</v>
      </c>
      <c r="L394" s="167">
        <f>ROUND(J394*VLOOKUP($A394,'Actual Load'!$A$4:$B$29,2,FALSE)/VLOOKUP($A394,'Projected Zonal Load'!$A$4:$N$29,14,FALSE),0)</f>
        <v>0</v>
      </c>
      <c r="M394" s="61">
        <f t="shared" si="136"/>
        <v>0</v>
      </c>
      <c r="N394" s="167">
        <f t="shared" si="137"/>
        <v>0</v>
      </c>
      <c r="O394" s="61">
        <f t="shared" si="138"/>
        <v>0</v>
      </c>
      <c r="P394" s="61">
        <f t="shared" si="139"/>
        <v>0</v>
      </c>
      <c r="Q394" s="62">
        <f>+H394*Interest!$D$22</f>
        <v>0</v>
      </c>
      <c r="R394" s="63">
        <f t="shared" si="140"/>
        <v>0</v>
      </c>
    </row>
    <row r="395" spans="1:18">
      <c r="A395" s="30" t="s">
        <v>29</v>
      </c>
      <c r="B395" s="21"/>
      <c r="C395" s="22"/>
      <c r="D395" s="23">
        <v>0</v>
      </c>
      <c r="E395" s="24">
        <v>0</v>
      </c>
      <c r="F395" s="25">
        <v>0</v>
      </c>
      <c r="G395" s="24">
        <v>0</v>
      </c>
      <c r="H395" s="23">
        <v>0</v>
      </c>
      <c r="I395" s="31">
        <f t="shared" si="133"/>
        <v>0</v>
      </c>
      <c r="J395" s="29">
        <f t="shared" si="135"/>
        <v>0</v>
      </c>
      <c r="K395" s="61">
        <f t="shared" si="128"/>
        <v>0</v>
      </c>
      <c r="L395" s="167">
        <f>ROUND(J395*VLOOKUP($A395,'Actual Load'!$A$4:$B$29,2,FALSE)/VLOOKUP($A395,'Projected Zonal Load'!$A$4:$N$29,14,FALSE),0)</f>
        <v>0</v>
      </c>
      <c r="M395" s="61">
        <f t="shared" si="136"/>
        <v>0</v>
      </c>
      <c r="N395" s="167">
        <f t="shared" si="137"/>
        <v>0</v>
      </c>
      <c r="O395" s="61">
        <f t="shared" si="138"/>
        <v>0</v>
      </c>
      <c r="P395" s="61">
        <f t="shared" si="139"/>
        <v>0</v>
      </c>
      <c r="Q395" s="62">
        <f>+H395*Interest!$D$22</f>
        <v>0</v>
      </c>
      <c r="R395" s="63">
        <f t="shared" si="140"/>
        <v>0</v>
      </c>
    </row>
    <row r="396" spans="1:18">
      <c r="A396" s="30" t="s">
        <v>72</v>
      </c>
      <c r="B396" s="21"/>
      <c r="C396" s="22"/>
      <c r="D396" s="23">
        <v>0</v>
      </c>
      <c r="E396" s="24">
        <v>0</v>
      </c>
      <c r="F396" s="25">
        <v>0</v>
      </c>
      <c r="G396" s="24">
        <v>0</v>
      </c>
      <c r="H396" s="23">
        <v>0</v>
      </c>
      <c r="I396" s="31">
        <f t="shared" si="133"/>
        <v>0</v>
      </c>
      <c r="J396" s="29">
        <f t="shared" si="135"/>
        <v>0</v>
      </c>
      <c r="K396" s="61">
        <f t="shared" si="128"/>
        <v>0</v>
      </c>
      <c r="L396" s="167">
        <v>0</v>
      </c>
      <c r="M396" s="245">
        <f t="shared" si="136"/>
        <v>0</v>
      </c>
      <c r="N396" s="167">
        <f t="shared" si="137"/>
        <v>0</v>
      </c>
      <c r="O396" s="61">
        <f t="shared" si="138"/>
        <v>0</v>
      </c>
      <c r="P396" s="61">
        <f t="shared" si="139"/>
        <v>0</v>
      </c>
      <c r="Q396" s="62">
        <f>+H396*Interest!$D$22</f>
        <v>0</v>
      </c>
      <c r="R396" s="63">
        <f t="shared" si="140"/>
        <v>0</v>
      </c>
    </row>
    <row r="397" spans="1:18">
      <c r="A397" s="30" t="s">
        <v>73</v>
      </c>
      <c r="B397" s="21"/>
      <c r="C397" s="22"/>
      <c r="D397" s="23">
        <v>0</v>
      </c>
      <c r="E397" s="24">
        <v>0</v>
      </c>
      <c r="F397" s="25">
        <v>0</v>
      </c>
      <c r="G397" s="24">
        <v>0</v>
      </c>
      <c r="H397" s="23">
        <v>0</v>
      </c>
      <c r="I397" s="31">
        <f t="shared" si="133"/>
        <v>0</v>
      </c>
      <c r="J397" s="29">
        <f t="shared" si="135"/>
        <v>0</v>
      </c>
      <c r="K397" s="61">
        <f t="shared" si="128"/>
        <v>0</v>
      </c>
      <c r="L397" s="167">
        <v>0</v>
      </c>
      <c r="M397" s="245">
        <f t="shared" si="136"/>
        <v>0</v>
      </c>
      <c r="N397" s="167">
        <f t="shared" si="137"/>
        <v>0</v>
      </c>
      <c r="O397" s="61">
        <f t="shared" si="138"/>
        <v>0</v>
      </c>
      <c r="P397" s="61">
        <f t="shared" si="139"/>
        <v>0</v>
      </c>
      <c r="Q397" s="62">
        <f>+H397*Interest!$D$22</f>
        <v>0</v>
      </c>
      <c r="R397" s="63">
        <f t="shared" si="140"/>
        <v>0</v>
      </c>
    </row>
    <row r="398" spans="1:18">
      <c r="A398" s="30" t="s">
        <v>31</v>
      </c>
      <c r="B398" s="21"/>
      <c r="C398" s="22"/>
      <c r="D398" s="23">
        <v>0</v>
      </c>
      <c r="E398" s="24">
        <v>0</v>
      </c>
      <c r="F398" s="25">
        <v>0</v>
      </c>
      <c r="G398" s="24">
        <v>0</v>
      </c>
      <c r="H398" s="23">
        <v>0</v>
      </c>
      <c r="I398" s="31">
        <f t="shared" si="133"/>
        <v>0</v>
      </c>
      <c r="J398" s="29">
        <f t="shared" si="135"/>
        <v>0</v>
      </c>
      <c r="K398" s="61">
        <f t="shared" si="128"/>
        <v>0</v>
      </c>
      <c r="L398" s="167">
        <f>ROUND(J398*VLOOKUP($A398,'Actual Load'!$A$4:$B$29,2,FALSE)/VLOOKUP($A398,'Projected Zonal Load'!$A$4:$N$29,14,FALSE),0)</f>
        <v>0</v>
      </c>
      <c r="M398" s="61">
        <f t="shared" si="136"/>
        <v>0</v>
      </c>
      <c r="N398" s="167">
        <f t="shared" si="137"/>
        <v>0</v>
      </c>
      <c r="O398" s="61">
        <f t="shared" si="138"/>
        <v>0</v>
      </c>
      <c r="P398" s="61">
        <f t="shared" si="139"/>
        <v>0</v>
      </c>
      <c r="Q398" s="62">
        <f>+H398*Interest!$D$22</f>
        <v>0</v>
      </c>
      <c r="R398" s="63">
        <f t="shared" si="140"/>
        <v>0</v>
      </c>
    </row>
    <row r="399" spans="1:18">
      <c r="A399" s="30" t="s">
        <v>32</v>
      </c>
      <c r="B399" s="21"/>
      <c r="C399" s="22"/>
      <c r="D399" s="23">
        <v>0</v>
      </c>
      <c r="E399" s="24">
        <v>0</v>
      </c>
      <c r="F399" s="25">
        <v>0</v>
      </c>
      <c r="G399" s="24">
        <v>0</v>
      </c>
      <c r="H399" s="23">
        <v>0</v>
      </c>
      <c r="I399" s="31">
        <f t="shared" si="133"/>
        <v>0</v>
      </c>
      <c r="J399" s="29">
        <f t="shared" si="135"/>
        <v>0</v>
      </c>
      <c r="K399" s="61">
        <f t="shared" si="128"/>
        <v>0</v>
      </c>
      <c r="L399" s="167">
        <f>ROUND(J399*VLOOKUP($A399,'Actual Load'!$A$4:$B$29,2,FALSE)/VLOOKUP($A399,'Projected Zonal Load'!$A$4:$N$29,14,FALSE),0)</f>
        <v>0</v>
      </c>
      <c r="M399" s="61">
        <f t="shared" si="136"/>
        <v>0</v>
      </c>
      <c r="N399" s="167">
        <f t="shared" si="137"/>
        <v>0</v>
      </c>
      <c r="O399" s="61">
        <f t="shared" si="138"/>
        <v>0</v>
      </c>
      <c r="P399" s="61">
        <f t="shared" si="139"/>
        <v>0</v>
      </c>
      <c r="Q399" s="62">
        <f>+H399*Interest!$D$22</f>
        <v>0</v>
      </c>
      <c r="R399" s="63">
        <f t="shared" si="140"/>
        <v>0</v>
      </c>
    </row>
    <row r="400" spans="1:18">
      <c r="A400" s="30" t="s">
        <v>33</v>
      </c>
      <c r="B400" s="21"/>
      <c r="C400" s="22"/>
      <c r="D400" s="23">
        <v>0</v>
      </c>
      <c r="E400" s="24">
        <v>0</v>
      </c>
      <c r="F400" s="25">
        <v>0</v>
      </c>
      <c r="G400" s="24">
        <v>0</v>
      </c>
      <c r="H400" s="23">
        <v>0</v>
      </c>
      <c r="I400" s="31">
        <f t="shared" si="133"/>
        <v>0</v>
      </c>
      <c r="J400" s="29">
        <f t="shared" si="135"/>
        <v>0</v>
      </c>
      <c r="K400" s="61">
        <f t="shared" si="128"/>
        <v>0</v>
      </c>
      <c r="L400" s="167">
        <f>ROUND(J400*VLOOKUP($A400,'Actual Load'!$A$4:$B$29,2,FALSE)/VLOOKUP($A400,'Projected Zonal Load'!$A$4:$N$29,14,FALSE),0)</f>
        <v>0</v>
      </c>
      <c r="M400" s="61">
        <f t="shared" si="136"/>
        <v>0</v>
      </c>
      <c r="N400" s="167">
        <f t="shared" si="137"/>
        <v>0</v>
      </c>
      <c r="O400" s="61">
        <f t="shared" si="138"/>
        <v>0</v>
      </c>
      <c r="P400" s="61">
        <f t="shared" si="139"/>
        <v>0</v>
      </c>
      <c r="Q400" s="62">
        <f>+H400*Interest!$D$22</f>
        <v>0</v>
      </c>
      <c r="R400" s="63">
        <f t="shared" si="140"/>
        <v>0</v>
      </c>
    </row>
    <row r="401" spans="1:19" ht="21" customHeight="1">
      <c r="A401" s="30" t="s">
        <v>34</v>
      </c>
      <c r="B401" s="21"/>
      <c r="C401" s="22"/>
      <c r="D401" s="23">
        <v>0</v>
      </c>
      <c r="E401" s="24">
        <v>0</v>
      </c>
      <c r="F401" s="25">
        <v>0</v>
      </c>
      <c r="G401" s="24">
        <v>0</v>
      </c>
      <c r="H401" s="23">
        <v>0</v>
      </c>
      <c r="I401" s="31">
        <f t="shared" si="133"/>
        <v>0</v>
      </c>
      <c r="J401" s="29">
        <f t="shared" si="135"/>
        <v>0</v>
      </c>
      <c r="K401" s="61">
        <f t="shared" si="128"/>
        <v>0</v>
      </c>
      <c r="L401" s="167">
        <f>ROUND(J401*VLOOKUP($A401,'Actual Load'!$A$4:$B$29,2,FALSE)/VLOOKUP($A401,'Projected Zonal Load'!$A$4:$N$29,14,FALSE),0)</f>
        <v>0</v>
      </c>
      <c r="M401" s="61">
        <f t="shared" si="136"/>
        <v>0</v>
      </c>
      <c r="N401" s="167">
        <f t="shared" si="137"/>
        <v>0</v>
      </c>
      <c r="O401" s="61">
        <f t="shared" si="138"/>
        <v>0</v>
      </c>
      <c r="P401" s="61">
        <f t="shared" si="139"/>
        <v>0</v>
      </c>
      <c r="Q401" s="62">
        <f>+H401*Interest!$D$22</f>
        <v>0</v>
      </c>
      <c r="R401" s="63">
        <f t="shared" si="140"/>
        <v>0</v>
      </c>
    </row>
    <row r="402" spans="1:19">
      <c r="A402" s="30" t="s">
        <v>35</v>
      </c>
      <c r="B402" s="21"/>
      <c r="C402" s="22"/>
      <c r="D402" s="23">
        <v>0</v>
      </c>
      <c r="E402" s="24">
        <v>0</v>
      </c>
      <c r="F402" s="25">
        <v>0</v>
      </c>
      <c r="G402" s="24">
        <v>0</v>
      </c>
      <c r="H402" s="23">
        <v>0</v>
      </c>
      <c r="I402" s="31">
        <f t="shared" si="133"/>
        <v>0</v>
      </c>
      <c r="J402" s="29">
        <f t="shared" si="135"/>
        <v>0</v>
      </c>
      <c r="K402" s="61">
        <f t="shared" si="128"/>
        <v>0</v>
      </c>
      <c r="L402" s="167">
        <f>ROUND(J402*VLOOKUP($A402,'Actual Load'!$A$4:$B$29,2,FALSE)/VLOOKUP($A402,'Projected Zonal Load'!$A$4:$N$29,14,FALSE),0)</f>
        <v>0</v>
      </c>
      <c r="M402" s="61">
        <f t="shared" si="136"/>
        <v>0</v>
      </c>
      <c r="N402" s="167">
        <f t="shared" si="137"/>
        <v>0</v>
      </c>
      <c r="O402" s="61">
        <f t="shared" si="138"/>
        <v>0</v>
      </c>
      <c r="P402" s="61">
        <f t="shared" si="139"/>
        <v>0</v>
      </c>
      <c r="Q402" s="62">
        <f>+H402*Interest!$D$22</f>
        <v>0</v>
      </c>
      <c r="R402" s="63">
        <f t="shared" si="140"/>
        <v>0</v>
      </c>
    </row>
    <row r="403" spans="1:19">
      <c r="A403" s="30" t="s">
        <v>36</v>
      </c>
      <c r="B403" s="21"/>
      <c r="C403" s="22"/>
      <c r="D403" s="23">
        <v>0</v>
      </c>
      <c r="E403" s="24">
        <v>0</v>
      </c>
      <c r="F403" s="25">
        <v>0</v>
      </c>
      <c r="G403" s="24">
        <v>0</v>
      </c>
      <c r="H403" s="23">
        <v>0</v>
      </c>
      <c r="I403" s="31">
        <f t="shared" si="133"/>
        <v>0</v>
      </c>
      <c r="J403" s="29">
        <f t="shared" si="135"/>
        <v>0</v>
      </c>
      <c r="K403" s="61">
        <f t="shared" si="128"/>
        <v>0</v>
      </c>
      <c r="L403" s="167">
        <f>ROUND(J403*VLOOKUP($A403,'Actual Load'!$A$4:$B$29,2,FALSE)/VLOOKUP($A403,'Projected Zonal Load'!$A$4:$N$29,14,FALSE),0)</f>
        <v>0</v>
      </c>
      <c r="M403" s="61">
        <f t="shared" si="136"/>
        <v>0</v>
      </c>
      <c r="N403" s="167">
        <f t="shared" si="137"/>
        <v>0</v>
      </c>
      <c r="O403" s="61">
        <f t="shared" si="138"/>
        <v>0</v>
      </c>
      <c r="P403" s="61">
        <f t="shared" si="139"/>
        <v>0</v>
      </c>
      <c r="Q403" s="62">
        <f>+H403*Interest!$D$22</f>
        <v>0</v>
      </c>
      <c r="R403" s="63">
        <f t="shared" si="140"/>
        <v>0</v>
      </c>
    </row>
    <row r="404" spans="1:19">
      <c r="A404" s="30" t="s">
        <v>37</v>
      </c>
      <c r="B404" s="21"/>
      <c r="C404" s="22"/>
      <c r="D404" s="23">
        <v>0</v>
      </c>
      <c r="E404" s="24">
        <v>0</v>
      </c>
      <c r="F404" s="25">
        <v>0</v>
      </c>
      <c r="G404" s="24">
        <v>0</v>
      </c>
      <c r="H404" s="23">
        <v>1</v>
      </c>
      <c r="I404" s="31">
        <f t="shared" si="133"/>
        <v>75000</v>
      </c>
      <c r="J404" s="29">
        <f t="shared" si="135"/>
        <v>14004.94</v>
      </c>
      <c r="K404" s="61">
        <f t="shared" si="128"/>
        <v>9546.94</v>
      </c>
      <c r="L404" s="167">
        <f>ROUND(J404*VLOOKUP($A404,'Actual Load'!$A$4:$B$29,2,FALSE)/VLOOKUP($A404,'Projected Zonal Load'!$A$4:$N$29,14,FALSE),0)</f>
        <v>13960</v>
      </c>
      <c r="M404" s="61">
        <f t="shared" si="136"/>
        <v>14740.032850986494</v>
      </c>
      <c r="N404" s="167">
        <f t="shared" si="137"/>
        <v>14004.94</v>
      </c>
      <c r="O404" s="61">
        <f t="shared" si="138"/>
        <v>735.09285098649343</v>
      </c>
      <c r="P404" s="61">
        <f t="shared" si="139"/>
        <v>10282.032850986494</v>
      </c>
      <c r="Q404" s="62">
        <f>+H404*Interest!$D$22</f>
        <v>675.36721042269176</v>
      </c>
      <c r="R404" s="63">
        <f t="shared" si="140"/>
        <v>10957.400061409186</v>
      </c>
    </row>
    <row r="405" spans="1:19">
      <c r="A405" s="30" t="s">
        <v>38</v>
      </c>
      <c r="B405" s="21"/>
      <c r="C405" s="22"/>
      <c r="D405" s="23">
        <v>0</v>
      </c>
      <c r="E405" s="24">
        <v>0</v>
      </c>
      <c r="F405" s="25">
        <v>0</v>
      </c>
      <c r="G405" s="24">
        <v>0</v>
      </c>
      <c r="H405" s="23">
        <v>0</v>
      </c>
      <c r="I405" s="31">
        <f t="shared" si="133"/>
        <v>0</v>
      </c>
      <c r="J405" s="29">
        <f t="shared" si="135"/>
        <v>0</v>
      </c>
      <c r="K405" s="61">
        <f t="shared" si="128"/>
        <v>0</v>
      </c>
      <c r="L405" s="167">
        <f>ROUND(J405*VLOOKUP($A405,'Actual Load'!$A$4:$B$29,2,FALSE)/VLOOKUP($A405,'Projected Zonal Load'!$A$4:$N$29,14,FALSE),0)</f>
        <v>0</v>
      </c>
      <c r="M405" s="61">
        <f t="shared" si="136"/>
        <v>0</v>
      </c>
      <c r="N405" s="167">
        <f t="shared" si="137"/>
        <v>0</v>
      </c>
      <c r="O405" s="61">
        <f t="shared" si="138"/>
        <v>0</v>
      </c>
      <c r="P405" s="61">
        <f t="shared" si="139"/>
        <v>0</v>
      </c>
      <c r="Q405" s="62">
        <f>+H405*Interest!$D$22</f>
        <v>0</v>
      </c>
      <c r="R405" s="63">
        <f t="shared" si="140"/>
        <v>0</v>
      </c>
    </row>
    <row r="406" spans="1:19">
      <c r="A406" s="226" t="s">
        <v>39</v>
      </c>
      <c r="B406" s="21"/>
      <c r="C406" s="22"/>
      <c r="D406" s="23">
        <v>0</v>
      </c>
      <c r="E406" s="24">
        <v>0</v>
      </c>
      <c r="F406" s="25">
        <v>0</v>
      </c>
      <c r="G406" s="24">
        <v>0</v>
      </c>
      <c r="H406" s="23">
        <v>0</v>
      </c>
      <c r="I406" s="31">
        <f t="shared" si="133"/>
        <v>0</v>
      </c>
      <c r="J406" s="29">
        <f t="shared" si="135"/>
        <v>0</v>
      </c>
      <c r="K406" s="61">
        <f t="shared" si="128"/>
        <v>0</v>
      </c>
      <c r="L406" s="167">
        <f>ROUND(J406*VLOOKUP($A406,'Actual Load'!$A$4:$B$29,2,FALSE)/VLOOKUP($A406,'Projected Zonal Load'!$A$4:$N$29,14,FALSE),0)</f>
        <v>0</v>
      </c>
      <c r="M406" s="61">
        <f t="shared" si="136"/>
        <v>0</v>
      </c>
      <c r="N406" s="167">
        <f t="shared" si="137"/>
        <v>0</v>
      </c>
      <c r="O406" s="61">
        <f t="shared" si="138"/>
        <v>0</v>
      </c>
      <c r="P406" s="61">
        <f t="shared" si="139"/>
        <v>0</v>
      </c>
      <c r="Q406" s="62">
        <f>+H406*Interest!$D$22</f>
        <v>0</v>
      </c>
      <c r="R406" s="63">
        <f t="shared" si="140"/>
        <v>0</v>
      </c>
    </row>
    <row r="407" spans="1:19">
      <c r="A407" s="226" t="s">
        <v>96</v>
      </c>
      <c r="B407" s="21"/>
      <c r="C407" s="22"/>
      <c r="D407" s="23">
        <v>0</v>
      </c>
      <c r="E407" s="24">
        <v>0</v>
      </c>
      <c r="F407" s="25">
        <v>0</v>
      </c>
      <c r="G407" s="24">
        <v>0</v>
      </c>
      <c r="H407" s="23">
        <v>0</v>
      </c>
      <c r="I407" s="31">
        <f t="shared" si="133"/>
        <v>0</v>
      </c>
      <c r="J407" s="29">
        <f>H407*I$415</f>
        <v>0</v>
      </c>
      <c r="K407" s="61">
        <f t="shared" si="128"/>
        <v>0</v>
      </c>
      <c r="L407" s="167">
        <f>ROUND(J407*VLOOKUP($A407,'Actual Load'!$A$4:$B$29,2,FALSE)/VLOOKUP($A407,'Projected Zonal Load'!$A$4:$N$29,14,FALSE),0)</f>
        <v>0</v>
      </c>
      <c r="M407" s="61">
        <f t="shared" si="129"/>
        <v>0</v>
      </c>
      <c r="N407" s="167">
        <f t="shared" si="134"/>
        <v>0</v>
      </c>
      <c r="O407" s="61">
        <f t="shared" ref="O407:O409" si="141">+M407-N407</f>
        <v>0</v>
      </c>
      <c r="P407" s="61">
        <f t="shared" si="131"/>
        <v>0</v>
      </c>
      <c r="Q407" s="62">
        <f>+H407*Interest!$D$22</f>
        <v>0</v>
      </c>
      <c r="R407" s="63">
        <f t="shared" ref="R407:R409" si="142">+P407+Q407</f>
        <v>0</v>
      </c>
    </row>
    <row r="408" spans="1:19">
      <c r="A408" s="226" t="s">
        <v>97</v>
      </c>
      <c r="B408" s="21"/>
      <c r="C408" s="22"/>
      <c r="D408" s="23">
        <v>0</v>
      </c>
      <c r="E408" s="24">
        <v>0</v>
      </c>
      <c r="F408" s="25">
        <v>0</v>
      </c>
      <c r="G408" s="24">
        <v>0</v>
      </c>
      <c r="H408" s="23">
        <v>0</v>
      </c>
      <c r="I408" s="31">
        <f t="shared" si="133"/>
        <v>0</v>
      </c>
      <c r="J408" s="29">
        <f>H408*I$415</f>
        <v>0</v>
      </c>
      <c r="K408" s="61">
        <f t="shared" si="128"/>
        <v>0</v>
      </c>
      <c r="L408" s="167">
        <f>ROUND(J408*VLOOKUP($A408,'Actual Load'!$A$4:$B$29,2,FALSE)/VLOOKUP($A408,'Projected Zonal Load'!$A$4:$N$29,14,FALSE),0)</f>
        <v>0</v>
      </c>
      <c r="M408" s="61">
        <f t="shared" si="129"/>
        <v>0</v>
      </c>
      <c r="N408" s="167">
        <f t="shared" si="134"/>
        <v>0</v>
      </c>
      <c r="O408" s="61">
        <f t="shared" si="141"/>
        <v>0</v>
      </c>
      <c r="P408" s="61">
        <f t="shared" si="131"/>
        <v>0</v>
      </c>
      <c r="Q408" s="62">
        <f>+H408*Interest!$D$22</f>
        <v>0</v>
      </c>
      <c r="R408" s="63">
        <f t="shared" si="142"/>
        <v>0</v>
      </c>
    </row>
    <row r="409" spans="1:19">
      <c r="A409" s="32" t="s">
        <v>98</v>
      </c>
      <c r="B409" s="21"/>
      <c r="C409" s="22"/>
      <c r="D409" s="23">
        <v>0</v>
      </c>
      <c r="E409" s="24">
        <v>0</v>
      </c>
      <c r="F409" s="25">
        <v>0</v>
      </c>
      <c r="G409" s="24">
        <v>0</v>
      </c>
      <c r="H409" s="69">
        <v>0</v>
      </c>
      <c r="I409" s="35">
        <f t="shared" si="133"/>
        <v>0</v>
      </c>
      <c r="J409" s="228">
        <f>H409*I$415</f>
        <v>0</v>
      </c>
      <c r="K409" s="61">
        <f>(I$415-M$415)*H409</f>
        <v>0</v>
      </c>
      <c r="L409" s="167">
        <f>ROUND(J409*VLOOKUP($A409,'Actual Load'!$A$4:$B$29,2,FALSE)/VLOOKUP($A409,'Projected Zonal Load'!$A$4:$N$29,14,FALSE),0)</f>
        <v>0</v>
      </c>
      <c r="M409" s="61">
        <f t="shared" si="129"/>
        <v>0</v>
      </c>
      <c r="N409" s="167">
        <f t="shared" si="134"/>
        <v>0</v>
      </c>
      <c r="O409" s="61">
        <f t="shared" si="141"/>
        <v>0</v>
      </c>
      <c r="P409" s="61">
        <f t="shared" si="131"/>
        <v>0</v>
      </c>
      <c r="Q409" s="62">
        <f>+H409*Interest!$D$22</f>
        <v>0</v>
      </c>
      <c r="R409" s="63">
        <f t="shared" si="142"/>
        <v>0</v>
      </c>
    </row>
    <row r="410" spans="1:19">
      <c r="A410" s="36"/>
      <c r="B410" s="37"/>
      <c r="C410" s="38"/>
      <c r="D410" s="39">
        <v>0</v>
      </c>
      <c r="E410" s="40">
        <v>0</v>
      </c>
      <c r="F410" s="41">
        <v>1</v>
      </c>
      <c r="G410" s="40">
        <v>0</v>
      </c>
      <c r="H410" s="42">
        <v>1</v>
      </c>
      <c r="I410" s="43">
        <f t="shared" ref="I410:R410" si="143">SUM(I384:I409)</f>
        <v>75000</v>
      </c>
      <c r="J410" s="43">
        <f t="shared" si="143"/>
        <v>14004.94</v>
      </c>
      <c r="K410" s="64">
        <f t="shared" si="143"/>
        <v>9546.94</v>
      </c>
      <c r="L410" s="171">
        <f t="shared" si="143"/>
        <v>13960</v>
      </c>
      <c r="M410" s="65">
        <f t="shared" si="143"/>
        <v>14740.032850986494</v>
      </c>
      <c r="N410" s="171">
        <f t="shared" si="143"/>
        <v>14004.94</v>
      </c>
      <c r="O410" s="65">
        <f t="shared" si="143"/>
        <v>735.09285098649343</v>
      </c>
      <c r="P410" s="65">
        <f t="shared" si="143"/>
        <v>10282.032850986494</v>
      </c>
      <c r="Q410" s="65">
        <f t="shared" si="143"/>
        <v>675.36721042269176</v>
      </c>
      <c r="R410" s="66">
        <f t="shared" si="143"/>
        <v>10957.400061409186</v>
      </c>
    </row>
    <row r="411" spans="1:19">
      <c r="H411" s="45"/>
      <c r="I411" s="46"/>
    </row>
    <row r="412" spans="1:19">
      <c r="A412" s="47" t="s">
        <v>137</v>
      </c>
      <c r="O412" s="164"/>
      <c r="P412" s="164"/>
      <c r="Q412" s="164"/>
      <c r="R412" s="164"/>
      <c r="S412" s="164"/>
    </row>
    <row r="413" spans="1:19">
      <c r="H413" s="194" t="s">
        <v>187</v>
      </c>
      <c r="I413" s="196">
        <v>14004.94</v>
      </c>
      <c r="K413" s="67"/>
      <c r="L413" s="194" t="s">
        <v>190</v>
      </c>
      <c r="M413" s="196">
        <v>4458</v>
      </c>
      <c r="O413" s="164"/>
      <c r="P413" s="164"/>
      <c r="Q413" s="164"/>
      <c r="R413" s="164"/>
      <c r="S413" s="164"/>
    </row>
    <row r="414" spans="1:19">
      <c r="H414" s="161" t="s">
        <v>189</v>
      </c>
      <c r="I414" s="196">
        <v>0</v>
      </c>
      <c r="K414" s="67"/>
      <c r="L414" s="161" t="s">
        <v>189</v>
      </c>
      <c r="M414" s="196">
        <v>0</v>
      </c>
      <c r="O414" s="164"/>
      <c r="P414" s="164"/>
      <c r="Q414" s="164"/>
      <c r="R414" s="164"/>
      <c r="S414" s="164"/>
    </row>
    <row r="415" spans="1:19">
      <c r="G415" s="67"/>
      <c r="H415" s="195" t="s">
        <v>188</v>
      </c>
      <c r="I415" s="197">
        <f>SUM(I413:I414)</f>
        <v>14004.94</v>
      </c>
      <c r="J415" s="225" t="s">
        <v>137</v>
      </c>
      <c r="K415" s="198"/>
      <c r="L415" s="195" t="s">
        <v>188</v>
      </c>
      <c r="M415" s="197">
        <f>SUM(M413:M414)</f>
        <v>4458</v>
      </c>
      <c r="O415" s="207" t="s">
        <v>137</v>
      </c>
      <c r="P415" s="164"/>
      <c r="Q415" s="164"/>
      <c r="R415" s="164"/>
      <c r="S415" s="164"/>
    </row>
    <row r="416" spans="1:19">
      <c r="I416" s="49"/>
      <c r="O416" s="164"/>
      <c r="P416" s="164"/>
      <c r="Q416" s="164"/>
      <c r="R416" s="164"/>
      <c r="S416" s="164"/>
    </row>
    <row r="418" spans="1:18" ht="15.75">
      <c r="A418" s="281" t="s">
        <v>0</v>
      </c>
      <c r="B418" s="282"/>
      <c r="C418" s="282" t="s">
        <v>209</v>
      </c>
      <c r="D418" s="282"/>
      <c r="E418" s="282"/>
      <c r="F418" s="282"/>
      <c r="G418" s="282"/>
      <c r="H418" s="283"/>
      <c r="I418" s="1"/>
    </row>
    <row r="419" spans="1:18" ht="15.75" hidden="1" outlineLevel="1">
      <c r="A419" s="132" t="s">
        <v>142</v>
      </c>
      <c r="B419" s="133"/>
      <c r="C419" s="136" t="s">
        <v>140</v>
      </c>
      <c r="D419" s="134"/>
      <c r="E419" s="134"/>
      <c r="F419" s="134"/>
      <c r="G419" s="134"/>
      <c r="H419" s="135"/>
      <c r="I419" s="1"/>
    </row>
    <row r="420" spans="1:18" ht="15.75" collapsed="1">
      <c r="A420" s="269" t="s">
        <v>2</v>
      </c>
      <c r="B420" s="270"/>
      <c r="C420" s="322" t="s">
        <v>231</v>
      </c>
      <c r="D420" s="323"/>
      <c r="E420" s="323"/>
      <c r="F420" s="323"/>
      <c r="G420" s="323"/>
      <c r="H420" s="324"/>
      <c r="I420" s="1"/>
    </row>
    <row r="421" spans="1:18" ht="15.75">
      <c r="A421" s="269" t="s">
        <v>4</v>
      </c>
      <c r="B421" s="270"/>
      <c r="C421" s="322"/>
      <c r="D421" s="323"/>
      <c r="E421" s="323"/>
      <c r="F421" s="323"/>
      <c r="G421" s="323"/>
      <c r="H421" s="324"/>
      <c r="I421" s="1"/>
    </row>
    <row r="422" spans="1:18" ht="15.75">
      <c r="A422" s="269" t="s">
        <v>6</v>
      </c>
      <c r="B422" s="270"/>
      <c r="C422" s="325">
        <v>87249</v>
      </c>
      <c r="D422" s="326"/>
      <c r="E422" s="326"/>
      <c r="F422" s="326"/>
      <c r="G422" s="326"/>
      <c r="H422" s="327"/>
      <c r="I422" s="1"/>
      <c r="M422" s="50"/>
      <c r="O422" s="50" t="s">
        <v>46</v>
      </c>
      <c r="P422" s="50" t="s">
        <v>42</v>
      </c>
      <c r="R422" s="50" t="s">
        <v>47</v>
      </c>
    </row>
    <row r="423" spans="1:18" ht="15.75">
      <c r="A423" s="274" t="s">
        <v>7</v>
      </c>
      <c r="B423" s="275"/>
      <c r="C423" s="276" t="s">
        <v>37</v>
      </c>
      <c r="D423" s="277"/>
      <c r="E423" s="277"/>
      <c r="F423" s="277"/>
      <c r="G423" s="277"/>
      <c r="H423" s="278"/>
      <c r="I423" s="1"/>
      <c r="K423" s="50" t="s">
        <v>44</v>
      </c>
      <c r="L423" s="168" t="s">
        <v>45</v>
      </c>
      <c r="M423" s="51" t="s">
        <v>194</v>
      </c>
      <c r="N423" s="51" t="s">
        <v>41</v>
      </c>
      <c r="O423" s="51" t="s">
        <v>195</v>
      </c>
      <c r="P423" s="51" t="s">
        <v>196</v>
      </c>
      <c r="Q423" s="51" t="s">
        <v>43</v>
      </c>
      <c r="R423" s="51" t="s">
        <v>197</v>
      </c>
    </row>
    <row r="424" spans="1:18">
      <c r="A424" s="2"/>
      <c r="B424" s="2"/>
      <c r="C424" s="2"/>
      <c r="D424" s="2"/>
      <c r="E424" s="2"/>
      <c r="F424" s="2"/>
      <c r="G424" s="2"/>
      <c r="H424" s="2"/>
      <c r="I424" s="2"/>
      <c r="K424" s="52"/>
      <c r="L424" s="287" t="s">
        <v>48</v>
      </c>
      <c r="M424" s="288"/>
      <c r="N424" s="288"/>
      <c r="O424" s="289"/>
      <c r="P424" s="53" t="s">
        <v>49</v>
      </c>
      <c r="Q424" s="52"/>
      <c r="R424" s="53" t="s">
        <v>50</v>
      </c>
    </row>
    <row r="425" spans="1:18">
      <c r="A425" s="3"/>
      <c r="B425" s="4"/>
      <c r="C425" s="5"/>
      <c r="D425" s="279">
        <v>0</v>
      </c>
      <c r="E425" s="280"/>
      <c r="F425" s="279">
        <v>1</v>
      </c>
      <c r="G425" s="280"/>
      <c r="H425" s="218"/>
      <c r="I425" s="7"/>
      <c r="J425" s="8" t="s">
        <v>9</v>
      </c>
      <c r="K425" s="54" t="s">
        <v>51</v>
      </c>
      <c r="L425" s="287" t="s">
        <v>52</v>
      </c>
      <c r="M425" s="288"/>
      <c r="N425" s="214"/>
      <c r="O425" s="53" t="s">
        <v>53</v>
      </c>
      <c r="P425" s="54" t="s">
        <v>54</v>
      </c>
      <c r="Q425" s="55"/>
      <c r="R425" s="54" t="s">
        <v>55</v>
      </c>
    </row>
    <row r="426" spans="1:18">
      <c r="A426" s="9"/>
      <c r="B426" s="10"/>
      <c r="C426" s="11"/>
      <c r="D426" s="290" t="s">
        <v>10</v>
      </c>
      <c r="E426" s="291"/>
      <c r="F426" s="290" t="s">
        <v>11</v>
      </c>
      <c r="G426" s="291"/>
      <c r="H426" s="290" t="s">
        <v>12</v>
      </c>
      <c r="I426" s="292"/>
      <c r="J426" s="12" t="s">
        <v>13</v>
      </c>
      <c r="K426" s="56" t="s">
        <v>56</v>
      </c>
      <c r="L426" s="169" t="s">
        <v>191</v>
      </c>
      <c r="M426" s="217" t="s">
        <v>192</v>
      </c>
      <c r="N426" s="57" t="s">
        <v>57</v>
      </c>
      <c r="O426" s="57" t="s">
        <v>56</v>
      </c>
      <c r="P426" s="57" t="s">
        <v>56</v>
      </c>
      <c r="Q426" s="57" t="s">
        <v>58</v>
      </c>
      <c r="R426" s="57" t="s">
        <v>59</v>
      </c>
    </row>
    <row r="427" spans="1:18" ht="38.25">
      <c r="A427" s="13" t="s">
        <v>14</v>
      </c>
      <c r="B427" s="14" t="s">
        <v>15</v>
      </c>
      <c r="C427" s="15" t="s">
        <v>16</v>
      </c>
      <c r="D427" s="16" t="s">
        <v>17</v>
      </c>
      <c r="E427" s="17" t="s">
        <v>18</v>
      </c>
      <c r="F427" s="16" t="s">
        <v>17</v>
      </c>
      <c r="G427" s="17" t="s">
        <v>18</v>
      </c>
      <c r="H427" s="18" t="s">
        <v>17</v>
      </c>
      <c r="I427" s="19" t="s">
        <v>18</v>
      </c>
      <c r="J427" s="15" t="s">
        <v>18</v>
      </c>
      <c r="K427" s="58" t="s">
        <v>60</v>
      </c>
      <c r="L427" s="170"/>
      <c r="M427" s="59"/>
      <c r="N427" s="170"/>
      <c r="O427" s="58" t="s">
        <v>60</v>
      </c>
      <c r="P427" s="59"/>
      <c r="Q427" s="59"/>
      <c r="R427" s="60" t="s">
        <v>60</v>
      </c>
    </row>
    <row r="428" spans="1:18">
      <c r="A428" s="20" t="s">
        <v>19</v>
      </c>
      <c r="B428" s="21"/>
      <c r="C428" s="22"/>
      <c r="D428" s="23">
        <v>0</v>
      </c>
      <c r="E428" s="24">
        <v>0</v>
      </c>
      <c r="F428" s="25">
        <v>0</v>
      </c>
      <c r="G428" s="26">
        <v>0</v>
      </c>
      <c r="H428" s="27">
        <v>0</v>
      </c>
      <c r="I428" s="28">
        <f>H428*$C$422</f>
        <v>0</v>
      </c>
      <c r="J428" s="29">
        <f t="shared" ref="J428:J453" si="144">H428*I$459</f>
        <v>0</v>
      </c>
      <c r="K428" s="61">
        <f>(I$459-M$459)*H428</f>
        <v>0</v>
      </c>
      <c r="L428" s="167">
        <f>ROUND(J428*VLOOKUP($A428,'Actual Load'!$A$4:$B$29,2,FALSE)/VLOOKUP($A428,'Projected Zonal Load'!$A$4:$N$29,14,FALSE),0)</f>
        <v>0</v>
      </c>
      <c r="M428" s="61">
        <f t="shared" ref="M428:M453" si="145">IF(NOT(L$40=0),M$4*L428/L$40,0)</f>
        <v>0</v>
      </c>
      <c r="N428" s="167">
        <f>+J428</f>
        <v>0</v>
      </c>
      <c r="O428" s="61">
        <f t="shared" ref="O428:O444" si="146">+M428-N428</f>
        <v>0</v>
      </c>
      <c r="P428" s="61">
        <f t="shared" ref="P428:P453" si="147">+K428+O428</f>
        <v>0</v>
      </c>
      <c r="Q428" s="62">
        <f>+H428*Interest!$D$18</f>
        <v>0</v>
      </c>
      <c r="R428" s="63">
        <f t="shared" ref="R428:R444" si="148">+P428+Q428</f>
        <v>0</v>
      </c>
    </row>
    <row r="429" spans="1:18">
      <c r="A429" s="30" t="s">
        <v>20</v>
      </c>
      <c r="B429" s="21"/>
      <c r="C429" s="22"/>
      <c r="D429" s="23">
        <v>0</v>
      </c>
      <c r="E429" s="24">
        <v>0</v>
      </c>
      <c r="F429" s="25">
        <v>0</v>
      </c>
      <c r="G429" s="24">
        <v>0</v>
      </c>
      <c r="H429" s="27">
        <v>0</v>
      </c>
      <c r="I429" s="31">
        <f t="shared" ref="I429:I453" si="149">H429*$C$422</f>
        <v>0</v>
      </c>
      <c r="J429" s="29">
        <f t="shared" si="144"/>
        <v>0</v>
      </c>
      <c r="K429" s="61">
        <f t="shared" ref="K429:K453" si="150">(I$459-M$459)*H429</f>
        <v>0</v>
      </c>
      <c r="L429" s="167">
        <f>ROUND(J429*VLOOKUP($A429,'Actual Load'!$A$4:$B$29,2,FALSE)/VLOOKUP($A429,'Projected Zonal Load'!$A$4:$N$29,14,FALSE),0)</f>
        <v>0</v>
      </c>
      <c r="M429" s="61">
        <f t="shared" si="145"/>
        <v>0</v>
      </c>
      <c r="N429" s="167">
        <f t="shared" ref="N429:N453" si="151">+J429</f>
        <v>0</v>
      </c>
      <c r="O429" s="61">
        <f t="shared" si="146"/>
        <v>0</v>
      </c>
      <c r="P429" s="61">
        <f t="shared" si="147"/>
        <v>0</v>
      </c>
      <c r="Q429" s="62">
        <f>+H429*Interest!$D$18</f>
        <v>0</v>
      </c>
      <c r="R429" s="63">
        <f t="shared" si="148"/>
        <v>0</v>
      </c>
    </row>
    <row r="430" spans="1:18">
      <c r="A430" s="30" t="s">
        <v>21</v>
      </c>
      <c r="B430" s="21"/>
      <c r="C430" s="22"/>
      <c r="D430" s="23">
        <v>0</v>
      </c>
      <c r="E430" s="24">
        <v>0</v>
      </c>
      <c r="F430" s="25">
        <v>0</v>
      </c>
      <c r="G430" s="24">
        <v>0</v>
      </c>
      <c r="H430" s="27">
        <v>0</v>
      </c>
      <c r="I430" s="31">
        <f t="shared" si="149"/>
        <v>0</v>
      </c>
      <c r="J430" s="29">
        <f t="shared" si="144"/>
        <v>0</v>
      </c>
      <c r="K430" s="61">
        <f t="shared" si="150"/>
        <v>0</v>
      </c>
      <c r="L430" s="167">
        <f>ROUND(J430*VLOOKUP($A430,'Actual Load'!$A$4:$B$29,2,FALSE)/VLOOKUP($A430,'Projected Zonal Load'!$A$4:$N$29,14,FALSE),0)</f>
        <v>0</v>
      </c>
      <c r="M430" s="61">
        <f t="shared" si="145"/>
        <v>0</v>
      </c>
      <c r="N430" s="167">
        <f t="shared" si="151"/>
        <v>0</v>
      </c>
      <c r="O430" s="61">
        <f t="shared" si="146"/>
        <v>0</v>
      </c>
      <c r="P430" s="61">
        <f t="shared" si="147"/>
        <v>0</v>
      </c>
      <c r="Q430" s="62">
        <f>+H430*Interest!$D$18</f>
        <v>0</v>
      </c>
      <c r="R430" s="63">
        <f t="shared" si="148"/>
        <v>0</v>
      </c>
    </row>
    <row r="431" spans="1:18">
      <c r="A431" s="30" t="s">
        <v>22</v>
      </c>
      <c r="B431" s="21"/>
      <c r="C431" s="22"/>
      <c r="D431" s="23">
        <v>0</v>
      </c>
      <c r="E431" s="24">
        <v>0</v>
      </c>
      <c r="F431" s="25">
        <v>0</v>
      </c>
      <c r="G431" s="24">
        <v>0</v>
      </c>
      <c r="H431" s="27">
        <v>0</v>
      </c>
      <c r="I431" s="31">
        <f t="shared" si="149"/>
        <v>0</v>
      </c>
      <c r="J431" s="29">
        <f t="shared" si="144"/>
        <v>0</v>
      </c>
      <c r="K431" s="61">
        <f t="shared" si="150"/>
        <v>0</v>
      </c>
      <c r="L431" s="167">
        <f>ROUND(J431*VLOOKUP($A431,'Actual Load'!$A$4:$B$29,2,FALSE)/VLOOKUP($A431,'Projected Zonal Load'!$A$4:$N$29,14,FALSE),0)</f>
        <v>0</v>
      </c>
      <c r="M431" s="61">
        <f t="shared" si="145"/>
        <v>0</v>
      </c>
      <c r="N431" s="167">
        <f t="shared" si="151"/>
        <v>0</v>
      </c>
      <c r="O431" s="61">
        <f t="shared" si="146"/>
        <v>0</v>
      </c>
      <c r="P431" s="61">
        <f t="shared" si="147"/>
        <v>0</v>
      </c>
      <c r="Q431" s="62">
        <f>+H431*Interest!$D$18</f>
        <v>0</v>
      </c>
      <c r="R431" s="63">
        <f t="shared" si="148"/>
        <v>0</v>
      </c>
    </row>
    <row r="432" spans="1:18">
      <c r="A432" s="30" t="s">
        <v>23</v>
      </c>
      <c r="B432" s="21"/>
      <c r="C432" s="22"/>
      <c r="D432" s="23">
        <v>0</v>
      </c>
      <c r="E432" s="24">
        <v>0</v>
      </c>
      <c r="F432" s="25">
        <v>0</v>
      </c>
      <c r="G432" s="24">
        <v>0</v>
      </c>
      <c r="H432" s="27">
        <v>0</v>
      </c>
      <c r="I432" s="31">
        <f t="shared" si="149"/>
        <v>0</v>
      </c>
      <c r="J432" s="29">
        <f t="shared" si="144"/>
        <v>0</v>
      </c>
      <c r="K432" s="61">
        <f t="shared" si="150"/>
        <v>0</v>
      </c>
      <c r="L432" s="167">
        <f>ROUND(J432*VLOOKUP($A432,'Actual Load'!$A$4:$B$29,2,FALSE)/VLOOKUP($A432,'Projected Zonal Load'!$A$4:$N$29,14,FALSE),0)</f>
        <v>0</v>
      </c>
      <c r="M432" s="61">
        <f t="shared" si="145"/>
        <v>0</v>
      </c>
      <c r="N432" s="167">
        <f t="shared" si="151"/>
        <v>0</v>
      </c>
      <c r="O432" s="61">
        <f t="shared" si="146"/>
        <v>0</v>
      </c>
      <c r="P432" s="61">
        <f t="shared" si="147"/>
        <v>0</v>
      </c>
      <c r="Q432" s="62">
        <f>+H432*Interest!$D$18</f>
        <v>0</v>
      </c>
      <c r="R432" s="63">
        <f t="shared" si="148"/>
        <v>0</v>
      </c>
    </row>
    <row r="433" spans="1:18">
      <c r="A433" s="30" t="s">
        <v>24</v>
      </c>
      <c r="B433" s="21"/>
      <c r="C433" s="22"/>
      <c r="D433" s="23">
        <v>0</v>
      </c>
      <c r="E433" s="24">
        <v>0</v>
      </c>
      <c r="F433" s="25">
        <v>0</v>
      </c>
      <c r="G433" s="24">
        <v>0</v>
      </c>
      <c r="H433" s="27">
        <v>0</v>
      </c>
      <c r="I433" s="31">
        <f t="shared" si="149"/>
        <v>0</v>
      </c>
      <c r="J433" s="29">
        <f t="shared" si="144"/>
        <v>0</v>
      </c>
      <c r="K433" s="61">
        <f t="shared" si="150"/>
        <v>0</v>
      </c>
      <c r="L433" s="167">
        <f>ROUND(J433*VLOOKUP($A433,'Actual Load'!$A$4:$B$29,2,FALSE)/VLOOKUP($A433,'Projected Zonal Load'!$A$4:$N$29,14,FALSE),0)</f>
        <v>0</v>
      </c>
      <c r="M433" s="61">
        <f t="shared" si="145"/>
        <v>0</v>
      </c>
      <c r="N433" s="167">
        <f t="shared" si="151"/>
        <v>0</v>
      </c>
      <c r="O433" s="61">
        <f t="shared" si="146"/>
        <v>0</v>
      </c>
      <c r="P433" s="61">
        <f t="shared" si="147"/>
        <v>0</v>
      </c>
      <c r="Q433" s="62">
        <f>+H433*Interest!$D$18</f>
        <v>0</v>
      </c>
      <c r="R433" s="63">
        <f t="shared" si="148"/>
        <v>0</v>
      </c>
    </row>
    <row r="434" spans="1:18">
      <c r="A434" s="30" t="s">
        <v>25</v>
      </c>
      <c r="B434" s="21"/>
      <c r="C434" s="22"/>
      <c r="D434" s="23">
        <v>0</v>
      </c>
      <c r="E434" s="24">
        <v>0</v>
      </c>
      <c r="F434" s="25">
        <v>0</v>
      </c>
      <c r="G434" s="24">
        <v>0</v>
      </c>
      <c r="H434" s="27">
        <v>0</v>
      </c>
      <c r="I434" s="31">
        <f t="shared" si="149"/>
        <v>0</v>
      </c>
      <c r="J434" s="29">
        <f t="shared" si="144"/>
        <v>0</v>
      </c>
      <c r="K434" s="61">
        <f t="shared" si="150"/>
        <v>0</v>
      </c>
      <c r="L434" s="167">
        <f>ROUND(J434*VLOOKUP($A434,'Actual Load'!$A$4:$B$29,2,FALSE)/VLOOKUP($A434,'Projected Zonal Load'!$A$4:$N$29,14,FALSE),0)</f>
        <v>0</v>
      </c>
      <c r="M434" s="61">
        <f t="shared" ref="M434:M443" si="152">IF(NOT(L$40=0),M$4*L434/L$40,0)</f>
        <v>0</v>
      </c>
      <c r="N434" s="167">
        <f t="shared" ref="N434:N443" si="153">+J434</f>
        <v>0</v>
      </c>
      <c r="O434" s="61">
        <f t="shared" ref="O434" si="154">+M434-N434</f>
        <v>0</v>
      </c>
      <c r="P434" s="61">
        <f t="shared" ref="P434:P443" si="155">+K434+O434</f>
        <v>0</v>
      </c>
      <c r="Q434" s="62">
        <f>+H434*Interest!$D$18</f>
        <v>0</v>
      </c>
      <c r="R434" s="63">
        <f t="shared" ref="R434" si="156">+P434+Q434</f>
        <v>0</v>
      </c>
    </row>
    <row r="435" spans="1:18">
      <c r="A435" s="30" t="s">
        <v>26</v>
      </c>
      <c r="B435" s="21"/>
      <c r="C435" s="22"/>
      <c r="D435" s="23">
        <v>0</v>
      </c>
      <c r="E435" s="24">
        <v>0</v>
      </c>
      <c r="F435" s="25">
        <v>0</v>
      </c>
      <c r="G435" s="24">
        <v>0</v>
      </c>
      <c r="H435" s="27">
        <v>0</v>
      </c>
      <c r="I435" s="31">
        <f t="shared" si="149"/>
        <v>0</v>
      </c>
      <c r="J435" s="29">
        <f t="shared" si="144"/>
        <v>0</v>
      </c>
      <c r="K435" s="61">
        <f t="shared" si="150"/>
        <v>0</v>
      </c>
      <c r="L435" s="167">
        <f>ROUND(J435*VLOOKUP($A435,'Actual Load'!$A$4:$B$29,2,FALSE)/VLOOKUP($A435,'Projected Zonal Load'!$A$4:$N$29,14,FALSE),0)</f>
        <v>0</v>
      </c>
      <c r="M435" s="61">
        <f t="shared" si="152"/>
        <v>0</v>
      </c>
      <c r="N435" s="167">
        <f t="shared" si="153"/>
        <v>0</v>
      </c>
      <c r="O435" s="61">
        <f>+M435-N435</f>
        <v>0</v>
      </c>
      <c r="P435" s="61">
        <f t="shared" si="155"/>
        <v>0</v>
      </c>
      <c r="Q435" s="62">
        <f>+H435*Interest!$D$18</f>
        <v>0</v>
      </c>
      <c r="R435" s="63">
        <f>+P435+Q435</f>
        <v>0</v>
      </c>
    </row>
    <row r="436" spans="1:18">
      <c r="A436" s="30" t="s">
        <v>27</v>
      </c>
      <c r="B436" s="21"/>
      <c r="C436" s="22"/>
      <c r="D436" s="23">
        <v>0</v>
      </c>
      <c r="E436" s="24">
        <v>0</v>
      </c>
      <c r="F436" s="25">
        <v>0</v>
      </c>
      <c r="G436" s="24">
        <v>0</v>
      </c>
      <c r="H436" s="27">
        <v>0</v>
      </c>
      <c r="I436" s="31">
        <f t="shared" si="149"/>
        <v>0</v>
      </c>
      <c r="J436" s="29">
        <f t="shared" si="144"/>
        <v>0</v>
      </c>
      <c r="K436" s="61">
        <f t="shared" si="150"/>
        <v>0</v>
      </c>
      <c r="L436" s="167">
        <f>ROUND(J436*VLOOKUP($A436,'Actual Load'!$A$4:$B$29,2,FALSE)/VLOOKUP($A436,'Projected Zonal Load'!$A$4:$N$29,14,FALSE),0)</f>
        <v>0</v>
      </c>
      <c r="M436" s="61">
        <f t="shared" si="152"/>
        <v>0</v>
      </c>
      <c r="N436" s="167">
        <f t="shared" si="153"/>
        <v>0</v>
      </c>
      <c r="O436" s="61">
        <f t="shared" ref="O436:O443" si="157">+M436-N436</f>
        <v>0</v>
      </c>
      <c r="P436" s="61">
        <f t="shared" si="155"/>
        <v>0</v>
      </c>
      <c r="Q436" s="62">
        <f>+H436*Interest!$D$18</f>
        <v>0</v>
      </c>
      <c r="R436" s="63">
        <f t="shared" ref="R436:R443" si="158">+P436+Q436</f>
        <v>0</v>
      </c>
    </row>
    <row r="437" spans="1:18">
      <c r="A437" s="30" t="s">
        <v>28</v>
      </c>
      <c r="B437" s="21"/>
      <c r="C437" s="22"/>
      <c r="D437" s="23">
        <v>0</v>
      </c>
      <c r="E437" s="24">
        <v>0</v>
      </c>
      <c r="F437" s="25">
        <v>0</v>
      </c>
      <c r="G437" s="24">
        <v>0</v>
      </c>
      <c r="H437" s="27">
        <v>0</v>
      </c>
      <c r="I437" s="31">
        <f t="shared" si="149"/>
        <v>0</v>
      </c>
      <c r="J437" s="29">
        <f t="shared" si="144"/>
        <v>0</v>
      </c>
      <c r="K437" s="61">
        <f t="shared" si="150"/>
        <v>0</v>
      </c>
      <c r="L437" s="167">
        <f>ROUND(J437*VLOOKUP($A437,'Actual Load'!$A$4:$B$29,2,FALSE)/VLOOKUP($A437,'Projected Zonal Load'!$A$4:$N$29,14,FALSE),0)</f>
        <v>0</v>
      </c>
      <c r="M437" s="61">
        <f t="shared" si="152"/>
        <v>0</v>
      </c>
      <c r="N437" s="167">
        <f t="shared" si="153"/>
        <v>0</v>
      </c>
      <c r="O437" s="61">
        <f t="shared" si="157"/>
        <v>0</v>
      </c>
      <c r="P437" s="61">
        <f t="shared" si="155"/>
        <v>0</v>
      </c>
      <c r="Q437" s="62">
        <f>+H437*Interest!$D$18</f>
        <v>0</v>
      </c>
      <c r="R437" s="63">
        <f t="shared" si="158"/>
        <v>0</v>
      </c>
    </row>
    <row r="438" spans="1:18">
      <c r="A438" s="30" t="s">
        <v>30</v>
      </c>
      <c r="B438" s="21"/>
      <c r="C438" s="22"/>
      <c r="D438" s="23">
        <v>0</v>
      </c>
      <c r="E438" s="24">
        <v>0</v>
      </c>
      <c r="F438" s="25">
        <v>0</v>
      </c>
      <c r="G438" s="24">
        <v>0</v>
      </c>
      <c r="H438" s="27">
        <v>0</v>
      </c>
      <c r="I438" s="31">
        <f t="shared" si="149"/>
        <v>0</v>
      </c>
      <c r="J438" s="29">
        <f t="shared" si="144"/>
        <v>0</v>
      </c>
      <c r="K438" s="61">
        <f t="shared" si="150"/>
        <v>0</v>
      </c>
      <c r="L438" s="167">
        <f>ROUND(J438*VLOOKUP($A438,'Actual Load'!$A$4:$B$29,2,FALSE)/VLOOKUP($A438,'Projected Zonal Load'!$A$4:$N$29,14,FALSE),0)</f>
        <v>0</v>
      </c>
      <c r="M438" s="61">
        <f t="shared" si="152"/>
        <v>0</v>
      </c>
      <c r="N438" s="167">
        <f t="shared" si="153"/>
        <v>0</v>
      </c>
      <c r="O438" s="61">
        <f t="shared" si="157"/>
        <v>0</v>
      </c>
      <c r="P438" s="61">
        <f t="shared" si="155"/>
        <v>0</v>
      </c>
      <c r="Q438" s="62">
        <f>+H438*Interest!$D$18</f>
        <v>0</v>
      </c>
      <c r="R438" s="63">
        <f t="shared" si="158"/>
        <v>0</v>
      </c>
    </row>
    <row r="439" spans="1:18">
      <c r="A439" s="30" t="s">
        <v>29</v>
      </c>
      <c r="B439" s="21"/>
      <c r="C439" s="22"/>
      <c r="D439" s="23">
        <v>0</v>
      </c>
      <c r="E439" s="24">
        <v>0</v>
      </c>
      <c r="F439" s="25">
        <v>0</v>
      </c>
      <c r="G439" s="24">
        <v>0</v>
      </c>
      <c r="H439" s="27">
        <v>0</v>
      </c>
      <c r="I439" s="31">
        <f t="shared" si="149"/>
        <v>0</v>
      </c>
      <c r="J439" s="29">
        <f t="shared" si="144"/>
        <v>0</v>
      </c>
      <c r="K439" s="61">
        <f t="shared" si="150"/>
        <v>0</v>
      </c>
      <c r="L439" s="167">
        <f>ROUND(J439*VLOOKUP($A439,'Actual Load'!$A$4:$B$29,2,FALSE)/VLOOKUP($A439,'Projected Zonal Load'!$A$4:$N$29,14,FALSE),0)</f>
        <v>0</v>
      </c>
      <c r="M439" s="61">
        <f t="shared" si="152"/>
        <v>0</v>
      </c>
      <c r="N439" s="167">
        <f t="shared" si="153"/>
        <v>0</v>
      </c>
      <c r="O439" s="61">
        <f t="shared" si="157"/>
        <v>0</v>
      </c>
      <c r="P439" s="61">
        <f t="shared" si="155"/>
        <v>0</v>
      </c>
      <c r="Q439" s="62">
        <f>+H439*Interest!$D$18</f>
        <v>0</v>
      </c>
      <c r="R439" s="63">
        <f t="shared" si="158"/>
        <v>0</v>
      </c>
    </row>
    <row r="440" spans="1:18">
      <c r="A440" s="30" t="s">
        <v>72</v>
      </c>
      <c r="B440" s="21"/>
      <c r="C440" s="22"/>
      <c r="D440" s="23">
        <v>0</v>
      </c>
      <c r="E440" s="24">
        <v>0</v>
      </c>
      <c r="F440" s="25">
        <v>0</v>
      </c>
      <c r="G440" s="24">
        <v>0</v>
      </c>
      <c r="H440" s="27">
        <v>0</v>
      </c>
      <c r="I440" s="31">
        <f t="shared" si="149"/>
        <v>0</v>
      </c>
      <c r="J440" s="29">
        <f t="shared" si="144"/>
        <v>0</v>
      </c>
      <c r="K440" s="61">
        <f t="shared" si="150"/>
        <v>0</v>
      </c>
      <c r="L440" s="167">
        <v>0</v>
      </c>
      <c r="M440" s="245">
        <f t="shared" si="152"/>
        <v>0</v>
      </c>
      <c r="N440" s="167">
        <f t="shared" si="153"/>
        <v>0</v>
      </c>
      <c r="O440" s="61">
        <f t="shared" si="157"/>
        <v>0</v>
      </c>
      <c r="P440" s="61">
        <f t="shared" si="155"/>
        <v>0</v>
      </c>
      <c r="Q440" s="62">
        <f>+H440*Interest!$D$18</f>
        <v>0</v>
      </c>
      <c r="R440" s="63">
        <f t="shared" si="158"/>
        <v>0</v>
      </c>
    </row>
    <row r="441" spans="1:18">
      <c r="A441" s="30" t="s">
        <v>73</v>
      </c>
      <c r="B441" s="21"/>
      <c r="C441" s="22"/>
      <c r="D441" s="23">
        <v>0</v>
      </c>
      <c r="E441" s="24">
        <v>0</v>
      </c>
      <c r="F441" s="25">
        <v>0</v>
      </c>
      <c r="G441" s="24">
        <v>0</v>
      </c>
      <c r="H441" s="27">
        <v>0</v>
      </c>
      <c r="I441" s="31">
        <f t="shared" si="149"/>
        <v>0</v>
      </c>
      <c r="J441" s="29">
        <f t="shared" si="144"/>
        <v>0</v>
      </c>
      <c r="K441" s="61">
        <f t="shared" si="150"/>
        <v>0</v>
      </c>
      <c r="L441" s="167">
        <v>0</v>
      </c>
      <c r="M441" s="245">
        <f t="shared" si="152"/>
        <v>0</v>
      </c>
      <c r="N441" s="167">
        <f t="shared" si="153"/>
        <v>0</v>
      </c>
      <c r="O441" s="61">
        <f t="shared" si="157"/>
        <v>0</v>
      </c>
      <c r="P441" s="61">
        <f t="shared" si="155"/>
        <v>0</v>
      </c>
      <c r="Q441" s="62">
        <f>+H441*Interest!$D$18</f>
        <v>0</v>
      </c>
      <c r="R441" s="63">
        <f t="shared" si="158"/>
        <v>0</v>
      </c>
    </row>
    <row r="442" spans="1:18">
      <c r="A442" s="30" t="s">
        <v>31</v>
      </c>
      <c r="B442" s="21"/>
      <c r="C442" s="22"/>
      <c r="D442" s="23">
        <v>0</v>
      </c>
      <c r="E442" s="24">
        <v>0</v>
      </c>
      <c r="F442" s="25">
        <v>0</v>
      </c>
      <c r="G442" s="24">
        <v>0</v>
      </c>
      <c r="H442" s="27">
        <v>0</v>
      </c>
      <c r="I442" s="31">
        <f t="shared" si="149"/>
        <v>0</v>
      </c>
      <c r="J442" s="29">
        <f t="shared" si="144"/>
        <v>0</v>
      </c>
      <c r="K442" s="61">
        <f t="shared" si="150"/>
        <v>0</v>
      </c>
      <c r="L442" s="167">
        <f>ROUND(J442*VLOOKUP($A442,'Actual Load'!$A$4:$B$29,2,FALSE)/VLOOKUP($A442,'Projected Zonal Load'!$A$4:$N$29,14,FALSE),0)</f>
        <v>0</v>
      </c>
      <c r="M442" s="61">
        <f t="shared" si="152"/>
        <v>0</v>
      </c>
      <c r="N442" s="167">
        <f t="shared" si="153"/>
        <v>0</v>
      </c>
      <c r="O442" s="61">
        <f t="shared" si="157"/>
        <v>0</v>
      </c>
      <c r="P442" s="61">
        <f t="shared" si="155"/>
        <v>0</v>
      </c>
      <c r="Q442" s="62">
        <f>+H442*Interest!$D$18</f>
        <v>0</v>
      </c>
      <c r="R442" s="63">
        <f t="shared" si="158"/>
        <v>0</v>
      </c>
    </row>
    <row r="443" spans="1:18">
      <c r="A443" s="30" t="s">
        <v>32</v>
      </c>
      <c r="B443" s="21"/>
      <c r="C443" s="22"/>
      <c r="D443" s="23">
        <v>0</v>
      </c>
      <c r="E443" s="24">
        <v>0</v>
      </c>
      <c r="F443" s="25">
        <v>0</v>
      </c>
      <c r="G443" s="24">
        <v>0</v>
      </c>
      <c r="H443" s="27">
        <v>0</v>
      </c>
      <c r="I443" s="31">
        <f t="shared" si="149"/>
        <v>0</v>
      </c>
      <c r="J443" s="29">
        <f t="shared" si="144"/>
        <v>0</v>
      </c>
      <c r="K443" s="61">
        <f t="shared" si="150"/>
        <v>0</v>
      </c>
      <c r="L443" s="167">
        <f>ROUND(J443*VLOOKUP($A443,'Actual Load'!$A$4:$B$29,2,FALSE)/VLOOKUP($A443,'Projected Zonal Load'!$A$4:$N$29,14,FALSE),0)</f>
        <v>0</v>
      </c>
      <c r="M443" s="61">
        <f t="shared" si="152"/>
        <v>0</v>
      </c>
      <c r="N443" s="167">
        <f t="shared" si="153"/>
        <v>0</v>
      </c>
      <c r="O443" s="61">
        <f t="shared" si="157"/>
        <v>0</v>
      </c>
      <c r="P443" s="61">
        <f t="shared" si="155"/>
        <v>0</v>
      </c>
      <c r="Q443" s="62">
        <f>+H443*Interest!$D$18</f>
        <v>0</v>
      </c>
      <c r="R443" s="63">
        <f t="shared" si="158"/>
        <v>0</v>
      </c>
    </row>
    <row r="444" spans="1:18">
      <c r="A444" s="30" t="s">
        <v>33</v>
      </c>
      <c r="B444" s="21"/>
      <c r="C444" s="22"/>
      <c r="D444" s="23">
        <v>0</v>
      </c>
      <c r="E444" s="24">
        <v>0</v>
      </c>
      <c r="F444" s="25">
        <v>0</v>
      </c>
      <c r="G444" s="24">
        <v>0</v>
      </c>
      <c r="H444" s="27">
        <v>0</v>
      </c>
      <c r="I444" s="31">
        <f t="shared" si="149"/>
        <v>0</v>
      </c>
      <c r="J444" s="29">
        <f t="shared" si="144"/>
        <v>0</v>
      </c>
      <c r="K444" s="61">
        <f t="shared" si="150"/>
        <v>0</v>
      </c>
      <c r="L444" s="167">
        <f>ROUND(J444*VLOOKUP($A444,'Actual Load'!$A$4:$B$29,2,FALSE)/VLOOKUP($A444,'Projected Zonal Load'!$A$4:$N$29,14,FALSE),0)</f>
        <v>0</v>
      </c>
      <c r="M444" s="61">
        <f t="shared" si="145"/>
        <v>0</v>
      </c>
      <c r="N444" s="167">
        <f t="shared" si="151"/>
        <v>0</v>
      </c>
      <c r="O444" s="61">
        <f t="shared" si="146"/>
        <v>0</v>
      </c>
      <c r="P444" s="61">
        <f t="shared" si="147"/>
        <v>0</v>
      </c>
      <c r="Q444" s="62">
        <f>+H444*Interest!$D$18</f>
        <v>0</v>
      </c>
      <c r="R444" s="63">
        <f t="shared" si="148"/>
        <v>0</v>
      </c>
    </row>
    <row r="445" spans="1:18">
      <c r="A445" s="30" t="s">
        <v>34</v>
      </c>
      <c r="B445" s="21"/>
      <c r="C445" s="22"/>
      <c r="D445" s="23">
        <v>0</v>
      </c>
      <c r="E445" s="24">
        <v>0</v>
      </c>
      <c r="F445" s="25">
        <v>0</v>
      </c>
      <c r="G445" s="24">
        <v>0</v>
      </c>
      <c r="H445" s="27">
        <v>0</v>
      </c>
      <c r="I445" s="31">
        <f t="shared" si="149"/>
        <v>0</v>
      </c>
      <c r="J445" s="29">
        <f t="shared" si="144"/>
        <v>0</v>
      </c>
      <c r="K445" s="61">
        <f t="shared" si="150"/>
        <v>0</v>
      </c>
      <c r="L445" s="167">
        <f>ROUND(J445*VLOOKUP($A445,'Actual Load'!$A$4:$B$29,2,FALSE)/VLOOKUP($A445,'Projected Zonal Load'!$A$4:$N$29,14,FALSE),0)</f>
        <v>0</v>
      </c>
      <c r="M445" s="61">
        <f t="shared" si="145"/>
        <v>0</v>
      </c>
      <c r="N445" s="167">
        <f t="shared" si="151"/>
        <v>0</v>
      </c>
      <c r="O445" s="61">
        <f>+M445-N445</f>
        <v>0</v>
      </c>
      <c r="P445" s="61">
        <f t="shared" si="147"/>
        <v>0</v>
      </c>
      <c r="Q445" s="62">
        <f>+H445*Interest!$D$18</f>
        <v>0</v>
      </c>
      <c r="R445" s="63">
        <f>+P445+Q445</f>
        <v>0</v>
      </c>
    </row>
    <row r="446" spans="1:18">
      <c r="A446" s="30" t="s">
        <v>35</v>
      </c>
      <c r="B446" s="21"/>
      <c r="C446" s="22"/>
      <c r="D446" s="23">
        <v>0</v>
      </c>
      <c r="E446" s="24">
        <v>0</v>
      </c>
      <c r="F446" s="25">
        <v>0</v>
      </c>
      <c r="G446" s="24">
        <v>0</v>
      </c>
      <c r="H446" s="27">
        <v>0</v>
      </c>
      <c r="I446" s="31">
        <f t="shared" si="149"/>
        <v>0</v>
      </c>
      <c r="J446" s="29">
        <f t="shared" si="144"/>
        <v>0</v>
      </c>
      <c r="K446" s="61">
        <f t="shared" si="150"/>
        <v>0</v>
      </c>
      <c r="L446" s="167">
        <f>ROUND(J446*VLOOKUP($A446,'Actual Load'!$A$4:$B$29,2,FALSE)/VLOOKUP($A446,'Projected Zonal Load'!$A$4:$N$29,14,FALSE),0)</f>
        <v>0</v>
      </c>
      <c r="M446" s="61">
        <f t="shared" si="145"/>
        <v>0</v>
      </c>
      <c r="N446" s="167">
        <f t="shared" si="151"/>
        <v>0</v>
      </c>
      <c r="O446" s="61">
        <f t="shared" ref="O446:O453" si="159">+M446-N446</f>
        <v>0</v>
      </c>
      <c r="P446" s="61">
        <f t="shared" si="147"/>
        <v>0</v>
      </c>
      <c r="Q446" s="62">
        <f>+H446*Interest!$D$18</f>
        <v>0</v>
      </c>
      <c r="R446" s="63">
        <f t="shared" ref="R446:R453" si="160">+P446+Q446</f>
        <v>0</v>
      </c>
    </row>
    <row r="447" spans="1:18">
      <c r="A447" s="30" t="s">
        <v>36</v>
      </c>
      <c r="B447" s="21"/>
      <c r="C447" s="22"/>
      <c r="D447" s="23">
        <v>0</v>
      </c>
      <c r="E447" s="24">
        <v>0</v>
      </c>
      <c r="F447" s="25">
        <v>0</v>
      </c>
      <c r="G447" s="24">
        <v>0</v>
      </c>
      <c r="H447" s="27">
        <v>0</v>
      </c>
      <c r="I447" s="31">
        <f t="shared" si="149"/>
        <v>0</v>
      </c>
      <c r="J447" s="29">
        <f t="shared" si="144"/>
        <v>0</v>
      </c>
      <c r="K447" s="61">
        <f t="shared" si="150"/>
        <v>0</v>
      </c>
      <c r="L447" s="167">
        <f>ROUND(J447*VLOOKUP($A447,'Actual Load'!$A$4:$B$29,2,FALSE)/VLOOKUP($A447,'Projected Zonal Load'!$A$4:$N$29,14,FALSE),0)</f>
        <v>0</v>
      </c>
      <c r="M447" s="61">
        <f t="shared" si="145"/>
        <v>0</v>
      </c>
      <c r="N447" s="167">
        <f t="shared" si="151"/>
        <v>0</v>
      </c>
      <c r="O447" s="61">
        <f t="shared" si="159"/>
        <v>0</v>
      </c>
      <c r="P447" s="61">
        <f t="shared" si="147"/>
        <v>0</v>
      </c>
      <c r="Q447" s="62">
        <f>+H447*Interest!$D$18</f>
        <v>0</v>
      </c>
      <c r="R447" s="63">
        <f t="shared" si="160"/>
        <v>0</v>
      </c>
    </row>
    <row r="448" spans="1:18">
      <c r="A448" s="30" t="s">
        <v>37</v>
      </c>
      <c r="B448" s="21"/>
      <c r="C448" s="22"/>
      <c r="D448" s="23">
        <v>0</v>
      </c>
      <c r="E448" s="24">
        <v>0</v>
      </c>
      <c r="F448" s="25">
        <v>0</v>
      </c>
      <c r="G448" s="24">
        <v>0</v>
      </c>
      <c r="H448" s="27">
        <v>1</v>
      </c>
      <c r="I448" s="31">
        <f t="shared" si="149"/>
        <v>87249</v>
      </c>
      <c r="J448" s="29">
        <f t="shared" si="144"/>
        <v>15560.82</v>
      </c>
      <c r="K448" s="61">
        <f t="shared" si="150"/>
        <v>809.81999999999971</v>
      </c>
      <c r="L448" s="167">
        <f>ROUND(J448*VLOOKUP($A448,'Actual Load'!$A$4:$B$29,2,FALSE)/VLOOKUP($A448,'Projected Zonal Load'!$A$4:$N$29,14,FALSE),0)</f>
        <v>15511</v>
      </c>
      <c r="M448" s="61">
        <f t="shared" si="145"/>
        <v>16377.696959287357</v>
      </c>
      <c r="N448" s="167">
        <f t="shared" si="151"/>
        <v>15560.82</v>
      </c>
      <c r="O448" s="61">
        <f t="shared" si="159"/>
        <v>816.87695928735775</v>
      </c>
      <c r="P448" s="61">
        <f t="shared" si="147"/>
        <v>1626.6969592873575</v>
      </c>
      <c r="Q448" s="62">
        <f>+H448*Interest!$D$18</f>
        <v>106.84830553634853</v>
      </c>
      <c r="R448" s="63">
        <f t="shared" si="160"/>
        <v>1733.545264823706</v>
      </c>
    </row>
    <row r="449" spans="1:18">
      <c r="A449" s="30" t="s">
        <v>38</v>
      </c>
      <c r="B449" s="21"/>
      <c r="C449" s="22"/>
      <c r="D449" s="23">
        <v>0</v>
      </c>
      <c r="E449" s="24">
        <v>0</v>
      </c>
      <c r="F449" s="25">
        <v>0</v>
      </c>
      <c r="G449" s="24">
        <v>0</v>
      </c>
      <c r="H449" s="27">
        <v>0</v>
      </c>
      <c r="I449" s="31">
        <f t="shared" si="149"/>
        <v>0</v>
      </c>
      <c r="J449" s="29">
        <f t="shared" si="144"/>
        <v>0</v>
      </c>
      <c r="K449" s="61">
        <f t="shared" si="150"/>
        <v>0</v>
      </c>
      <c r="L449" s="167">
        <f>ROUND(J449*VLOOKUP($A449,'Actual Load'!$A$4:$B$29,2,FALSE)/VLOOKUP($A449,'Projected Zonal Load'!$A$4:$N$29,14,FALSE),0)</f>
        <v>0</v>
      </c>
      <c r="M449" s="61">
        <f t="shared" si="145"/>
        <v>0</v>
      </c>
      <c r="N449" s="167">
        <f t="shared" si="151"/>
        <v>0</v>
      </c>
      <c r="O449" s="61">
        <f t="shared" si="159"/>
        <v>0</v>
      </c>
      <c r="P449" s="61">
        <f t="shared" si="147"/>
        <v>0</v>
      </c>
      <c r="Q449" s="62">
        <f>+H449*Interest!$D$18</f>
        <v>0</v>
      </c>
      <c r="R449" s="63">
        <f t="shared" si="160"/>
        <v>0</v>
      </c>
    </row>
    <row r="450" spans="1:18">
      <c r="A450" s="226" t="s">
        <v>39</v>
      </c>
      <c r="B450" s="21"/>
      <c r="C450" s="22"/>
      <c r="D450" s="23">
        <v>0</v>
      </c>
      <c r="E450" s="24">
        <v>0</v>
      </c>
      <c r="F450" s="25">
        <v>0</v>
      </c>
      <c r="G450" s="24">
        <v>0</v>
      </c>
      <c r="H450" s="27">
        <v>0</v>
      </c>
      <c r="I450" s="31">
        <f t="shared" si="149"/>
        <v>0</v>
      </c>
      <c r="J450" s="29">
        <f t="shared" si="144"/>
        <v>0</v>
      </c>
      <c r="K450" s="61">
        <f t="shared" si="150"/>
        <v>0</v>
      </c>
      <c r="L450" s="167">
        <f>ROUND(J450*VLOOKUP($A450,'Actual Load'!$A$4:$B$29,2,FALSE)/VLOOKUP($A450,'Projected Zonal Load'!$A$4:$N$29,14,FALSE),0)</f>
        <v>0</v>
      </c>
      <c r="M450" s="61">
        <f t="shared" si="145"/>
        <v>0</v>
      </c>
      <c r="N450" s="167">
        <f t="shared" si="151"/>
        <v>0</v>
      </c>
      <c r="O450" s="61">
        <f t="shared" si="159"/>
        <v>0</v>
      </c>
      <c r="P450" s="61">
        <f t="shared" si="147"/>
        <v>0</v>
      </c>
      <c r="Q450" s="62">
        <f>+H450*Interest!$D$18</f>
        <v>0</v>
      </c>
      <c r="R450" s="63">
        <f t="shared" si="160"/>
        <v>0</v>
      </c>
    </row>
    <row r="451" spans="1:18">
      <c r="A451" s="226" t="s">
        <v>96</v>
      </c>
      <c r="B451" s="21"/>
      <c r="C451" s="22"/>
      <c r="D451" s="23">
        <v>0</v>
      </c>
      <c r="E451" s="24">
        <v>0</v>
      </c>
      <c r="F451" s="25">
        <v>0</v>
      </c>
      <c r="G451" s="24">
        <v>0</v>
      </c>
      <c r="H451" s="27">
        <v>0</v>
      </c>
      <c r="I451" s="31">
        <f t="shared" si="149"/>
        <v>0</v>
      </c>
      <c r="J451" s="29">
        <f t="shared" si="144"/>
        <v>0</v>
      </c>
      <c r="K451" s="61">
        <f t="shared" si="150"/>
        <v>0</v>
      </c>
      <c r="L451" s="167">
        <f>ROUND(J451*VLOOKUP($A451,'Actual Load'!$A$4:$B$29,2,FALSE)/VLOOKUP($A451,'Projected Zonal Load'!$A$4:$N$29,14,FALSE),0)</f>
        <v>0</v>
      </c>
      <c r="M451" s="61">
        <f t="shared" si="145"/>
        <v>0</v>
      </c>
      <c r="N451" s="167">
        <f t="shared" si="151"/>
        <v>0</v>
      </c>
      <c r="O451" s="61">
        <f t="shared" si="159"/>
        <v>0</v>
      </c>
      <c r="P451" s="61">
        <f t="shared" si="147"/>
        <v>0</v>
      </c>
      <c r="Q451" s="62">
        <f>+H451*Interest!$D$18</f>
        <v>0</v>
      </c>
      <c r="R451" s="63">
        <f t="shared" si="160"/>
        <v>0</v>
      </c>
    </row>
    <row r="452" spans="1:18">
      <c r="A452" s="226" t="s">
        <v>97</v>
      </c>
      <c r="B452" s="21"/>
      <c r="C452" s="22"/>
      <c r="D452" s="23">
        <v>0</v>
      </c>
      <c r="E452" s="24">
        <v>0</v>
      </c>
      <c r="F452" s="25">
        <v>0</v>
      </c>
      <c r="G452" s="24">
        <v>0</v>
      </c>
      <c r="H452" s="27">
        <v>0</v>
      </c>
      <c r="I452" s="31">
        <f t="shared" si="149"/>
        <v>0</v>
      </c>
      <c r="J452" s="29">
        <f t="shared" si="144"/>
        <v>0</v>
      </c>
      <c r="K452" s="61">
        <f t="shared" si="150"/>
        <v>0</v>
      </c>
      <c r="L452" s="167">
        <f>ROUND(J452*VLOOKUP($A452,'Actual Load'!$A$4:$B$29,2,FALSE)/VLOOKUP($A452,'Projected Zonal Load'!$A$4:$N$29,14,FALSE),0)</f>
        <v>0</v>
      </c>
      <c r="M452" s="61">
        <f t="shared" si="145"/>
        <v>0</v>
      </c>
      <c r="N452" s="167">
        <f t="shared" si="151"/>
        <v>0</v>
      </c>
      <c r="O452" s="61">
        <f t="shared" si="159"/>
        <v>0</v>
      </c>
      <c r="P452" s="61">
        <f t="shared" si="147"/>
        <v>0</v>
      </c>
      <c r="Q452" s="62">
        <f>+H452*Interest!$D$18</f>
        <v>0</v>
      </c>
      <c r="R452" s="63">
        <f t="shared" si="160"/>
        <v>0</v>
      </c>
    </row>
    <row r="453" spans="1:18">
      <c r="A453" s="32" t="s">
        <v>98</v>
      </c>
      <c r="B453" s="21"/>
      <c r="C453" s="22"/>
      <c r="D453" s="23">
        <v>0</v>
      </c>
      <c r="E453" s="24">
        <v>0</v>
      </c>
      <c r="F453" s="229">
        <v>0</v>
      </c>
      <c r="G453" s="33">
        <v>0</v>
      </c>
      <c r="H453" s="227">
        <v>0</v>
      </c>
      <c r="I453" s="35">
        <f t="shared" si="149"/>
        <v>0</v>
      </c>
      <c r="J453" s="228">
        <f t="shared" si="144"/>
        <v>0</v>
      </c>
      <c r="K453" s="61">
        <f t="shared" si="150"/>
        <v>0</v>
      </c>
      <c r="L453" s="167">
        <f>ROUND(J453*VLOOKUP($A453,'Actual Load'!$A$4:$B$29,2,FALSE)/VLOOKUP($A453,'Projected Zonal Load'!$A$4:$N$29,14,FALSE),0)</f>
        <v>0</v>
      </c>
      <c r="M453" s="61">
        <f t="shared" si="145"/>
        <v>0</v>
      </c>
      <c r="N453" s="167">
        <f t="shared" si="151"/>
        <v>0</v>
      </c>
      <c r="O453" s="61">
        <f t="shared" si="159"/>
        <v>0</v>
      </c>
      <c r="P453" s="61">
        <f t="shared" si="147"/>
        <v>0</v>
      </c>
      <c r="Q453" s="62">
        <f>+H453*Interest!$D$18</f>
        <v>0</v>
      </c>
      <c r="R453" s="63">
        <f t="shared" si="160"/>
        <v>0</v>
      </c>
    </row>
    <row r="454" spans="1:18">
      <c r="A454" s="36"/>
      <c r="B454" s="37"/>
      <c r="C454" s="38"/>
      <c r="D454" s="39">
        <v>0</v>
      </c>
      <c r="E454" s="40">
        <v>0</v>
      </c>
      <c r="F454" s="42">
        <v>1</v>
      </c>
      <c r="G454" s="43">
        <v>0</v>
      </c>
      <c r="H454" s="42">
        <v>1</v>
      </c>
      <c r="I454" s="43">
        <f t="shared" ref="I454:R454" si="161">SUM(I428:I453)</f>
        <v>87249</v>
      </c>
      <c r="J454" s="43">
        <f t="shared" si="161"/>
        <v>15560.82</v>
      </c>
      <c r="K454" s="64">
        <f t="shared" si="161"/>
        <v>809.81999999999971</v>
      </c>
      <c r="L454" s="171">
        <f t="shared" si="161"/>
        <v>15511</v>
      </c>
      <c r="M454" s="65">
        <f t="shared" si="161"/>
        <v>16377.696959287357</v>
      </c>
      <c r="N454" s="171">
        <f t="shared" si="161"/>
        <v>15560.82</v>
      </c>
      <c r="O454" s="65">
        <f t="shared" si="161"/>
        <v>816.87695928735775</v>
      </c>
      <c r="P454" s="65">
        <f t="shared" si="161"/>
        <v>1626.6969592873575</v>
      </c>
      <c r="Q454" s="65">
        <f t="shared" si="161"/>
        <v>106.84830553634853</v>
      </c>
      <c r="R454" s="66">
        <f t="shared" si="161"/>
        <v>1733.545264823706</v>
      </c>
    </row>
    <row r="455" spans="1:18">
      <c r="H455" s="45"/>
      <c r="I455" s="46"/>
    </row>
    <row r="456" spans="1:18">
      <c r="A456" s="47" t="s">
        <v>137</v>
      </c>
      <c r="O456" s="164"/>
      <c r="P456" s="164"/>
      <c r="Q456" s="164"/>
      <c r="R456" s="164"/>
    </row>
    <row r="457" spans="1:18">
      <c r="H457" s="194" t="s">
        <v>187</v>
      </c>
      <c r="I457" s="196">
        <v>15560.82</v>
      </c>
      <c r="K457" s="67"/>
      <c r="L457" s="194" t="s">
        <v>190</v>
      </c>
      <c r="M457" s="196">
        <v>14751</v>
      </c>
      <c r="O457" s="164"/>
      <c r="P457" s="164"/>
      <c r="Q457" s="164"/>
      <c r="R457" s="164"/>
    </row>
    <row r="458" spans="1:18">
      <c r="H458" s="161" t="s">
        <v>189</v>
      </c>
      <c r="I458" s="196">
        <v>0</v>
      </c>
      <c r="K458" s="67"/>
      <c r="L458" s="161" t="s">
        <v>189</v>
      </c>
      <c r="M458" s="196">
        <v>0</v>
      </c>
      <c r="O458" s="164"/>
      <c r="P458" s="164"/>
      <c r="Q458" s="164"/>
      <c r="R458" s="164"/>
    </row>
    <row r="459" spans="1:18">
      <c r="G459" s="67"/>
      <c r="H459" s="195" t="s">
        <v>188</v>
      </c>
      <c r="I459" s="197">
        <f>SUM(I457:I458)</f>
        <v>15560.82</v>
      </c>
      <c r="J459" s="225" t="s">
        <v>137</v>
      </c>
      <c r="K459" s="198"/>
      <c r="L459" s="195" t="s">
        <v>188</v>
      </c>
      <c r="M459" s="197">
        <f>SUM(M457:M458)</f>
        <v>14751</v>
      </c>
      <c r="O459" s="207" t="s">
        <v>137</v>
      </c>
      <c r="P459" s="164"/>
      <c r="Q459" s="164"/>
      <c r="R459" s="164"/>
    </row>
    <row r="460" spans="1:18">
      <c r="I460" s="49"/>
      <c r="O460" s="164"/>
      <c r="P460" s="164"/>
      <c r="Q460" s="164"/>
      <c r="R460" s="164"/>
    </row>
    <row r="461" spans="1:18">
      <c r="O461" s="164"/>
      <c r="P461" s="164"/>
      <c r="Q461" s="164"/>
      <c r="R461" s="164"/>
    </row>
    <row r="462" spans="1:18" ht="15.75">
      <c r="A462" s="281" t="s">
        <v>0</v>
      </c>
      <c r="B462" s="282"/>
      <c r="C462" s="282" t="s">
        <v>210</v>
      </c>
      <c r="D462" s="282"/>
      <c r="E462" s="282"/>
      <c r="F462" s="282"/>
      <c r="G462" s="282"/>
      <c r="H462" s="283"/>
      <c r="I462" s="1"/>
    </row>
    <row r="463" spans="1:18" ht="15.75" hidden="1" outlineLevel="1">
      <c r="A463" s="132" t="s">
        <v>142</v>
      </c>
      <c r="B463" s="133"/>
      <c r="C463" s="136" t="s">
        <v>140</v>
      </c>
      <c r="D463" s="134"/>
      <c r="E463" s="134"/>
      <c r="F463" s="134"/>
      <c r="G463" s="134"/>
      <c r="H463" s="135"/>
      <c r="I463" s="1"/>
    </row>
    <row r="464" spans="1:18" ht="15.75" collapsed="1">
      <c r="A464" s="269" t="s">
        <v>2</v>
      </c>
      <c r="B464" s="270"/>
      <c r="C464" s="322" t="s">
        <v>230</v>
      </c>
      <c r="D464" s="323"/>
      <c r="E464" s="323"/>
      <c r="F464" s="323"/>
      <c r="G464" s="323"/>
      <c r="H464" s="324"/>
      <c r="I464" s="1"/>
    </row>
    <row r="465" spans="1:18" ht="15.75">
      <c r="A465" s="269" t="s">
        <v>4</v>
      </c>
      <c r="B465" s="270"/>
      <c r="C465" s="322" t="s">
        <v>137</v>
      </c>
      <c r="D465" s="323"/>
      <c r="E465" s="323"/>
      <c r="F465" s="323"/>
      <c r="G465" s="323"/>
      <c r="H465" s="324"/>
      <c r="I465" s="1"/>
    </row>
    <row r="466" spans="1:18" ht="15.75">
      <c r="A466" s="269" t="s">
        <v>6</v>
      </c>
      <c r="B466" s="270"/>
      <c r="C466" s="325">
        <v>1315000</v>
      </c>
      <c r="D466" s="326"/>
      <c r="E466" s="326"/>
      <c r="F466" s="326"/>
      <c r="G466" s="326"/>
      <c r="H466" s="327"/>
      <c r="I466" s="1"/>
      <c r="M466" s="50"/>
      <c r="O466" s="50" t="s">
        <v>46</v>
      </c>
      <c r="P466" s="50" t="s">
        <v>42</v>
      </c>
      <c r="R466" s="50" t="s">
        <v>47</v>
      </c>
    </row>
    <row r="467" spans="1:18" ht="15.75">
      <c r="A467" s="274" t="s">
        <v>7</v>
      </c>
      <c r="B467" s="275"/>
      <c r="C467" s="276" t="s">
        <v>37</v>
      </c>
      <c r="D467" s="277"/>
      <c r="E467" s="277"/>
      <c r="F467" s="277"/>
      <c r="G467" s="277"/>
      <c r="H467" s="278"/>
      <c r="I467" s="1"/>
      <c r="K467" s="50" t="s">
        <v>44</v>
      </c>
      <c r="L467" s="168" t="s">
        <v>45</v>
      </c>
      <c r="M467" s="51" t="s">
        <v>194</v>
      </c>
      <c r="N467" s="51" t="s">
        <v>41</v>
      </c>
      <c r="O467" s="51" t="s">
        <v>195</v>
      </c>
      <c r="P467" s="51" t="s">
        <v>196</v>
      </c>
      <c r="Q467" s="51" t="s">
        <v>43</v>
      </c>
      <c r="R467" s="51" t="s">
        <v>197</v>
      </c>
    </row>
    <row r="468" spans="1:18">
      <c r="A468" s="2"/>
      <c r="B468" s="2"/>
      <c r="C468" s="2"/>
      <c r="D468" s="2"/>
      <c r="E468" s="2"/>
      <c r="F468" s="2"/>
      <c r="G468" s="2"/>
      <c r="H468" s="2"/>
      <c r="I468" s="2"/>
      <c r="K468" s="52"/>
      <c r="L468" s="287" t="s">
        <v>48</v>
      </c>
      <c r="M468" s="288"/>
      <c r="N468" s="288"/>
      <c r="O468" s="289"/>
      <c r="P468" s="53" t="s">
        <v>49</v>
      </c>
      <c r="Q468" s="52"/>
      <c r="R468" s="53" t="s">
        <v>50</v>
      </c>
    </row>
    <row r="469" spans="1:18">
      <c r="A469" s="3"/>
      <c r="B469" s="4"/>
      <c r="C469" s="5"/>
      <c r="D469" s="279">
        <v>0</v>
      </c>
      <c r="E469" s="280"/>
      <c r="F469" s="279">
        <v>1</v>
      </c>
      <c r="G469" s="280"/>
      <c r="H469" s="218"/>
      <c r="I469" s="7"/>
      <c r="J469" s="8" t="s">
        <v>9</v>
      </c>
      <c r="K469" s="54" t="s">
        <v>51</v>
      </c>
      <c r="L469" s="287" t="s">
        <v>52</v>
      </c>
      <c r="M469" s="288"/>
      <c r="N469" s="214"/>
      <c r="O469" s="53" t="s">
        <v>53</v>
      </c>
      <c r="P469" s="54" t="s">
        <v>54</v>
      </c>
      <c r="Q469" s="55"/>
      <c r="R469" s="54" t="s">
        <v>55</v>
      </c>
    </row>
    <row r="470" spans="1:18">
      <c r="A470" s="9"/>
      <c r="B470" s="10"/>
      <c r="C470" s="11"/>
      <c r="D470" s="290" t="s">
        <v>10</v>
      </c>
      <c r="E470" s="291"/>
      <c r="F470" s="290" t="s">
        <v>11</v>
      </c>
      <c r="G470" s="291"/>
      <c r="H470" s="290" t="s">
        <v>12</v>
      </c>
      <c r="I470" s="292"/>
      <c r="J470" s="12" t="s">
        <v>13</v>
      </c>
      <c r="K470" s="56" t="s">
        <v>56</v>
      </c>
      <c r="L470" s="169" t="s">
        <v>191</v>
      </c>
      <c r="M470" s="217" t="s">
        <v>192</v>
      </c>
      <c r="N470" s="57" t="s">
        <v>57</v>
      </c>
      <c r="O470" s="57" t="s">
        <v>56</v>
      </c>
      <c r="P470" s="57" t="s">
        <v>56</v>
      </c>
      <c r="Q470" s="57" t="s">
        <v>58</v>
      </c>
      <c r="R470" s="57" t="s">
        <v>59</v>
      </c>
    </row>
    <row r="471" spans="1:18" ht="38.25">
      <c r="A471" s="13" t="s">
        <v>14</v>
      </c>
      <c r="B471" s="14" t="s">
        <v>15</v>
      </c>
      <c r="C471" s="15" t="s">
        <v>16</v>
      </c>
      <c r="D471" s="16" t="s">
        <v>17</v>
      </c>
      <c r="E471" s="17" t="s">
        <v>18</v>
      </c>
      <c r="F471" s="16" t="s">
        <v>17</v>
      </c>
      <c r="G471" s="17" t="s">
        <v>18</v>
      </c>
      <c r="H471" s="18" t="s">
        <v>17</v>
      </c>
      <c r="I471" s="19" t="s">
        <v>18</v>
      </c>
      <c r="J471" s="15" t="s">
        <v>18</v>
      </c>
      <c r="K471" s="58" t="s">
        <v>60</v>
      </c>
      <c r="L471" s="170"/>
      <c r="M471" s="59"/>
      <c r="N471" s="170"/>
      <c r="O471" s="58" t="s">
        <v>60</v>
      </c>
      <c r="P471" s="59"/>
      <c r="Q471" s="59"/>
      <c r="R471" s="60" t="s">
        <v>60</v>
      </c>
    </row>
    <row r="472" spans="1:18">
      <c r="A472" s="20" t="s">
        <v>19</v>
      </c>
      <c r="B472" s="21"/>
      <c r="C472" s="22"/>
      <c r="D472" s="23">
        <v>0</v>
      </c>
      <c r="E472" s="24">
        <v>0</v>
      </c>
      <c r="F472" s="25">
        <v>0</v>
      </c>
      <c r="G472" s="26">
        <v>0</v>
      </c>
      <c r="H472" s="27">
        <v>0</v>
      </c>
      <c r="I472" s="28">
        <v>0</v>
      </c>
      <c r="J472" s="29">
        <f>H472*I$503</f>
        <v>0</v>
      </c>
      <c r="K472" s="61">
        <f>(I$503-M$503)*H472</f>
        <v>0</v>
      </c>
      <c r="L472" s="167">
        <f>ROUND(J472*VLOOKUP($A472,'Actual Load'!$A$4:$B$29,2,FALSE)/VLOOKUP($A472,'Projected Zonal Load'!$A$4:$N$29,14,FALSE),0)</f>
        <v>0</v>
      </c>
      <c r="M472" s="61">
        <f t="shared" ref="M472:M474" si="162">IF(NOT(L$40=0),M$4*L472/L$40,0)</f>
        <v>0</v>
      </c>
      <c r="N472" s="167">
        <f>+J472</f>
        <v>0</v>
      </c>
      <c r="O472" s="61">
        <f t="shared" ref="O472:O474" si="163">+M472-N472</f>
        <v>0</v>
      </c>
      <c r="P472" s="61">
        <f t="shared" ref="P472:P474" si="164">+K472+O472</f>
        <v>0</v>
      </c>
      <c r="Q472" s="62">
        <f>+H472*Interest!$D$23</f>
        <v>0</v>
      </c>
      <c r="R472" s="63">
        <f t="shared" ref="R472:R474" si="165">+P472+Q472</f>
        <v>0</v>
      </c>
    </row>
    <row r="473" spans="1:18">
      <c r="A473" s="30" t="s">
        <v>20</v>
      </c>
      <c r="B473" s="21"/>
      <c r="C473" s="22"/>
      <c r="D473" s="23">
        <v>0</v>
      </c>
      <c r="E473" s="24">
        <v>0</v>
      </c>
      <c r="F473" s="25">
        <v>0</v>
      </c>
      <c r="G473" s="24">
        <v>0</v>
      </c>
      <c r="H473" s="27">
        <v>0</v>
      </c>
      <c r="I473" s="31">
        <v>0</v>
      </c>
      <c r="J473" s="29">
        <f>H473*I$503</f>
        <v>0</v>
      </c>
      <c r="K473" s="61">
        <f t="shared" ref="K473:K497" si="166">(I$503-M$503)*H473</f>
        <v>0</v>
      </c>
      <c r="L473" s="167">
        <f>ROUND(J473*VLOOKUP($A473,'Actual Load'!$A$4:$B$29,2,FALSE)/VLOOKUP($A473,'Projected Zonal Load'!$A$4:$N$29,14,FALSE),0)</f>
        <v>0</v>
      </c>
      <c r="M473" s="61">
        <f t="shared" si="162"/>
        <v>0</v>
      </c>
      <c r="N473" s="167">
        <f t="shared" ref="N473:N474" si="167">+J473</f>
        <v>0</v>
      </c>
      <c r="O473" s="61">
        <f t="shared" si="163"/>
        <v>0</v>
      </c>
      <c r="P473" s="61">
        <f t="shared" si="164"/>
        <v>0</v>
      </c>
      <c r="Q473" s="62">
        <f>+H473*Interest!$D$23</f>
        <v>0</v>
      </c>
      <c r="R473" s="63">
        <f t="shared" si="165"/>
        <v>0</v>
      </c>
    </row>
    <row r="474" spans="1:18">
      <c r="A474" s="30" t="s">
        <v>21</v>
      </c>
      <c r="B474" s="21"/>
      <c r="C474" s="22"/>
      <c r="D474" s="23">
        <v>0</v>
      </c>
      <c r="E474" s="24">
        <v>0</v>
      </c>
      <c r="F474" s="25">
        <v>0</v>
      </c>
      <c r="G474" s="24">
        <v>0</v>
      </c>
      <c r="H474" s="27">
        <v>0</v>
      </c>
      <c r="I474" s="31">
        <v>0</v>
      </c>
      <c r="J474" s="29">
        <f>H474*I$503</f>
        <v>0</v>
      </c>
      <c r="K474" s="61">
        <f t="shared" si="166"/>
        <v>0</v>
      </c>
      <c r="L474" s="167">
        <f>ROUND(J474*VLOOKUP($A474,'Actual Load'!$A$4:$B$29,2,FALSE)/VLOOKUP($A474,'Projected Zonal Load'!$A$4:$N$29,14,FALSE),0)</f>
        <v>0</v>
      </c>
      <c r="M474" s="61">
        <f t="shared" si="162"/>
        <v>0</v>
      </c>
      <c r="N474" s="167">
        <f t="shared" si="167"/>
        <v>0</v>
      </c>
      <c r="O474" s="61">
        <f t="shared" si="163"/>
        <v>0</v>
      </c>
      <c r="P474" s="61">
        <f t="shared" si="164"/>
        <v>0</v>
      </c>
      <c r="Q474" s="62">
        <f>+H474*Interest!$D$23</f>
        <v>0</v>
      </c>
      <c r="R474" s="63">
        <f t="shared" si="165"/>
        <v>0</v>
      </c>
    </row>
    <row r="475" spans="1:18">
      <c r="A475" s="30" t="s">
        <v>22</v>
      </c>
      <c r="B475" s="21"/>
      <c r="C475" s="22"/>
      <c r="D475" s="23">
        <v>0</v>
      </c>
      <c r="E475" s="24">
        <v>0</v>
      </c>
      <c r="F475" s="25">
        <v>0</v>
      </c>
      <c r="G475" s="24">
        <v>0</v>
      </c>
      <c r="H475" s="27">
        <v>0</v>
      </c>
      <c r="I475" s="31">
        <v>0</v>
      </c>
      <c r="J475" s="29">
        <f t="shared" ref="J475" si="168">H475*I$503</f>
        <v>0</v>
      </c>
      <c r="K475" s="61">
        <f t="shared" si="166"/>
        <v>0</v>
      </c>
      <c r="L475" s="167">
        <f>ROUND(J475*VLOOKUP($A475,'Actual Load'!$A$4:$B$29,2,FALSE)/VLOOKUP($A475,'Projected Zonal Load'!$A$4:$N$29,14,FALSE),0)</f>
        <v>0</v>
      </c>
      <c r="M475" s="61">
        <f t="shared" ref="M475:M497" si="169">IF(NOT(L$40=0),M$4*L475/L$40,0)</f>
        <v>0</v>
      </c>
      <c r="N475" s="167">
        <f t="shared" ref="N475:N497" si="170">+J475</f>
        <v>0</v>
      </c>
      <c r="O475" s="61">
        <f t="shared" ref="O475:O497" si="171">+M475-N475</f>
        <v>0</v>
      </c>
      <c r="P475" s="61">
        <f t="shared" ref="P475:P497" si="172">+K475+O475</f>
        <v>0</v>
      </c>
      <c r="Q475" s="62">
        <f>+H475*Interest!$D$23</f>
        <v>0</v>
      </c>
      <c r="R475" s="63">
        <f t="shared" ref="R475:R497" si="173">+P475+Q475</f>
        <v>0</v>
      </c>
    </row>
    <row r="476" spans="1:18">
      <c r="A476" s="30" t="s">
        <v>23</v>
      </c>
      <c r="B476" s="21"/>
      <c r="C476" s="22"/>
      <c r="D476" s="23">
        <v>0</v>
      </c>
      <c r="E476" s="24">
        <v>0</v>
      </c>
      <c r="F476" s="25">
        <v>0</v>
      </c>
      <c r="G476" s="24">
        <v>0</v>
      </c>
      <c r="H476" s="27">
        <v>0</v>
      </c>
      <c r="I476" s="31">
        <v>0</v>
      </c>
      <c r="J476" s="29">
        <f t="shared" ref="J476:J497" si="174">H476*I$503</f>
        <v>0</v>
      </c>
      <c r="K476" s="61">
        <f t="shared" si="166"/>
        <v>0</v>
      </c>
      <c r="L476" s="167">
        <f>ROUND(J476*VLOOKUP($A476,'Actual Load'!$A$4:$B$29,2,FALSE)/VLOOKUP($A476,'Projected Zonal Load'!$A$4:$N$29,14,FALSE),0)</f>
        <v>0</v>
      </c>
      <c r="M476" s="61">
        <f t="shared" si="169"/>
        <v>0</v>
      </c>
      <c r="N476" s="167">
        <f t="shared" si="170"/>
        <v>0</v>
      </c>
      <c r="O476" s="61">
        <f t="shared" si="171"/>
        <v>0</v>
      </c>
      <c r="P476" s="61">
        <f t="shared" si="172"/>
        <v>0</v>
      </c>
      <c r="Q476" s="62">
        <f>+H476*Interest!$D$23</f>
        <v>0</v>
      </c>
      <c r="R476" s="63">
        <f t="shared" si="173"/>
        <v>0</v>
      </c>
    </row>
    <row r="477" spans="1:18">
      <c r="A477" s="30" t="s">
        <v>24</v>
      </c>
      <c r="B477" s="21"/>
      <c r="C477" s="22"/>
      <c r="D477" s="23">
        <v>0</v>
      </c>
      <c r="E477" s="24">
        <v>0</v>
      </c>
      <c r="F477" s="25">
        <v>0</v>
      </c>
      <c r="G477" s="24">
        <v>0</v>
      </c>
      <c r="H477" s="27">
        <v>0</v>
      </c>
      <c r="I477" s="31">
        <v>0</v>
      </c>
      <c r="J477" s="29">
        <f t="shared" si="174"/>
        <v>0</v>
      </c>
      <c r="K477" s="61">
        <f t="shared" si="166"/>
        <v>0</v>
      </c>
      <c r="L477" s="167">
        <f>ROUND(J477*VLOOKUP($A477,'Actual Load'!$A$4:$B$29,2,FALSE)/VLOOKUP($A477,'Projected Zonal Load'!$A$4:$N$29,14,FALSE),0)</f>
        <v>0</v>
      </c>
      <c r="M477" s="61">
        <f t="shared" si="169"/>
        <v>0</v>
      </c>
      <c r="N477" s="167">
        <f t="shared" si="170"/>
        <v>0</v>
      </c>
      <c r="O477" s="61">
        <f t="shared" si="171"/>
        <v>0</v>
      </c>
      <c r="P477" s="61">
        <f t="shared" si="172"/>
        <v>0</v>
      </c>
      <c r="Q477" s="62">
        <f>+H477*Interest!$D$23</f>
        <v>0</v>
      </c>
      <c r="R477" s="63">
        <f t="shared" si="173"/>
        <v>0</v>
      </c>
    </row>
    <row r="478" spans="1:18">
      <c r="A478" s="30" t="s">
        <v>25</v>
      </c>
      <c r="B478" s="21"/>
      <c r="C478" s="22"/>
      <c r="D478" s="23">
        <v>0</v>
      </c>
      <c r="E478" s="24">
        <v>0</v>
      </c>
      <c r="F478" s="25">
        <v>0</v>
      </c>
      <c r="G478" s="24">
        <v>0</v>
      </c>
      <c r="H478" s="27">
        <v>0</v>
      </c>
      <c r="I478" s="31">
        <v>0</v>
      </c>
      <c r="J478" s="29">
        <f t="shared" si="174"/>
        <v>0</v>
      </c>
      <c r="K478" s="61">
        <f t="shared" si="166"/>
        <v>0</v>
      </c>
      <c r="L478" s="167">
        <f>ROUND(J478*VLOOKUP($A478,'Actual Load'!$A$4:$B$29,2,FALSE)/VLOOKUP($A478,'Projected Zonal Load'!$A$4:$N$29,14,FALSE),0)</f>
        <v>0</v>
      </c>
      <c r="M478" s="61">
        <f t="shared" si="169"/>
        <v>0</v>
      </c>
      <c r="N478" s="167">
        <f t="shared" si="170"/>
        <v>0</v>
      </c>
      <c r="O478" s="61">
        <f t="shared" si="171"/>
        <v>0</v>
      </c>
      <c r="P478" s="61">
        <f t="shared" si="172"/>
        <v>0</v>
      </c>
      <c r="Q478" s="62">
        <f>+H478*Interest!$D$23</f>
        <v>0</v>
      </c>
      <c r="R478" s="63">
        <f t="shared" si="173"/>
        <v>0</v>
      </c>
    </row>
    <row r="479" spans="1:18">
      <c r="A479" s="30" t="s">
        <v>26</v>
      </c>
      <c r="B479" s="21"/>
      <c r="C479" s="22"/>
      <c r="D479" s="23">
        <v>0</v>
      </c>
      <c r="E479" s="24">
        <v>0</v>
      </c>
      <c r="F479" s="25">
        <v>0</v>
      </c>
      <c r="G479" s="24">
        <v>0</v>
      </c>
      <c r="H479" s="27">
        <v>0</v>
      </c>
      <c r="I479" s="31">
        <v>0</v>
      </c>
      <c r="J479" s="29">
        <f t="shared" si="174"/>
        <v>0</v>
      </c>
      <c r="K479" s="61">
        <f t="shared" si="166"/>
        <v>0</v>
      </c>
      <c r="L479" s="167">
        <f>ROUND(J479*VLOOKUP($A479,'Actual Load'!$A$4:$B$29,2,FALSE)/VLOOKUP($A479,'Projected Zonal Load'!$A$4:$N$29,14,FALSE),0)</f>
        <v>0</v>
      </c>
      <c r="M479" s="61">
        <f t="shared" si="169"/>
        <v>0</v>
      </c>
      <c r="N479" s="167">
        <f t="shared" si="170"/>
        <v>0</v>
      </c>
      <c r="O479" s="61">
        <f t="shared" si="171"/>
        <v>0</v>
      </c>
      <c r="P479" s="61">
        <f t="shared" si="172"/>
        <v>0</v>
      </c>
      <c r="Q479" s="62">
        <f>+H479*Interest!$D$23</f>
        <v>0</v>
      </c>
      <c r="R479" s="63">
        <f t="shared" si="173"/>
        <v>0</v>
      </c>
    </row>
    <row r="480" spans="1:18">
      <c r="A480" s="30" t="s">
        <v>27</v>
      </c>
      <c r="B480" s="21"/>
      <c r="C480" s="22"/>
      <c r="D480" s="23">
        <v>0</v>
      </c>
      <c r="E480" s="24">
        <v>0</v>
      </c>
      <c r="F480" s="25">
        <v>0</v>
      </c>
      <c r="G480" s="24">
        <v>0</v>
      </c>
      <c r="H480" s="27">
        <v>0</v>
      </c>
      <c r="I480" s="31">
        <v>0</v>
      </c>
      <c r="J480" s="29">
        <f t="shared" si="174"/>
        <v>0</v>
      </c>
      <c r="K480" s="61">
        <f t="shared" si="166"/>
        <v>0</v>
      </c>
      <c r="L480" s="167">
        <f>ROUND(J480*VLOOKUP($A480,'Actual Load'!$A$4:$B$29,2,FALSE)/VLOOKUP($A480,'Projected Zonal Load'!$A$4:$N$29,14,FALSE),0)</f>
        <v>0</v>
      </c>
      <c r="M480" s="61">
        <f t="shared" si="169"/>
        <v>0</v>
      </c>
      <c r="N480" s="167">
        <f t="shared" si="170"/>
        <v>0</v>
      </c>
      <c r="O480" s="61">
        <f t="shared" si="171"/>
        <v>0</v>
      </c>
      <c r="P480" s="61">
        <f t="shared" si="172"/>
        <v>0</v>
      </c>
      <c r="Q480" s="62">
        <f>+H480*Interest!$D$23</f>
        <v>0</v>
      </c>
      <c r="R480" s="63">
        <f t="shared" si="173"/>
        <v>0</v>
      </c>
    </row>
    <row r="481" spans="1:18" ht="15.75" customHeight="1">
      <c r="A481" s="30" t="s">
        <v>28</v>
      </c>
      <c r="B481" s="21"/>
      <c r="C481" s="22"/>
      <c r="D481" s="23">
        <v>0</v>
      </c>
      <c r="E481" s="24">
        <v>0</v>
      </c>
      <c r="F481" s="25">
        <v>0</v>
      </c>
      <c r="G481" s="24">
        <v>0</v>
      </c>
      <c r="H481" s="27">
        <v>0</v>
      </c>
      <c r="I481" s="31">
        <v>0</v>
      </c>
      <c r="J481" s="29">
        <f t="shared" si="174"/>
        <v>0</v>
      </c>
      <c r="K481" s="61">
        <f t="shared" si="166"/>
        <v>0</v>
      </c>
      <c r="L481" s="167">
        <f>ROUND(J481*VLOOKUP($A481,'Actual Load'!$A$4:$B$29,2,FALSE)/VLOOKUP($A481,'Projected Zonal Load'!$A$4:$N$29,14,FALSE),0)</f>
        <v>0</v>
      </c>
      <c r="M481" s="61">
        <f t="shared" si="169"/>
        <v>0</v>
      </c>
      <c r="N481" s="167">
        <f t="shared" si="170"/>
        <v>0</v>
      </c>
      <c r="O481" s="61">
        <f t="shared" si="171"/>
        <v>0</v>
      </c>
      <c r="P481" s="61">
        <f t="shared" si="172"/>
        <v>0</v>
      </c>
      <c r="Q481" s="62">
        <f>+H481*Interest!$D$23</f>
        <v>0</v>
      </c>
      <c r="R481" s="63">
        <f t="shared" si="173"/>
        <v>0</v>
      </c>
    </row>
    <row r="482" spans="1:18">
      <c r="A482" s="30" t="s">
        <v>30</v>
      </c>
      <c r="B482" s="21"/>
      <c r="C482" s="22"/>
      <c r="D482" s="23">
        <v>0</v>
      </c>
      <c r="E482" s="24">
        <v>0</v>
      </c>
      <c r="F482" s="25">
        <v>0</v>
      </c>
      <c r="G482" s="24">
        <v>0</v>
      </c>
      <c r="H482" s="27">
        <v>0</v>
      </c>
      <c r="I482" s="31">
        <v>0</v>
      </c>
      <c r="J482" s="29">
        <f t="shared" si="174"/>
        <v>0</v>
      </c>
      <c r="K482" s="61">
        <f t="shared" si="166"/>
        <v>0</v>
      </c>
      <c r="L482" s="167">
        <f>ROUND(J482*VLOOKUP($A482,'Actual Load'!$A$4:$B$29,2,FALSE)/VLOOKUP($A482,'Projected Zonal Load'!$A$4:$N$29,14,FALSE),0)</f>
        <v>0</v>
      </c>
      <c r="M482" s="61">
        <f t="shared" si="169"/>
        <v>0</v>
      </c>
      <c r="N482" s="167">
        <f t="shared" si="170"/>
        <v>0</v>
      </c>
      <c r="O482" s="61">
        <f t="shared" si="171"/>
        <v>0</v>
      </c>
      <c r="P482" s="61">
        <f t="shared" si="172"/>
        <v>0</v>
      </c>
      <c r="Q482" s="62">
        <f>+H482*Interest!$D$23</f>
        <v>0</v>
      </c>
      <c r="R482" s="63">
        <f t="shared" si="173"/>
        <v>0</v>
      </c>
    </row>
    <row r="483" spans="1:18">
      <c r="A483" s="30" t="s">
        <v>29</v>
      </c>
      <c r="B483" s="21"/>
      <c r="C483" s="22"/>
      <c r="D483" s="23">
        <v>0</v>
      </c>
      <c r="E483" s="24">
        <v>0</v>
      </c>
      <c r="F483" s="25">
        <v>0</v>
      </c>
      <c r="G483" s="24">
        <v>0</v>
      </c>
      <c r="H483" s="27">
        <v>0</v>
      </c>
      <c r="I483" s="31">
        <v>0</v>
      </c>
      <c r="J483" s="29">
        <f t="shared" si="174"/>
        <v>0</v>
      </c>
      <c r="K483" s="61">
        <f t="shared" si="166"/>
        <v>0</v>
      </c>
      <c r="L483" s="167">
        <f>ROUND(J483*VLOOKUP($A483,'Actual Load'!$A$4:$B$29,2,FALSE)/VLOOKUP($A483,'Projected Zonal Load'!$A$4:$N$29,14,FALSE),0)</f>
        <v>0</v>
      </c>
      <c r="M483" s="61">
        <f t="shared" si="169"/>
        <v>0</v>
      </c>
      <c r="N483" s="167">
        <f t="shared" si="170"/>
        <v>0</v>
      </c>
      <c r="O483" s="61">
        <f t="shared" si="171"/>
        <v>0</v>
      </c>
      <c r="P483" s="61">
        <f t="shared" si="172"/>
        <v>0</v>
      </c>
      <c r="Q483" s="62">
        <f>+H483*Interest!$D$23</f>
        <v>0</v>
      </c>
      <c r="R483" s="63">
        <f t="shared" si="173"/>
        <v>0</v>
      </c>
    </row>
    <row r="484" spans="1:18">
      <c r="A484" s="30" t="s">
        <v>72</v>
      </c>
      <c r="B484" s="21"/>
      <c r="C484" s="22"/>
      <c r="D484" s="23">
        <v>0</v>
      </c>
      <c r="E484" s="24">
        <v>0</v>
      </c>
      <c r="F484" s="25">
        <v>0</v>
      </c>
      <c r="G484" s="24">
        <v>0</v>
      </c>
      <c r="H484" s="27">
        <v>0</v>
      </c>
      <c r="I484" s="31">
        <v>0</v>
      </c>
      <c r="J484" s="29">
        <f t="shared" si="174"/>
        <v>0</v>
      </c>
      <c r="K484" s="61">
        <f t="shared" si="166"/>
        <v>0</v>
      </c>
      <c r="L484" s="167">
        <v>0</v>
      </c>
      <c r="M484" s="61">
        <f t="shared" si="169"/>
        <v>0</v>
      </c>
      <c r="N484" s="167">
        <f t="shared" si="170"/>
        <v>0</v>
      </c>
      <c r="O484" s="61">
        <f t="shared" si="171"/>
        <v>0</v>
      </c>
      <c r="P484" s="61">
        <f t="shared" si="172"/>
        <v>0</v>
      </c>
      <c r="Q484" s="62">
        <f>+H484*Interest!$D$23</f>
        <v>0</v>
      </c>
      <c r="R484" s="63">
        <f t="shared" si="173"/>
        <v>0</v>
      </c>
    </row>
    <row r="485" spans="1:18">
      <c r="A485" s="30" t="s">
        <v>73</v>
      </c>
      <c r="B485" s="21"/>
      <c r="C485" s="22"/>
      <c r="D485" s="23">
        <v>0</v>
      </c>
      <c r="E485" s="24">
        <v>0</v>
      </c>
      <c r="F485" s="25">
        <v>0</v>
      </c>
      <c r="G485" s="24">
        <v>0</v>
      </c>
      <c r="H485" s="27">
        <v>0</v>
      </c>
      <c r="I485" s="31">
        <v>0</v>
      </c>
      <c r="J485" s="29">
        <f t="shared" si="174"/>
        <v>0</v>
      </c>
      <c r="K485" s="61">
        <f t="shared" si="166"/>
        <v>0</v>
      </c>
      <c r="L485" s="167">
        <v>0</v>
      </c>
      <c r="M485" s="61">
        <f t="shared" si="169"/>
        <v>0</v>
      </c>
      <c r="N485" s="167">
        <f t="shared" si="170"/>
        <v>0</v>
      </c>
      <c r="O485" s="61">
        <f t="shared" si="171"/>
        <v>0</v>
      </c>
      <c r="P485" s="61">
        <f t="shared" si="172"/>
        <v>0</v>
      </c>
      <c r="Q485" s="62">
        <f>+H485*Interest!$D$23</f>
        <v>0</v>
      </c>
      <c r="R485" s="63">
        <f t="shared" si="173"/>
        <v>0</v>
      </c>
    </row>
    <row r="486" spans="1:18">
      <c r="A486" s="30" t="s">
        <v>31</v>
      </c>
      <c r="B486" s="21"/>
      <c r="C486" s="22"/>
      <c r="D486" s="23">
        <v>0</v>
      </c>
      <c r="E486" s="24">
        <v>0</v>
      </c>
      <c r="F486" s="25">
        <v>0</v>
      </c>
      <c r="G486" s="24">
        <v>0</v>
      </c>
      <c r="H486" s="27">
        <v>0</v>
      </c>
      <c r="I486" s="31">
        <v>0</v>
      </c>
      <c r="J486" s="29">
        <f t="shared" si="174"/>
        <v>0</v>
      </c>
      <c r="K486" s="61">
        <f t="shared" si="166"/>
        <v>0</v>
      </c>
      <c r="L486" s="167">
        <f>ROUND(J486*VLOOKUP($A486,'Actual Load'!$A$4:$B$29,2,FALSE)/VLOOKUP($A486,'Projected Zonal Load'!$A$4:$N$29,14,FALSE),0)</f>
        <v>0</v>
      </c>
      <c r="M486" s="61">
        <f t="shared" si="169"/>
        <v>0</v>
      </c>
      <c r="N486" s="167">
        <f t="shared" si="170"/>
        <v>0</v>
      </c>
      <c r="O486" s="61">
        <f t="shared" si="171"/>
        <v>0</v>
      </c>
      <c r="P486" s="61">
        <f t="shared" si="172"/>
        <v>0</v>
      </c>
      <c r="Q486" s="62">
        <f>+H486*Interest!$D$23</f>
        <v>0</v>
      </c>
      <c r="R486" s="63">
        <f t="shared" si="173"/>
        <v>0</v>
      </c>
    </row>
    <row r="487" spans="1:18">
      <c r="A487" s="30" t="s">
        <v>32</v>
      </c>
      <c r="B487" s="21"/>
      <c r="C487" s="22"/>
      <c r="D487" s="23">
        <v>0</v>
      </c>
      <c r="E487" s="24">
        <v>0</v>
      </c>
      <c r="F487" s="25">
        <v>0</v>
      </c>
      <c r="G487" s="24">
        <v>0</v>
      </c>
      <c r="H487" s="27">
        <v>0</v>
      </c>
      <c r="I487" s="31">
        <v>0</v>
      </c>
      <c r="J487" s="29">
        <f t="shared" si="174"/>
        <v>0</v>
      </c>
      <c r="K487" s="61">
        <f t="shared" si="166"/>
        <v>0</v>
      </c>
      <c r="L487" s="167">
        <f>ROUND(J487*VLOOKUP($A487,'Actual Load'!$A$4:$B$29,2,FALSE)/VLOOKUP($A487,'Projected Zonal Load'!$A$4:$N$29,14,FALSE),0)</f>
        <v>0</v>
      </c>
      <c r="M487" s="61">
        <f t="shared" si="169"/>
        <v>0</v>
      </c>
      <c r="N487" s="167">
        <f t="shared" si="170"/>
        <v>0</v>
      </c>
      <c r="O487" s="61">
        <f t="shared" si="171"/>
        <v>0</v>
      </c>
      <c r="P487" s="61">
        <f t="shared" si="172"/>
        <v>0</v>
      </c>
      <c r="Q487" s="62">
        <f>+H487*Interest!$D$23</f>
        <v>0</v>
      </c>
      <c r="R487" s="63">
        <f t="shared" si="173"/>
        <v>0</v>
      </c>
    </row>
    <row r="488" spans="1:18">
      <c r="A488" s="30" t="s">
        <v>33</v>
      </c>
      <c r="B488" s="21"/>
      <c r="C488" s="22"/>
      <c r="D488" s="23">
        <v>0</v>
      </c>
      <c r="E488" s="24">
        <v>0</v>
      </c>
      <c r="F488" s="25">
        <v>0</v>
      </c>
      <c r="G488" s="24">
        <v>0</v>
      </c>
      <c r="H488" s="27">
        <v>0</v>
      </c>
      <c r="I488" s="31">
        <v>0</v>
      </c>
      <c r="J488" s="29">
        <f t="shared" si="174"/>
        <v>0</v>
      </c>
      <c r="K488" s="61">
        <f t="shared" si="166"/>
        <v>0</v>
      </c>
      <c r="L488" s="167">
        <f>ROUND(J488*VLOOKUP($A488,'Actual Load'!$A$4:$B$29,2,FALSE)/VLOOKUP($A488,'Projected Zonal Load'!$A$4:$N$29,14,FALSE),0)</f>
        <v>0</v>
      </c>
      <c r="M488" s="61">
        <f t="shared" si="169"/>
        <v>0</v>
      </c>
      <c r="N488" s="167">
        <f t="shared" si="170"/>
        <v>0</v>
      </c>
      <c r="O488" s="61">
        <f t="shared" si="171"/>
        <v>0</v>
      </c>
      <c r="P488" s="61">
        <f t="shared" si="172"/>
        <v>0</v>
      </c>
      <c r="Q488" s="62">
        <f>+H488*Interest!$D$23</f>
        <v>0</v>
      </c>
      <c r="R488" s="63">
        <f t="shared" si="173"/>
        <v>0</v>
      </c>
    </row>
    <row r="489" spans="1:18">
      <c r="A489" s="30" t="s">
        <v>34</v>
      </c>
      <c r="B489" s="21"/>
      <c r="C489" s="22"/>
      <c r="D489" s="23">
        <v>0</v>
      </c>
      <c r="E489" s="24">
        <v>0</v>
      </c>
      <c r="F489" s="25">
        <v>0</v>
      </c>
      <c r="G489" s="24">
        <v>0</v>
      </c>
      <c r="H489" s="27">
        <v>0</v>
      </c>
      <c r="I489" s="31">
        <v>0</v>
      </c>
      <c r="J489" s="29">
        <f t="shared" si="174"/>
        <v>0</v>
      </c>
      <c r="K489" s="61">
        <f t="shared" si="166"/>
        <v>0</v>
      </c>
      <c r="L489" s="167">
        <f>ROUND(J489*VLOOKUP($A489,'Actual Load'!$A$4:$B$29,2,FALSE)/VLOOKUP($A489,'Projected Zonal Load'!$A$4:$N$29,14,FALSE),0)</f>
        <v>0</v>
      </c>
      <c r="M489" s="61">
        <f t="shared" si="169"/>
        <v>0</v>
      </c>
      <c r="N489" s="167">
        <f t="shared" si="170"/>
        <v>0</v>
      </c>
      <c r="O489" s="61">
        <f t="shared" si="171"/>
        <v>0</v>
      </c>
      <c r="P489" s="61">
        <f t="shared" si="172"/>
        <v>0</v>
      </c>
      <c r="Q489" s="62">
        <f>+H489*Interest!$D$23</f>
        <v>0</v>
      </c>
      <c r="R489" s="63">
        <f t="shared" si="173"/>
        <v>0</v>
      </c>
    </row>
    <row r="490" spans="1:18">
      <c r="A490" s="30" t="s">
        <v>35</v>
      </c>
      <c r="B490" s="21"/>
      <c r="C490" s="22"/>
      <c r="D490" s="23">
        <v>0</v>
      </c>
      <c r="E490" s="24">
        <v>0</v>
      </c>
      <c r="F490" s="25">
        <v>0</v>
      </c>
      <c r="G490" s="24">
        <v>0</v>
      </c>
      <c r="H490" s="27">
        <v>4.2500000000000003E-2</v>
      </c>
      <c r="I490" s="31">
        <v>0</v>
      </c>
      <c r="J490" s="29">
        <f t="shared" si="174"/>
        <v>2328.8865250000003</v>
      </c>
      <c r="K490" s="61">
        <f t="shared" si="166"/>
        <v>2328.8865250000003</v>
      </c>
      <c r="L490" s="167">
        <f>ROUND(J490*VLOOKUP($A490,'Actual Load'!$A$4:$B$29,2,FALSE)/VLOOKUP($A490,'Projected Zonal Load'!$A$4:$N$29,14,FALSE),0)</f>
        <v>2317</v>
      </c>
      <c r="M490" s="61">
        <f t="shared" si="169"/>
        <v>2446.4653378034172</v>
      </c>
      <c r="N490" s="167">
        <f t="shared" si="170"/>
        <v>2328.8865250000003</v>
      </c>
      <c r="O490" s="61">
        <f t="shared" si="171"/>
        <v>117.57881280341689</v>
      </c>
      <c r="P490" s="61">
        <f t="shared" si="172"/>
        <v>2446.4653378034172</v>
      </c>
      <c r="Q490" s="62">
        <f>+H490*Interest!$D$23</f>
        <v>173.9827940637382</v>
      </c>
      <c r="R490" s="63">
        <f t="shared" si="173"/>
        <v>2620.4481318671556</v>
      </c>
    </row>
    <row r="491" spans="1:18">
      <c r="A491" s="30" t="s">
        <v>36</v>
      </c>
      <c r="B491" s="21"/>
      <c r="C491" s="22"/>
      <c r="D491" s="23">
        <v>0</v>
      </c>
      <c r="E491" s="24">
        <v>0</v>
      </c>
      <c r="F491" s="25">
        <v>0</v>
      </c>
      <c r="G491" s="24">
        <v>0</v>
      </c>
      <c r="H491" s="27">
        <v>0</v>
      </c>
      <c r="I491" s="31">
        <v>0</v>
      </c>
      <c r="J491" s="29">
        <f t="shared" si="174"/>
        <v>0</v>
      </c>
      <c r="K491" s="61">
        <f t="shared" si="166"/>
        <v>0</v>
      </c>
      <c r="L491" s="167">
        <f>ROUND(J491*VLOOKUP($A491,'Actual Load'!$A$4:$B$29,2,FALSE)/VLOOKUP($A491,'Projected Zonal Load'!$A$4:$N$29,14,FALSE),0)</f>
        <v>0</v>
      </c>
      <c r="M491" s="61">
        <f t="shared" si="169"/>
        <v>0</v>
      </c>
      <c r="N491" s="167">
        <f t="shared" si="170"/>
        <v>0</v>
      </c>
      <c r="O491" s="61">
        <f t="shared" si="171"/>
        <v>0</v>
      </c>
      <c r="P491" s="61">
        <f t="shared" si="172"/>
        <v>0</v>
      </c>
      <c r="Q491" s="62">
        <f>+H491*Interest!$D$23</f>
        <v>0</v>
      </c>
      <c r="R491" s="63">
        <f t="shared" si="173"/>
        <v>0</v>
      </c>
    </row>
    <row r="492" spans="1:18">
      <c r="A492" s="30" t="s">
        <v>37</v>
      </c>
      <c r="B492" s="21"/>
      <c r="C492" s="22"/>
      <c r="D492" s="23">
        <v>0</v>
      </c>
      <c r="E492" s="24">
        <v>0</v>
      </c>
      <c r="F492" s="25">
        <v>0</v>
      </c>
      <c r="G492" s="24">
        <v>0</v>
      </c>
      <c r="H492" s="27">
        <v>1.8E-3</v>
      </c>
      <c r="I492" s="31">
        <f>H492*C466</f>
        <v>2367</v>
      </c>
      <c r="J492" s="29">
        <f t="shared" si="174"/>
        <v>98.635193999999998</v>
      </c>
      <c r="K492" s="61">
        <f t="shared" si="166"/>
        <v>98.635193999999998</v>
      </c>
      <c r="L492" s="167">
        <f>ROUND(J492*VLOOKUP($A492,'Actual Load'!$A$4:$B$29,2,FALSE)/VLOOKUP($A492,'Projected Zonal Load'!$A$4:$N$29,14,FALSE),0)</f>
        <v>98</v>
      </c>
      <c r="M492" s="61">
        <f>IF(NOT(L$40=0),M$4*L492/L$40,0)</f>
        <v>103.47587531494817</v>
      </c>
      <c r="N492" s="167">
        <f t="shared" si="170"/>
        <v>98.635193999999998</v>
      </c>
      <c r="O492" s="61">
        <f t="shared" si="171"/>
        <v>4.8406813149481707</v>
      </c>
      <c r="P492" s="61">
        <f t="shared" si="172"/>
        <v>103.47587531494817</v>
      </c>
      <c r="Q492" s="62">
        <f>+H492*Interest!$D$23</f>
        <v>7.3686830426994998</v>
      </c>
      <c r="R492" s="63">
        <f t="shared" si="173"/>
        <v>110.84455835764767</v>
      </c>
    </row>
    <row r="493" spans="1:18">
      <c r="A493" s="30" t="s">
        <v>38</v>
      </c>
      <c r="B493" s="21"/>
      <c r="C493" s="22"/>
      <c r="D493" s="23">
        <v>0</v>
      </c>
      <c r="E493" s="24">
        <v>0</v>
      </c>
      <c r="F493" s="25">
        <v>0</v>
      </c>
      <c r="G493" s="24">
        <v>0</v>
      </c>
      <c r="H493" s="27">
        <v>0.95569999999999999</v>
      </c>
      <c r="I493" s="31">
        <v>0</v>
      </c>
      <c r="J493" s="29">
        <f t="shared" si="174"/>
        <v>52369.808280999998</v>
      </c>
      <c r="K493" s="61">
        <f t="shared" si="166"/>
        <v>52369.808280999998</v>
      </c>
      <c r="L493" s="167">
        <f>ROUND(J493*VLOOKUP($A493,'Actual Load'!$A$4:$B$29,2,FALSE)/VLOOKUP($A493,'Projected Zonal Load'!$A$4:$N$29,14,FALSE),0)</f>
        <v>56611</v>
      </c>
      <c r="M493" s="61">
        <f t="shared" si="169"/>
        <v>59774.212014842145</v>
      </c>
      <c r="N493" s="167">
        <f t="shared" si="170"/>
        <v>52369.808280999998</v>
      </c>
      <c r="O493" s="61">
        <f t="shared" si="171"/>
        <v>7404.4037338421476</v>
      </c>
      <c r="P493" s="61">
        <f t="shared" si="172"/>
        <v>59774.212014842145</v>
      </c>
      <c r="Q493" s="62">
        <f>+H493*Interest!$D$23</f>
        <v>3912.3613243932841</v>
      </c>
      <c r="R493" s="63">
        <f t="shared" si="173"/>
        <v>63686.57333923543</v>
      </c>
    </row>
    <row r="494" spans="1:18">
      <c r="A494" s="226" t="s">
        <v>39</v>
      </c>
      <c r="B494" s="21"/>
      <c r="C494" s="22"/>
      <c r="D494" s="23">
        <v>0</v>
      </c>
      <c r="E494" s="24">
        <v>0</v>
      </c>
      <c r="F494" s="25">
        <v>0</v>
      </c>
      <c r="G494" s="24">
        <v>0</v>
      </c>
      <c r="H494" s="27">
        <v>0</v>
      </c>
      <c r="I494" s="31">
        <v>0</v>
      </c>
      <c r="J494" s="29">
        <f t="shared" si="174"/>
        <v>0</v>
      </c>
      <c r="K494" s="61">
        <f t="shared" si="166"/>
        <v>0</v>
      </c>
      <c r="L494" s="167">
        <f>ROUND(J494*VLOOKUP($A494,'Actual Load'!$A$4:$B$29,2,FALSE)/VLOOKUP($A494,'Projected Zonal Load'!$A$4:$N$29,14,FALSE),0)</f>
        <v>0</v>
      </c>
      <c r="M494" s="61">
        <f t="shared" si="169"/>
        <v>0</v>
      </c>
      <c r="N494" s="167">
        <f t="shared" si="170"/>
        <v>0</v>
      </c>
      <c r="O494" s="61">
        <f t="shared" si="171"/>
        <v>0</v>
      </c>
      <c r="P494" s="61">
        <f t="shared" si="172"/>
        <v>0</v>
      </c>
      <c r="Q494" s="62">
        <f>+H494*Interest!$D$23</f>
        <v>0</v>
      </c>
      <c r="R494" s="63">
        <f t="shared" si="173"/>
        <v>0</v>
      </c>
    </row>
    <row r="495" spans="1:18">
      <c r="A495" s="226" t="s">
        <v>96</v>
      </c>
      <c r="B495" s="21"/>
      <c r="C495" s="22"/>
      <c r="D495" s="23">
        <v>0</v>
      </c>
      <c r="E495" s="24">
        <v>0</v>
      </c>
      <c r="F495" s="25">
        <v>0</v>
      </c>
      <c r="G495" s="24">
        <v>0</v>
      </c>
      <c r="H495" s="27">
        <v>0</v>
      </c>
      <c r="I495" s="31">
        <v>0</v>
      </c>
      <c r="J495" s="29">
        <f t="shared" si="174"/>
        <v>0</v>
      </c>
      <c r="K495" s="61">
        <f t="shared" si="166"/>
        <v>0</v>
      </c>
      <c r="L495" s="167">
        <f>ROUND(J495*VLOOKUP($A495,'Actual Load'!$A$4:$B$29,2,FALSE)/VLOOKUP($A495,'Projected Zonal Load'!$A$4:$N$29,14,FALSE),0)</f>
        <v>0</v>
      </c>
      <c r="M495" s="61">
        <f t="shared" si="169"/>
        <v>0</v>
      </c>
      <c r="N495" s="167">
        <f t="shared" si="170"/>
        <v>0</v>
      </c>
      <c r="O495" s="61">
        <f t="shared" si="171"/>
        <v>0</v>
      </c>
      <c r="P495" s="61">
        <f t="shared" si="172"/>
        <v>0</v>
      </c>
      <c r="Q495" s="62">
        <f>+H495*Interest!$D$23</f>
        <v>0</v>
      </c>
      <c r="R495" s="63">
        <f t="shared" si="173"/>
        <v>0</v>
      </c>
    </row>
    <row r="496" spans="1:18">
      <c r="A496" s="226" t="s">
        <v>97</v>
      </c>
      <c r="B496" s="21"/>
      <c r="C496" s="22"/>
      <c r="D496" s="23">
        <v>0</v>
      </c>
      <c r="E496" s="24">
        <v>0</v>
      </c>
      <c r="F496" s="25">
        <v>0</v>
      </c>
      <c r="G496" s="24">
        <v>0</v>
      </c>
      <c r="H496" s="27">
        <v>0</v>
      </c>
      <c r="I496" s="31">
        <v>0</v>
      </c>
      <c r="J496" s="29">
        <f t="shared" si="174"/>
        <v>0</v>
      </c>
      <c r="K496" s="61">
        <f t="shared" si="166"/>
        <v>0</v>
      </c>
      <c r="L496" s="167">
        <f>ROUND(J496*VLOOKUP($A496,'Actual Load'!$A$4:$B$29,2,FALSE)/VLOOKUP($A496,'Projected Zonal Load'!$A$4:$N$29,14,FALSE),0)</f>
        <v>0</v>
      </c>
      <c r="M496" s="61">
        <f t="shared" si="169"/>
        <v>0</v>
      </c>
      <c r="N496" s="167">
        <f t="shared" si="170"/>
        <v>0</v>
      </c>
      <c r="O496" s="61">
        <f t="shared" si="171"/>
        <v>0</v>
      </c>
      <c r="P496" s="61">
        <f t="shared" si="172"/>
        <v>0</v>
      </c>
      <c r="Q496" s="62">
        <f>+H496*Interest!$D$23</f>
        <v>0</v>
      </c>
      <c r="R496" s="63">
        <f t="shared" si="173"/>
        <v>0</v>
      </c>
    </row>
    <row r="497" spans="1:18">
      <c r="A497" s="32" t="s">
        <v>98</v>
      </c>
      <c r="B497" s="21"/>
      <c r="C497" s="22"/>
      <c r="D497" s="23">
        <v>0</v>
      </c>
      <c r="E497" s="24">
        <v>0</v>
      </c>
      <c r="F497" s="229">
        <v>0</v>
      </c>
      <c r="G497" s="33">
        <v>0</v>
      </c>
      <c r="H497" s="227">
        <v>0</v>
      </c>
      <c r="I497" s="35">
        <v>0</v>
      </c>
      <c r="J497" s="228">
        <f t="shared" si="174"/>
        <v>0</v>
      </c>
      <c r="K497" s="61">
        <f t="shared" si="166"/>
        <v>0</v>
      </c>
      <c r="L497" s="167">
        <f>ROUND(J497*VLOOKUP($A497,'Actual Load'!$A$4:$B$29,2,FALSE)/VLOOKUP($A497,'Projected Zonal Load'!$A$4:$N$29,14,FALSE),0)</f>
        <v>0</v>
      </c>
      <c r="M497" s="61">
        <f t="shared" si="169"/>
        <v>0</v>
      </c>
      <c r="N497" s="167">
        <f t="shared" si="170"/>
        <v>0</v>
      </c>
      <c r="O497" s="61">
        <f t="shared" si="171"/>
        <v>0</v>
      </c>
      <c r="P497" s="61">
        <f t="shared" si="172"/>
        <v>0</v>
      </c>
      <c r="Q497" s="62">
        <f>+H497*Interest!$D$23</f>
        <v>0</v>
      </c>
      <c r="R497" s="63">
        <f t="shared" si="173"/>
        <v>0</v>
      </c>
    </row>
    <row r="498" spans="1:18">
      <c r="A498" s="36"/>
      <c r="B498" s="37"/>
      <c r="C498" s="38"/>
      <c r="D498" s="39">
        <v>0</v>
      </c>
      <c r="E498" s="40">
        <v>0</v>
      </c>
      <c r="F498" s="42">
        <v>1</v>
      </c>
      <c r="G498" s="43">
        <v>0</v>
      </c>
      <c r="H498" s="42">
        <v>1</v>
      </c>
      <c r="I498" s="43">
        <f t="shared" ref="I498:P498" si="175">SUM(I472:I497)</f>
        <v>2367</v>
      </c>
      <c r="J498" s="43">
        <f t="shared" si="175"/>
        <v>54797.33</v>
      </c>
      <c r="K498" s="64">
        <f t="shared" si="175"/>
        <v>54797.33</v>
      </c>
      <c r="L498" s="171">
        <f t="shared" si="175"/>
        <v>59026</v>
      </c>
      <c r="M498" s="65">
        <f t="shared" si="175"/>
        <v>62324.153227960509</v>
      </c>
      <c r="N498" s="171">
        <f t="shared" si="175"/>
        <v>54797.33</v>
      </c>
      <c r="O498" s="65">
        <f t="shared" si="175"/>
        <v>7526.8232279605127</v>
      </c>
      <c r="P498" s="65">
        <f t="shared" si="175"/>
        <v>62324.153227960509</v>
      </c>
      <c r="Q498" s="65">
        <f t="shared" ref="Q498:R498" si="176">SUM(Q472:Q497)</f>
        <v>4093.712801499722</v>
      </c>
      <c r="R498" s="66">
        <f t="shared" si="176"/>
        <v>66417.86602946023</v>
      </c>
    </row>
    <row r="499" spans="1:18">
      <c r="H499" s="45"/>
      <c r="I499" s="46"/>
    </row>
    <row r="500" spans="1:18">
      <c r="A500" s="47" t="s">
        <v>137</v>
      </c>
    </row>
    <row r="501" spans="1:18">
      <c r="H501" s="194" t="s">
        <v>187</v>
      </c>
      <c r="I501" s="196">
        <v>54797.33</v>
      </c>
      <c r="K501" s="67"/>
      <c r="L501" s="194" t="s">
        <v>190</v>
      </c>
      <c r="M501" s="196">
        <v>0</v>
      </c>
      <c r="N501" s="164" t="s">
        <v>220</v>
      </c>
      <c r="O501" s="67"/>
      <c r="P501" s="67"/>
      <c r="Q501" s="67"/>
      <c r="R501" s="67"/>
    </row>
    <row r="502" spans="1:18">
      <c r="H502" s="161" t="s">
        <v>189</v>
      </c>
      <c r="I502" s="196">
        <v>0</v>
      </c>
      <c r="K502" s="67"/>
      <c r="L502" s="161" t="s">
        <v>189</v>
      </c>
      <c r="M502" s="196">
        <v>0</v>
      </c>
      <c r="O502" s="67"/>
      <c r="P502" s="67"/>
      <c r="Q502" s="67"/>
      <c r="R502" s="67"/>
    </row>
    <row r="503" spans="1:18">
      <c r="G503" s="67"/>
      <c r="H503" s="195" t="s">
        <v>188</v>
      </c>
      <c r="I503" s="197">
        <f>SUM(I501:I502)</f>
        <v>54797.33</v>
      </c>
      <c r="J503" s="225" t="s">
        <v>137</v>
      </c>
      <c r="K503" s="198"/>
      <c r="L503" s="195" t="s">
        <v>188</v>
      </c>
      <c r="M503" s="197">
        <f>SUM(M501:M502)</f>
        <v>0</v>
      </c>
      <c r="O503" s="198" t="s">
        <v>137</v>
      </c>
      <c r="P503" s="67"/>
      <c r="Q503" s="67"/>
      <c r="R503" s="67"/>
    </row>
    <row r="504" spans="1:18">
      <c r="I504" s="49"/>
    </row>
  </sheetData>
  <mergeCells count="195">
    <mergeCell ref="A466:B466"/>
    <mergeCell ref="C466:H466"/>
    <mergeCell ref="A467:B467"/>
    <mergeCell ref="C467:H467"/>
    <mergeCell ref="L468:O468"/>
    <mergeCell ref="D469:E469"/>
    <mergeCell ref="F469:G469"/>
    <mergeCell ref="L469:M469"/>
    <mergeCell ref="D470:E470"/>
    <mergeCell ref="F470:G470"/>
    <mergeCell ref="H470:I470"/>
    <mergeCell ref="D426:E426"/>
    <mergeCell ref="F426:G426"/>
    <mergeCell ref="H426:I426"/>
    <mergeCell ref="A462:B462"/>
    <mergeCell ref="C462:H462"/>
    <mergeCell ref="A464:B464"/>
    <mergeCell ref="C464:H464"/>
    <mergeCell ref="A465:B465"/>
    <mergeCell ref="C465:H465"/>
    <mergeCell ref="A421:B421"/>
    <mergeCell ref="C421:H421"/>
    <mergeCell ref="A422:B422"/>
    <mergeCell ref="C422:H422"/>
    <mergeCell ref="A423:B423"/>
    <mergeCell ref="C423:H423"/>
    <mergeCell ref="L424:O424"/>
    <mergeCell ref="D425:E425"/>
    <mergeCell ref="F425:G425"/>
    <mergeCell ref="L425:M425"/>
    <mergeCell ref="D381:E381"/>
    <mergeCell ref="F381:G381"/>
    <mergeCell ref="L381:M381"/>
    <mergeCell ref="D382:E382"/>
    <mergeCell ref="F382:G382"/>
    <mergeCell ref="H382:I382"/>
    <mergeCell ref="A418:B418"/>
    <mergeCell ref="C418:H418"/>
    <mergeCell ref="A420:B420"/>
    <mergeCell ref="C420:H420"/>
    <mergeCell ref="A376:B376"/>
    <mergeCell ref="C376:H376"/>
    <mergeCell ref="A377:B377"/>
    <mergeCell ref="C377:H377"/>
    <mergeCell ref="A378:B378"/>
    <mergeCell ref="C378:H378"/>
    <mergeCell ref="A379:B379"/>
    <mergeCell ref="C379:H379"/>
    <mergeCell ref="L380:O380"/>
    <mergeCell ref="L336:O336"/>
    <mergeCell ref="D337:E337"/>
    <mergeCell ref="F337:G337"/>
    <mergeCell ref="L337:M337"/>
    <mergeCell ref="D338:E338"/>
    <mergeCell ref="F338:G338"/>
    <mergeCell ref="H338:I338"/>
    <mergeCell ref="A374:B374"/>
    <mergeCell ref="C374:H374"/>
    <mergeCell ref="A330:B330"/>
    <mergeCell ref="C330:H330"/>
    <mergeCell ref="A332:B332"/>
    <mergeCell ref="C332:H332"/>
    <mergeCell ref="A333:B333"/>
    <mergeCell ref="C333:H333"/>
    <mergeCell ref="A334:B334"/>
    <mergeCell ref="C334:H334"/>
    <mergeCell ref="A335:B335"/>
    <mergeCell ref="C335:H335"/>
    <mergeCell ref="D8:J8"/>
    <mergeCell ref="L10:O10"/>
    <mergeCell ref="D11:E11"/>
    <mergeCell ref="F11:G11"/>
    <mergeCell ref="L11:M11"/>
    <mergeCell ref="D12:E12"/>
    <mergeCell ref="F12:G12"/>
    <mergeCell ref="H12:I12"/>
    <mergeCell ref="L215:M215"/>
    <mergeCell ref="L257:O257"/>
    <mergeCell ref="L258:M258"/>
    <mergeCell ref="L297:O297"/>
    <mergeCell ref="L298:M298"/>
    <mergeCell ref="D299:E299"/>
    <mergeCell ref="F299:G299"/>
    <mergeCell ref="H299:I299"/>
    <mergeCell ref="L92:O92"/>
    <mergeCell ref="L93:M93"/>
    <mergeCell ref="L131:O131"/>
    <mergeCell ref="L132:M132"/>
    <mergeCell ref="L173:O173"/>
    <mergeCell ref="L174:M174"/>
    <mergeCell ref="L214:O214"/>
    <mergeCell ref="D215:E215"/>
    <mergeCell ref="F215:G215"/>
    <mergeCell ref="D216:E216"/>
    <mergeCell ref="F216:G216"/>
    <mergeCell ref="H216:I216"/>
    <mergeCell ref="D93:E93"/>
    <mergeCell ref="F93:G93"/>
    <mergeCell ref="D94:E94"/>
    <mergeCell ref="F94:G94"/>
    <mergeCell ref="H94:I94"/>
    <mergeCell ref="A295:B295"/>
    <mergeCell ref="C295:H295"/>
    <mergeCell ref="A296:B296"/>
    <mergeCell ref="C296:H296"/>
    <mergeCell ref="D298:E298"/>
    <mergeCell ref="F298:G298"/>
    <mergeCell ref="A291:B291"/>
    <mergeCell ref="C291:H291"/>
    <mergeCell ref="A293:B293"/>
    <mergeCell ref="C293:H293"/>
    <mergeCell ref="A294:B294"/>
    <mergeCell ref="C294:H294"/>
    <mergeCell ref="A256:B256"/>
    <mergeCell ref="C256:H256"/>
    <mergeCell ref="D258:E258"/>
    <mergeCell ref="F258:G258"/>
    <mergeCell ref="D259:E259"/>
    <mergeCell ref="F259:G259"/>
    <mergeCell ref="H259:I259"/>
    <mergeCell ref="A253:B253"/>
    <mergeCell ref="C253:H253"/>
    <mergeCell ref="A254:B254"/>
    <mergeCell ref="C254:H254"/>
    <mergeCell ref="A255:B255"/>
    <mergeCell ref="C255:H255"/>
    <mergeCell ref="A251:B251"/>
    <mergeCell ref="C251:H251"/>
    <mergeCell ref="A211:B211"/>
    <mergeCell ref="C211:H211"/>
    <mergeCell ref="A212:B212"/>
    <mergeCell ref="C212:H212"/>
    <mergeCell ref="A213:B213"/>
    <mergeCell ref="C213:H213"/>
    <mergeCell ref="F174:G174"/>
    <mergeCell ref="H175:I175"/>
    <mergeCell ref="A208:B208"/>
    <mergeCell ref="C208:H208"/>
    <mergeCell ref="A210:B210"/>
    <mergeCell ref="C210:H210"/>
    <mergeCell ref="D175:E175"/>
    <mergeCell ref="F175:G175"/>
    <mergeCell ref="A167:B167"/>
    <mergeCell ref="C167:H167"/>
    <mergeCell ref="A169:B169"/>
    <mergeCell ref="C169:H169"/>
    <mergeCell ref="A170:B170"/>
    <mergeCell ref="C170:H170"/>
    <mergeCell ref="A171:B171"/>
    <mergeCell ref="D174:E174"/>
    <mergeCell ref="C171:H171"/>
    <mergeCell ref="A172:B172"/>
    <mergeCell ref="C172:H172"/>
    <mergeCell ref="A130:B130"/>
    <mergeCell ref="C130:H130"/>
    <mergeCell ref="D132:E132"/>
    <mergeCell ref="F132:G132"/>
    <mergeCell ref="D133:E133"/>
    <mergeCell ref="F133:G133"/>
    <mergeCell ref="H133:I133"/>
    <mergeCell ref="A127:B127"/>
    <mergeCell ref="C127:H127"/>
    <mergeCell ref="A128:B128"/>
    <mergeCell ref="C128:H128"/>
    <mergeCell ref="A129:B129"/>
    <mergeCell ref="C129:H129"/>
    <mergeCell ref="A125:B125"/>
    <mergeCell ref="C125:H125"/>
    <mergeCell ref="A89:B89"/>
    <mergeCell ref="C89:H89"/>
    <mergeCell ref="A90:B90"/>
    <mergeCell ref="C90:H90"/>
    <mergeCell ref="A91:B91"/>
    <mergeCell ref="C91:H91"/>
    <mergeCell ref="L51:O51"/>
    <mergeCell ref="L52:M52"/>
    <mergeCell ref="A86:B86"/>
    <mergeCell ref="C86:H86"/>
    <mergeCell ref="A88:B88"/>
    <mergeCell ref="C88:H88"/>
    <mergeCell ref="D53:E53"/>
    <mergeCell ref="F53:G53"/>
    <mergeCell ref="H53:I53"/>
    <mergeCell ref="A48:B48"/>
    <mergeCell ref="C48:H48"/>
    <mergeCell ref="A49:B49"/>
    <mergeCell ref="C49:H49"/>
    <mergeCell ref="D52:E52"/>
    <mergeCell ref="F52:G52"/>
    <mergeCell ref="A44:B44"/>
    <mergeCell ref="C44:H44"/>
    <mergeCell ref="A46:B46"/>
    <mergeCell ref="C46:H46"/>
    <mergeCell ref="A47:B47"/>
    <mergeCell ref="C47:H47"/>
  </mergeCells>
  <conditionalFormatting sqref="C127:H127 C128 C130 A170:A172 A169:H169 C170:C172 C213 C210:C211">
    <cfRule type="cellIs" dxfId="0" priority="4" stopIfTrue="1" operator="equal">
      <formula>0</formula>
    </cfRule>
  </conditionalFormatting>
  <pageMargins left="0.2" right="0.2" top="0.75" bottom="0.75" header="0.3" footer="0.3"/>
  <pageSetup scale="47" orientation="landscape" r:id="rId1"/>
  <rowBreaks count="11" manualBreakCount="11">
    <brk id="42" max="16383" man="1"/>
    <brk id="83" max="16383" man="1"/>
    <brk id="123" max="16383" man="1"/>
    <brk id="164" max="16383" man="1"/>
    <brk id="206" max="16383" man="1"/>
    <brk id="248" max="16383" man="1"/>
    <brk id="288" max="16383" man="1"/>
    <brk id="328" max="16383" man="1"/>
    <brk id="372" max="16383" man="1"/>
    <brk id="416" max="16383" man="1"/>
    <brk id="4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zoomScaleNormal="100" workbookViewId="0">
      <pane xSplit="1" ySplit="3" topLeftCell="B44" activePane="bottomRight" state="frozen"/>
      <selection activeCell="C97" sqref="C97"/>
      <selection pane="topRight" activeCell="C97" sqref="C97"/>
      <selection pane="bottomLeft" activeCell="C97" sqref="C97"/>
      <selection pane="bottomRight" activeCell="A60" sqref="A60"/>
    </sheetView>
  </sheetViews>
  <sheetFormatPr defaultRowHeight="15"/>
  <cols>
    <col min="1" max="1" width="28.5703125" customWidth="1"/>
    <col min="2" max="2" width="15" customWidth="1"/>
    <col min="3" max="6" width="14.42578125" bestFit="1" customWidth="1"/>
    <col min="7" max="14" width="14.28515625" bestFit="1" customWidth="1"/>
  </cols>
  <sheetData>
    <row r="1" spans="1:15" ht="15.75">
      <c r="A1" s="72" t="s">
        <v>81</v>
      </c>
    </row>
    <row r="2" spans="1:15" ht="15.75">
      <c r="A2" s="72" t="s">
        <v>211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>
      <c r="A3" s="72" t="s">
        <v>212</v>
      </c>
      <c r="B3" s="74" t="s">
        <v>82</v>
      </c>
      <c r="C3" s="74" t="s">
        <v>83</v>
      </c>
      <c r="D3" s="74" t="s">
        <v>84</v>
      </c>
      <c r="E3" s="74" t="s">
        <v>85</v>
      </c>
      <c r="F3" s="74" t="s">
        <v>86</v>
      </c>
      <c r="G3" s="74" t="s">
        <v>87</v>
      </c>
      <c r="H3" s="74" t="s">
        <v>88</v>
      </c>
      <c r="I3" s="74" t="s">
        <v>89</v>
      </c>
      <c r="J3" s="74" t="s">
        <v>90</v>
      </c>
      <c r="K3" s="74" t="s">
        <v>91</v>
      </c>
      <c r="L3" s="74" t="s">
        <v>92</v>
      </c>
      <c r="M3" s="74" t="s">
        <v>93</v>
      </c>
      <c r="N3" s="74" t="s">
        <v>94</v>
      </c>
      <c r="O3" s="73"/>
    </row>
    <row r="4" spans="1:15" ht="15.75">
      <c r="A4" s="75" t="s">
        <v>27</v>
      </c>
      <c r="B4" s="76">
        <f t="shared" ref="B4:F4" si="0">+B63</f>
        <v>2863000</v>
      </c>
      <c r="C4" s="76">
        <f t="shared" si="0"/>
        <v>2863000</v>
      </c>
      <c r="D4" s="76">
        <f t="shared" si="0"/>
        <v>2863000</v>
      </c>
      <c r="E4" s="76">
        <f t="shared" si="0"/>
        <v>2863000</v>
      </c>
      <c r="F4" s="76">
        <f t="shared" si="0"/>
        <v>2863000</v>
      </c>
      <c r="G4" s="76">
        <f>+G63</f>
        <v>2863000</v>
      </c>
      <c r="H4" s="76">
        <f t="shared" ref="H4:M4" si="1">+H63</f>
        <v>2863000</v>
      </c>
      <c r="I4" s="76">
        <f t="shared" si="1"/>
        <v>2863000</v>
      </c>
      <c r="J4" s="76">
        <f t="shared" si="1"/>
        <v>2863000</v>
      </c>
      <c r="K4" s="76">
        <f t="shared" si="1"/>
        <v>2863000</v>
      </c>
      <c r="L4" s="76">
        <f t="shared" si="1"/>
        <v>2863000</v>
      </c>
      <c r="M4" s="76">
        <f t="shared" si="1"/>
        <v>2863000</v>
      </c>
      <c r="N4" s="77">
        <f>SUM(B4:M4)/12</f>
        <v>2863000</v>
      </c>
      <c r="O4" s="73"/>
    </row>
    <row r="5" spans="1:15" ht="15.75">
      <c r="A5" s="75" t="s">
        <v>33</v>
      </c>
      <c r="B5" s="78">
        <v>9787401</v>
      </c>
      <c r="C5" s="79">
        <f>+B5</f>
        <v>9787401</v>
      </c>
      <c r="D5" s="79">
        <f t="shared" ref="D5:M5" si="2">+C5</f>
        <v>9787401</v>
      </c>
      <c r="E5" s="79">
        <f t="shared" si="2"/>
        <v>9787401</v>
      </c>
      <c r="F5" s="79">
        <f t="shared" si="2"/>
        <v>9787401</v>
      </c>
      <c r="G5" s="79">
        <f t="shared" si="2"/>
        <v>9787401</v>
      </c>
      <c r="H5" s="79">
        <f t="shared" si="2"/>
        <v>9787401</v>
      </c>
      <c r="I5" s="79">
        <f t="shared" si="2"/>
        <v>9787401</v>
      </c>
      <c r="J5" s="79">
        <f t="shared" si="2"/>
        <v>9787401</v>
      </c>
      <c r="K5" s="79">
        <f t="shared" si="2"/>
        <v>9787401</v>
      </c>
      <c r="L5" s="79">
        <f t="shared" si="2"/>
        <v>9787401</v>
      </c>
      <c r="M5" s="79">
        <f t="shared" si="2"/>
        <v>9787401</v>
      </c>
      <c r="N5" s="77">
        <f t="shared" ref="N5:N29" si="3">SUM(B5:M5)/12</f>
        <v>9787401</v>
      </c>
      <c r="O5" s="73"/>
    </row>
    <row r="6" spans="1:15" ht="15.75">
      <c r="A6" s="75" t="s">
        <v>29</v>
      </c>
      <c r="B6" s="78">
        <v>6544917</v>
      </c>
      <c r="C6" s="78">
        <v>6544917</v>
      </c>
      <c r="D6" s="78">
        <v>6544917</v>
      </c>
      <c r="E6" s="78">
        <v>6544917</v>
      </c>
      <c r="F6" s="78">
        <v>6544917</v>
      </c>
      <c r="G6" s="78">
        <v>7188902</v>
      </c>
      <c r="H6" s="78">
        <v>7188902</v>
      </c>
      <c r="I6" s="78">
        <v>7188902</v>
      </c>
      <c r="J6" s="78">
        <v>7188902</v>
      </c>
      <c r="K6" s="78">
        <v>7188902</v>
      </c>
      <c r="L6" s="78">
        <v>7188902</v>
      </c>
      <c r="M6" s="78">
        <v>7188902</v>
      </c>
      <c r="N6" s="77">
        <f t="shared" si="3"/>
        <v>6920574.916666667</v>
      </c>
      <c r="O6" s="73"/>
    </row>
    <row r="7" spans="1:15" ht="15.75">
      <c r="A7" s="75" t="s">
        <v>30</v>
      </c>
      <c r="B7" s="78">
        <v>6407001</v>
      </c>
      <c r="C7" s="78">
        <v>6407001</v>
      </c>
      <c r="D7" s="78">
        <v>6407001</v>
      </c>
      <c r="E7" s="78">
        <v>6407001</v>
      </c>
      <c r="F7" s="78">
        <v>6407001</v>
      </c>
      <c r="G7" s="78">
        <v>7033954</v>
      </c>
      <c r="H7" s="78">
        <v>7033954</v>
      </c>
      <c r="I7" s="78">
        <v>7033954</v>
      </c>
      <c r="J7" s="78">
        <v>7033954</v>
      </c>
      <c r="K7" s="78">
        <v>7033954</v>
      </c>
      <c r="L7" s="78">
        <v>7033954</v>
      </c>
      <c r="M7" s="78">
        <v>7033954</v>
      </c>
      <c r="N7" s="77">
        <f t="shared" si="3"/>
        <v>6772723.583333333</v>
      </c>
      <c r="O7" s="73"/>
    </row>
    <row r="8" spans="1:15" ht="15.75">
      <c r="A8" s="75" t="s">
        <v>19</v>
      </c>
      <c r="B8" s="78">
        <v>10101916</v>
      </c>
      <c r="C8" s="78">
        <v>10101916</v>
      </c>
      <c r="D8" s="78">
        <v>10101916</v>
      </c>
      <c r="E8" s="78">
        <v>10101916</v>
      </c>
      <c r="F8" s="78">
        <v>10101916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7">
        <f t="shared" si="3"/>
        <v>4209131.666666667</v>
      </c>
      <c r="O8" s="73" t="s">
        <v>213</v>
      </c>
    </row>
    <row r="9" spans="1:15" ht="15.75">
      <c r="A9" s="75" t="s">
        <v>21</v>
      </c>
      <c r="B9" s="76">
        <f t="shared" ref="B9:F9" si="4">+B37</f>
        <v>9440863</v>
      </c>
      <c r="C9" s="76">
        <f t="shared" si="4"/>
        <v>9440863</v>
      </c>
      <c r="D9" s="76">
        <f t="shared" si="4"/>
        <v>9440863</v>
      </c>
      <c r="E9" s="76">
        <f t="shared" si="4"/>
        <v>9440863</v>
      </c>
      <c r="F9" s="76">
        <f t="shared" si="4"/>
        <v>9440863</v>
      </c>
      <c r="G9" s="76">
        <f>+G37</f>
        <v>9771871</v>
      </c>
      <c r="H9" s="76">
        <f t="shared" ref="H9:M9" si="5">+H37</f>
        <v>9771871</v>
      </c>
      <c r="I9" s="76">
        <f t="shared" si="5"/>
        <v>9771871</v>
      </c>
      <c r="J9" s="76">
        <f t="shared" si="5"/>
        <v>9771871</v>
      </c>
      <c r="K9" s="76">
        <f t="shared" si="5"/>
        <v>9771871</v>
      </c>
      <c r="L9" s="76">
        <f t="shared" si="5"/>
        <v>9771871</v>
      </c>
      <c r="M9" s="76">
        <f t="shared" si="5"/>
        <v>9771871</v>
      </c>
      <c r="N9" s="77">
        <f t="shared" si="3"/>
        <v>9633951</v>
      </c>
      <c r="O9" s="73"/>
    </row>
    <row r="10" spans="1:15" ht="15.75">
      <c r="A10" s="75" t="s">
        <v>28</v>
      </c>
      <c r="B10" s="78">
        <v>225000</v>
      </c>
      <c r="C10" s="78">
        <v>225000</v>
      </c>
      <c r="D10" s="78">
        <v>225000</v>
      </c>
      <c r="E10" s="78">
        <v>225000</v>
      </c>
      <c r="F10" s="78">
        <v>225000</v>
      </c>
      <c r="G10" s="78">
        <v>261000</v>
      </c>
      <c r="H10" s="78">
        <v>261000</v>
      </c>
      <c r="I10" s="78">
        <v>261000</v>
      </c>
      <c r="J10" s="78">
        <v>261000</v>
      </c>
      <c r="K10" s="78">
        <v>261000</v>
      </c>
      <c r="L10" s="78">
        <v>261000</v>
      </c>
      <c r="M10" s="78">
        <v>261000</v>
      </c>
      <c r="N10" s="77">
        <f t="shared" si="3"/>
        <v>246000</v>
      </c>
      <c r="O10" s="73"/>
    </row>
    <row r="11" spans="1:15" ht="15.75">
      <c r="A11" s="75" t="s">
        <v>31</v>
      </c>
      <c r="B11" s="78">
        <v>332000</v>
      </c>
      <c r="C11" s="78">
        <v>332000</v>
      </c>
      <c r="D11" s="78">
        <v>332000</v>
      </c>
      <c r="E11" s="78">
        <v>332000</v>
      </c>
      <c r="F11" s="78">
        <v>332000</v>
      </c>
      <c r="G11" s="78">
        <v>291000</v>
      </c>
      <c r="H11" s="78">
        <v>291000</v>
      </c>
      <c r="I11" s="78">
        <v>291000</v>
      </c>
      <c r="J11" s="78">
        <v>291000</v>
      </c>
      <c r="K11" s="78">
        <v>291000</v>
      </c>
      <c r="L11" s="78">
        <v>291000</v>
      </c>
      <c r="M11" s="78">
        <v>291000</v>
      </c>
      <c r="N11" s="77">
        <f t="shared" si="3"/>
        <v>308083.33333333331</v>
      </c>
      <c r="O11" s="73"/>
    </row>
    <row r="12" spans="1:15" ht="15.75">
      <c r="A12" s="75" t="s">
        <v>37</v>
      </c>
      <c r="B12" s="76">
        <f t="shared" ref="B12:F12" si="6">+B56</f>
        <v>937139</v>
      </c>
      <c r="C12" s="76">
        <f t="shared" si="6"/>
        <v>937139</v>
      </c>
      <c r="D12" s="76">
        <f t="shared" si="6"/>
        <v>937139</v>
      </c>
      <c r="E12" s="76">
        <f t="shared" si="6"/>
        <v>937139</v>
      </c>
      <c r="F12" s="76">
        <f t="shared" si="6"/>
        <v>937139</v>
      </c>
      <c r="G12" s="76">
        <f>+G56</f>
        <v>937315</v>
      </c>
      <c r="H12" s="76">
        <f t="shared" ref="H12:M12" si="7">+H56</f>
        <v>937315</v>
      </c>
      <c r="I12" s="76">
        <f t="shared" si="7"/>
        <v>937315</v>
      </c>
      <c r="J12" s="76">
        <f t="shared" si="7"/>
        <v>937315</v>
      </c>
      <c r="K12" s="76">
        <f t="shared" si="7"/>
        <v>937315</v>
      </c>
      <c r="L12" s="76">
        <f t="shared" si="7"/>
        <v>937315</v>
      </c>
      <c r="M12" s="76">
        <f t="shared" si="7"/>
        <v>937315</v>
      </c>
      <c r="N12" s="77">
        <f t="shared" si="3"/>
        <v>937241.66666666663</v>
      </c>
      <c r="O12" s="73"/>
    </row>
    <row r="13" spans="1:15" ht="15.75">
      <c r="A13" s="75" t="s">
        <v>20</v>
      </c>
      <c r="B13" s="78">
        <v>538054</v>
      </c>
      <c r="C13" s="78">
        <v>538054</v>
      </c>
      <c r="D13" s="78">
        <v>538054</v>
      </c>
      <c r="E13" s="78">
        <v>538054</v>
      </c>
      <c r="F13" s="78">
        <v>538054</v>
      </c>
      <c r="G13" s="78">
        <v>561292</v>
      </c>
      <c r="H13" s="78">
        <v>561292</v>
      </c>
      <c r="I13" s="78">
        <v>561292</v>
      </c>
      <c r="J13" s="78">
        <v>561292</v>
      </c>
      <c r="K13" s="78">
        <v>561292</v>
      </c>
      <c r="L13" s="78">
        <v>561292</v>
      </c>
      <c r="M13" s="78">
        <v>561292</v>
      </c>
      <c r="N13" s="77">
        <f t="shared" si="3"/>
        <v>551609.5</v>
      </c>
      <c r="O13" s="73"/>
    </row>
    <row r="14" spans="1:15" ht="15.75">
      <c r="A14" s="80" t="s">
        <v>26</v>
      </c>
      <c r="B14" s="76">
        <f t="shared" ref="B14:F14" si="8">+B50</f>
        <v>8154000</v>
      </c>
      <c r="C14" s="76">
        <f t="shared" si="8"/>
        <v>8154000</v>
      </c>
      <c r="D14" s="76">
        <f t="shared" si="8"/>
        <v>8154000</v>
      </c>
      <c r="E14" s="76">
        <f t="shared" si="8"/>
        <v>8154000</v>
      </c>
      <c r="F14" s="76">
        <f t="shared" si="8"/>
        <v>8154000</v>
      </c>
      <c r="G14" s="76">
        <f>+G50</f>
        <v>8154000</v>
      </c>
      <c r="H14" s="76">
        <f t="shared" ref="H14:M14" si="9">+H50</f>
        <v>8154000</v>
      </c>
      <c r="I14" s="76">
        <f t="shared" si="9"/>
        <v>8154000</v>
      </c>
      <c r="J14" s="76">
        <f t="shared" si="9"/>
        <v>8154000</v>
      </c>
      <c r="K14" s="76">
        <f t="shared" si="9"/>
        <v>8154000</v>
      </c>
      <c r="L14" s="76">
        <f t="shared" si="9"/>
        <v>8154000</v>
      </c>
      <c r="M14" s="76">
        <f t="shared" si="9"/>
        <v>8154000</v>
      </c>
      <c r="N14" s="77">
        <f t="shared" si="3"/>
        <v>8154000</v>
      </c>
      <c r="O14" s="73"/>
    </row>
    <row r="15" spans="1:15" ht="15.75">
      <c r="A15" s="75" t="s">
        <v>23</v>
      </c>
      <c r="B15" s="78">
        <v>2431583</v>
      </c>
      <c r="C15" s="78">
        <v>2431583</v>
      </c>
      <c r="D15" s="78">
        <v>2431583</v>
      </c>
      <c r="E15" s="78">
        <v>2431583</v>
      </c>
      <c r="F15" s="78">
        <v>2431583</v>
      </c>
      <c r="G15" s="78">
        <v>2459583</v>
      </c>
      <c r="H15" s="78">
        <v>2459583</v>
      </c>
      <c r="I15" s="78">
        <v>2459583</v>
      </c>
      <c r="J15" s="78">
        <v>2459583</v>
      </c>
      <c r="K15" s="78">
        <v>2459583</v>
      </c>
      <c r="L15" s="78">
        <v>2459583</v>
      </c>
      <c r="M15" s="78">
        <v>2459583</v>
      </c>
      <c r="N15" s="77">
        <f t="shared" si="3"/>
        <v>2447916.3333333335</v>
      </c>
      <c r="O15" s="73"/>
    </row>
    <row r="16" spans="1:15" ht="15.75">
      <c r="A16" s="80" t="s">
        <v>25</v>
      </c>
      <c r="B16" s="76">
        <f>B94</f>
        <v>6589500</v>
      </c>
      <c r="C16" s="76">
        <f t="shared" ref="C16:M16" si="10">C94</f>
        <v>6589500</v>
      </c>
      <c r="D16" s="76">
        <f t="shared" si="10"/>
        <v>6589500</v>
      </c>
      <c r="E16" s="76">
        <f t="shared" si="10"/>
        <v>6589500</v>
      </c>
      <c r="F16" s="76">
        <f t="shared" si="10"/>
        <v>6589500</v>
      </c>
      <c r="G16" s="76">
        <f t="shared" si="10"/>
        <v>6589500</v>
      </c>
      <c r="H16" s="76">
        <f t="shared" si="10"/>
        <v>6589500</v>
      </c>
      <c r="I16" s="76">
        <f t="shared" si="10"/>
        <v>6589500</v>
      </c>
      <c r="J16" s="76">
        <f t="shared" si="10"/>
        <v>6589500</v>
      </c>
      <c r="K16" s="76">
        <f t="shared" si="10"/>
        <v>6589500</v>
      </c>
      <c r="L16" s="76">
        <f t="shared" si="10"/>
        <v>6589500</v>
      </c>
      <c r="M16" s="76">
        <f t="shared" si="10"/>
        <v>6589500</v>
      </c>
      <c r="N16" s="77">
        <f t="shared" si="3"/>
        <v>6589500</v>
      </c>
      <c r="O16" s="73"/>
    </row>
    <row r="17" spans="1:15" ht="15.75">
      <c r="A17" s="30" t="s">
        <v>72</v>
      </c>
      <c r="B17" s="79">
        <f t="shared" ref="B17:F17" si="11">+B47</f>
        <v>7072224</v>
      </c>
      <c r="C17" s="79">
        <f t="shared" si="11"/>
        <v>7072224</v>
      </c>
      <c r="D17" s="79">
        <f t="shared" si="11"/>
        <v>7072224</v>
      </c>
      <c r="E17" s="79">
        <f t="shared" si="11"/>
        <v>7072224</v>
      </c>
      <c r="F17" s="79">
        <f t="shared" si="11"/>
        <v>7072224</v>
      </c>
      <c r="G17" s="79">
        <f>+G47</f>
        <v>7072224</v>
      </c>
      <c r="H17" s="79">
        <f t="shared" ref="H17:M17" si="12">+H47</f>
        <v>7072224</v>
      </c>
      <c r="I17" s="79">
        <f t="shared" si="12"/>
        <v>7072224</v>
      </c>
      <c r="J17" s="79">
        <f t="shared" si="12"/>
        <v>7072224</v>
      </c>
      <c r="K17" s="79">
        <f t="shared" si="12"/>
        <v>7072224</v>
      </c>
      <c r="L17" s="79">
        <f t="shared" si="12"/>
        <v>7072224</v>
      </c>
      <c r="M17" s="79">
        <f t="shared" si="12"/>
        <v>7072224</v>
      </c>
      <c r="N17" s="77">
        <f t="shared" si="3"/>
        <v>7072224</v>
      </c>
      <c r="O17" s="73"/>
    </row>
    <row r="18" spans="1:15" ht="15.75">
      <c r="A18" s="75" t="s">
        <v>35</v>
      </c>
      <c r="B18" s="76">
        <f t="shared" ref="B18:F18" si="13">+B66</f>
        <v>1621738</v>
      </c>
      <c r="C18" s="76">
        <f t="shared" si="13"/>
        <v>1621738</v>
      </c>
      <c r="D18" s="76">
        <f t="shared" si="13"/>
        <v>1621738</v>
      </c>
      <c r="E18" s="76">
        <f t="shared" si="13"/>
        <v>1621738</v>
      </c>
      <c r="F18" s="76">
        <f t="shared" si="13"/>
        <v>1621738</v>
      </c>
      <c r="G18" s="76">
        <f>+G66</f>
        <v>1621738</v>
      </c>
      <c r="H18" s="76">
        <f t="shared" ref="H18:M18" si="14">+H66</f>
        <v>1621738</v>
      </c>
      <c r="I18" s="76">
        <f t="shared" si="14"/>
        <v>1621738</v>
      </c>
      <c r="J18" s="76">
        <f t="shared" si="14"/>
        <v>1621738</v>
      </c>
      <c r="K18" s="76">
        <f t="shared" si="14"/>
        <v>1621738</v>
      </c>
      <c r="L18" s="76">
        <f t="shared" si="14"/>
        <v>1621738</v>
      </c>
      <c r="M18" s="76">
        <f t="shared" si="14"/>
        <v>1621738</v>
      </c>
      <c r="N18" s="77">
        <f t="shared" si="3"/>
        <v>1621738</v>
      </c>
      <c r="O18" s="73"/>
    </row>
    <row r="19" spans="1:15" ht="15.75">
      <c r="A19" s="75" t="s">
        <v>39</v>
      </c>
      <c r="B19" s="78">
        <v>617324</v>
      </c>
      <c r="C19" s="78">
        <v>617324</v>
      </c>
      <c r="D19" s="78">
        <v>617324</v>
      </c>
      <c r="E19" s="78">
        <v>617324</v>
      </c>
      <c r="F19" s="78">
        <v>617324</v>
      </c>
      <c r="G19" s="78">
        <v>618773</v>
      </c>
      <c r="H19" s="78">
        <v>618773</v>
      </c>
      <c r="I19" s="78">
        <v>618773</v>
      </c>
      <c r="J19" s="78">
        <v>618773</v>
      </c>
      <c r="K19" s="78">
        <v>618773</v>
      </c>
      <c r="L19" s="78">
        <v>618773</v>
      </c>
      <c r="M19" s="78">
        <v>618773</v>
      </c>
      <c r="N19" s="77">
        <f t="shared" si="3"/>
        <v>618169.25</v>
      </c>
      <c r="O19" s="73"/>
    </row>
    <row r="20" spans="1:15" ht="15.75">
      <c r="A20" s="75" t="s">
        <v>34</v>
      </c>
      <c r="B20" s="76">
        <f>+B77</f>
        <v>8221891</v>
      </c>
      <c r="C20" s="76">
        <f t="shared" ref="C20:M20" si="15">+C77</f>
        <v>8221891</v>
      </c>
      <c r="D20" s="76">
        <f t="shared" si="15"/>
        <v>8221891</v>
      </c>
      <c r="E20" s="76">
        <f t="shared" si="15"/>
        <v>8221891</v>
      </c>
      <c r="F20" s="76">
        <f t="shared" si="15"/>
        <v>8221891</v>
      </c>
      <c r="G20" s="76">
        <f t="shared" si="15"/>
        <v>8226361</v>
      </c>
      <c r="H20" s="76">
        <f t="shared" si="15"/>
        <v>8226361</v>
      </c>
      <c r="I20" s="76">
        <f t="shared" si="15"/>
        <v>8226361</v>
      </c>
      <c r="J20" s="76">
        <f t="shared" si="15"/>
        <v>8226361</v>
      </c>
      <c r="K20" s="76">
        <f t="shared" si="15"/>
        <v>8226361</v>
      </c>
      <c r="L20" s="76">
        <f t="shared" si="15"/>
        <v>8226361</v>
      </c>
      <c r="M20" s="76">
        <f t="shared" si="15"/>
        <v>8226361</v>
      </c>
      <c r="N20" s="77">
        <f t="shared" si="3"/>
        <v>8224498.5</v>
      </c>
      <c r="O20" s="73"/>
    </row>
    <row r="21" spans="1:15" ht="15.75">
      <c r="A21" s="75" t="s">
        <v>24</v>
      </c>
      <c r="B21" s="78">
        <v>2592500</v>
      </c>
      <c r="C21" s="78">
        <v>2592500</v>
      </c>
      <c r="D21" s="78">
        <v>2592500</v>
      </c>
      <c r="E21" s="78">
        <v>2592500</v>
      </c>
      <c r="F21" s="78">
        <v>2592500</v>
      </c>
      <c r="G21" s="78">
        <v>2801001</v>
      </c>
      <c r="H21" s="78">
        <v>2801001</v>
      </c>
      <c r="I21" s="78">
        <v>2801001</v>
      </c>
      <c r="J21" s="78">
        <v>2801001</v>
      </c>
      <c r="K21" s="78">
        <v>2801001</v>
      </c>
      <c r="L21" s="78">
        <v>2801001</v>
      </c>
      <c r="M21" s="78">
        <v>2801001</v>
      </c>
      <c r="N21" s="77">
        <f t="shared" si="3"/>
        <v>2714125.5833333335</v>
      </c>
      <c r="O21" s="73"/>
    </row>
    <row r="22" spans="1:15" ht="15.75">
      <c r="A22" s="75" t="s">
        <v>38</v>
      </c>
      <c r="B22" s="76">
        <f>+B70</f>
        <v>780116</v>
      </c>
      <c r="C22" s="76">
        <f t="shared" ref="C22:M22" si="16">+C70</f>
        <v>780116</v>
      </c>
      <c r="D22" s="76">
        <f t="shared" si="16"/>
        <v>780116</v>
      </c>
      <c r="E22" s="76">
        <f t="shared" si="16"/>
        <v>780116</v>
      </c>
      <c r="F22" s="76">
        <f t="shared" si="16"/>
        <v>780116</v>
      </c>
      <c r="G22" s="76">
        <f t="shared" si="16"/>
        <v>885300</v>
      </c>
      <c r="H22" s="76">
        <f t="shared" si="16"/>
        <v>885300</v>
      </c>
      <c r="I22" s="76">
        <f t="shared" si="16"/>
        <v>885300</v>
      </c>
      <c r="J22" s="76">
        <f t="shared" si="16"/>
        <v>885300</v>
      </c>
      <c r="K22" s="76">
        <f t="shared" si="16"/>
        <v>885300</v>
      </c>
      <c r="L22" s="76">
        <f t="shared" si="16"/>
        <v>885300</v>
      </c>
      <c r="M22" s="76">
        <f t="shared" si="16"/>
        <v>885300</v>
      </c>
      <c r="N22" s="77">
        <f t="shared" si="3"/>
        <v>841473.33333333337</v>
      </c>
      <c r="O22" s="73"/>
    </row>
    <row r="23" spans="1:15" ht="15.75">
      <c r="A23" s="75" t="s">
        <v>32</v>
      </c>
      <c r="B23" s="78">
        <v>361917</v>
      </c>
      <c r="C23" s="78">
        <v>361917</v>
      </c>
      <c r="D23" s="78">
        <v>361917</v>
      </c>
      <c r="E23" s="78">
        <v>361917</v>
      </c>
      <c r="F23" s="78">
        <v>361917</v>
      </c>
      <c r="G23" s="78">
        <v>385917</v>
      </c>
      <c r="H23" s="78">
        <v>385917</v>
      </c>
      <c r="I23" s="78">
        <v>385917</v>
      </c>
      <c r="J23" s="78">
        <v>385917</v>
      </c>
      <c r="K23" s="78">
        <v>385917</v>
      </c>
      <c r="L23" s="78">
        <v>385917</v>
      </c>
      <c r="M23" s="78">
        <v>385917</v>
      </c>
      <c r="N23" s="77">
        <f t="shared" si="3"/>
        <v>375917</v>
      </c>
      <c r="O23" s="73"/>
    </row>
    <row r="24" spans="1:15" ht="15.75">
      <c r="A24" s="75" t="s">
        <v>36</v>
      </c>
      <c r="B24" s="78">
        <v>242680</v>
      </c>
      <c r="C24" s="78">
        <v>242680</v>
      </c>
      <c r="D24" s="78">
        <v>242680</v>
      </c>
      <c r="E24" s="78">
        <v>242680</v>
      </c>
      <c r="F24" s="78">
        <v>242680</v>
      </c>
      <c r="G24" s="78">
        <v>240100</v>
      </c>
      <c r="H24" s="78">
        <v>240100</v>
      </c>
      <c r="I24" s="78">
        <v>240100</v>
      </c>
      <c r="J24" s="78">
        <v>240100</v>
      </c>
      <c r="K24" s="78">
        <v>240100</v>
      </c>
      <c r="L24" s="78">
        <v>240100</v>
      </c>
      <c r="M24" s="78">
        <v>240100</v>
      </c>
      <c r="N24" s="77">
        <f t="shared" si="3"/>
        <v>241175</v>
      </c>
      <c r="O24" s="73"/>
    </row>
    <row r="25" spans="1:15" ht="15.75">
      <c r="A25" s="75" t="s">
        <v>22</v>
      </c>
      <c r="B25" s="78">
        <v>966000</v>
      </c>
      <c r="C25" s="79">
        <f>+B25</f>
        <v>966000</v>
      </c>
      <c r="D25" s="79">
        <f t="shared" ref="D25:M25" si="17">+C25</f>
        <v>966000</v>
      </c>
      <c r="E25" s="79">
        <f t="shared" si="17"/>
        <v>966000</v>
      </c>
      <c r="F25" s="79">
        <f t="shared" si="17"/>
        <v>966000</v>
      </c>
      <c r="G25" s="79">
        <f t="shared" si="17"/>
        <v>966000</v>
      </c>
      <c r="H25" s="79">
        <f t="shared" si="17"/>
        <v>966000</v>
      </c>
      <c r="I25" s="79">
        <f t="shared" si="17"/>
        <v>966000</v>
      </c>
      <c r="J25" s="79">
        <f t="shared" si="17"/>
        <v>966000</v>
      </c>
      <c r="K25" s="79">
        <f t="shared" si="17"/>
        <v>966000</v>
      </c>
      <c r="L25" s="79">
        <f t="shared" si="17"/>
        <v>966000</v>
      </c>
      <c r="M25" s="79">
        <f t="shared" si="17"/>
        <v>966000</v>
      </c>
      <c r="N25" s="77">
        <f t="shared" si="3"/>
        <v>966000</v>
      </c>
      <c r="O25" s="73"/>
    </row>
    <row r="26" spans="1:15" ht="15.75">
      <c r="A26" s="75" t="s">
        <v>96</v>
      </c>
      <c r="B26" s="76">
        <f>+B86</f>
        <v>3560170</v>
      </c>
      <c r="C26" s="76">
        <f t="shared" ref="C26:M26" si="18">+C86</f>
        <v>3560170</v>
      </c>
      <c r="D26" s="76">
        <f t="shared" si="18"/>
        <v>3560170</v>
      </c>
      <c r="E26" s="76">
        <f t="shared" si="18"/>
        <v>3560170</v>
      </c>
      <c r="F26" s="76">
        <f t="shared" si="18"/>
        <v>3560170</v>
      </c>
      <c r="G26" s="76">
        <f t="shared" si="18"/>
        <v>3764227</v>
      </c>
      <c r="H26" s="76">
        <f t="shared" si="18"/>
        <v>3764227</v>
      </c>
      <c r="I26" s="76">
        <f t="shared" si="18"/>
        <v>3764227</v>
      </c>
      <c r="J26" s="76">
        <f t="shared" si="18"/>
        <v>3764227</v>
      </c>
      <c r="K26" s="76">
        <f t="shared" si="18"/>
        <v>3764227</v>
      </c>
      <c r="L26" s="76">
        <f t="shared" si="18"/>
        <v>3764227</v>
      </c>
      <c r="M26" s="76">
        <f t="shared" si="18"/>
        <v>3764227</v>
      </c>
      <c r="N26" s="77">
        <f t="shared" si="3"/>
        <v>3679203.25</v>
      </c>
      <c r="O26" s="73"/>
    </row>
    <row r="27" spans="1:15" ht="15.75">
      <c r="A27" s="75" t="s">
        <v>97</v>
      </c>
      <c r="B27" s="78">
        <v>118475</v>
      </c>
      <c r="C27" s="78">
        <v>118475</v>
      </c>
      <c r="D27" s="78">
        <v>118475</v>
      </c>
      <c r="E27" s="78">
        <v>118475</v>
      </c>
      <c r="F27" s="78">
        <v>118475</v>
      </c>
      <c r="G27" s="78">
        <v>122171</v>
      </c>
      <c r="H27" s="78">
        <v>122171</v>
      </c>
      <c r="I27" s="78">
        <v>122171</v>
      </c>
      <c r="J27" s="78">
        <v>122171</v>
      </c>
      <c r="K27" s="78">
        <v>122171</v>
      </c>
      <c r="L27" s="78">
        <v>122171</v>
      </c>
      <c r="M27" s="78">
        <v>122171</v>
      </c>
      <c r="N27" s="77">
        <f t="shared" si="3"/>
        <v>120631</v>
      </c>
      <c r="O27" s="73"/>
    </row>
    <row r="28" spans="1:15" ht="15.75">
      <c r="A28" s="75" t="s">
        <v>98</v>
      </c>
      <c r="B28" s="76">
        <f>+B89</f>
        <v>936441</v>
      </c>
      <c r="C28" s="76">
        <f t="shared" ref="C28:M28" si="19">+C89</f>
        <v>936441</v>
      </c>
      <c r="D28" s="76">
        <f t="shared" si="19"/>
        <v>936441</v>
      </c>
      <c r="E28" s="76">
        <f t="shared" si="19"/>
        <v>936441</v>
      </c>
      <c r="F28" s="76">
        <f t="shared" si="19"/>
        <v>936441</v>
      </c>
      <c r="G28" s="76">
        <f t="shared" si="19"/>
        <v>955204</v>
      </c>
      <c r="H28" s="76">
        <f t="shared" si="19"/>
        <v>955204</v>
      </c>
      <c r="I28" s="76">
        <f t="shared" si="19"/>
        <v>955204</v>
      </c>
      <c r="J28" s="76">
        <f t="shared" si="19"/>
        <v>955204</v>
      </c>
      <c r="K28" s="76">
        <f t="shared" si="19"/>
        <v>955204</v>
      </c>
      <c r="L28" s="76">
        <f t="shared" si="19"/>
        <v>955204</v>
      </c>
      <c r="M28" s="76">
        <f t="shared" si="19"/>
        <v>955204</v>
      </c>
      <c r="N28" s="77">
        <f t="shared" si="3"/>
        <v>947386.08333333337</v>
      </c>
      <c r="O28" s="73"/>
    </row>
    <row r="29" spans="1:15" ht="15.75">
      <c r="A29" s="75" t="s">
        <v>99</v>
      </c>
      <c r="B29" s="78">
        <v>1324667</v>
      </c>
      <c r="C29" s="78">
        <v>1324667</v>
      </c>
      <c r="D29" s="78">
        <v>1324667</v>
      </c>
      <c r="E29" s="78">
        <v>1324667</v>
      </c>
      <c r="F29" s="78">
        <v>1324667</v>
      </c>
      <c r="G29" s="78">
        <v>1368417</v>
      </c>
      <c r="H29" s="78">
        <v>1368417</v>
      </c>
      <c r="I29" s="78">
        <v>1368417</v>
      </c>
      <c r="J29" s="78">
        <v>1368417</v>
      </c>
      <c r="K29" s="78">
        <v>1368417</v>
      </c>
      <c r="L29" s="78">
        <v>1368417</v>
      </c>
      <c r="M29" s="78">
        <v>1368417</v>
      </c>
      <c r="N29" s="77">
        <f t="shared" si="3"/>
        <v>1350187.8333333333</v>
      </c>
      <c r="O29" s="73"/>
    </row>
    <row r="30" spans="1:15" ht="15.75">
      <c r="A30" s="75"/>
      <c r="B30" s="76"/>
      <c r="C30" s="76"/>
      <c r="D30" s="76"/>
      <c r="E30" s="76"/>
      <c r="F30" s="76"/>
      <c r="G30" s="76"/>
      <c r="H30" s="76"/>
      <c r="I30" s="76"/>
      <c r="J30" s="81"/>
      <c r="K30" s="81"/>
      <c r="L30" s="81"/>
      <c r="M30" s="81"/>
      <c r="N30" s="82"/>
      <c r="O30" s="73"/>
    </row>
    <row r="31" spans="1:15" ht="16.5" thickBot="1">
      <c r="A31" s="75" t="s">
        <v>100</v>
      </c>
      <c r="B31" s="83">
        <f>SUM(B4:B30)-B17</f>
        <v>85696293</v>
      </c>
      <c r="C31" s="83">
        <f t="shared" ref="C31:N31" si="20">SUM(C4:C30)-C17</f>
        <v>85696293</v>
      </c>
      <c r="D31" s="83">
        <f t="shared" si="20"/>
        <v>85696293</v>
      </c>
      <c r="E31" s="83">
        <f t="shared" si="20"/>
        <v>85696293</v>
      </c>
      <c r="F31" s="83">
        <f t="shared" si="20"/>
        <v>85696293</v>
      </c>
      <c r="G31" s="83">
        <f t="shared" si="20"/>
        <v>77854027</v>
      </c>
      <c r="H31" s="83">
        <f t="shared" si="20"/>
        <v>77854027</v>
      </c>
      <c r="I31" s="83">
        <f t="shared" si="20"/>
        <v>77854027</v>
      </c>
      <c r="J31" s="83">
        <f t="shared" si="20"/>
        <v>77854027</v>
      </c>
      <c r="K31" s="83">
        <f t="shared" si="20"/>
        <v>77854027</v>
      </c>
      <c r="L31" s="83">
        <f t="shared" si="20"/>
        <v>77854027</v>
      </c>
      <c r="M31" s="83">
        <f t="shared" si="20"/>
        <v>77854027</v>
      </c>
      <c r="N31" s="83">
        <f t="shared" si="20"/>
        <v>81121637.833333313</v>
      </c>
      <c r="O31" s="73"/>
    </row>
    <row r="32" spans="1:15" ht="16.5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15.75">
      <c r="A33" s="73"/>
      <c r="B33" s="77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5.75">
      <c r="A34" s="84" t="s">
        <v>95</v>
      </c>
      <c r="B34" s="78">
        <v>8557416</v>
      </c>
      <c r="C34" s="78">
        <v>8557416</v>
      </c>
      <c r="D34" s="78">
        <v>8557416</v>
      </c>
      <c r="E34" s="78">
        <v>8557416</v>
      </c>
      <c r="F34" s="78">
        <v>8557416</v>
      </c>
      <c r="G34" s="85">
        <v>8840250</v>
      </c>
      <c r="H34" s="85">
        <v>8840250</v>
      </c>
      <c r="I34" s="85">
        <v>8840250</v>
      </c>
      <c r="J34" s="85">
        <v>8840250</v>
      </c>
      <c r="K34" s="85">
        <v>8840250</v>
      </c>
      <c r="L34" s="85">
        <v>8840250</v>
      </c>
      <c r="M34" s="85">
        <v>8840250</v>
      </c>
      <c r="N34" s="73"/>
      <c r="O34" s="73"/>
    </row>
    <row r="35" spans="1:15" ht="15.75">
      <c r="A35" s="86" t="s">
        <v>101</v>
      </c>
      <c r="B35" s="78">
        <v>439250</v>
      </c>
      <c r="C35" s="78">
        <v>439250</v>
      </c>
      <c r="D35" s="78">
        <v>439250</v>
      </c>
      <c r="E35" s="78">
        <v>439250</v>
      </c>
      <c r="F35" s="78">
        <v>439250</v>
      </c>
      <c r="G35" s="85">
        <v>456833</v>
      </c>
      <c r="H35" s="85">
        <v>456833</v>
      </c>
      <c r="I35" s="85">
        <v>456833</v>
      </c>
      <c r="J35" s="85">
        <v>456833</v>
      </c>
      <c r="K35" s="85">
        <v>456833</v>
      </c>
      <c r="L35" s="85">
        <v>456833</v>
      </c>
      <c r="M35" s="85">
        <v>456833</v>
      </c>
      <c r="N35" s="73"/>
      <c r="O35" s="73"/>
    </row>
    <row r="36" spans="1:15" ht="15.75">
      <c r="A36" s="86" t="s">
        <v>102</v>
      </c>
      <c r="B36" s="87">
        <v>444197</v>
      </c>
      <c r="C36" s="87">
        <v>444197</v>
      </c>
      <c r="D36" s="87">
        <v>444197</v>
      </c>
      <c r="E36" s="87">
        <v>444197</v>
      </c>
      <c r="F36" s="87">
        <v>444197</v>
      </c>
      <c r="G36" s="88">
        <v>474788</v>
      </c>
      <c r="H36" s="88">
        <v>474788</v>
      </c>
      <c r="I36" s="88">
        <v>474788</v>
      </c>
      <c r="J36" s="88">
        <v>474788</v>
      </c>
      <c r="K36" s="88">
        <v>474788</v>
      </c>
      <c r="L36" s="88">
        <v>474788</v>
      </c>
      <c r="M36" s="88">
        <v>474788</v>
      </c>
      <c r="N36" s="73"/>
      <c r="O36" s="73"/>
    </row>
    <row r="37" spans="1:15" ht="15.75">
      <c r="A37" s="89" t="s">
        <v>103</v>
      </c>
      <c r="B37" s="90">
        <f t="shared" ref="B37:F37" si="21">SUM(B34:B36)</f>
        <v>9440863</v>
      </c>
      <c r="C37" s="90">
        <f t="shared" si="21"/>
        <v>9440863</v>
      </c>
      <c r="D37" s="90">
        <f t="shared" si="21"/>
        <v>9440863</v>
      </c>
      <c r="E37" s="90">
        <f t="shared" si="21"/>
        <v>9440863</v>
      </c>
      <c r="F37" s="90">
        <f t="shared" si="21"/>
        <v>9440863</v>
      </c>
      <c r="G37" s="90">
        <f>SUM(G34:G36)</f>
        <v>9771871</v>
      </c>
      <c r="H37" s="90">
        <f t="shared" ref="H37:M37" si="22">SUM(H34:H36)</f>
        <v>9771871</v>
      </c>
      <c r="I37" s="90">
        <f t="shared" si="22"/>
        <v>9771871</v>
      </c>
      <c r="J37" s="90">
        <f t="shared" si="22"/>
        <v>9771871</v>
      </c>
      <c r="K37" s="90">
        <f t="shared" si="22"/>
        <v>9771871</v>
      </c>
      <c r="L37" s="90">
        <f t="shared" si="22"/>
        <v>9771871</v>
      </c>
      <c r="M37" s="90">
        <f t="shared" si="22"/>
        <v>9771871</v>
      </c>
      <c r="N37" s="73"/>
      <c r="O37" s="73"/>
    </row>
    <row r="38" spans="1:15" ht="15.75">
      <c r="A38" s="91" t="s">
        <v>25</v>
      </c>
      <c r="B38" s="78"/>
      <c r="C38" s="78"/>
      <c r="D38" s="78"/>
      <c r="E38" s="78"/>
      <c r="F38" s="78"/>
      <c r="G38" s="92"/>
      <c r="H38" s="92"/>
      <c r="I38" s="92"/>
      <c r="J38" s="92"/>
      <c r="K38" s="92"/>
      <c r="L38" s="92"/>
      <c r="M38" s="92"/>
      <c r="N38" s="73"/>
      <c r="O38" s="73"/>
    </row>
    <row r="39" spans="1:15" ht="15.75">
      <c r="A39" s="93" t="s">
        <v>104</v>
      </c>
      <c r="B39" s="94"/>
      <c r="C39" s="94"/>
      <c r="D39" s="94"/>
      <c r="E39" s="94"/>
      <c r="F39" s="94"/>
      <c r="G39" s="95"/>
      <c r="H39" s="95"/>
      <c r="I39" s="95"/>
      <c r="J39" s="95"/>
      <c r="K39" s="95"/>
      <c r="L39" s="95"/>
      <c r="M39" s="95"/>
      <c r="N39" s="73"/>
      <c r="O39" s="73"/>
    </row>
    <row r="40" spans="1:15" ht="15.75">
      <c r="A40" s="96" t="s">
        <v>105</v>
      </c>
      <c r="B40" s="97">
        <f t="shared" ref="B40:M40" si="23">SUM(B38:B39)</f>
        <v>0</v>
      </c>
      <c r="C40" s="97">
        <f t="shared" si="23"/>
        <v>0</v>
      </c>
      <c r="D40" s="97">
        <f t="shared" si="23"/>
        <v>0</v>
      </c>
      <c r="E40" s="97">
        <f t="shared" si="23"/>
        <v>0</v>
      </c>
      <c r="F40" s="97">
        <f t="shared" si="23"/>
        <v>0</v>
      </c>
      <c r="G40" s="97">
        <f t="shared" si="23"/>
        <v>0</v>
      </c>
      <c r="H40" s="97">
        <f t="shared" si="23"/>
        <v>0</v>
      </c>
      <c r="I40" s="97">
        <f t="shared" si="23"/>
        <v>0</v>
      </c>
      <c r="J40" s="97">
        <f t="shared" si="23"/>
        <v>0</v>
      </c>
      <c r="K40" s="97">
        <f t="shared" si="23"/>
        <v>0</v>
      </c>
      <c r="L40" s="97">
        <f t="shared" si="23"/>
        <v>0</v>
      </c>
      <c r="M40" s="97">
        <f t="shared" si="23"/>
        <v>0</v>
      </c>
      <c r="N40" s="73"/>
      <c r="O40" s="73"/>
    </row>
    <row r="41" spans="1:15" ht="15.75">
      <c r="A41" s="98" t="s">
        <v>106</v>
      </c>
      <c r="B41" s="78">
        <v>0</v>
      </c>
      <c r="C41" s="78">
        <v>0</v>
      </c>
      <c r="D41" s="78">
        <v>0</v>
      </c>
      <c r="E41" s="78">
        <v>0</v>
      </c>
      <c r="F41" s="78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73"/>
      <c r="O41" s="73"/>
    </row>
    <row r="42" spans="1:15" ht="15.75">
      <c r="A42" s="98" t="s">
        <v>107</v>
      </c>
      <c r="B42" s="78">
        <v>0</v>
      </c>
      <c r="C42" s="78">
        <v>0</v>
      </c>
      <c r="D42" s="78">
        <v>0</v>
      </c>
      <c r="E42" s="78">
        <v>0</v>
      </c>
      <c r="F42" s="78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73"/>
      <c r="O42" s="73"/>
    </row>
    <row r="43" spans="1:15" ht="15.75">
      <c r="A43" s="98" t="s">
        <v>108</v>
      </c>
      <c r="B43" s="78">
        <v>0</v>
      </c>
      <c r="C43" s="78">
        <v>0</v>
      </c>
      <c r="D43" s="78">
        <v>0</v>
      </c>
      <c r="E43" s="78">
        <v>0</v>
      </c>
      <c r="F43" s="78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73"/>
      <c r="O43" s="73"/>
    </row>
    <row r="44" spans="1:15" ht="15.75">
      <c r="A44" s="98" t="s">
        <v>109</v>
      </c>
      <c r="B44" s="78">
        <v>0</v>
      </c>
      <c r="C44" s="78">
        <v>0</v>
      </c>
      <c r="D44" s="78">
        <v>0</v>
      </c>
      <c r="E44" s="78">
        <v>0</v>
      </c>
      <c r="F44" s="78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73"/>
      <c r="O44" s="73"/>
    </row>
    <row r="45" spans="1:15" ht="15.75">
      <c r="A45" s="98" t="s">
        <v>110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73"/>
      <c r="O45" s="73"/>
    </row>
    <row r="46" spans="1:15" ht="15.75">
      <c r="A46" s="98" t="s">
        <v>111</v>
      </c>
      <c r="B46" s="78">
        <v>0</v>
      </c>
      <c r="C46" s="78">
        <v>0</v>
      </c>
      <c r="D46" s="78">
        <v>0</v>
      </c>
      <c r="E46" s="78">
        <v>0</v>
      </c>
      <c r="F46" s="78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73"/>
      <c r="O46" s="73"/>
    </row>
    <row r="47" spans="1:15" ht="15.75">
      <c r="A47" s="100" t="s">
        <v>112</v>
      </c>
      <c r="B47" s="101">
        <f>B97</f>
        <v>7072224</v>
      </c>
      <c r="C47" s="101">
        <f t="shared" ref="C47:M47" si="24">C97</f>
        <v>7072224</v>
      </c>
      <c r="D47" s="101">
        <f t="shared" si="24"/>
        <v>7072224</v>
      </c>
      <c r="E47" s="101">
        <f t="shared" si="24"/>
        <v>7072224</v>
      </c>
      <c r="F47" s="101">
        <f t="shared" si="24"/>
        <v>7072224</v>
      </c>
      <c r="G47" s="101">
        <f t="shared" si="24"/>
        <v>7072224</v>
      </c>
      <c r="H47" s="101">
        <f t="shared" si="24"/>
        <v>7072224</v>
      </c>
      <c r="I47" s="101">
        <f t="shared" si="24"/>
        <v>7072224</v>
      </c>
      <c r="J47" s="101">
        <f t="shared" si="24"/>
        <v>7072224</v>
      </c>
      <c r="K47" s="101">
        <f t="shared" si="24"/>
        <v>7072224</v>
      </c>
      <c r="L47" s="101">
        <f t="shared" si="24"/>
        <v>7072224</v>
      </c>
      <c r="M47" s="101">
        <f t="shared" si="24"/>
        <v>7072224</v>
      </c>
      <c r="N47" s="73"/>
      <c r="O47" s="73"/>
    </row>
    <row r="48" spans="1:15" ht="15.75">
      <c r="A48" s="102" t="s">
        <v>113</v>
      </c>
      <c r="B48" s="78">
        <v>8154000</v>
      </c>
      <c r="C48" s="79">
        <f>+B48</f>
        <v>8154000</v>
      </c>
      <c r="D48" s="79">
        <f t="shared" ref="D48:M48" si="25">+C48</f>
        <v>8154000</v>
      </c>
      <c r="E48" s="79">
        <f t="shared" si="25"/>
        <v>8154000</v>
      </c>
      <c r="F48" s="79">
        <f t="shared" si="25"/>
        <v>8154000</v>
      </c>
      <c r="G48" s="79">
        <f t="shared" si="25"/>
        <v>8154000</v>
      </c>
      <c r="H48" s="79">
        <f t="shared" si="25"/>
        <v>8154000</v>
      </c>
      <c r="I48" s="79">
        <f t="shared" si="25"/>
        <v>8154000</v>
      </c>
      <c r="J48" s="79">
        <f t="shared" si="25"/>
        <v>8154000</v>
      </c>
      <c r="K48" s="79">
        <f t="shared" si="25"/>
        <v>8154000</v>
      </c>
      <c r="L48" s="79">
        <f t="shared" si="25"/>
        <v>8154000</v>
      </c>
      <c r="M48" s="79">
        <f t="shared" si="25"/>
        <v>8154000</v>
      </c>
      <c r="N48" s="73"/>
      <c r="O48" s="73"/>
    </row>
    <row r="49" spans="1:15" ht="15.75">
      <c r="A49" s="103" t="s">
        <v>106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73"/>
      <c r="O49" s="73"/>
    </row>
    <row r="50" spans="1:15" ht="15.75">
      <c r="A50" s="104" t="s">
        <v>26</v>
      </c>
      <c r="B50" s="90">
        <f t="shared" ref="B50:F50" si="26">SUM(B48:B49)</f>
        <v>8154000</v>
      </c>
      <c r="C50" s="90">
        <f t="shared" si="26"/>
        <v>8154000</v>
      </c>
      <c r="D50" s="90">
        <f t="shared" si="26"/>
        <v>8154000</v>
      </c>
      <c r="E50" s="90">
        <f t="shared" si="26"/>
        <v>8154000</v>
      </c>
      <c r="F50" s="90">
        <f t="shared" si="26"/>
        <v>8154000</v>
      </c>
      <c r="G50" s="90">
        <f>SUM(G48:G49)</f>
        <v>8154000</v>
      </c>
      <c r="H50" s="90">
        <f t="shared" ref="H50:M50" si="27">SUM(H48:H49)</f>
        <v>8154000</v>
      </c>
      <c r="I50" s="90">
        <f t="shared" si="27"/>
        <v>8154000</v>
      </c>
      <c r="J50" s="90">
        <f t="shared" si="27"/>
        <v>8154000</v>
      </c>
      <c r="K50" s="90">
        <f t="shared" si="27"/>
        <v>8154000</v>
      </c>
      <c r="L50" s="90">
        <f t="shared" si="27"/>
        <v>8154000</v>
      </c>
      <c r="M50" s="90">
        <f t="shared" si="27"/>
        <v>8154000</v>
      </c>
      <c r="N50" s="73"/>
      <c r="O50" s="73"/>
    </row>
    <row r="51" spans="1:15" ht="15.75">
      <c r="A51" s="105" t="s">
        <v>114</v>
      </c>
      <c r="B51" s="78">
        <v>834294</v>
      </c>
      <c r="C51" s="78">
        <v>834294</v>
      </c>
      <c r="D51" s="78">
        <v>834294</v>
      </c>
      <c r="E51" s="78">
        <v>834294</v>
      </c>
      <c r="F51" s="78">
        <v>834294</v>
      </c>
      <c r="G51" s="78">
        <v>835460</v>
      </c>
      <c r="H51" s="78">
        <v>835460</v>
      </c>
      <c r="I51" s="78">
        <v>835460</v>
      </c>
      <c r="J51" s="78">
        <v>835460</v>
      </c>
      <c r="K51" s="78">
        <v>835460</v>
      </c>
      <c r="L51" s="78">
        <v>835460</v>
      </c>
      <c r="M51" s="78">
        <v>835460</v>
      </c>
      <c r="N51" s="73"/>
      <c r="O51" s="73"/>
    </row>
    <row r="52" spans="1:15" ht="15.75">
      <c r="A52" s="103" t="s">
        <v>36</v>
      </c>
      <c r="B52" s="78">
        <v>42610</v>
      </c>
      <c r="C52" s="78">
        <v>42610</v>
      </c>
      <c r="D52" s="78">
        <v>42610</v>
      </c>
      <c r="E52" s="78">
        <v>42610</v>
      </c>
      <c r="F52" s="78">
        <v>42610</v>
      </c>
      <c r="G52" s="106">
        <v>41620</v>
      </c>
      <c r="H52" s="106">
        <v>41620</v>
      </c>
      <c r="I52" s="106">
        <v>41620</v>
      </c>
      <c r="J52" s="106">
        <v>41620</v>
      </c>
      <c r="K52" s="106">
        <v>41620</v>
      </c>
      <c r="L52" s="106">
        <v>41620</v>
      </c>
      <c r="M52" s="106">
        <v>41620</v>
      </c>
      <c r="N52" s="73"/>
      <c r="O52" s="73"/>
    </row>
    <row r="53" spans="1:15" ht="15.75">
      <c r="A53" s="103" t="s">
        <v>115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106">
        <v>0</v>
      </c>
      <c r="N53" s="73"/>
      <c r="O53" s="73"/>
    </row>
    <row r="54" spans="1:15" ht="15.75">
      <c r="A54" s="103" t="s">
        <v>214</v>
      </c>
      <c r="B54" s="78">
        <v>0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106">
        <v>0</v>
      </c>
      <c r="N54" s="73"/>
      <c r="O54" s="73"/>
    </row>
    <row r="55" spans="1:15" ht="15.75">
      <c r="A55" s="103" t="s">
        <v>116</v>
      </c>
      <c r="B55" s="87">
        <v>60235</v>
      </c>
      <c r="C55" s="107">
        <f>+B55</f>
        <v>60235</v>
      </c>
      <c r="D55" s="107">
        <f t="shared" ref="D55:M55" si="28">+C55</f>
        <v>60235</v>
      </c>
      <c r="E55" s="107">
        <f t="shared" si="28"/>
        <v>60235</v>
      </c>
      <c r="F55" s="107">
        <f t="shared" si="28"/>
        <v>60235</v>
      </c>
      <c r="G55" s="107">
        <f t="shared" si="28"/>
        <v>60235</v>
      </c>
      <c r="H55" s="107">
        <f t="shared" si="28"/>
        <v>60235</v>
      </c>
      <c r="I55" s="107">
        <f t="shared" si="28"/>
        <v>60235</v>
      </c>
      <c r="J55" s="107">
        <f t="shared" si="28"/>
        <v>60235</v>
      </c>
      <c r="K55" s="107">
        <f t="shared" si="28"/>
        <v>60235</v>
      </c>
      <c r="L55" s="107">
        <f t="shared" si="28"/>
        <v>60235</v>
      </c>
      <c r="M55" s="107">
        <f t="shared" si="28"/>
        <v>60235</v>
      </c>
      <c r="N55" s="73"/>
      <c r="O55" s="73"/>
    </row>
    <row r="56" spans="1:15" ht="15.75">
      <c r="A56" s="104" t="s">
        <v>37</v>
      </c>
      <c r="B56" s="90">
        <f t="shared" ref="B56:F56" si="29">SUM(B51:B55)</f>
        <v>937139</v>
      </c>
      <c r="C56" s="90">
        <f t="shared" si="29"/>
        <v>937139</v>
      </c>
      <c r="D56" s="90">
        <f t="shared" si="29"/>
        <v>937139</v>
      </c>
      <c r="E56" s="90">
        <f t="shared" si="29"/>
        <v>937139</v>
      </c>
      <c r="F56" s="90">
        <f t="shared" si="29"/>
        <v>937139</v>
      </c>
      <c r="G56" s="90">
        <f>SUM(G51:G55)</f>
        <v>937315</v>
      </c>
      <c r="H56" s="90">
        <f t="shared" ref="H56:M56" si="30">SUM(H51:H55)</f>
        <v>937315</v>
      </c>
      <c r="I56" s="90">
        <f t="shared" si="30"/>
        <v>937315</v>
      </c>
      <c r="J56" s="90">
        <f t="shared" si="30"/>
        <v>937315</v>
      </c>
      <c r="K56" s="90">
        <f t="shared" si="30"/>
        <v>937315</v>
      </c>
      <c r="L56" s="90">
        <f t="shared" si="30"/>
        <v>937315</v>
      </c>
      <c r="M56" s="90">
        <f t="shared" si="30"/>
        <v>937315</v>
      </c>
      <c r="N56" s="73"/>
      <c r="O56" s="73"/>
    </row>
    <row r="57" spans="1:15" ht="15.75">
      <c r="A57" s="103" t="s">
        <v>117</v>
      </c>
      <c r="B57" s="78">
        <v>2695088</v>
      </c>
      <c r="C57" s="78">
        <v>2695088</v>
      </c>
      <c r="D57" s="78">
        <v>2695088</v>
      </c>
      <c r="E57" s="78">
        <v>2695088</v>
      </c>
      <c r="F57" s="78">
        <v>2695088</v>
      </c>
      <c r="G57" s="85">
        <v>2696392</v>
      </c>
      <c r="H57" s="85">
        <v>2696392</v>
      </c>
      <c r="I57" s="85">
        <v>2696392</v>
      </c>
      <c r="J57" s="85">
        <v>2696392</v>
      </c>
      <c r="K57" s="85">
        <v>2696392</v>
      </c>
      <c r="L57" s="85">
        <v>2696392</v>
      </c>
      <c r="M57" s="85">
        <v>2696392</v>
      </c>
      <c r="N57" s="73"/>
      <c r="O57" s="73"/>
    </row>
    <row r="58" spans="1:15" ht="15.75">
      <c r="A58" s="103" t="s">
        <v>36</v>
      </c>
      <c r="B58" s="78">
        <v>30030</v>
      </c>
      <c r="C58" s="78">
        <v>30030</v>
      </c>
      <c r="D58" s="78">
        <v>30030</v>
      </c>
      <c r="E58" s="78">
        <v>30030</v>
      </c>
      <c r="F58" s="78">
        <v>30030</v>
      </c>
      <c r="G58" s="78">
        <v>30450</v>
      </c>
      <c r="H58" s="78">
        <v>30450</v>
      </c>
      <c r="I58" s="78">
        <v>30450</v>
      </c>
      <c r="J58" s="78">
        <v>30450</v>
      </c>
      <c r="K58" s="78">
        <v>30450</v>
      </c>
      <c r="L58" s="78">
        <v>30450</v>
      </c>
      <c r="M58" s="78">
        <v>30450</v>
      </c>
      <c r="N58" s="73"/>
      <c r="O58" s="73"/>
    </row>
    <row r="59" spans="1:15" ht="15.75">
      <c r="A59" s="103" t="s">
        <v>118</v>
      </c>
      <c r="B59" s="78">
        <v>5019</v>
      </c>
      <c r="C59" s="78">
        <v>5019</v>
      </c>
      <c r="D59" s="78">
        <v>5019</v>
      </c>
      <c r="E59" s="78">
        <v>5019</v>
      </c>
      <c r="F59" s="78">
        <v>5019</v>
      </c>
      <c r="G59" s="85">
        <v>4757</v>
      </c>
      <c r="H59" s="85">
        <v>4757</v>
      </c>
      <c r="I59" s="85">
        <v>4757</v>
      </c>
      <c r="J59" s="85">
        <v>4757</v>
      </c>
      <c r="K59" s="85">
        <v>4757</v>
      </c>
      <c r="L59" s="85">
        <v>4757</v>
      </c>
      <c r="M59" s="85">
        <v>4757</v>
      </c>
      <c r="N59" s="73"/>
      <c r="O59" s="73"/>
    </row>
    <row r="60" spans="1:15" ht="15.75">
      <c r="A60" s="108" t="s">
        <v>119</v>
      </c>
      <c r="B60" s="78">
        <v>3406</v>
      </c>
      <c r="C60" s="78">
        <v>3406</v>
      </c>
      <c r="D60" s="78">
        <v>3406</v>
      </c>
      <c r="E60" s="78">
        <v>3406</v>
      </c>
      <c r="F60" s="78">
        <v>3406</v>
      </c>
      <c r="G60" s="85">
        <v>3020</v>
      </c>
      <c r="H60" s="85">
        <v>3020</v>
      </c>
      <c r="I60" s="85">
        <v>3020</v>
      </c>
      <c r="J60" s="85">
        <v>3020</v>
      </c>
      <c r="K60" s="85">
        <v>3020</v>
      </c>
      <c r="L60" s="85">
        <v>3020</v>
      </c>
      <c r="M60" s="85">
        <v>3020</v>
      </c>
      <c r="N60" s="73"/>
      <c r="O60" s="73"/>
    </row>
    <row r="61" spans="1:15" ht="15.75">
      <c r="A61" s="103" t="s">
        <v>120</v>
      </c>
      <c r="B61" s="78">
        <v>11571</v>
      </c>
      <c r="C61" s="78">
        <v>11571</v>
      </c>
      <c r="D61" s="78">
        <v>11571</v>
      </c>
      <c r="E61" s="78">
        <v>11571</v>
      </c>
      <c r="F61" s="78">
        <v>11571</v>
      </c>
      <c r="G61" s="85">
        <v>10495</v>
      </c>
      <c r="H61" s="85">
        <v>10495</v>
      </c>
      <c r="I61" s="85">
        <v>10495</v>
      </c>
      <c r="J61" s="85">
        <v>10495</v>
      </c>
      <c r="K61" s="85">
        <v>10495</v>
      </c>
      <c r="L61" s="85">
        <v>10495</v>
      </c>
      <c r="M61" s="85">
        <v>10495</v>
      </c>
      <c r="N61" s="73"/>
      <c r="O61" s="73"/>
    </row>
    <row r="62" spans="1:15" ht="15.75">
      <c r="A62" s="103" t="s">
        <v>37</v>
      </c>
      <c r="B62" s="87">
        <v>117886</v>
      </c>
      <c r="C62" s="107">
        <f>+B62</f>
        <v>117886</v>
      </c>
      <c r="D62" s="107">
        <f t="shared" ref="D62:M62" si="31">+C62</f>
        <v>117886</v>
      </c>
      <c r="E62" s="107">
        <f t="shared" si="31"/>
        <v>117886</v>
      </c>
      <c r="F62" s="107">
        <f t="shared" si="31"/>
        <v>117886</v>
      </c>
      <c r="G62" s="107">
        <f t="shared" si="31"/>
        <v>117886</v>
      </c>
      <c r="H62" s="107">
        <f t="shared" si="31"/>
        <v>117886</v>
      </c>
      <c r="I62" s="107">
        <f t="shared" si="31"/>
        <v>117886</v>
      </c>
      <c r="J62" s="107">
        <f t="shared" si="31"/>
        <v>117886</v>
      </c>
      <c r="K62" s="107">
        <f t="shared" si="31"/>
        <v>117886</v>
      </c>
      <c r="L62" s="107">
        <f t="shared" si="31"/>
        <v>117886</v>
      </c>
      <c r="M62" s="107">
        <f t="shared" si="31"/>
        <v>117886</v>
      </c>
      <c r="N62" s="73"/>
      <c r="O62" s="73"/>
    </row>
    <row r="63" spans="1:15" ht="15.75">
      <c r="A63" s="104" t="s">
        <v>27</v>
      </c>
      <c r="B63" s="90">
        <f t="shared" ref="B63:F63" si="32">SUM(B57:B62)</f>
        <v>2863000</v>
      </c>
      <c r="C63" s="90">
        <f t="shared" si="32"/>
        <v>2863000</v>
      </c>
      <c r="D63" s="90">
        <f t="shared" si="32"/>
        <v>2863000</v>
      </c>
      <c r="E63" s="90">
        <f t="shared" si="32"/>
        <v>2863000</v>
      </c>
      <c r="F63" s="90">
        <f t="shared" si="32"/>
        <v>2863000</v>
      </c>
      <c r="G63" s="90">
        <f>SUM(G57:G62)</f>
        <v>2863000</v>
      </c>
      <c r="H63" s="90">
        <f t="shared" ref="H63:M63" si="33">SUM(H57:H62)</f>
        <v>2863000</v>
      </c>
      <c r="I63" s="90">
        <f t="shared" si="33"/>
        <v>2863000</v>
      </c>
      <c r="J63" s="90">
        <f t="shared" si="33"/>
        <v>2863000</v>
      </c>
      <c r="K63" s="90">
        <f t="shared" si="33"/>
        <v>2863000</v>
      </c>
      <c r="L63" s="90">
        <f t="shared" si="33"/>
        <v>2863000</v>
      </c>
      <c r="M63" s="90">
        <f t="shared" si="33"/>
        <v>2863000</v>
      </c>
      <c r="N63" s="73"/>
      <c r="O63" s="73"/>
    </row>
    <row r="64" spans="1:15" ht="15.75">
      <c r="A64" s="109" t="s">
        <v>121</v>
      </c>
      <c r="B64" s="78">
        <v>1437600</v>
      </c>
      <c r="C64" s="79">
        <f>+B64</f>
        <v>1437600</v>
      </c>
      <c r="D64" s="79">
        <f t="shared" ref="D64:M65" si="34">+C64</f>
        <v>1437600</v>
      </c>
      <c r="E64" s="79">
        <f t="shared" si="34"/>
        <v>1437600</v>
      </c>
      <c r="F64" s="79">
        <f t="shared" si="34"/>
        <v>1437600</v>
      </c>
      <c r="G64" s="79">
        <f t="shared" si="34"/>
        <v>1437600</v>
      </c>
      <c r="H64" s="79">
        <f t="shared" si="34"/>
        <v>1437600</v>
      </c>
      <c r="I64" s="79">
        <f t="shared" si="34"/>
        <v>1437600</v>
      </c>
      <c r="J64" s="79">
        <f t="shared" si="34"/>
        <v>1437600</v>
      </c>
      <c r="K64" s="79">
        <f t="shared" si="34"/>
        <v>1437600</v>
      </c>
      <c r="L64" s="79">
        <f t="shared" si="34"/>
        <v>1437600</v>
      </c>
      <c r="M64" s="79">
        <f t="shared" si="34"/>
        <v>1437600</v>
      </c>
      <c r="N64" s="73"/>
      <c r="O64" s="73"/>
    </row>
    <row r="65" spans="1:15" ht="15.75">
      <c r="A65" s="110" t="s">
        <v>37</v>
      </c>
      <c r="B65" s="87">
        <v>184138</v>
      </c>
      <c r="C65" s="107">
        <f>+B65</f>
        <v>184138</v>
      </c>
      <c r="D65" s="107">
        <f t="shared" si="34"/>
        <v>184138</v>
      </c>
      <c r="E65" s="107">
        <f t="shared" si="34"/>
        <v>184138</v>
      </c>
      <c r="F65" s="107">
        <f t="shared" si="34"/>
        <v>184138</v>
      </c>
      <c r="G65" s="107">
        <f t="shared" si="34"/>
        <v>184138</v>
      </c>
      <c r="H65" s="107">
        <f t="shared" si="34"/>
        <v>184138</v>
      </c>
      <c r="I65" s="107">
        <f t="shared" si="34"/>
        <v>184138</v>
      </c>
      <c r="J65" s="107">
        <f t="shared" si="34"/>
        <v>184138</v>
      </c>
      <c r="K65" s="107">
        <f t="shared" si="34"/>
        <v>184138</v>
      </c>
      <c r="L65" s="107">
        <f t="shared" si="34"/>
        <v>184138</v>
      </c>
      <c r="M65" s="107">
        <f t="shared" si="34"/>
        <v>184138</v>
      </c>
      <c r="N65" s="73"/>
      <c r="O65" s="73"/>
    </row>
    <row r="66" spans="1:15" ht="15.75">
      <c r="A66" s="111" t="s">
        <v>35</v>
      </c>
      <c r="B66" s="90">
        <f t="shared" ref="B66:F66" si="35">SUM(B64:B65)</f>
        <v>1621738</v>
      </c>
      <c r="C66" s="90">
        <f t="shared" si="35"/>
        <v>1621738</v>
      </c>
      <c r="D66" s="90">
        <f t="shared" si="35"/>
        <v>1621738</v>
      </c>
      <c r="E66" s="90">
        <f t="shared" si="35"/>
        <v>1621738</v>
      </c>
      <c r="F66" s="90">
        <f t="shared" si="35"/>
        <v>1621738</v>
      </c>
      <c r="G66" s="90">
        <f>SUM(G64:G65)</f>
        <v>1621738</v>
      </c>
      <c r="H66" s="90">
        <f t="shared" ref="H66:M66" si="36">SUM(H64:H65)</f>
        <v>1621738</v>
      </c>
      <c r="I66" s="90">
        <f t="shared" si="36"/>
        <v>1621738</v>
      </c>
      <c r="J66" s="90">
        <f t="shared" si="36"/>
        <v>1621738</v>
      </c>
      <c r="K66" s="90">
        <f t="shared" si="36"/>
        <v>1621738</v>
      </c>
      <c r="L66" s="90">
        <f t="shared" si="36"/>
        <v>1621738</v>
      </c>
      <c r="M66" s="90">
        <f t="shared" si="36"/>
        <v>1621738</v>
      </c>
      <c r="N66" s="73"/>
      <c r="O66" s="73"/>
    </row>
    <row r="67" spans="1:15" ht="15.75">
      <c r="A67" s="112" t="s">
        <v>122</v>
      </c>
      <c r="B67" s="78">
        <v>640383</v>
      </c>
      <c r="C67" s="79">
        <f>+B67</f>
        <v>640383</v>
      </c>
      <c r="D67" s="79">
        <f t="shared" ref="D67:M67" si="37">+C67</f>
        <v>640383</v>
      </c>
      <c r="E67" s="79">
        <f t="shared" si="37"/>
        <v>640383</v>
      </c>
      <c r="F67" s="79">
        <f t="shared" si="37"/>
        <v>640383</v>
      </c>
      <c r="G67" s="79">
        <f t="shared" si="37"/>
        <v>640383</v>
      </c>
      <c r="H67" s="79">
        <f t="shared" si="37"/>
        <v>640383</v>
      </c>
      <c r="I67" s="79">
        <f t="shared" si="37"/>
        <v>640383</v>
      </c>
      <c r="J67" s="79">
        <f t="shared" si="37"/>
        <v>640383</v>
      </c>
      <c r="K67" s="79">
        <f t="shared" si="37"/>
        <v>640383</v>
      </c>
      <c r="L67" s="79">
        <f t="shared" si="37"/>
        <v>640383</v>
      </c>
      <c r="M67" s="79">
        <f t="shared" si="37"/>
        <v>640383</v>
      </c>
      <c r="N67" s="73"/>
      <c r="O67" s="73"/>
    </row>
    <row r="68" spans="1:15" ht="15.75">
      <c r="A68" s="108" t="s">
        <v>123</v>
      </c>
      <c r="B68" s="78">
        <v>0</v>
      </c>
      <c r="C68" s="78">
        <v>0</v>
      </c>
      <c r="D68" s="78">
        <v>0</v>
      </c>
      <c r="E68" s="78">
        <v>0</v>
      </c>
      <c r="F68" s="78">
        <v>0</v>
      </c>
      <c r="G68" s="78">
        <v>105184</v>
      </c>
      <c r="H68" s="78">
        <v>105184</v>
      </c>
      <c r="I68" s="78">
        <v>105184</v>
      </c>
      <c r="J68" s="78">
        <v>105184</v>
      </c>
      <c r="K68" s="78">
        <v>105184</v>
      </c>
      <c r="L68" s="78">
        <v>105184</v>
      </c>
      <c r="M68" s="78">
        <v>105184</v>
      </c>
      <c r="N68" s="73"/>
      <c r="O68" s="73"/>
    </row>
    <row r="69" spans="1:15" ht="15.75">
      <c r="A69" s="108" t="s">
        <v>37</v>
      </c>
      <c r="B69" s="87">
        <v>139733</v>
      </c>
      <c r="C69" s="107">
        <f>+B69</f>
        <v>139733</v>
      </c>
      <c r="D69" s="107">
        <f t="shared" ref="D69:M69" si="38">+C69</f>
        <v>139733</v>
      </c>
      <c r="E69" s="107">
        <f t="shared" si="38"/>
        <v>139733</v>
      </c>
      <c r="F69" s="107">
        <f t="shared" si="38"/>
        <v>139733</v>
      </c>
      <c r="G69" s="107">
        <f t="shared" si="38"/>
        <v>139733</v>
      </c>
      <c r="H69" s="107">
        <f t="shared" si="38"/>
        <v>139733</v>
      </c>
      <c r="I69" s="107">
        <f t="shared" si="38"/>
        <v>139733</v>
      </c>
      <c r="J69" s="107">
        <f t="shared" si="38"/>
        <v>139733</v>
      </c>
      <c r="K69" s="107">
        <f t="shared" si="38"/>
        <v>139733</v>
      </c>
      <c r="L69" s="107">
        <f t="shared" si="38"/>
        <v>139733</v>
      </c>
      <c r="M69" s="107">
        <f t="shared" si="38"/>
        <v>139733</v>
      </c>
      <c r="N69" s="73"/>
      <c r="O69" s="73"/>
    </row>
    <row r="70" spans="1:15" ht="15.75">
      <c r="A70" s="111" t="s">
        <v>38</v>
      </c>
      <c r="B70" s="90">
        <f t="shared" ref="B70:F70" si="39">SUM(B67:B69)</f>
        <v>780116</v>
      </c>
      <c r="C70" s="90">
        <f t="shared" si="39"/>
        <v>780116</v>
      </c>
      <c r="D70" s="90">
        <f t="shared" si="39"/>
        <v>780116</v>
      </c>
      <c r="E70" s="90">
        <f t="shared" si="39"/>
        <v>780116</v>
      </c>
      <c r="F70" s="90">
        <f t="shared" si="39"/>
        <v>780116</v>
      </c>
      <c r="G70" s="90">
        <f>SUM(G67:G69)</f>
        <v>885300</v>
      </c>
      <c r="H70" s="90">
        <f t="shared" ref="H70:M70" si="40">SUM(H67:H69)</f>
        <v>885300</v>
      </c>
      <c r="I70" s="90">
        <f t="shared" si="40"/>
        <v>885300</v>
      </c>
      <c r="J70" s="90">
        <f t="shared" si="40"/>
        <v>885300</v>
      </c>
      <c r="K70" s="90">
        <f t="shared" si="40"/>
        <v>885300</v>
      </c>
      <c r="L70" s="90">
        <f t="shared" si="40"/>
        <v>885300</v>
      </c>
      <c r="M70" s="90">
        <f t="shared" si="40"/>
        <v>885300</v>
      </c>
      <c r="N70" s="73"/>
      <c r="O70" s="73"/>
    </row>
    <row r="71" spans="1:15" ht="15.75">
      <c r="A71" s="112" t="s">
        <v>116</v>
      </c>
      <c r="B71" s="78">
        <v>7367163</v>
      </c>
      <c r="C71" s="78">
        <v>7361457</v>
      </c>
      <c r="D71" s="78">
        <v>7361457</v>
      </c>
      <c r="E71" s="78">
        <v>7361457</v>
      </c>
      <c r="F71" s="78">
        <v>7361457</v>
      </c>
      <c r="G71" s="85">
        <v>7363311</v>
      </c>
      <c r="H71" s="85">
        <v>7363311</v>
      </c>
      <c r="I71" s="85">
        <v>7363311</v>
      </c>
      <c r="J71" s="85">
        <v>7363311</v>
      </c>
      <c r="K71" s="85">
        <v>7363311</v>
      </c>
      <c r="L71" s="85">
        <v>7363311</v>
      </c>
      <c r="M71" s="85">
        <v>7363311</v>
      </c>
      <c r="N71" s="73"/>
      <c r="O71" s="73"/>
    </row>
    <row r="72" spans="1:15" ht="15.75">
      <c r="A72" s="108" t="s">
        <v>36</v>
      </c>
      <c r="B72" s="78">
        <v>122400</v>
      </c>
      <c r="C72" s="78">
        <v>122400</v>
      </c>
      <c r="D72" s="78">
        <v>122400</v>
      </c>
      <c r="E72" s="78">
        <v>122400</v>
      </c>
      <c r="F72" s="78">
        <v>122400</v>
      </c>
      <c r="G72" s="85">
        <v>126870</v>
      </c>
      <c r="H72" s="85">
        <v>126870</v>
      </c>
      <c r="I72" s="85">
        <v>126870</v>
      </c>
      <c r="J72" s="85">
        <v>126870</v>
      </c>
      <c r="K72" s="85">
        <v>126870</v>
      </c>
      <c r="L72" s="85">
        <v>126870</v>
      </c>
      <c r="M72" s="85">
        <v>126870</v>
      </c>
      <c r="N72" s="73"/>
      <c r="O72" s="73"/>
    </row>
    <row r="73" spans="1:15" ht="15.75">
      <c r="A73" s="108" t="s">
        <v>124</v>
      </c>
      <c r="B73" s="78">
        <v>0</v>
      </c>
      <c r="C73" s="78">
        <v>5706</v>
      </c>
      <c r="D73" s="78">
        <v>5706</v>
      </c>
      <c r="E73" s="78">
        <v>5706</v>
      </c>
      <c r="F73" s="78">
        <v>5706</v>
      </c>
      <c r="G73" s="85">
        <v>6270</v>
      </c>
      <c r="H73" s="85">
        <v>6270</v>
      </c>
      <c r="I73" s="85">
        <v>6270</v>
      </c>
      <c r="J73" s="85">
        <v>6270</v>
      </c>
      <c r="K73" s="85">
        <v>6270</v>
      </c>
      <c r="L73" s="85">
        <v>6270</v>
      </c>
      <c r="M73" s="85">
        <v>6270</v>
      </c>
      <c r="N73" s="73"/>
      <c r="O73" s="73"/>
    </row>
    <row r="74" spans="1:15" ht="15.75">
      <c r="A74" s="108" t="s">
        <v>125</v>
      </c>
      <c r="B74" s="78">
        <v>8905</v>
      </c>
      <c r="C74" s="78">
        <v>8905</v>
      </c>
      <c r="D74" s="78">
        <v>8905</v>
      </c>
      <c r="E74" s="78">
        <v>8905</v>
      </c>
      <c r="F74" s="78">
        <v>8905</v>
      </c>
      <c r="G74" s="85">
        <v>7949</v>
      </c>
      <c r="H74" s="85">
        <v>7949</v>
      </c>
      <c r="I74" s="85">
        <v>7949</v>
      </c>
      <c r="J74" s="85">
        <v>7949</v>
      </c>
      <c r="K74" s="85">
        <v>7949</v>
      </c>
      <c r="L74" s="85">
        <v>7949</v>
      </c>
      <c r="M74" s="85">
        <v>7949</v>
      </c>
      <c r="N74" s="73"/>
      <c r="O74" s="73"/>
    </row>
    <row r="75" spans="1:15" ht="15.75">
      <c r="A75" s="108" t="s">
        <v>126</v>
      </c>
      <c r="B75" s="78">
        <v>9266</v>
      </c>
      <c r="C75" s="78">
        <v>9266</v>
      </c>
      <c r="D75" s="78">
        <v>9266</v>
      </c>
      <c r="E75" s="78">
        <v>9266</v>
      </c>
      <c r="F75" s="78">
        <v>9266</v>
      </c>
      <c r="G75" s="85">
        <v>7804</v>
      </c>
      <c r="H75" s="85">
        <v>7804</v>
      </c>
      <c r="I75" s="85">
        <v>7804</v>
      </c>
      <c r="J75" s="85">
        <v>7804</v>
      </c>
      <c r="K75" s="85">
        <v>7804</v>
      </c>
      <c r="L75" s="85">
        <v>7804</v>
      </c>
      <c r="M75" s="85">
        <v>7804</v>
      </c>
      <c r="N75" s="73"/>
      <c r="O75" s="73"/>
    </row>
    <row r="76" spans="1:15" ht="15.75">
      <c r="A76" s="108" t="s">
        <v>37</v>
      </c>
      <c r="B76" s="87">
        <v>714157</v>
      </c>
      <c r="C76" s="107">
        <f>+B76</f>
        <v>714157</v>
      </c>
      <c r="D76" s="107">
        <f t="shared" ref="D76:M76" si="41">+C76</f>
        <v>714157</v>
      </c>
      <c r="E76" s="107">
        <f t="shared" si="41"/>
        <v>714157</v>
      </c>
      <c r="F76" s="107">
        <f t="shared" si="41"/>
        <v>714157</v>
      </c>
      <c r="G76" s="107">
        <f t="shared" si="41"/>
        <v>714157</v>
      </c>
      <c r="H76" s="107">
        <f t="shared" si="41"/>
        <v>714157</v>
      </c>
      <c r="I76" s="107">
        <f t="shared" si="41"/>
        <v>714157</v>
      </c>
      <c r="J76" s="107">
        <f t="shared" si="41"/>
        <v>714157</v>
      </c>
      <c r="K76" s="107">
        <f t="shared" si="41"/>
        <v>714157</v>
      </c>
      <c r="L76" s="107">
        <f t="shared" si="41"/>
        <v>714157</v>
      </c>
      <c r="M76" s="107">
        <f t="shared" si="41"/>
        <v>714157</v>
      </c>
      <c r="N76" s="73"/>
      <c r="O76" s="73"/>
    </row>
    <row r="77" spans="1:15" ht="15.75">
      <c r="A77" s="111" t="s">
        <v>34</v>
      </c>
      <c r="B77" s="90">
        <f t="shared" ref="B77:F77" si="42">SUM(B71:B76)</f>
        <v>8221891</v>
      </c>
      <c r="C77" s="90">
        <f t="shared" si="42"/>
        <v>8221891</v>
      </c>
      <c r="D77" s="90">
        <f t="shared" si="42"/>
        <v>8221891</v>
      </c>
      <c r="E77" s="90">
        <f t="shared" si="42"/>
        <v>8221891</v>
      </c>
      <c r="F77" s="90">
        <f t="shared" si="42"/>
        <v>8221891</v>
      </c>
      <c r="G77" s="90">
        <f>SUM(G71:G76)</f>
        <v>8226361</v>
      </c>
      <c r="H77" s="90">
        <f t="shared" ref="H77:M77" si="43">SUM(H71:H76)</f>
        <v>8226361</v>
      </c>
      <c r="I77" s="90">
        <f t="shared" si="43"/>
        <v>8226361</v>
      </c>
      <c r="J77" s="90">
        <f t="shared" si="43"/>
        <v>8226361</v>
      </c>
      <c r="K77" s="90">
        <f t="shared" si="43"/>
        <v>8226361</v>
      </c>
      <c r="L77" s="90">
        <f t="shared" si="43"/>
        <v>8226361</v>
      </c>
      <c r="M77" s="90">
        <f t="shared" si="43"/>
        <v>8226361</v>
      </c>
      <c r="N77" s="73"/>
      <c r="O77" s="73"/>
    </row>
    <row r="78" spans="1:15" ht="15.75">
      <c r="A78" s="112" t="s">
        <v>96</v>
      </c>
      <c r="B78" s="106">
        <v>3417921</v>
      </c>
      <c r="C78" s="106">
        <v>3417921</v>
      </c>
      <c r="D78" s="106">
        <v>3417921</v>
      </c>
      <c r="E78" s="106">
        <v>3417921</v>
      </c>
      <c r="F78" s="106">
        <v>3417921</v>
      </c>
      <c r="G78" s="106">
        <v>3621197</v>
      </c>
      <c r="H78" s="106">
        <v>3621197</v>
      </c>
      <c r="I78" s="106">
        <v>3621197</v>
      </c>
      <c r="J78" s="106">
        <v>3621197</v>
      </c>
      <c r="K78" s="106">
        <v>3621197</v>
      </c>
      <c r="L78" s="106">
        <v>3621197</v>
      </c>
      <c r="M78" s="106">
        <v>3621197</v>
      </c>
      <c r="N78" s="73"/>
      <c r="O78" s="73"/>
    </row>
    <row r="79" spans="1:15" ht="15.75">
      <c r="A79" s="108" t="s">
        <v>127</v>
      </c>
      <c r="B79" s="106">
        <v>77323</v>
      </c>
      <c r="C79" s="106">
        <v>77323</v>
      </c>
      <c r="D79" s="106">
        <v>77323</v>
      </c>
      <c r="E79" s="106">
        <v>77323</v>
      </c>
      <c r="F79" s="106">
        <v>77323</v>
      </c>
      <c r="G79" s="106">
        <v>83178</v>
      </c>
      <c r="H79" s="106">
        <v>83178</v>
      </c>
      <c r="I79" s="106">
        <v>83178</v>
      </c>
      <c r="J79" s="106">
        <v>83178</v>
      </c>
      <c r="K79" s="106">
        <v>83178</v>
      </c>
      <c r="L79" s="106">
        <v>83178</v>
      </c>
      <c r="M79" s="106">
        <v>83178</v>
      </c>
      <c r="N79" s="73"/>
      <c r="O79" s="73"/>
    </row>
    <row r="80" spans="1:15" ht="15.75">
      <c r="A80" s="108" t="s">
        <v>128</v>
      </c>
      <c r="B80" s="106">
        <v>17290</v>
      </c>
      <c r="C80" s="106">
        <v>17290</v>
      </c>
      <c r="D80" s="106">
        <v>17290</v>
      </c>
      <c r="E80" s="106">
        <v>17290</v>
      </c>
      <c r="F80" s="106">
        <v>17290</v>
      </c>
      <c r="G80" s="106">
        <v>17755</v>
      </c>
      <c r="H80" s="106">
        <v>17755</v>
      </c>
      <c r="I80" s="106">
        <v>17755</v>
      </c>
      <c r="J80" s="106">
        <v>17755</v>
      </c>
      <c r="K80" s="106">
        <v>17755</v>
      </c>
      <c r="L80" s="106">
        <v>17755</v>
      </c>
      <c r="M80" s="106">
        <v>17755</v>
      </c>
      <c r="N80" s="73"/>
      <c r="O80" s="73"/>
    </row>
    <row r="81" spans="1:15" ht="15.75">
      <c r="A81" s="108" t="s">
        <v>129</v>
      </c>
      <c r="B81" s="106">
        <v>0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73"/>
      <c r="O81" s="73"/>
    </row>
    <row r="82" spans="1:15" ht="15.75">
      <c r="A82" s="108" t="s">
        <v>130</v>
      </c>
      <c r="B82" s="106">
        <v>7234</v>
      </c>
      <c r="C82" s="106">
        <v>7234</v>
      </c>
      <c r="D82" s="106">
        <v>7234</v>
      </c>
      <c r="E82" s="106">
        <v>7234</v>
      </c>
      <c r="F82" s="106">
        <v>7234</v>
      </c>
      <c r="G82" s="106">
        <v>6325</v>
      </c>
      <c r="H82" s="106">
        <v>6325</v>
      </c>
      <c r="I82" s="106">
        <v>6325</v>
      </c>
      <c r="J82" s="106">
        <v>6325</v>
      </c>
      <c r="K82" s="106">
        <v>6325</v>
      </c>
      <c r="L82" s="106">
        <v>6325</v>
      </c>
      <c r="M82" s="106">
        <v>6325</v>
      </c>
      <c r="N82" s="73"/>
      <c r="O82" s="73"/>
    </row>
    <row r="83" spans="1:15" ht="15.75">
      <c r="A83" s="108" t="s">
        <v>131</v>
      </c>
      <c r="B83" s="106">
        <v>34615</v>
      </c>
      <c r="C83" s="106">
        <v>34615</v>
      </c>
      <c r="D83" s="106">
        <v>34615</v>
      </c>
      <c r="E83" s="106">
        <v>34615</v>
      </c>
      <c r="F83" s="106">
        <v>34615</v>
      </c>
      <c r="G83" s="106">
        <v>31303</v>
      </c>
      <c r="H83" s="106">
        <v>31303</v>
      </c>
      <c r="I83" s="106">
        <v>31303</v>
      </c>
      <c r="J83" s="106">
        <v>31303</v>
      </c>
      <c r="K83" s="106">
        <v>31303</v>
      </c>
      <c r="L83" s="106">
        <v>31303</v>
      </c>
      <c r="M83" s="106">
        <v>31303</v>
      </c>
      <c r="N83" s="73"/>
      <c r="O83" s="73"/>
    </row>
    <row r="84" spans="1:15" ht="15.75">
      <c r="A84" s="108" t="s">
        <v>132</v>
      </c>
      <c r="B84" s="106">
        <v>5787</v>
      </c>
      <c r="C84" s="106">
        <v>5787</v>
      </c>
      <c r="D84" s="106">
        <v>5787</v>
      </c>
      <c r="E84" s="106">
        <v>5787</v>
      </c>
      <c r="F84" s="106">
        <v>5787</v>
      </c>
      <c r="G84" s="106">
        <v>4469</v>
      </c>
      <c r="H84" s="106">
        <v>4469</v>
      </c>
      <c r="I84" s="106">
        <v>4469</v>
      </c>
      <c r="J84" s="106">
        <v>4469</v>
      </c>
      <c r="K84" s="106">
        <v>4469</v>
      </c>
      <c r="L84" s="106">
        <v>4469</v>
      </c>
      <c r="M84" s="106">
        <v>4469</v>
      </c>
      <c r="N84" s="73"/>
      <c r="O84" s="73"/>
    </row>
    <row r="85" spans="1:15" ht="15.75">
      <c r="A85" s="108" t="s">
        <v>118</v>
      </c>
      <c r="B85" s="87">
        <v>0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99">
        <v>0</v>
      </c>
      <c r="N85" s="73"/>
      <c r="O85" s="73"/>
    </row>
    <row r="86" spans="1:15" ht="15.75">
      <c r="A86" s="111" t="s">
        <v>96</v>
      </c>
      <c r="B86" s="90">
        <f>SUM(B78:B85)</f>
        <v>3560170</v>
      </c>
      <c r="C86" s="90">
        <f t="shared" ref="C86:M86" si="44">SUM(C78:C85)</f>
        <v>3560170</v>
      </c>
      <c r="D86" s="90">
        <f t="shared" si="44"/>
        <v>3560170</v>
      </c>
      <c r="E86" s="90">
        <f t="shared" si="44"/>
        <v>3560170</v>
      </c>
      <c r="F86" s="90">
        <f t="shared" si="44"/>
        <v>3560170</v>
      </c>
      <c r="G86" s="90">
        <f t="shared" si="44"/>
        <v>3764227</v>
      </c>
      <c r="H86" s="90">
        <f t="shared" si="44"/>
        <v>3764227</v>
      </c>
      <c r="I86" s="90">
        <f t="shared" si="44"/>
        <v>3764227</v>
      </c>
      <c r="J86" s="90">
        <f t="shared" si="44"/>
        <v>3764227</v>
      </c>
      <c r="K86" s="90">
        <f t="shared" si="44"/>
        <v>3764227</v>
      </c>
      <c r="L86" s="90">
        <f t="shared" si="44"/>
        <v>3764227</v>
      </c>
      <c r="M86" s="90">
        <f t="shared" si="44"/>
        <v>3764227</v>
      </c>
      <c r="N86" s="73"/>
      <c r="O86" s="73"/>
    </row>
    <row r="87" spans="1:15" ht="15.75">
      <c r="A87" s="108" t="s">
        <v>98</v>
      </c>
      <c r="B87" s="106">
        <v>916210</v>
      </c>
      <c r="C87" s="106">
        <v>916210</v>
      </c>
      <c r="D87" s="106">
        <v>916210</v>
      </c>
      <c r="E87" s="106">
        <v>916210</v>
      </c>
      <c r="F87" s="106">
        <v>916210</v>
      </c>
      <c r="G87" s="106">
        <v>941880</v>
      </c>
      <c r="H87" s="106">
        <v>941880</v>
      </c>
      <c r="I87" s="106">
        <v>941880</v>
      </c>
      <c r="J87" s="106">
        <v>941880</v>
      </c>
      <c r="K87" s="106">
        <v>941880</v>
      </c>
      <c r="L87" s="106">
        <v>941880</v>
      </c>
      <c r="M87" s="106">
        <v>941880</v>
      </c>
      <c r="N87" s="73"/>
      <c r="O87" s="73"/>
    </row>
    <row r="88" spans="1:15" ht="15.75">
      <c r="A88" s="108" t="s">
        <v>124</v>
      </c>
      <c r="B88" s="87">
        <v>20231</v>
      </c>
      <c r="C88" s="87">
        <v>20231</v>
      </c>
      <c r="D88" s="87">
        <v>20231</v>
      </c>
      <c r="E88" s="87">
        <v>20231</v>
      </c>
      <c r="F88" s="87">
        <v>20231</v>
      </c>
      <c r="G88" s="99">
        <v>13324</v>
      </c>
      <c r="H88" s="99">
        <v>13324</v>
      </c>
      <c r="I88" s="99">
        <v>13324</v>
      </c>
      <c r="J88" s="99">
        <v>13324</v>
      </c>
      <c r="K88" s="99">
        <v>13324</v>
      </c>
      <c r="L88" s="99">
        <v>13324</v>
      </c>
      <c r="M88" s="99">
        <v>13324</v>
      </c>
      <c r="N88" s="73"/>
      <c r="O88" s="73"/>
    </row>
    <row r="89" spans="1:15" ht="15.75">
      <c r="A89" s="111" t="s">
        <v>98</v>
      </c>
      <c r="B89" s="90">
        <f>SUM(B87:B88)</f>
        <v>936441</v>
      </c>
      <c r="C89" s="90">
        <f t="shared" ref="C89:M89" si="45">SUM(C87:C88)</f>
        <v>936441</v>
      </c>
      <c r="D89" s="90">
        <f t="shared" si="45"/>
        <v>936441</v>
      </c>
      <c r="E89" s="90">
        <f t="shared" si="45"/>
        <v>936441</v>
      </c>
      <c r="F89" s="90">
        <f t="shared" si="45"/>
        <v>936441</v>
      </c>
      <c r="G89" s="90">
        <f t="shared" si="45"/>
        <v>955204</v>
      </c>
      <c r="H89" s="90">
        <f t="shared" si="45"/>
        <v>955204</v>
      </c>
      <c r="I89" s="90">
        <f t="shared" si="45"/>
        <v>955204</v>
      </c>
      <c r="J89" s="90">
        <f t="shared" si="45"/>
        <v>955204</v>
      </c>
      <c r="K89" s="90">
        <f t="shared" si="45"/>
        <v>955204</v>
      </c>
      <c r="L89" s="90">
        <f t="shared" si="45"/>
        <v>955204</v>
      </c>
      <c r="M89" s="90">
        <f t="shared" si="45"/>
        <v>955204</v>
      </c>
      <c r="N89" s="73"/>
      <c r="O89" s="73"/>
    </row>
    <row r="90" spans="1:15" ht="15.7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73"/>
      <c r="O90" s="73"/>
    </row>
    <row r="91" spans="1:15" ht="15.75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73"/>
      <c r="O91" s="73"/>
    </row>
    <row r="92" spans="1:15" ht="15.75">
      <c r="A92" s="115" t="s">
        <v>25</v>
      </c>
      <c r="B92" s="78">
        <v>6463000</v>
      </c>
      <c r="C92" s="79">
        <f>+B92</f>
        <v>6463000</v>
      </c>
      <c r="D92" s="79">
        <f t="shared" ref="D92:M92" si="46">+C92</f>
        <v>6463000</v>
      </c>
      <c r="E92" s="79">
        <f t="shared" si="46"/>
        <v>6463000</v>
      </c>
      <c r="F92" s="79">
        <f t="shared" si="46"/>
        <v>6463000</v>
      </c>
      <c r="G92" s="79">
        <f t="shared" si="46"/>
        <v>6463000</v>
      </c>
      <c r="H92" s="79">
        <f t="shared" si="46"/>
        <v>6463000</v>
      </c>
      <c r="I92" s="79">
        <f t="shared" si="46"/>
        <v>6463000</v>
      </c>
      <c r="J92" s="79">
        <f t="shared" si="46"/>
        <v>6463000</v>
      </c>
      <c r="K92" s="79">
        <f t="shared" si="46"/>
        <v>6463000</v>
      </c>
      <c r="L92" s="79">
        <f t="shared" si="46"/>
        <v>6463000</v>
      </c>
      <c r="M92" s="79">
        <f t="shared" si="46"/>
        <v>6463000</v>
      </c>
      <c r="N92" s="73"/>
      <c r="O92" s="73"/>
    </row>
    <row r="93" spans="1:15" ht="15.75">
      <c r="A93" s="115" t="s">
        <v>133</v>
      </c>
      <c r="B93" s="87">
        <v>126500</v>
      </c>
      <c r="C93" s="87">
        <v>126500</v>
      </c>
      <c r="D93" s="87">
        <v>126500</v>
      </c>
      <c r="E93" s="87">
        <v>126500</v>
      </c>
      <c r="F93" s="87">
        <v>126500</v>
      </c>
      <c r="G93" s="87">
        <v>126500</v>
      </c>
      <c r="H93" s="87">
        <v>126500</v>
      </c>
      <c r="I93" s="87">
        <v>126500</v>
      </c>
      <c r="J93" s="87">
        <v>126500</v>
      </c>
      <c r="K93" s="87">
        <v>126500</v>
      </c>
      <c r="L93" s="87">
        <v>126500</v>
      </c>
      <c r="M93" s="87">
        <v>126500</v>
      </c>
      <c r="N93" s="73"/>
      <c r="O93" s="73"/>
    </row>
    <row r="94" spans="1:15" ht="15.75">
      <c r="A94" s="116" t="s">
        <v>134</v>
      </c>
      <c r="B94" s="94">
        <f>B92+B93</f>
        <v>6589500</v>
      </c>
      <c r="C94" s="94">
        <f t="shared" ref="C94:M94" si="47">C92+C93</f>
        <v>6589500</v>
      </c>
      <c r="D94" s="94">
        <f t="shared" si="47"/>
        <v>6589500</v>
      </c>
      <c r="E94" s="94">
        <f t="shared" si="47"/>
        <v>6589500</v>
      </c>
      <c r="F94" s="94">
        <f t="shared" si="47"/>
        <v>6589500</v>
      </c>
      <c r="G94" s="94">
        <f t="shared" si="47"/>
        <v>6589500</v>
      </c>
      <c r="H94" s="94">
        <f t="shared" si="47"/>
        <v>6589500</v>
      </c>
      <c r="I94" s="94">
        <f t="shared" si="47"/>
        <v>6589500</v>
      </c>
      <c r="J94" s="94">
        <f t="shared" si="47"/>
        <v>6589500</v>
      </c>
      <c r="K94" s="94">
        <f t="shared" si="47"/>
        <v>6589500</v>
      </c>
      <c r="L94" s="94">
        <f t="shared" si="47"/>
        <v>6589500</v>
      </c>
      <c r="M94" s="94">
        <f t="shared" si="47"/>
        <v>6589500</v>
      </c>
      <c r="N94" s="73"/>
    </row>
    <row r="95" spans="1:15" ht="15.75">
      <c r="A95" s="117" t="str">
        <f>A94</f>
        <v>Mi Joint Zone (Zone 13)</v>
      </c>
      <c r="B95" s="76">
        <f>B94</f>
        <v>6589500</v>
      </c>
      <c r="C95" s="76">
        <f t="shared" ref="C95:M95" si="48">C94</f>
        <v>6589500</v>
      </c>
      <c r="D95" s="76">
        <f t="shared" si="48"/>
        <v>6589500</v>
      </c>
      <c r="E95" s="76">
        <f t="shared" si="48"/>
        <v>6589500</v>
      </c>
      <c r="F95" s="76">
        <f t="shared" si="48"/>
        <v>6589500</v>
      </c>
      <c r="G95" s="76">
        <f t="shared" si="48"/>
        <v>6589500</v>
      </c>
      <c r="H95" s="76">
        <f t="shared" si="48"/>
        <v>6589500</v>
      </c>
      <c r="I95" s="76">
        <f t="shared" si="48"/>
        <v>6589500</v>
      </c>
      <c r="J95" s="76">
        <f t="shared" si="48"/>
        <v>6589500</v>
      </c>
      <c r="K95" s="76">
        <f t="shared" si="48"/>
        <v>6589500</v>
      </c>
      <c r="L95" s="76">
        <f t="shared" si="48"/>
        <v>6589500</v>
      </c>
      <c r="M95" s="76">
        <f t="shared" si="48"/>
        <v>6589500</v>
      </c>
      <c r="N95" s="73"/>
    </row>
    <row r="96" spans="1:15" ht="15.75">
      <c r="A96" s="118" t="s">
        <v>135</v>
      </c>
      <c r="B96" s="87">
        <v>482724</v>
      </c>
      <c r="C96" s="87">
        <v>482724</v>
      </c>
      <c r="D96" s="87">
        <v>482724</v>
      </c>
      <c r="E96" s="87">
        <v>482724</v>
      </c>
      <c r="F96" s="87">
        <v>482724</v>
      </c>
      <c r="G96" s="87">
        <v>482724</v>
      </c>
      <c r="H96" s="87">
        <v>482724</v>
      </c>
      <c r="I96" s="87">
        <v>482724</v>
      </c>
      <c r="J96" s="87">
        <v>482724</v>
      </c>
      <c r="K96" s="87">
        <v>482724</v>
      </c>
      <c r="L96" s="87">
        <v>482724</v>
      </c>
      <c r="M96" s="87">
        <v>482724</v>
      </c>
    </row>
    <row r="97" spans="1:13" ht="15.75">
      <c r="A97" s="118" t="s">
        <v>136</v>
      </c>
      <c r="B97" s="76">
        <f>B95+B96</f>
        <v>7072224</v>
      </c>
      <c r="C97" s="76">
        <f t="shared" ref="C97:M97" si="49">C95+C96</f>
        <v>7072224</v>
      </c>
      <c r="D97" s="76">
        <f t="shared" si="49"/>
        <v>7072224</v>
      </c>
      <c r="E97" s="76">
        <f t="shared" si="49"/>
        <v>7072224</v>
      </c>
      <c r="F97" s="76">
        <f t="shared" si="49"/>
        <v>7072224</v>
      </c>
      <c r="G97" s="76">
        <f t="shared" si="49"/>
        <v>7072224</v>
      </c>
      <c r="H97" s="76">
        <f t="shared" si="49"/>
        <v>7072224</v>
      </c>
      <c r="I97" s="76">
        <f t="shared" si="49"/>
        <v>7072224</v>
      </c>
      <c r="J97" s="76">
        <f t="shared" si="49"/>
        <v>7072224</v>
      </c>
      <c r="K97" s="76">
        <f t="shared" si="49"/>
        <v>7072224</v>
      </c>
      <c r="L97" s="76">
        <f t="shared" si="49"/>
        <v>7072224</v>
      </c>
      <c r="M97" s="76">
        <f t="shared" si="49"/>
        <v>7072224</v>
      </c>
    </row>
    <row r="99" spans="1:13" ht="15.75">
      <c r="A99" s="11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</sheetData>
  <pageMargins left="0.2" right="0.2" top="0.75" bottom="0.75" header="0.3" footer="0.3"/>
  <pageSetup scale="57" orientation="landscape" r:id="rId1"/>
  <headerFooter>
    <oddFooter>&amp;R&amp;Z&amp;F</oddFooter>
  </headerFooter>
  <rowBreaks count="2" manualBreakCount="2">
    <brk id="34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topLeftCell="A2" zoomScale="90" zoomScaleNormal="90" workbookViewId="0">
      <selection activeCell="B4" sqref="B4"/>
    </sheetView>
  </sheetViews>
  <sheetFormatPr defaultRowHeight="15"/>
  <cols>
    <col min="1" max="1" width="35.7109375" customWidth="1"/>
    <col min="2" max="2" width="16.140625" bestFit="1" customWidth="1"/>
    <col min="4" max="4" width="10.5703125" bestFit="1" customWidth="1"/>
    <col min="8" max="8" width="9.140625" customWidth="1"/>
  </cols>
  <sheetData>
    <row r="1" spans="1:2" ht="15.75">
      <c r="A1" s="72" t="s">
        <v>81</v>
      </c>
    </row>
    <row r="2" spans="1:2" ht="15.75">
      <c r="A2" s="72" t="s">
        <v>215</v>
      </c>
      <c r="B2" s="73"/>
    </row>
    <row r="3" spans="1:2" ht="15.75">
      <c r="A3" s="72" t="s">
        <v>216</v>
      </c>
      <c r="B3" s="74"/>
    </row>
    <row r="4" spans="1:2" ht="15.75">
      <c r="A4" s="75" t="s">
        <v>27</v>
      </c>
      <c r="B4" s="76">
        <f t="shared" ref="B4" si="0">+B63</f>
        <v>2943667</v>
      </c>
    </row>
    <row r="5" spans="1:2" ht="15.75">
      <c r="A5" s="75" t="s">
        <v>33</v>
      </c>
      <c r="B5" s="119">
        <v>10173087</v>
      </c>
    </row>
    <row r="6" spans="1:2" ht="15.75">
      <c r="A6" s="75" t="s">
        <v>29</v>
      </c>
      <c r="B6" s="78">
        <v>7256405</v>
      </c>
    </row>
    <row r="7" spans="1:2" ht="15.75">
      <c r="A7" s="75" t="s">
        <v>30</v>
      </c>
      <c r="B7" s="78">
        <v>6963256</v>
      </c>
    </row>
    <row r="8" spans="1:2" ht="15.75">
      <c r="A8" s="75" t="s">
        <v>19</v>
      </c>
      <c r="B8" s="78">
        <v>4519042</v>
      </c>
    </row>
    <row r="9" spans="1:2" ht="15.75">
      <c r="A9" s="75" t="s">
        <v>21</v>
      </c>
      <c r="B9" s="76">
        <f t="shared" ref="B9" si="1">+B37</f>
        <v>10174371</v>
      </c>
    </row>
    <row r="10" spans="1:2" ht="15.75">
      <c r="A10" s="75" t="s">
        <v>28</v>
      </c>
      <c r="B10" s="78">
        <v>266000</v>
      </c>
    </row>
    <row r="11" spans="1:2" ht="15.75">
      <c r="A11" s="75" t="s">
        <v>31</v>
      </c>
      <c r="B11" s="78">
        <v>318000</v>
      </c>
    </row>
    <row r="12" spans="1:2" ht="15.75">
      <c r="A12" s="75" t="s">
        <v>37</v>
      </c>
      <c r="B12" s="120">
        <f t="shared" ref="B12" si="2">+B56</f>
        <v>934239</v>
      </c>
    </row>
    <row r="13" spans="1:2" ht="15.75">
      <c r="A13" s="75" t="s">
        <v>20</v>
      </c>
      <c r="B13" s="78">
        <v>567997</v>
      </c>
    </row>
    <row r="14" spans="1:2" ht="15.75">
      <c r="A14" s="80" t="s">
        <v>26</v>
      </c>
      <c r="B14" s="120">
        <f t="shared" ref="B14" si="3">+B50</f>
        <v>8779000</v>
      </c>
    </row>
    <row r="15" spans="1:2" ht="15.75">
      <c r="A15" s="75" t="s">
        <v>23</v>
      </c>
      <c r="B15" s="78">
        <v>2468750</v>
      </c>
    </row>
    <row r="16" spans="1:2" ht="15.75">
      <c r="A16" s="80" t="s">
        <v>25</v>
      </c>
      <c r="B16" s="120">
        <f>B94</f>
        <v>6978333</v>
      </c>
    </row>
    <row r="17" spans="1:2" ht="15.75">
      <c r="A17" s="30" t="s">
        <v>72</v>
      </c>
      <c r="B17" s="121">
        <f t="shared" ref="B17" si="4">+B47</f>
        <v>7461058</v>
      </c>
    </row>
    <row r="18" spans="1:2" ht="15.75">
      <c r="A18" s="75" t="s">
        <v>35</v>
      </c>
      <c r="B18" s="120">
        <f>B66</f>
        <v>1613641</v>
      </c>
    </row>
    <row r="19" spans="1:2" ht="15.75">
      <c r="A19" s="75" t="s">
        <v>39</v>
      </c>
      <c r="B19" s="78">
        <v>640040</v>
      </c>
    </row>
    <row r="20" spans="1:2" ht="15.75">
      <c r="A20" s="75" t="s">
        <v>34</v>
      </c>
      <c r="B20" s="120">
        <f t="shared" ref="B20" si="5">+B77</f>
        <v>8158048</v>
      </c>
    </row>
    <row r="21" spans="1:2" ht="15.75">
      <c r="A21" s="75" t="s">
        <v>24</v>
      </c>
      <c r="B21" s="78">
        <v>2916263</v>
      </c>
    </row>
    <row r="22" spans="1:2" ht="15.75">
      <c r="A22" s="75" t="s">
        <v>38</v>
      </c>
      <c r="B22" s="120">
        <f t="shared" ref="B22" si="6">+B70</f>
        <v>909627</v>
      </c>
    </row>
    <row r="23" spans="1:2" ht="15.75">
      <c r="A23" s="75" t="s">
        <v>32</v>
      </c>
      <c r="B23" s="78">
        <v>378750</v>
      </c>
    </row>
    <row r="24" spans="1:2" ht="15.75">
      <c r="A24" s="75" t="s">
        <v>36</v>
      </c>
      <c r="B24" s="119">
        <v>241200</v>
      </c>
    </row>
    <row r="25" spans="1:2" ht="15.75">
      <c r="A25" s="80" t="s">
        <v>22</v>
      </c>
      <c r="B25" s="78">
        <v>1027750</v>
      </c>
    </row>
    <row r="26" spans="1:2" ht="15.75">
      <c r="A26" s="75" t="s">
        <v>96</v>
      </c>
      <c r="B26" s="79">
        <f>+B86</f>
        <v>3913917</v>
      </c>
    </row>
    <row r="27" spans="1:2" ht="15.75">
      <c r="A27" s="75" t="s">
        <v>97</v>
      </c>
      <c r="B27" s="78">
        <v>123415</v>
      </c>
    </row>
    <row r="28" spans="1:2" ht="15.75">
      <c r="A28" s="75" t="s">
        <v>98</v>
      </c>
      <c r="B28" s="79">
        <f>+B89</f>
        <v>907134</v>
      </c>
    </row>
    <row r="29" spans="1:2" ht="15.75">
      <c r="A29" s="75" t="s">
        <v>99</v>
      </c>
      <c r="B29" s="78">
        <v>1362833</v>
      </c>
    </row>
    <row r="30" spans="1:2" ht="15.75">
      <c r="A30" s="75"/>
      <c r="B30" s="78"/>
    </row>
    <row r="31" spans="1:2" ht="16.5" thickBot="1">
      <c r="A31" s="75" t="s">
        <v>100</v>
      </c>
      <c r="B31" s="83">
        <f>SUM(B4:B30)-B17</f>
        <v>84534765</v>
      </c>
    </row>
    <row r="32" spans="1:2" ht="16.5" thickTop="1">
      <c r="A32" s="73"/>
      <c r="B32" s="73"/>
    </row>
    <row r="33" spans="1:2" ht="15.75">
      <c r="A33" s="73"/>
      <c r="B33" s="73"/>
    </row>
    <row r="34" spans="1:2" ht="15.75">
      <c r="A34" s="84" t="s">
        <v>95</v>
      </c>
      <c r="B34" s="78">
        <f>4808916+4406119</f>
        <v>9215035</v>
      </c>
    </row>
    <row r="35" spans="1:2" ht="15.75">
      <c r="A35" s="86" t="s">
        <v>101</v>
      </c>
      <c r="B35" s="78">
        <v>476667</v>
      </c>
    </row>
    <row r="36" spans="1:2" ht="15.75">
      <c r="A36" s="86" t="s">
        <v>102</v>
      </c>
      <c r="B36" s="87">
        <v>482669</v>
      </c>
    </row>
    <row r="37" spans="1:2" ht="15.75">
      <c r="A37" s="89" t="s">
        <v>103</v>
      </c>
      <c r="B37" s="90">
        <f t="shared" ref="B37" si="7">SUM(B34:B36)</f>
        <v>10174371</v>
      </c>
    </row>
    <row r="38" spans="1:2" ht="15.75">
      <c r="A38" s="91" t="s">
        <v>25</v>
      </c>
      <c r="B38" s="119"/>
    </row>
    <row r="39" spans="1:2" ht="15.75">
      <c r="A39" s="93" t="s">
        <v>104</v>
      </c>
      <c r="B39" s="122"/>
    </row>
    <row r="40" spans="1:2" ht="15.75">
      <c r="A40" s="96" t="s">
        <v>105</v>
      </c>
      <c r="B40" s="97">
        <f t="shared" ref="B40" si="8">SUM(B38:B39)</f>
        <v>0</v>
      </c>
    </row>
    <row r="41" spans="1:2" ht="15.75">
      <c r="A41" s="98" t="s">
        <v>106</v>
      </c>
      <c r="B41" s="120">
        <v>0</v>
      </c>
    </row>
    <row r="42" spans="1:2" ht="15.75">
      <c r="A42" s="98" t="s">
        <v>107</v>
      </c>
      <c r="B42" s="120">
        <v>0</v>
      </c>
    </row>
    <row r="43" spans="1:2" ht="15.75">
      <c r="A43" s="98" t="s">
        <v>108</v>
      </c>
      <c r="B43" s="120">
        <v>0</v>
      </c>
    </row>
    <row r="44" spans="1:2" ht="15.75">
      <c r="A44" s="98" t="s">
        <v>109</v>
      </c>
      <c r="B44" s="120">
        <v>0</v>
      </c>
    </row>
    <row r="45" spans="1:2" ht="15.75">
      <c r="A45" s="98" t="s">
        <v>110</v>
      </c>
      <c r="B45" s="120">
        <v>0</v>
      </c>
    </row>
    <row r="46" spans="1:2" ht="15.75">
      <c r="A46" s="98" t="s">
        <v>111</v>
      </c>
      <c r="B46" s="120">
        <v>0</v>
      </c>
    </row>
    <row r="47" spans="1:2" ht="15.75">
      <c r="A47" s="100" t="s">
        <v>112</v>
      </c>
      <c r="B47" s="123">
        <f>B97</f>
        <v>7461058</v>
      </c>
    </row>
    <row r="48" spans="1:2" ht="15.75">
      <c r="A48" s="219" t="s">
        <v>113</v>
      </c>
      <c r="B48" s="119">
        <v>8779000</v>
      </c>
    </row>
    <row r="49" spans="1:2" ht="15.75">
      <c r="A49" s="103" t="s">
        <v>106</v>
      </c>
      <c r="B49" s="99">
        <v>0</v>
      </c>
    </row>
    <row r="50" spans="1:2" ht="15.75">
      <c r="A50" s="104" t="s">
        <v>26</v>
      </c>
      <c r="B50" s="97">
        <f t="shared" ref="B50" si="9">SUM(B48:B49)</f>
        <v>8779000</v>
      </c>
    </row>
    <row r="51" spans="1:2" ht="15.75">
      <c r="A51" s="219" t="s">
        <v>114</v>
      </c>
      <c r="B51" s="119">
        <v>830822</v>
      </c>
    </row>
    <row r="52" spans="1:2" ht="15.75">
      <c r="A52" s="103" t="s">
        <v>36</v>
      </c>
      <c r="B52" s="78">
        <v>40500</v>
      </c>
    </row>
    <row r="53" spans="1:2" ht="15.75">
      <c r="A53" s="103" t="s">
        <v>115</v>
      </c>
      <c r="B53" s="78">
        <v>0</v>
      </c>
    </row>
    <row r="54" spans="1:2" ht="15.75">
      <c r="A54" s="103" t="s">
        <v>214</v>
      </c>
      <c r="B54" s="78">
        <v>0</v>
      </c>
    </row>
    <row r="55" spans="1:2" ht="15.75">
      <c r="A55" s="220" t="s">
        <v>116</v>
      </c>
      <c r="B55" s="124">
        <v>62917</v>
      </c>
    </row>
    <row r="56" spans="1:2" ht="15.75">
      <c r="A56" s="104" t="s">
        <v>37</v>
      </c>
      <c r="B56" s="90">
        <f>SUM(B51:B55)</f>
        <v>934239</v>
      </c>
    </row>
    <row r="57" spans="1:2" ht="15.75">
      <c r="A57" s="220" t="s">
        <v>117</v>
      </c>
      <c r="B57" s="221">
        <f>2943667-B58-B59-B60-B61-B62</f>
        <v>2780401</v>
      </c>
    </row>
    <row r="58" spans="1:2" ht="15.75">
      <c r="A58" s="103" t="s">
        <v>36</v>
      </c>
      <c r="B58" s="119">
        <v>30400</v>
      </c>
    </row>
    <row r="59" spans="1:2" ht="15.75">
      <c r="A59" s="103" t="s">
        <v>118</v>
      </c>
      <c r="B59" s="78">
        <v>5114</v>
      </c>
    </row>
    <row r="60" spans="1:2" ht="15.75">
      <c r="A60" s="108" t="s">
        <v>119</v>
      </c>
      <c r="B60" s="78">
        <v>3235</v>
      </c>
    </row>
    <row r="61" spans="1:2" ht="15.75">
      <c r="A61" s="103" t="s">
        <v>120</v>
      </c>
      <c r="B61" s="78">
        <v>11037</v>
      </c>
    </row>
    <row r="62" spans="1:2" ht="15.75">
      <c r="A62" s="220" t="s">
        <v>37</v>
      </c>
      <c r="B62" s="124">
        <v>113480</v>
      </c>
    </row>
    <row r="63" spans="1:2" ht="15.75">
      <c r="A63" s="104" t="s">
        <v>27</v>
      </c>
      <c r="B63" s="90">
        <f t="shared" ref="B63" si="10">SUM(B57:B62)</f>
        <v>2943667</v>
      </c>
    </row>
    <row r="64" spans="1:2" ht="15.75">
      <c r="A64" s="222" t="s">
        <v>121</v>
      </c>
      <c r="B64" s="78">
        <v>1437600</v>
      </c>
    </row>
    <row r="65" spans="1:4" ht="15.75">
      <c r="A65" s="110" t="s">
        <v>37</v>
      </c>
      <c r="B65" s="124">
        <v>176041</v>
      </c>
    </row>
    <row r="66" spans="1:4" ht="15.75">
      <c r="A66" s="111" t="s">
        <v>35</v>
      </c>
      <c r="B66" s="90">
        <f t="shared" ref="B66" si="11">SUM(B64:B65)</f>
        <v>1613641</v>
      </c>
    </row>
    <row r="67" spans="1:4" ht="15.75">
      <c r="A67" s="223" t="s">
        <v>122</v>
      </c>
      <c r="B67" s="78">
        <v>670317</v>
      </c>
    </row>
    <row r="68" spans="1:4" ht="15.75">
      <c r="A68" s="224" t="s">
        <v>123</v>
      </c>
      <c r="B68" s="78">
        <v>105351</v>
      </c>
    </row>
    <row r="69" spans="1:4" ht="15.75">
      <c r="A69" s="224" t="s">
        <v>37</v>
      </c>
      <c r="B69" s="124">
        <v>133959</v>
      </c>
    </row>
    <row r="70" spans="1:4" ht="15.75">
      <c r="A70" s="111" t="s">
        <v>38</v>
      </c>
      <c r="B70" s="90">
        <f t="shared" ref="B70" si="12">SUM(B67:B69)</f>
        <v>909627</v>
      </c>
    </row>
    <row r="71" spans="1:4" ht="15.75">
      <c r="A71" s="223" t="s">
        <v>116</v>
      </c>
      <c r="B71" s="221">
        <f>7343667-B73-B74-B75</f>
        <v>7317951</v>
      </c>
      <c r="D71" s="125"/>
    </row>
    <row r="72" spans="1:4" ht="15.75">
      <c r="A72" s="108" t="s">
        <v>36</v>
      </c>
      <c r="B72" s="119">
        <v>129900</v>
      </c>
    </row>
    <row r="73" spans="1:4" ht="15.75">
      <c r="A73" s="108" t="s">
        <v>124</v>
      </c>
      <c r="B73" s="78">
        <v>7518</v>
      </c>
    </row>
    <row r="74" spans="1:4" ht="15.75">
      <c r="A74" s="108" t="s">
        <v>125</v>
      </c>
      <c r="B74" s="78">
        <v>9247</v>
      </c>
    </row>
    <row r="75" spans="1:4" ht="15.75">
      <c r="A75" s="108" t="s">
        <v>126</v>
      </c>
      <c r="B75" s="78">
        <v>8951</v>
      </c>
    </row>
    <row r="76" spans="1:4" ht="15.75">
      <c r="A76" s="224" t="s">
        <v>37</v>
      </c>
      <c r="B76" s="124">
        <v>684481</v>
      </c>
    </row>
    <row r="77" spans="1:4" ht="15.75">
      <c r="A77" s="111" t="s">
        <v>34</v>
      </c>
      <c r="B77" s="90">
        <f t="shared" ref="B77" si="13">SUM(B71:B76)</f>
        <v>8158048</v>
      </c>
      <c r="D77" s="125"/>
    </row>
    <row r="78" spans="1:4" ht="15.75">
      <c r="A78" s="223" t="s">
        <v>96</v>
      </c>
      <c r="B78" s="106">
        <v>3767047</v>
      </c>
      <c r="D78" s="125"/>
    </row>
    <row r="79" spans="1:4" ht="15.75">
      <c r="A79" s="108" t="s">
        <v>127</v>
      </c>
      <c r="B79" s="106">
        <v>84174</v>
      </c>
      <c r="D79" s="125"/>
    </row>
    <row r="80" spans="1:4" ht="15.75">
      <c r="A80" s="108" t="s">
        <v>128</v>
      </c>
      <c r="B80" s="106">
        <v>19899</v>
      </c>
      <c r="D80" s="125"/>
    </row>
    <row r="81" spans="1:4" ht="15.75">
      <c r="A81" s="108" t="s">
        <v>129</v>
      </c>
      <c r="B81" s="106">
        <v>0</v>
      </c>
      <c r="D81" s="125"/>
    </row>
    <row r="82" spans="1:4" ht="15.75">
      <c r="A82" s="108" t="s">
        <v>130</v>
      </c>
      <c r="B82" s="106">
        <v>7033</v>
      </c>
      <c r="D82" s="125"/>
    </row>
    <row r="83" spans="1:4" ht="15.75">
      <c r="A83" s="108" t="s">
        <v>131</v>
      </c>
      <c r="B83" s="106">
        <v>30838</v>
      </c>
      <c r="D83" s="125"/>
    </row>
    <row r="84" spans="1:4" ht="15.75">
      <c r="A84" s="108" t="s">
        <v>132</v>
      </c>
      <c r="B84" s="106">
        <v>4926</v>
      </c>
      <c r="D84" s="125"/>
    </row>
    <row r="85" spans="1:4" ht="15.75">
      <c r="A85" s="108" t="s">
        <v>118</v>
      </c>
      <c r="B85" s="87">
        <v>0</v>
      </c>
      <c r="D85" s="125"/>
    </row>
    <row r="86" spans="1:4" ht="15.75">
      <c r="A86" s="111" t="s">
        <v>96</v>
      </c>
      <c r="B86" s="90">
        <f>SUM(B78:B85)</f>
        <v>3913917</v>
      </c>
      <c r="D86" s="125"/>
    </row>
    <row r="87" spans="1:4" ht="15.75">
      <c r="A87" s="108" t="s">
        <v>98</v>
      </c>
      <c r="B87" s="106">
        <v>884854</v>
      </c>
      <c r="D87" s="125"/>
    </row>
    <row r="88" spans="1:4" ht="15.75">
      <c r="A88" s="108" t="s">
        <v>124</v>
      </c>
      <c r="B88" s="87">
        <v>22280</v>
      </c>
      <c r="D88" s="125"/>
    </row>
    <row r="89" spans="1:4" ht="15.75">
      <c r="A89" s="111" t="s">
        <v>98</v>
      </c>
      <c r="B89" s="90">
        <f>SUM(B87:B88)</f>
        <v>907134</v>
      </c>
      <c r="D89" s="125"/>
    </row>
    <row r="90" spans="1:4" ht="15.75">
      <c r="A90" s="113"/>
      <c r="B90" s="114"/>
      <c r="D90" s="125"/>
    </row>
    <row r="91" spans="1:4" ht="15.75">
      <c r="A91" s="113"/>
      <c r="B91" s="114"/>
      <c r="D91" s="125"/>
    </row>
    <row r="92" spans="1:4" ht="15.75">
      <c r="A92" s="224" t="s">
        <v>25</v>
      </c>
      <c r="B92" s="126">
        <v>6851833</v>
      </c>
    </row>
    <row r="93" spans="1:4" ht="15.75">
      <c r="A93" s="115" t="s">
        <v>133</v>
      </c>
      <c r="B93" s="124">
        <v>126500</v>
      </c>
    </row>
    <row r="94" spans="1:4" ht="15.75">
      <c r="A94" s="116" t="s">
        <v>134</v>
      </c>
      <c r="B94" s="127">
        <f>B92+B93</f>
        <v>6978333</v>
      </c>
    </row>
    <row r="95" spans="1:4" ht="15.75">
      <c r="A95" s="117" t="str">
        <f>A94</f>
        <v>Mi Joint Zone (Zone 13)</v>
      </c>
      <c r="B95" s="76">
        <f>B94</f>
        <v>6978333</v>
      </c>
    </row>
    <row r="96" spans="1:4" ht="15.75">
      <c r="A96" s="118" t="s">
        <v>135</v>
      </c>
      <c r="B96" s="87">
        <v>482725</v>
      </c>
    </row>
    <row r="97" spans="1:2" ht="15.75">
      <c r="A97" s="118" t="s">
        <v>136</v>
      </c>
      <c r="B97" s="76">
        <f>B95+B96</f>
        <v>7461058</v>
      </c>
    </row>
    <row r="100" spans="1:2">
      <c r="A100" s="161" t="s">
        <v>217</v>
      </c>
      <c r="B100" s="125">
        <f>+B51+B62+B69+B76+B65</f>
        <v>1938783</v>
      </c>
    </row>
  </sheetData>
  <pageMargins left="0.7" right="0.7" top="0.25" bottom="0.5" header="0.3" footer="0.25"/>
  <pageSetup scale="85" orientation="portrait" r:id="rId1"/>
  <headerFooter>
    <oddFooter>&amp;R&amp;Z&amp;F</oddFooter>
  </headerFooter>
  <rowBreaks count="1" manualBreakCount="1">
    <brk id="5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>
      <selection activeCell="A2" sqref="A2"/>
    </sheetView>
  </sheetViews>
  <sheetFormatPr defaultRowHeight="15"/>
  <cols>
    <col min="1" max="1" width="10.5703125" customWidth="1"/>
    <col min="2" max="2" width="15.7109375" customWidth="1"/>
    <col min="3" max="3" width="22.85546875" customWidth="1"/>
    <col min="4" max="4" width="16.140625" customWidth="1"/>
    <col min="5" max="5" width="13.7109375" bestFit="1" customWidth="1"/>
    <col min="6" max="6" width="10.5703125" bestFit="1" customWidth="1"/>
    <col min="7" max="8" width="12.7109375" bestFit="1" customWidth="1"/>
    <col min="9" max="9" width="12.5703125" bestFit="1" customWidth="1"/>
  </cols>
  <sheetData>
    <row r="1" spans="1:7">
      <c r="A1" t="s">
        <v>234</v>
      </c>
    </row>
    <row r="2" spans="1:7">
      <c r="F2" s="50"/>
      <c r="G2" s="50" t="s">
        <v>137</v>
      </c>
    </row>
    <row r="3" spans="1:7">
      <c r="A3" t="s">
        <v>137</v>
      </c>
      <c r="F3" s="50"/>
      <c r="G3" s="50"/>
    </row>
    <row r="4" spans="1:7">
      <c r="G4" s="50"/>
    </row>
    <row r="5" spans="1:7">
      <c r="G5" s="62"/>
    </row>
    <row r="6" spans="1:7">
      <c r="G6" s="62"/>
    </row>
    <row r="7" spans="1:7">
      <c r="G7" s="62"/>
    </row>
    <row r="8" spans="1:7">
      <c r="B8" s="67" t="s">
        <v>137</v>
      </c>
      <c r="G8" s="62"/>
    </row>
    <row r="9" spans="1:7">
      <c r="B9" s="67"/>
      <c r="G9" s="48"/>
    </row>
    <row r="10" spans="1:7">
      <c r="B10" s="67"/>
    </row>
    <row r="11" spans="1:7">
      <c r="B11" s="67"/>
    </row>
    <row r="12" spans="1:7">
      <c r="A12" s="261" t="s">
        <v>156</v>
      </c>
      <c r="B12" s="262" t="s">
        <v>198</v>
      </c>
      <c r="C12" s="263" t="s">
        <v>157</v>
      </c>
      <c r="D12" s="263" t="s">
        <v>158</v>
      </c>
    </row>
    <row r="13" spans="1:7">
      <c r="A13" s="50">
        <v>279</v>
      </c>
      <c r="B13" s="235">
        <f>'True-up'!P76</f>
        <v>372613.19005589909</v>
      </c>
      <c r="C13" s="165">
        <f>IF(B13&lt;0,$D$51,$C$51)</f>
        <v>3.2842105263157895E-2</v>
      </c>
      <c r="D13" s="189">
        <f>B13*C13*2</f>
        <v>24474.803220513793</v>
      </c>
      <c r="E13" s="164" t="str">
        <f>IF(B13&lt;0,"Under recover", "Over recover")</f>
        <v>Over recover</v>
      </c>
    </row>
    <row r="14" spans="1:7">
      <c r="A14" s="50" t="s">
        <v>177</v>
      </c>
      <c r="B14" s="236">
        <f>'True-up'!P117</f>
        <v>80227.285092453632</v>
      </c>
      <c r="C14" s="165">
        <f t="shared" ref="C14:C23" si="0">IF(B14&lt;0,$D$51,$C$51)</f>
        <v>3.2842105263157895E-2</v>
      </c>
      <c r="D14" s="189">
        <f t="shared" ref="D14:D15" si="1">B14*C14*2</f>
        <v>5269.665883967481</v>
      </c>
      <c r="E14" s="164" t="str">
        <f t="shared" ref="E14:E23" si="2">IF(B14&lt;0,"Under recover", "Over recover")</f>
        <v>Over recover</v>
      </c>
    </row>
    <row r="15" spans="1:7">
      <c r="A15" s="50">
        <v>286</v>
      </c>
      <c r="B15" s="236">
        <f>'True-up'!P200</f>
        <v>421590.15306205349</v>
      </c>
      <c r="C15" s="165">
        <f t="shared" si="0"/>
        <v>3.2842105263157895E-2</v>
      </c>
      <c r="D15" s="189">
        <f t="shared" si="1"/>
        <v>27691.816369549619</v>
      </c>
      <c r="E15" s="164" t="str">
        <f t="shared" si="2"/>
        <v>Over recover</v>
      </c>
    </row>
    <row r="16" spans="1:7">
      <c r="A16" s="50">
        <v>1471</v>
      </c>
      <c r="B16" s="235">
        <f>'True-up'!P282</f>
        <v>670.32880243972977</v>
      </c>
      <c r="C16" s="165">
        <f t="shared" si="0"/>
        <v>3.2842105263157895E-2</v>
      </c>
      <c r="D16" s="189">
        <f t="shared" ref="D16:D23" si="3">B16*C16*2</f>
        <v>44.030018181304357</v>
      </c>
      <c r="E16" s="164" t="str">
        <f t="shared" si="2"/>
        <v>Over recover</v>
      </c>
    </row>
    <row r="17" spans="1:10">
      <c r="A17" s="50">
        <v>1472</v>
      </c>
      <c r="B17" s="235">
        <f>'True-up'!P322</f>
        <v>736.92199198689286</v>
      </c>
      <c r="C17" s="165">
        <f t="shared" si="0"/>
        <v>3.2842105263157895E-2</v>
      </c>
      <c r="D17" s="189">
        <f t="shared" si="3"/>
        <v>48.404139263139065</v>
      </c>
      <c r="E17" s="164" t="str">
        <f t="shared" si="2"/>
        <v>Over recover</v>
      </c>
    </row>
    <row r="18" spans="1:10">
      <c r="A18" s="50">
        <v>1542</v>
      </c>
      <c r="B18" s="235">
        <f>'True-up'!P454</f>
        <v>1626.6969592873575</v>
      </c>
      <c r="C18" s="165">
        <f t="shared" si="0"/>
        <v>3.2842105263157895E-2</v>
      </c>
      <c r="D18" s="189">
        <f t="shared" si="3"/>
        <v>106.84830553634853</v>
      </c>
      <c r="E18" s="164" t="str">
        <f t="shared" si="2"/>
        <v>Over recover</v>
      </c>
    </row>
    <row r="19" spans="1:10">
      <c r="A19" s="50">
        <v>2097</v>
      </c>
      <c r="B19" s="235">
        <f>'True-up'!P158</f>
        <v>23407.768342030235</v>
      </c>
      <c r="C19" s="165">
        <f t="shared" si="0"/>
        <v>3.2842105263157895E-2</v>
      </c>
      <c r="D19" s="189">
        <f t="shared" si="3"/>
        <v>1537.5207837291439</v>
      </c>
      <c r="E19" s="164" t="str">
        <f t="shared" si="2"/>
        <v>Over recover</v>
      </c>
    </row>
    <row r="20" spans="1:10">
      <c r="A20" s="50">
        <v>2562</v>
      </c>
      <c r="B20" s="235">
        <f>'True-up'!P241</f>
        <v>129662.71073921603</v>
      </c>
      <c r="C20" s="165">
        <f t="shared" si="0"/>
        <v>3.2842105263157895E-2</v>
      </c>
      <c r="D20" s="189">
        <f t="shared" si="3"/>
        <v>8516.7927896074525</v>
      </c>
      <c r="E20" s="164" t="str">
        <f t="shared" si="2"/>
        <v>Over recover</v>
      </c>
    </row>
    <row r="21" spans="1:10">
      <c r="A21" s="50">
        <v>3104</v>
      </c>
      <c r="B21" s="235">
        <f>'True-up'!P366</f>
        <v>11045.75887568669</v>
      </c>
      <c r="C21" s="165">
        <f t="shared" si="0"/>
        <v>3.2842105263157895E-2</v>
      </c>
      <c r="D21" s="189">
        <f t="shared" si="3"/>
        <v>725.53195141352569</v>
      </c>
      <c r="E21" s="164" t="str">
        <f t="shared" si="2"/>
        <v>Over recover</v>
      </c>
    </row>
    <row r="22" spans="1:10">
      <c r="A22" s="50">
        <v>3105</v>
      </c>
      <c r="B22" s="235">
        <f>'True-up'!P410</f>
        <v>10282.032850986494</v>
      </c>
      <c r="C22" s="165">
        <f t="shared" si="0"/>
        <v>3.2842105263157895E-2</v>
      </c>
      <c r="D22" s="189">
        <f t="shared" si="3"/>
        <v>675.36721042269176</v>
      </c>
      <c r="E22" s="164" t="str">
        <f t="shared" si="2"/>
        <v>Over recover</v>
      </c>
    </row>
    <row r="23" spans="1:10">
      <c r="A23" s="187">
        <v>3106</v>
      </c>
      <c r="B23" s="237">
        <f>'True-up'!P498</f>
        <v>62324.153227960509</v>
      </c>
      <c r="C23" s="238">
        <f t="shared" si="0"/>
        <v>3.2842105263157895E-2</v>
      </c>
      <c r="D23" s="239">
        <f t="shared" si="3"/>
        <v>4093.712801499722</v>
      </c>
      <c r="E23" s="164" t="str">
        <f t="shared" si="2"/>
        <v>Over recover</v>
      </c>
    </row>
    <row r="24" spans="1:10">
      <c r="A24" s="186"/>
      <c r="B24" s="240"/>
      <c r="C24" s="241"/>
      <c r="D24" s="242"/>
      <c r="E24" s="243"/>
    </row>
    <row r="25" spans="1:10">
      <c r="B25" s="189">
        <f>SUM(B13:B23)</f>
        <v>1114187.0000000002</v>
      </c>
      <c r="C25" s="164"/>
      <c r="D25" s="189">
        <f>SUM(D13:D24)</f>
        <v>73184.493473684226</v>
      </c>
      <c r="E25" s="164"/>
    </row>
    <row r="26" spans="1:10">
      <c r="C26" s="50"/>
      <c r="D26" s="154"/>
      <c r="E26" s="156"/>
      <c r="F26" s="155"/>
    </row>
    <row r="27" spans="1:10">
      <c r="A27" s="157" t="s">
        <v>199</v>
      </c>
      <c r="G27" s="157"/>
    </row>
    <row r="28" spans="1:10">
      <c r="D28" s="254"/>
    </row>
    <row r="29" spans="1:10" ht="30.75" thickBot="1">
      <c r="A29" s="158" t="s">
        <v>159</v>
      </c>
      <c r="B29" s="158" t="s">
        <v>160</v>
      </c>
      <c r="C29" s="159" t="s">
        <v>161</v>
      </c>
      <c r="D29" s="255" t="s">
        <v>162</v>
      </c>
      <c r="G29" s="157"/>
      <c r="J29" s="160"/>
    </row>
    <row r="30" spans="1:10">
      <c r="A30" t="s">
        <v>163</v>
      </c>
      <c r="B30">
        <v>2011</v>
      </c>
      <c r="C30" s="164">
        <v>2.8E-3</v>
      </c>
      <c r="D30" s="256">
        <v>8.1063000000000003E-3</v>
      </c>
    </row>
    <row r="31" spans="1:10">
      <c r="A31" t="s">
        <v>164</v>
      </c>
      <c r="B31">
        <v>2011</v>
      </c>
      <c r="C31" s="164">
        <v>2.5000000000000001E-3</v>
      </c>
      <c r="D31" s="256">
        <v>8.129299999999999E-3</v>
      </c>
      <c r="G31" s="157"/>
    </row>
    <row r="32" spans="1:10">
      <c r="A32" t="s">
        <v>165</v>
      </c>
      <c r="B32">
        <v>2011</v>
      </c>
      <c r="C32" s="164">
        <v>2.8E-3</v>
      </c>
      <c r="D32" s="256">
        <v>8.0327999999999997E-3</v>
      </c>
    </row>
    <row r="33" spans="1:7">
      <c r="A33" t="s">
        <v>166</v>
      </c>
      <c r="B33">
        <v>2011</v>
      </c>
      <c r="C33" s="164">
        <v>2.7000000000000001E-3</v>
      </c>
      <c r="D33" s="256">
        <v>7.7143999999999997E-3</v>
      </c>
      <c r="G33" s="157"/>
    </row>
    <row r="34" spans="1:7">
      <c r="A34" t="s">
        <v>86</v>
      </c>
      <c r="B34">
        <v>2011</v>
      </c>
      <c r="C34" s="164">
        <v>2.8E-3</v>
      </c>
      <c r="D34" s="256">
        <v>7.4942999999999997E-3</v>
      </c>
    </row>
    <row r="35" spans="1:7">
      <c r="A35" t="s">
        <v>167</v>
      </c>
      <c r="B35">
        <v>2011</v>
      </c>
      <c r="C35" s="164">
        <v>2.7000000000000001E-3</v>
      </c>
      <c r="D35" s="256">
        <v>1.44E-2</v>
      </c>
      <c r="G35" s="157"/>
    </row>
    <row r="36" spans="1:7">
      <c r="A36" t="s">
        <v>168</v>
      </c>
      <c r="B36">
        <v>2011</v>
      </c>
      <c r="C36" s="164">
        <v>2.8E-3</v>
      </c>
      <c r="D36" s="256">
        <v>1.44E-2</v>
      </c>
    </row>
    <row r="37" spans="1:7">
      <c r="A37" t="s">
        <v>169</v>
      </c>
      <c r="B37">
        <v>2011</v>
      </c>
      <c r="C37" s="164">
        <v>2.8E-3</v>
      </c>
      <c r="D37" s="256">
        <v>1.4800000000000001E-2</v>
      </c>
      <c r="G37" s="157"/>
    </row>
    <row r="38" spans="1:7">
      <c r="A38" t="s">
        <v>170</v>
      </c>
      <c r="B38">
        <v>2011</v>
      </c>
      <c r="C38" s="164">
        <v>2.7000000000000001E-3</v>
      </c>
      <c r="D38" s="256">
        <v>1.49E-2</v>
      </c>
    </row>
    <row r="39" spans="1:7">
      <c r="A39" t="s">
        <v>171</v>
      </c>
      <c r="B39">
        <v>2011</v>
      </c>
      <c r="C39" s="164">
        <v>2.8E-3</v>
      </c>
      <c r="D39" s="256">
        <v>1.4999999999999999E-2</v>
      </c>
      <c r="G39" s="157"/>
    </row>
    <row r="40" spans="1:7">
      <c r="A40" t="s">
        <v>172</v>
      </c>
      <c r="B40">
        <v>2011</v>
      </c>
      <c r="C40" s="164">
        <v>2.7000000000000001E-3</v>
      </c>
      <c r="D40" s="256">
        <v>1.5100000000000001E-2</v>
      </c>
    </row>
    <row r="41" spans="1:7">
      <c r="A41" t="s">
        <v>173</v>
      </c>
      <c r="B41">
        <v>2011</v>
      </c>
      <c r="C41" s="164">
        <v>2.8E-3</v>
      </c>
      <c r="D41" s="256">
        <v>1.55E-2</v>
      </c>
      <c r="G41" s="157"/>
    </row>
    <row r="42" spans="1:7">
      <c r="A42" t="s">
        <v>163</v>
      </c>
      <c r="B42">
        <v>2012</v>
      </c>
      <c r="C42" s="164">
        <v>2.8E-3</v>
      </c>
      <c r="D42" s="256">
        <v>1.5299999999999999E-2</v>
      </c>
    </row>
    <row r="43" spans="1:7">
      <c r="A43" t="s">
        <v>164</v>
      </c>
      <c r="B43">
        <v>2012</v>
      </c>
      <c r="C43" s="164">
        <v>2.5000000000000001E-3</v>
      </c>
      <c r="D43" s="256">
        <v>1.4999999999999999E-2</v>
      </c>
      <c r="G43" s="157"/>
    </row>
    <row r="44" spans="1:7">
      <c r="A44" t="s">
        <v>165</v>
      </c>
      <c r="B44">
        <v>2012</v>
      </c>
      <c r="C44" s="164">
        <v>2.8E-3</v>
      </c>
      <c r="D44" s="256">
        <v>1.4999999999999999E-2</v>
      </c>
    </row>
    <row r="45" spans="1:7">
      <c r="A45" t="s">
        <v>166</v>
      </c>
      <c r="B45">
        <v>2012</v>
      </c>
      <c r="C45" s="164">
        <v>2.7000000000000001E-3</v>
      </c>
      <c r="D45" s="256">
        <v>1.49E-2</v>
      </c>
      <c r="G45" s="157"/>
    </row>
    <row r="46" spans="1:7">
      <c r="A46" t="s">
        <v>86</v>
      </c>
      <c r="B46">
        <v>2012</v>
      </c>
      <c r="C46" s="164">
        <v>2.8E-3</v>
      </c>
      <c r="D46" s="256">
        <v>1.49E-2</v>
      </c>
    </row>
    <row r="47" spans="1:7">
      <c r="A47" s="164" t="s">
        <v>167</v>
      </c>
      <c r="B47">
        <v>2012</v>
      </c>
      <c r="C47" s="164">
        <v>2.7000000000000001E-3</v>
      </c>
      <c r="D47" s="256">
        <v>1.4996560000000001E-2</v>
      </c>
      <c r="G47" s="157"/>
    </row>
    <row r="48" spans="1:7">
      <c r="A48" s="231" t="s">
        <v>168</v>
      </c>
      <c r="B48" s="188">
        <v>2012</v>
      </c>
      <c r="C48" s="232">
        <v>2.8E-3</v>
      </c>
      <c r="D48" s="257">
        <v>1.510562E-2</v>
      </c>
    </row>
    <row r="49" spans="2:9">
      <c r="B49" s="161" t="s">
        <v>174</v>
      </c>
      <c r="C49" s="71">
        <f>AVERAGE(C30:C48)</f>
        <v>2.7368421052631577E-3</v>
      </c>
      <c r="D49" s="258">
        <f>AVERAGE(D30:D48)</f>
        <v>1.309364631578947E-2</v>
      </c>
      <c r="G49" s="157"/>
    </row>
    <row r="50" spans="2:9">
      <c r="B50" s="161" t="s">
        <v>175</v>
      </c>
      <c r="C50" s="162">
        <v>12</v>
      </c>
      <c r="D50" s="259">
        <v>12</v>
      </c>
    </row>
    <row r="51" spans="2:9">
      <c r="B51" s="161" t="s">
        <v>176</v>
      </c>
      <c r="C51" s="71">
        <f>C49*C50</f>
        <v>3.2842105263157895E-2</v>
      </c>
      <c r="D51" s="258">
        <f>D49*D50</f>
        <v>0.15712375578947363</v>
      </c>
      <c r="H51" s="161"/>
      <c r="I51" s="71"/>
    </row>
    <row r="52" spans="2:9">
      <c r="C52" s="50" t="s">
        <v>184</v>
      </c>
      <c r="D52" s="260" t="s">
        <v>185</v>
      </c>
    </row>
    <row r="53" spans="2:9">
      <c r="D53" s="254"/>
    </row>
  </sheetData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True-up</vt:lpstr>
      <vt:lpstr>Projected Zonal Load</vt:lpstr>
      <vt:lpstr>Actual Load</vt:lpstr>
      <vt:lpstr>Interest</vt:lpstr>
      <vt:lpstr>Summary!Print_Area</vt:lpstr>
      <vt:lpstr>'Projected Zonal Load'!Print_Titles</vt:lpstr>
    </vt:vector>
  </TitlesOfParts>
  <Company>Great River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u4083</dc:creator>
  <cp:lastModifiedBy>SWagner</cp:lastModifiedBy>
  <cp:lastPrinted>2012-08-01T19:36:28Z</cp:lastPrinted>
  <dcterms:created xsi:type="dcterms:W3CDTF">2011-05-12T14:45:19Z</dcterms:created>
  <dcterms:modified xsi:type="dcterms:W3CDTF">2012-08-02T19:39:17Z</dcterms:modified>
</cp:coreProperties>
</file>