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ransmission\Transmission Strategy &amp; Business Planning\Rates\MISO Attachment O\2015\True-Up\Attachment GG\"/>
    </mc:Choice>
  </mc:AlternateContent>
  <bookViews>
    <workbookView xWindow="28635" yWindow="195" windowWidth="28230" windowHeight="13470" activeTab="4"/>
  </bookViews>
  <sheets>
    <sheet name="Summary" sheetId="7" r:id="rId1"/>
    <sheet name="True-up" sheetId="1" r:id="rId2"/>
    <sheet name="Projected Zonal Load" sheetId="5" r:id="rId3"/>
    <sheet name="Actual Load" sheetId="6" r:id="rId4"/>
    <sheet name="Interest" sheetId="9" r:id="rId5"/>
  </sheets>
  <definedNames>
    <definedName name="_xlnm.Print_Area" localSheetId="0">Summary!$A$1:$P$137</definedName>
    <definedName name="_xlnm.Print_Titles" localSheetId="2">'Projected Zonal Load'!$1:$3</definedName>
  </definedNames>
  <calcPr calcId="152511"/>
</workbook>
</file>

<file path=xl/calcChain.xml><?xml version="1.0" encoding="utf-8"?>
<calcChain xmlns="http://schemas.openxmlformats.org/spreadsheetml/2006/main">
  <c r="M6" i="1" l="1"/>
  <c r="M4" i="1"/>
  <c r="B151" i="6" l="1"/>
  <c r="B150" i="6"/>
  <c r="B149" i="6"/>
  <c r="B148" i="6"/>
  <c r="B146" i="6"/>
  <c r="B143" i="6"/>
  <c r="B35" i="6" s="1"/>
  <c r="B140" i="6"/>
  <c r="B34" i="6" s="1"/>
  <c r="B134" i="6"/>
  <c r="B131" i="6"/>
  <c r="B32" i="6" s="1"/>
  <c r="B126" i="6"/>
  <c r="B31" i="6" s="1"/>
  <c r="A121" i="6"/>
  <c r="B120" i="6"/>
  <c r="B121" i="6" s="1"/>
  <c r="B123" i="6" s="1"/>
  <c r="B57" i="6" s="1"/>
  <c r="B18" i="6" s="1"/>
  <c r="B116" i="6"/>
  <c r="B25" i="6" s="1"/>
  <c r="B112" i="6"/>
  <c r="B106" i="6"/>
  <c r="B108" i="6" s="1"/>
  <c r="B29" i="6" s="1"/>
  <c r="B105" i="6"/>
  <c r="B85" i="6"/>
  <c r="B95" i="6" s="1"/>
  <c r="B79" i="6"/>
  <c r="B84" i="6" s="1"/>
  <c r="B23" i="6" s="1"/>
  <c r="B78" i="6"/>
  <c r="B68" i="6"/>
  <c r="B75" i="6" s="1"/>
  <c r="B4" i="6" s="1"/>
  <c r="B67" i="6"/>
  <c r="B60" i="6"/>
  <c r="B50" i="6"/>
  <c r="B47" i="6"/>
  <c r="B10" i="6" s="1"/>
  <c r="B33" i="6"/>
  <c r="B27" i="6"/>
  <c r="B19" i="6"/>
  <c r="B15" i="6"/>
  <c r="B13" i="6"/>
  <c r="B6" i="6"/>
  <c r="M141" i="5"/>
  <c r="L141" i="5"/>
  <c r="K141" i="5"/>
  <c r="J141" i="5"/>
  <c r="J35" i="5" s="1"/>
  <c r="I141" i="5"/>
  <c r="H141" i="5"/>
  <c r="H35" i="5" s="1"/>
  <c r="G141" i="5"/>
  <c r="F141" i="5"/>
  <c r="F35" i="5" s="1"/>
  <c r="E141" i="5"/>
  <c r="D141" i="5"/>
  <c r="C141" i="5"/>
  <c r="B141" i="5"/>
  <c r="B35" i="5" s="1"/>
  <c r="M138" i="5"/>
  <c r="L138" i="5"/>
  <c r="L34" i="5" s="1"/>
  <c r="K138" i="5"/>
  <c r="J138" i="5"/>
  <c r="J34" i="5" s="1"/>
  <c r="I138" i="5"/>
  <c r="H138" i="5"/>
  <c r="G138" i="5"/>
  <c r="F138" i="5"/>
  <c r="F34" i="5" s="1"/>
  <c r="E138" i="5"/>
  <c r="D138" i="5"/>
  <c r="D34" i="5" s="1"/>
  <c r="C138" i="5"/>
  <c r="B138" i="5"/>
  <c r="B34" i="5" s="1"/>
  <c r="M132" i="5"/>
  <c r="L132" i="5"/>
  <c r="L33" i="5" s="1"/>
  <c r="K132" i="5"/>
  <c r="K33" i="5" s="1"/>
  <c r="J132" i="5"/>
  <c r="I132" i="5"/>
  <c r="H132" i="5"/>
  <c r="G132" i="5"/>
  <c r="G33" i="5" s="1"/>
  <c r="F132" i="5"/>
  <c r="F33" i="5" s="1"/>
  <c r="E132" i="5"/>
  <c r="D132" i="5"/>
  <c r="C132" i="5"/>
  <c r="C33" i="5" s="1"/>
  <c r="B132" i="5"/>
  <c r="M129" i="5"/>
  <c r="L129" i="5"/>
  <c r="L32" i="5" s="1"/>
  <c r="K129" i="5"/>
  <c r="J129" i="5"/>
  <c r="I129" i="5"/>
  <c r="H129" i="5"/>
  <c r="H32" i="5" s="1"/>
  <c r="G129" i="5"/>
  <c r="F129" i="5"/>
  <c r="F32" i="5" s="1"/>
  <c r="E129" i="5"/>
  <c r="D129" i="5"/>
  <c r="D32" i="5" s="1"/>
  <c r="C129" i="5"/>
  <c r="B129" i="5"/>
  <c r="M123" i="5"/>
  <c r="L123" i="5"/>
  <c r="L31" i="5" s="1"/>
  <c r="K123" i="5"/>
  <c r="J123" i="5"/>
  <c r="I123" i="5"/>
  <c r="H123" i="5"/>
  <c r="H31" i="5" s="1"/>
  <c r="G123" i="5"/>
  <c r="F123" i="5"/>
  <c r="E123" i="5"/>
  <c r="D123" i="5"/>
  <c r="D31" i="5" s="1"/>
  <c r="C123" i="5"/>
  <c r="B123" i="5"/>
  <c r="B118" i="5"/>
  <c r="B120" i="5" s="1"/>
  <c r="B55" i="5" s="1"/>
  <c r="B18" i="5" s="1"/>
  <c r="A118" i="5"/>
  <c r="B117" i="5"/>
  <c r="C115" i="5"/>
  <c r="D115" i="5" s="1"/>
  <c r="M113" i="5"/>
  <c r="L113" i="5"/>
  <c r="L25" i="5" s="1"/>
  <c r="K113" i="5"/>
  <c r="K25" i="5" s="1"/>
  <c r="J113" i="5"/>
  <c r="J25" i="5" s="1"/>
  <c r="I113" i="5"/>
  <c r="H113" i="5"/>
  <c r="H25" i="5" s="1"/>
  <c r="G113" i="5"/>
  <c r="F113" i="5"/>
  <c r="F25" i="5" s="1"/>
  <c r="E113" i="5"/>
  <c r="D113" i="5"/>
  <c r="C113" i="5"/>
  <c r="B113" i="5"/>
  <c r="B25" i="5" s="1"/>
  <c r="M109" i="5"/>
  <c r="L109" i="5"/>
  <c r="K109" i="5"/>
  <c r="K6" i="5" s="1"/>
  <c r="J109" i="5"/>
  <c r="J6" i="5" s="1"/>
  <c r="I109" i="5"/>
  <c r="H109" i="5"/>
  <c r="G109" i="5"/>
  <c r="F109" i="5"/>
  <c r="F6" i="5" s="1"/>
  <c r="E109" i="5"/>
  <c r="D109" i="5"/>
  <c r="C109" i="5"/>
  <c r="B109" i="5"/>
  <c r="M105" i="5"/>
  <c r="L105" i="5"/>
  <c r="L29" i="5" s="1"/>
  <c r="K105" i="5"/>
  <c r="K29" i="5" s="1"/>
  <c r="J105" i="5"/>
  <c r="J29" i="5" s="1"/>
  <c r="I105" i="5"/>
  <c r="H105" i="5"/>
  <c r="G105" i="5"/>
  <c r="G29" i="5" s="1"/>
  <c r="F105" i="5"/>
  <c r="F29" i="5" s="1"/>
  <c r="E105" i="5"/>
  <c r="D105" i="5"/>
  <c r="D29" i="5" s="1"/>
  <c r="C105" i="5"/>
  <c r="C29" i="5" s="1"/>
  <c r="B105" i="5"/>
  <c r="B29" i="5" s="1"/>
  <c r="N29" i="5" s="1"/>
  <c r="C102" i="5"/>
  <c r="C27" i="5" s="1"/>
  <c r="B102" i="5"/>
  <c r="F93" i="5"/>
  <c r="G93" i="5" s="1"/>
  <c r="D93" i="5"/>
  <c r="E93" i="5" s="1"/>
  <c r="E102" i="5" s="1"/>
  <c r="E27" i="5" s="1"/>
  <c r="C93" i="5"/>
  <c r="C91" i="5"/>
  <c r="M82" i="5"/>
  <c r="L82" i="5"/>
  <c r="K82" i="5"/>
  <c r="J82" i="5"/>
  <c r="I82" i="5"/>
  <c r="H82" i="5"/>
  <c r="G82" i="5"/>
  <c r="F82" i="5"/>
  <c r="E82" i="5"/>
  <c r="D82" i="5"/>
  <c r="C82" i="5"/>
  <c r="B82" i="5"/>
  <c r="B92" i="5" s="1"/>
  <c r="B21" i="5" s="1"/>
  <c r="B81" i="5"/>
  <c r="B23" i="5" s="1"/>
  <c r="D80" i="5"/>
  <c r="E80" i="5" s="1"/>
  <c r="F80" i="5" s="1"/>
  <c r="G80" i="5" s="1"/>
  <c r="H80" i="5" s="1"/>
  <c r="I80" i="5" s="1"/>
  <c r="J80" i="5" s="1"/>
  <c r="K80" i="5" s="1"/>
  <c r="L80" i="5" s="1"/>
  <c r="M80" i="5" s="1"/>
  <c r="C80" i="5"/>
  <c r="E77" i="5"/>
  <c r="F77" i="5" s="1"/>
  <c r="G77" i="5" s="1"/>
  <c r="H77" i="5" s="1"/>
  <c r="I77" i="5" s="1"/>
  <c r="J77" i="5" s="1"/>
  <c r="K77" i="5" s="1"/>
  <c r="L77" i="5" s="1"/>
  <c r="M77" i="5" s="1"/>
  <c r="D77" i="5"/>
  <c r="C77" i="5"/>
  <c r="D76" i="5"/>
  <c r="E76" i="5" s="1"/>
  <c r="B76" i="5"/>
  <c r="C76" i="5" s="1"/>
  <c r="C81" i="5" s="1"/>
  <c r="C23" i="5" s="1"/>
  <c r="B75" i="5"/>
  <c r="B19" i="5" s="1"/>
  <c r="C74" i="5"/>
  <c r="D74" i="5" s="1"/>
  <c r="E74" i="5" s="1"/>
  <c r="F74" i="5" s="1"/>
  <c r="G74" i="5" s="1"/>
  <c r="H74" i="5" s="1"/>
  <c r="I74" i="5" s="1"/>
  <c r="J74" i="5" s="1"/>
  <c r="K74" i="5" s="1"/>
  <c r="L74" i="5" s="1"/>
  <c r="M74" i="5" s="1"/>
  <c r="C73" i="5"/>
  <c r="D73" i="5" s="1"/>
  <c r="M72" i="5"/>
  <c r="L72" i="5"/>
  <c r="K72" i="5"/>
  <c r="J72" i="5"/>
  <c r="J4" i="5" s="1"/>
  <c r="I72" i="5"/>
  <c r="H72" i="5"/>
  <c r="G72" i="5"/>
  <c r="F72" i="5"/>
  <c r="F4" i="5" s="1"/>
  <c r="E72" i="5"/>
  <c r="D72" i="5"/>
  <c r="C72" i="5"/>
  <c r="B72" i="5"/>
  <c r="B4" i="5" s="1"/>
  <c r="N4" i="5" s="1"/>
  <c r="D64" i="5"/>
  <c r="D13" i="5" s="1"/>
  <c r="B64" i="5"/>
  <c r="E63" i="5"/>
  <c r="E64" i="5" s="1"/>
  <c r="E13" i="5" s="1"/>
  <c r="D63" i="5"/>
  <c r="C63" i="5"/>
  <c r="C64" i="5" s="1"/>
  <c r="B58" i="5"/>
  <c r="D56" i="5"/>
  <c r="D58" i="5" s="1"/>
  <c r="D15" i="5" s="1"/>
  <c r="C56" i="5"/>
  <c r="C58" i="5" s="1"/>
  <c r="C15" i="5" s="1"/>
  <c r="M48" i="5"/>
  <c r="L48" i="5"/>
  <c r="K48" i="5"/>
  <c r="J48" i="5"/>
  <c r="I48" i="5"/>
  <c r="H48" i="5"/>
  <c r="G48" i="5"/>
  <c r="F48" i="5"/>
  <c r="E48" i="5"/>
  <c r="D48" i="5"/>
  <c r="C48" i="5"/>
  <c r="B48" i="5"/>
  <c r="M45" i="5"/>
  <c r="L45" i="5"/>
  <c r="L10" i="5" s="1"/>
  <c r="K45" i="5"/>
  <c r="K10" i="5" s="1"/>
  <c r="J45" i="5"/>
  <c r="I45" i="5"/>
  <c r="H45" i="5"/>
  <c r="H10" i="5" s="1"/>
  <c r="G45" i="5"/>
  <c r="G10" i="5" s="1"/>
  <c r="F45" i="5"/>
  <c r="E45" i="5"/>
  <c r="D45" i="5"/>
  <c r="D10" i="5" s="1"/>
  <c r="C45" i="5"/>
  <c r="C10" i="5" s="1"/>
  <c r="B45" i="5"/>
  <c r="N37" i="5"/>
  <c r="N36" i="5"/>
  <c r="M35" i="5"/>
  <c r="L35" i="5"/>
  <c r="K35" i="5"/>
  <c r="I35" i="5"/>
  <c r="G35" i="5"/>
  <c r="E35" i="5"/>
  <c r="D35" i="5"/>
  <c r="C35" i="5"/>
  <c r="M34" i="5"/>
  <c r="K34" i="5"/>
  <c r="I34" i="5"/>
  <c r="H34" i="5"/>
  <c r="G34" i="5"/>
  <c r="E34" i="5"/>
  <c r="C34" i="5"/>
  <c r="M33" i="5"/>
  <c r="J33" i="5"/>
  <c r="I33" i="5"/>
  <c r="H33" i="5"/>
  <c r="N33" i="5" s="1"/>
  <c r="E33" i="5"/>
  <c r="D33" i="5"/>
  <c r="B33" i="5"/>
  <c r="M32" i="5"/>
  <c r="K32" i="5"/>
  <c r="J32" i="5"/>
  <c r="I32" i="5"/>
  <c r="G32" i="5"/>
  <c r="E32" i="5"/>
  <c r="C32" i="5"/>
  <c r="B32" i="5"/>
  <c r="M31" i="5"/>
  <c r="K31" i="5"/>
  <c r="J31" i="5"/>
  <c r="I31" i="5"/>
  <c r="G31" i="5"/>
  <c r="F31" i="5"/>
  <c r="E31" i="5"/>
  <c r="C31" i="5"/>
  <c r="B31" i="5"/>
  <c r="N31" i="5" s="1"/>
  <c r="N30" i="5"/>
  <c r="M29" i="5"/>
  <c r="I29" i="5"/>
  <c r="H29" i="5"/>
  <c r="E29" i="5"/>
  <c r="N28" i="5"/>
  <c r="B27" i="5"/>
  <c r="C26" i="5"/>
  <c r="M25" i="5"/>
  <c r="I25" i="5"/>
  <c r="G25" i="5"/>
  <c r="E25" i="5"/>
  <c r="D25" i="5"/>
  <c r="C25" i="5"/>
  <c r="N24" i="5"/>
  <c r="N22" i="5"/>
  <c r="N20" i="5"/>
  <c r="B17" i="5"/>
  <c r="N16" i="5"/>
  <c r="B15" i="5"/>
  <c r="N14" i="5"/>
  <c r="C13" i="5"/>
  <c r="B13" i="5"/>
  <c r="N12" i="5"/>
  <c r="N11" i="5"/>
  <c r="M10" i="5"/>
  <c r="J10" i="5"/>
  <c r="I10" i="5"/>
  <c r="F10" i="5"/>
  <c r="E10" i="5"/>
  <c r="B10" i="5"/>
  <c r="N9" i="5"/>
  <c r="N8" i="5"/>
  <c r="N7" i="5"/>
  <c r="M6" i="5"/>
  <c r="L6" i="5"/>
  <c r="I6" i="5"/>
  <c r="H6" i="5"/>
  <c r="G6" i="5"/>
  <c r="E6" i="5"/>
  <c r="D6" i="5"/>
  <c r="C6" i="5"/>
  <c r="B6" i="5"/>
  <c r="C5" i="5"/>
  <c r="D5" i="5" s="1"/>
  <c r="E5" i="5" s="1"/>
  <c r="F5" i="5" s="1"/>
  <c r="G5" i="5" s="1"/>
  <c r="H5" i="5" s="1"/>
  <c r="I5" i="5" s="1"/>
  <c r="J5" i="5" s="1"/>
  <c r="K5" i="5" s="1"/>
  <c r="L5" i="5" s="1"/>
  <c r="M5" i="5" s="1"/>
  <c r="M4" i="5"/>
  <c r="L4" i="5"/>
  <c r="K4" i="5"/>
  <c r="I4" i="5"/>
  <c r="H4" i="5"/>
  <c r="G4" i="5"/>
  <c r="E4" i="5"/>
  <c r="D4" i="5"/>
  <c r="C4" i="5"/>
  <c r="B147" i="6" l="1"/>
  <c r="D147" i="6" s="1"/>
  <c r="B21" i="6"/>
  <c r="B17" i="6"/>
  <c r="B39" i="6" s="1"/>
  <c r="D117" i="5"/>
  <c r="E115" i="5"/>
  <c r="G102" i="5"/>
  <c r="G27" i="5" s="1"/>
  <c r="H93" i="5"/>
  <c r="F92" i="5"/>
  <c r="F21" i="5" s="1"/>
  <c r="B39" i="5"/>
  <c r="N32" i="5"/>
  <c r="D75" i="5"/>
  <c r="D19" i="5" s="1"/>
  <c r="E81" i="5"/>
  <c r="E23" i="5" s="1"/>
  <c r="N34" i="5"/>
  <c r="N35" i="5"/>
  <c r="N5" i="5"/>
  <c r="E56" i="5"/>
  <c r="F63" i="5"/>
  <c r="E73" i="5"/>
  <c r="C75" i="5"/>
  <c r="C19" i="5" s="1"/>
  <c r="F76" i="5"/>
  <c r="D81" i="5"/>
  <c r="D23" i="5" s="1"/>
  <c r="D102" i="5"/>
  <c r="D27" i="5" s="1"/>
  <c r="N6" i="5"/>
  <c r="F102" i="5"/>
  <c r="F27" i="5" s="1"/>
  <c r="N25" i="5"/>
  <c r="C117" i="5"/>
  <c r="N10" i="5"/>
  <c r="N26" i="5"/>
  <c r="D26" i="5"/>
  <c r="E26" i="5" s="1"/>
  <c r="F26" i="5" s="1"/>
  <c r="G26" i="5" s="1"/>
  <c r="H26" i="5" s="1"/>
  <c r="I26" i="5" s="1"/>
  <c r="J26" i="5" s="1"/>
  <c r="K26" i="5" s="1"/>
  <c r="L26" i="5" s="1"/>
  <c r="M26" i="5" s="1"/>
  <c r="D91" i="5"/>
  <c r="E91" i="5" s="1"/>
  <c r="F91" i="5" s="1"/>
  <c r="G91" i="5" s="1"/>
  <c r="C92" i="5"/>
  <c r="C21" i="5" s="1"/>
  <c r="I503" i="1"/>
  <c r="D504" i="1"/>
  <c r="E504" i="1"/>
  <c r="F504" i="1"/>
  <c r="G504" i="1"/>
  <c r="H504" i="1"/>
  <c r="F115" i="5" l="1"/>
  <c r="E117" i="5"/>
  <c r="F81" i="5"/>
  <c r="F23" i="5" s="1"/>
  <c r="G76" i="5"/>
  <c r="F56" i="5"/>
  <c r="E58" i="5"/>
  <c r="E15" i="5" s="1"/>
  <c r="H91" i="5"/>
  <c r="G92" i="5"/>
  <c r="G21" i="5" s="1"/>
  <c r="C17" i="5"/>
  <c r="C118" i="5"/>
  <c r="C120" i="5" s="1"/>
  <c r="C55" i="5" s="1"/>
  <c r="C18" i="5" s="1"/>
  <c r="D92" i="5"/>
  <c r="D21" i="5" s="1"/>
  <c r="E75" i="5"/>
  <c r="E19" i="5" s="1"/>
  <c r="F73" i="5"/>
  <c r="E92" i="5"/>
  <c r="E21" i="5" s="1"/>
  <c r="D17" i="5"/>
  <c r="D118" i="5"/>
  <c r="D120" i="5" s="1"/>
  <c r="D55" i="5" s="1"/>
  <c r="D18" i="5" s="1"/>
  <c r="D39" i="5" s="1"/>
  <c r="G63" i="5"/>
  <c r="F64" i="5"/>
  <c r="F13" i="5" s="1"/>
  <c r="I93" i="5"/>
  <c r="H102" i="5"/>
  <c r="H27" i="5" s="1"/>
  <c r="G64" i="5" l="1"/>
  <c r="G13" i="5" s="1"/>
  <c r="H63" i="5"/>
  <c r="G73" i="5"/>
  <c r="F75" i="5"/>
  <c r="F19" i="5" s="1"/>
  <c r="F58" i="5"/>
  <c r="F15" i="5" s="1"/>
  <c r="G56" i="5"/>
  <c r="F117" i="5"/>
  <c r="G115" i="5"/>
  <c r="G81" i="5"/>
  <c r="G23" i="5" s="1"/>
  <c r="H76" i="5"/>
  <c r="I102" i="5"/>
  <c r="I27" i="5" s="1"/>
  <c r="J93" i="5"/>
  <c r="I91" i="5"/>
  <c r="H92" i="5"/>
  <c r="H21" i="5" s="1"/>
  <c r="C39" i="5"/>
  <c r="E118" i="5"/>
  <c r="E120" i="5" s="1"/>
  <c r="E55" i="5" s="1"/>
  <c r="E18" i="5" s="1"/>
  <c r="E39" i="5" s="1"/>
  <c r="E17" i="5"/>
  <c r="M509" i="1"/>
  <c r="I509" i="1"/>
  <c r="J503" i="1" s="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H115" i="5" l="1"/>
  <c r="G117" i="5"/>
  <c r="I76" i="5"/>
  <c r="H81" i="5"/>
  <c r="H23" i="5" s="1"/>
  <c r="F118" i="5"/>
  <c r="F120" i="5" s="1"/>
  <c r="F55" i="5" s="1"/>
  <c r="F18" i="5" s="1"/>
  <c r="F39" i="5" s="1"/>
  <c r="F17" i="5"/>
  <c r="J91" i="5"/>
  <c r="I92" i="5"/>
  <c r="I21" i="5" s="1"/>
  <c r="G58" i="5"/>
  <c r="G15" i="5" s="1"/>
  <c r="H56" i="5"/>
  <c r="H73" i="5"/>
  <c r="G75" i="5"/>
  <c r="G19" i="5" s="1"/>
  <c r="K93" i="5"/>
  <c r="J102" i="5"/>
  <c r="J27" i="5" s="1"/>
  <c r="H64" i="5"/>
  <c r="H13" i="5" s="1"/>
  <c r="I63" i="5"/>
  <c r="I504" i="1"/>
  <c r="J502" i="1"/>
  <c r="J498" i="1"/>
  <c r="J494" i="1"/>
  <c r="J490" i="1"/>
  <c r="J486" i="1"/>
  <c r="J482" i="1"/>
  <c r="J478" i="1"/>
  <c r="K501" i="1"/>
  <c r="K497" i="1"/>
  <c r="K493" i="1"/>
  <c r="K489" i="1"/>
  <c r="K485" i="1"/>
  <c r="K481" i="1"/>
  <c r="K477" i="1"/>
  <c r="K492" i="1"/>
  <c r="K480" i="1"/>
  <c r="K495" i="1"/>
  <c r="K487" i="1"/>
  <c r="K479" i="1"/>
  <c r="J501" i="1"/>
  <c r="J497" i="1"/>
  <c r="N497" i="1" s="1"/>
  <c r="J493" i="1"/>
  <c r="N493" i="1" s="1"/>
  <c r="J489" i="1"/>
  <c r="N489" i="1" s="1"/>
  <c r="J485" i="1"/>
  <c r="N485" i="1" s="1"/>
  <c r="J481" i="1"/>
  <c r="N481" i="1" s="1"/>
  <c r="J477" i="1"/>
  <c r="J500" i="1"/>
  <c r="N500" i="1" s="1"/>
  <c r="J496" i="1"/>
  <c r="J492" i="1"/>
  <c r="N492" i="1" s="1"/>
  <c r="J488" i="1"/>
  <c r="J484" i="1"/>
  <c r="N484" i="1" s="1"/>
  <c r="J480" i="1"/>
  <c r="J499" i="1"/>
  <c r="N499" i="1" s="1"/>
  <c r="J495" i="1"/>
  <c r="N495" i="1" s="1"/>
  <c r="J491" i="1"/>
  <c r="J487" i="1"/>
  <c r="N487" i="1" s="1"/>
  <c r="J483" i="1"/>
  <c r="J479" i="1"/>
  <c r="K502" i="1"/>
  <c r="K498" i="1"/>
  <c r="K494" i="1"/>
  <c r="K490" i="1"/>
  <c r="K486" i="1"/>
  <c r="K482" i="1"/>
  <c r="K478" i="1"/>
  <c r="K500" i="1"/>
  <c r="K496" i="1"/>
  <c r="K488" i="1"/>
  <c r="K484" i="1"/>
  <c r="K499" i="1"/>
  <c r="K491" i="1"/>
  <c r="K483" i="1"/>
  <c r="N483" i="1"/>
  <c r="I56" i="5" l="1"/>
  <c r="H58" i="5"/>
  <c r="H15" i="5" s="1"/>
  <c r="J76" i="5"/>
  <c r="I81" i="5"/>
  <c r="I23" i="5" s="1"/>
  <c r="L93" i="5"/>
  <c r="K102" i="5"/>
  <c r="K27" i="5" s="1"/>
  <c r="G17" i="5"/>
  <c r="G118" i="5"/>
  <c r="G120" i="5" s="1"/>
  <c r="G55" i="5" s="1"/>
  <c r="G18" i="5" s="1"/>
  <c r="G39" i="5" s="1"/>
  <c r="J63" i="5"/>
  <c r="I64" i="5"/>
  <c r="I13" i="5" s="1"/>
  <c r="I115" i="5"/>
  <c r="H117" i="5"/>
  <c r="I73" i="5"/>
  <c r="H75" i="5"/>
  <c r="H19" i="5" s="1"/>
  <c r="K91" i="5"/>
  <c r="J92" i="5"/>
  <c r="J21" i="5" s="1"/>
  <c r="J504" i="1"/>
  <c r="N477" i="1"/>
  <c r="N501" i="1"/>
  <c r="N478" i="1"/>
  <c r="N488" i="1"/>
  <c r="K504" i="1"/>
  <c r="N482" i="1"/>
  <c r="N498" i="1"/>
  <c r="N480" i="1"/>
  <c r="N496" i="1"/>
  <c r="N490" i="1"/>
  <c r="N494" i="1"/>
  <c r="N491" i="1"/>
  <c r="N479" i="1"/>
  <c r="N486" i="1"/>
  <c r="N502" i="1"/>
  <c r="L501" i="1"/>
  <c r="L492" i="1"/>
  <c r="L482" i="1"/>
  <c r="L499" i="1"/>
  <c r="L481" i="1"/>
  <c r="L478" i="1"/>
  <c r="L491" i="1"/>
  <c r="L486" i="1"/>
  <c r="L477" i="1"/>
  <c r="L487" i="1"/>
  <c r="K63" i="5" l="1"/>
  <c r="J64" i="5"/>
  <c r="J13" i="5" s="1"/>
  <c r="J81" i="5"/>
  <c r="J23" i="5" s="1"/>
  <c r="K76" i="5"/>
  <c r="L91" i="5"/>
  <c r="K92" i="5"/>
  <c r="K21" i="5" s="1"/>
  <c r="H118" i="5"/>
  <c r="H120" i="5" s="1"/>
  <c r="H55" i="5" s="1"/>
  <c r="H18" i="5" s="1"/>
  <c r="H17" i="5"/>
  <c r="J115" i="5"/>
  <c r="I117" i="5"/>
  <c r="M93" i="5"/>
  <c r="M102" i="5" s="1"/>
  <c r="M27" i="5" s="1"/>
  <c r="N27" i="5" s="1"/>
  <c r="L102" i="5"/>
  <c r="L27" i="5" s="1"/>
  <c r="I75" i="5"/>
  <c r="I19" i="5" s="1"/>
  <c r="J73" i="5"/>
  <c r="J56" i="5"/>
  <c r="I58" i="5"/>
  <c r="I15" i="5" s="1"/>
  <c r="N504" i="1"/>
  <c r="L479" i="1"/>
  <c r="L488" i="1"/>
  <c r="L502" i="1"/>
  <c r="L496" i="1"/>
  <c r="L485" i="1"/>
  <c r="H39" i="5" l="1"/>
  <c r="J117" i="5"/>
  <c r="K115" i="5"/>
  <c r="J58" i="5"/>
  <c r="J15" i="5" s="1"/>
  <c r="K56" i="5"/>
  <c r="K81" i="5"/>
  <c r="K23" i="5" s="1"/>
  <c r="L76" i="5"/>
  <c r="J75" i="5"/>
  <c r="J19" i="5" s="1"/>
  <c r="K73" i="5"/>
  <c r="I118" i="5"/>
  <c r="I120" i="5" s="1"/>
  <c r="I55" i="5" s="1"/>
  <c r="I18" i="5" s="1"/>
  <c r="I39" i="5" s="1"/>
  <c r="I17" i="5"/>
  <c r="M91" i="5"/>
  <c r="M92" i="5" s="1"/>
  <c r="M21" i="5" s="1"/>
  <c r="L92" i="5"/>
  <c r="L21" i="5" s="1"/>
  <c r="K64" i="5"/>
  <c r="K13" i="5" s="1"/>
  <c r="L63" i="5"/>
  <c r="L493" i="1"/>
  <c r="L480" i="1"/>
  <c r="J118" i="5" l="1"/>
  <c r="J120" i="5" s="1"/>
  <c r="J55" i="5" s="1"/>
  <c r="J18" i="5" s="1"/>
  <c r="J17" i="5"/>
  <c r="L73" i="5"/>
  <c r="K75" i="5"/>
  <c r="K19" i="5" s="1"/>
  <c r="L56" i="5"/>
  <c r="K58" i="5"/>
  <c r="K15" i="5" s="1"/>
  <c r="N21" i="5"/>
  <c r="L64" i="5"/>
  <c r="L13" i="5" s="1"/>
  <c r="M63" i="5"/>
  <c r="M64" i="5" s="1"/>
  <c r="M13" i="5" s="1"/>
  <c r="M76" i="5"/>
  <c r="M81" i="5" s="1"/>
  <c r="M23" i="5" s="1"/>
  <c r="L81" i="5"/>
  <c r="L23" i="5" s="1"/>
  <c r="L115" i="5"/>
  <c r="K117" i="5"/>
  <c r="L495" i="1"/>
  <c r="L117" i="5" l="1"/>
  <c r="M115" i="5"/>
  <c r="M117" i="5" s="1"/>
  <c r="L75" i="5"/>
  <c r="L19" i="5" s="1"/>
  <c r="M73" i="5"/>
  <c r="M75" i="5" s="1"/>
  <c r="M19" i="5" s="1"/>
  <c r="N19" i="5" s="1"/>
  <c r="N23" i="5"/>
  <c r="K118" i="5"/>
  <c r="K120" i="5" s="1"/>
  <c r="K55" i="5" s="1"/>
  <c r="K18" i="5" s="1"/>
  <c r="K17" i="5"/>
  <c r="N13" i="5"/>
  <c r="M56" i="5"/>
  <c r="M58" i="5" s="1"/>
  <c r="M15" i="5" s="1"/>
  <c r="N15" i="5" s="1"/>
  <c r="L58" i="5"/>
  <c r="L15" i="5" s="1"/>
  <c r="J39" i="5"/>
  <c r="L494" i="1"/>
  <c r="L484" i="1"/>
  <c r="L498" i="1"/>
  <c r="L497" i="1"/>
  <c r="K39" i="5" l="1"/>
  <c r="M118" i="5"/>
  <c r="M120" i="5" s="1"/>
  <c r="M55" i="5" s="1"/>
  <c r="M18" i="5" s="1"/>
  <c r="M17" i="5"/>
  <c r="L17" i="5"/>
  <c r="L118" i="5"/>
  <c r="L120" i="5" s="1"/>
  <c r="L55" i="5" s="1"/>
  <c r="L18" i="5" s="1"/>
  <c r="L500" i="1"/>
  <c r="N17" i="5" l="1"/>
  <c r="M39" i="5"/>
  <c r="N18" i="5"/>
  <c r="L39" i="5"/>
  <c r="L483" i="1"/>
  <c r="L490" i="1"/>
  <c r="N39" i="5" l="1"/>
  <c r="L489" i="1"/>
  <c r="L504" i="1"/>
  <c r="M8" i="1"/>
  <c r="D49" i="9" l="1"/>
  <c r="D51" i="9" s="1"/>
  <c r="F135" i="7" s="1"/>
  <c r="C49" i="9"/>
  <c r="C51" i="9" s="1"/>
  <c r="F136" i="7" s="1"/>
  <c r="I458" i="1" l="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56" i="1"/>
  <c r="I355" i="1"/>
  <c r="I354" i="1"/>
  <c r="I353" i="1"/>
  <c r="I352" i="1"/>
  <c r="I351" i="1"/>
  <c r="I350" i="1"/>
  <c r="I349" i="1"/>
  <c r="I370" i="1"/>
  <c r="I369" i="1"/>
  <c r="I368" i="1"/>
  <c r="I367" i="1"/>
  <c r="I366" i="1"/>
  <c r="I365" i="1"/>
  <c r="I364" i="1"/>
  <c r="I363" i="1"/>
  <c r="I362" i="1"/>
  <c r="I361" i="1"/>
  <c r="I360" i="1"/>
  <c r="I359" i="1"/>
  <c r="I358" i="1"/>
  <c r="I357" i="1"/>
  <c r="I348" i="1"/>
  <c r="I347" i="1"/>
  <c r="I345" i="1"/>
  <c r="I344" i="1"/>
  <c r="I415" i="1" l="1"/>
  <c r="I459" i="1"/>
  <c r="I371" i="1"/>
  <c r="M464" i="1" l="1"/>
  <c r="I464" i="1"/>
  <c r="M420" i="1"/>
  <c r="I420" i="1"/>
  <c r="M376" i="1"/>
  <c r="I376" i="1"/>
  <c r="J347" i="1" s="1"/>
  <c r="L347" i="1" s="1"/>
  <c r="K433" i="1" l="1"/>
  <c r="K346" i="1"/>
  <c r="K347" i="1"/>
  <c r="J346" i="1"/>
  <c r="L346" i="1" s="1"/>
  <c r="J369" i="1"/>
  <c r="K369" i="1"/>
  <c r="K365" i="1"/>
  <c r="K361" i="1"/>
  <c r="K357" i="1"/>
  <c r="K353" i="1"/>
  <c r="K349" i="1"/>
  <c r="K344" i="1"/>
  <c r="K368" i="1"/>
  <c r="K364" i="1"/>
  <c r="K360" i="1"/>
  <c r="K356" i="1"/>
  <c r="K352" i="1"/>
  <c r="K348" i="1"/>
  <c r="K367" i="1"/>
  <c r="K359" i="1"/>
  <c r="K351" i="1"/>
  <c r="K366" i="1"/>
  <c r="K358" i="1"/>
  <c r="K350" i="1"/>
  <c r="K363" i="1"/>
  <c r="K355" i="1"/>
  <c r="K370" i="1"/>
  <c r="K362" i="1"/>
  <c r="K354" i="1"/>
  <c r="K345" i="1"/>
  <c r="K457" i="1"/>
  <c r="K453" i="1"/>
  <c r="K449" i="1"/>
  <c r="K445" i="1"/>
  <c r="K441" i="1"/>
  <c r="K437" i="1"/>
  <c r="K456" i="1"/>
  <c r="K452" i="1"/>
  <c r="K448" i="1"/>
  <c r="K444" i="1"/>
  <c r="K440" i="1"/>
  <c r="K436" i="1"/>
  <c r="K455" i="1"/>
  <c r="K451" i="1"/>
  <c r="K447" i="1"/>
  <c r="K443" i="1"/>
  <c r="K439" i="1"/>
  <c r="K435" i="1"/>
  <c r="K450" i="1"/>
  <c r="K434" i="1"/>
  <c r="K446" i="1"/>
  <c r="K458" i="1"/>
  <c r="K442" i="1"/>
  <c r="K454" i="1"/>
  <c r="K438" i="1"/>
  <c r="K410" i="1"/>
  <c r="K406" i="1"/>
  <c r="K402" i="1"/>
  <c r="K398" i="1"/>
  <c r="K394" i="1"/>
  <c r="K390" i="1"/>
  <c r="K413" i="1"/>
  <c r="K409" i="1"/>
  <c r="K405" i="1"/>
  <c r="K401" i="1"/>
  <c r="K397" i="1"/>
  <c r="K393" i="1"/>
  <c r="K389" i="1"/>
  <c r="K412" i="1"/>
  <c r="K408" i="1"/>
  <c r="K404" i="1"/>
  <c r="K400" i="1"/>
  <c r="K396" i="1"/>
  <c r="K392" i="1"/>
  <c r="K414" i="1"/>
  <c r="K399" i="1"/>
  <c r="K411" i="1"/>
  <c r="K395" i="1"/>
  <c r="K407" i="1"/>
  <c r="K391" i="1"/>
  <c r="K403" i="1"/>
  <c r="J393" i="1"/>
  <c r="L393" i="1" s="1"/>
  <c r="J394" i="1"/>
  <c r="L394" i="1" s="1"/>
  <c r="J395" i="1"/>
  <c r="L395" i="1" s="1"/>
  <c r="J396" i="1"/>
  <c r="L396" i="1" s="1"/>
  <c r="J397" i="1"/>
  <c r="L397" i="1" s="1"/>
  <c r="J398" i="1"/>
  <c r="L398" i="1" s="1"/>
  <c r="J399" i="1"/>
  <c r="L399" i="1" s="1"/>
  <c r="J400" i="1"/>
  <c r="L400" i="1" s="1"/>
  <c r="J401" i="1"/>
  <c r="L401" i="1" s="1"/>
  <c r="J402" i="1"/>
  <c r="L402" i="1" s="1"/>
  <c r="J403" i="1"/>
  <c r="L403" i="1" s="1"/>
  <c r="J404" i="1"/>
  <c r="L404" i="1" s="1"/>
  <c r="J406" i="1"/>
  <c r="L406" i="1" s="1"/>
  <c r="J407" i="1"/>
  <c r="L407" i="1" s="1"/>
  <c r="J405" i="1"/>
  <c r="L405" i="1" s="1"/>
  <c r="J408" i="1"/>
  <c r="L408" i="1" s="1"/>
  <c r="J409" i="1"/>
  <c r="L409" i="1" s="1"/>
  <c r="J410" i="1"/>
  <c r="L410" i="1" s="1"/>
  <c r="J411" i="1"/>
  <c r="L411" i="1" s="1"/>
  <c r="J448" i="1"/>
  <c r="L448" i="1" s="1"/>
  <c r="J447" i="1"/>
  <c r="L447" i="1" s="1"/>
  <c r="J446" i="1"/>
  <c r="L446" i="1" s="1"/>
  <c r="J445" i="1"/>
  <c r="L445" i="1" s="1"/>
  <c r="J444" i="1"/>
  <c r="L444" i="1" s="1"/>
  <c r="J443" i="1"/>
  <c r="L443" i="1" s="1"/>
  <c r="J442" i="1"/>
  <c r="L442" i="1" s="1"/>
  <c r="J441" i="1"/>
  <c r="L441" i="1" s="1"/>
  <c r="J440" i="1"/>
  <c r="L440" i="1" s="1"/>
  <c r="J439" i="1"/>
  <c r="L439" i="1" s="1"/>
  <c r="J356" i="1"/>
  <c r="L356" i="1" s="1"/>
  <c r="J354" i="1"/>
  <c r="L354" i="1" s="1"/>
  <c r="J352" i="1"/>
  <c r="L352" i="1" s="1"/>
  <c r="J350" i="1"/>
  <c r="L350" i="1" s="1"/>
  <c r="J355" i="1"/>
  <c r="L355" i="1" s="1"/>
  <c r="J353" i="1"/>
  <c r="L353" i="1" s="1"/>
  <c r="J351" i="1"/>
  <c r="L351" i="1" s="1"/>
  <c r="J349" i="1"/>
  <c r="L349" i="1" s="1"/>
  <c r="J367" i="1"/>
  <c r="L367" i="1" s="1"/>
  <c r="J365" i="1"/>
  <c r="L365" i="1" s="1"/>
  <c r="J363" i="1"/>
  <c r="L363" i="1" s="1"/>
  <c r="J361" i="1"/>
  <c r="L361" i="1" s="1"/>
  <c r="J359" i="1"/>
  <c r="L359" i="1" s="1"/>
  <c r="J357" i="1"/>
  <c r="L357" i="1" s="1"/>
  <c r="J344" i="1"/>
  <c r="L344" i="1" s="1"/>
  <c r="J370" i="1"/>
  <c r="J368" i="1"/>
  <c r="J366" i="1"/>
  <c r="L366" i="1" s="1"/>
  <c r="J364" i="1"/>
  <c r="L364" i="1" s="1"/>
  <c r="J362" i="1"/>
  <c r="L362" i="1" s="1"/>
  <c r="J360" i="1"/>
  <c r="L360" i="1" s="1"/>
  <c r="J358" i="1"/>
  <c r="L358" i="1" s="1"/>
  <c r="J348" i="1"/>
  <c r="L348" i="1" s="1"/>
  <c r="J345" i="1"/>
  <c r="L345" i="1" s="1"/>
  <c r="J390" i="1"/>
  <c r="L390" i="1" s="1"/>
  <c r="J392" i="1"/>
  <c r="L392" i="1" s="1"/>
  <c r="J413" i="1"/>
  <c r="L413" i="1" s="1"/>
  <c r="J389" i="1"/>
  <c r="L389" i="1" s="1"/>
  <c r="J391" i="1"/>
  <c r="L391" i="1" s="1"/>
  <c r="J412" i="1"/>
  <c r="L412" i="1" s="1"/>
  <c r="J414" i="1"/>
  <c r="L414" i="1" s="1"/>
  <c r="J458" i="1"/>
  <c r="L458" i="1" s="1"/>
  <c r="J456" i="1"/>
  <c r="L456" i="1" s="1"/>
  <c r="J454" i="1"/>
  <c r="L454" i="1" s="1"/>
  <c r="J452" i="1"/>
  <c r="L452" i="1" s="1"/>
  <c r="J450" i="1"/>
  <c r="L450" i="1" s="1"/>
  <c r="J438" i="1"/>
  <c r="L438" i="1" s="1"/>
  <c r="J436" i="1"/>
  <c r="L436" i="1" s="1"/>
  <c r="J434" i="1"/>
  <c r="L434" i="1" s="1"/>
  <c r="J457" i="1"/>
  <c r="L457" i="1" s="1"/>
  <c r="J455" i="1"/>
  <c r="L455" i="1" s="1"/>
  <c r="J453" i="1"/>
  <c r="L453" i="1" s="1"/>
  <c r="J451" i="1"/>
  <c r="L451" i="1" s="1"/>
  <c r="J449" i="1"/>
  <c r="L449" i="1" s="1"/>
  <c r="J437" i="1"/>
  <c r="L437" i="1" s="1"/>
  <c r="J435" i="1"/>
  <c r="L435" i="1" s="1"/>
  <c r="J433" i="1"/>
  <c r="L433" i="1" s="1"/>
  <c r="K40" i="1" l="1"/>
  <c r="L369" i="1"/>
  <c r="J41" i="1"/>
  <c r="N41" i="1" s="1"/>
  <c r="L368" i="1"/>
  <c r="L40" i="1" s="1"/>
  <c r="J40" i="1"/>
  <c r="N40" i="1" s="1"/>
  <c r="K42" i="1"/>
  <c r="L370" i="1"/>
  <c r="L42" i="1" s="1"/>
  <c r="J42" i="1"/>
  <c r="N42" i="1" s="1"/>
  <c r="K41" i="1"/>
  <c r="L41" i="1"/>
  <c r="N346" i="1"/>
  <c r="J459" i="1"/>
  <c r="K371" i="1"/>
  <c r="J415" i="1"/>
  <c r="K415" i="1"/>
  <c r="K459" i="1"/>
  <c r="N440" i="1"/>
  <c r="N444" i="1"/>
  <c r="N448" i="1"/>
  <c r="N439" i="1"/>
  <c r="N441" i="1"/>
  <c r="N443" i="1"/>
  <c r="N445" i="1"/>
  <c r="N447" i="1"/>
  <c r="N411" i="1"/>
  <c r="N409" i="1"/>
  <c r="N405" i="1"/>
  <c r="N406" i="1"/>
  <c r="N403" i="1"/>
  <c r="N401" i="1"/>
  <c r="N399" i="1"/>
  <c r="N397" i="1"/>
  <c r="N395" i="1"/>
  <c r="N393" i="1"/>
  <c r="N442" i="1"/>
  <c r="N446" i="1"/>
  <c r="N410" i="1"/>
  <c r="N408" i="1"/>
  <c r="N407" i="1"/>
  <c r="N404" i="1"/>
  <c r="N402" i="1"/>
  <c r="N400" i="1"/>
  <c r="N398" i="1"/>
  <c r="N396" i="1"/>
  <c r="N394" i="1"/>
  <c r="N351" i="1"/>
  <c r="N355" i="1"/>
  <c r="N352" i="1"/>
  <c r="N356" i="1"/>
  <c r="N349" i="1"/>
  <c r="N353" i="1"/>
  <c r="N350" i="1"/>
  <c r="N354" i="1"/>
  <c r="M331" i="1" l="1"/>
  <c r="I331" i="1"/>
  <c r="M291" i="1"/>
  <c r="I291" i="1"/>
  <c r="M250" i="1"/>
  <c r="I250" i="1"/>
  <c r="M209" i="1"/>
  <c r="I209" i="1"/>
  <c r="M166" i="1"/>
  <c r="I166" i="1"/>
  <c r="M125" i="1"/>
  <c r="I125" i="1"/>
  <c r="M84" i="1"/>
  <c r="I84" i="1"/>
  <c r="J182" i="1" l="1"/>
  <c r="J183" i="1"/>
  <c r="L183" i="1" s="1"/>
  <c r="K182" i="1"/>
  <c r="K18" i="1" s="1"/>
  <c r="K183" i="1"/>
  <c r="J180" i="1"/>
  <c r="L180" i="1" s="1"/>
  <c r="K194" i="1"/>
  <c r="K223" i="1"/>
  <c r="K224" i="1"/>
  <c r="K225" i="1"/>
  <c r="K226" i="1"/>
  <c r="K227" i="1"/>
  <c r="K228" i="1"/>
  <c r="K229" i="1"/>
  <c r="K230" i="1"/>
  <c r="K231" i="1"/>
  <c r="K232" i="1"/>
  <c r="K233" i="1"/>
  <c r="K234" i="1"/>
  <c r="K235" i="1"/>
  <c r="K236" i="1"/>
  <c r="K237" i="1"/>
  <c r="K238" i="1"/>
  <c r="K239" i="1"/>
  <c r="K240" i="1"/>
  <c r="K241" i="1"/>
  <c r="K242" i="1"/>
  <c r="K243" i="1"/>
  <c r="K244" i="1"/>
  <c r="K222" i="1"/>
  <c r="K181" i="1"/>
  <c r="K184" i="1"/>
  <c r="K185" i="1"/>
  <c r="K186" i="1"/>
  <c r="K187" i="1"/>
  <c r="K188" i="1"/>
  <c r="K189" i="1"/>
  <c r="K190" i="1"/>
  <c r="K191" i="1"/>
  <c r="K192" i="1"/>
  <c r="K193" i="1"/>
  <c r="K195" i="1"/>
  <c r="K196" i="1"/>
  <c r="K197" i="1"/>
  <c r="K198" i="1"/>
  <c r="K199" i="1"/>
  <c r="K200" i="1"/>
  <c r="K201" i="1"/>
  <c r="K202" i="1"/>
  <c r="K203" i="1"/>
  <c r="K180" i="1"/>
  <c r="J306" i="1"/>
  <c r="L306" i="1" s="1"/>
  <c r="J307" i="1"/>
  <c r="L307" i="1" s="1"/>
  <c r="J308" i="1"/>
  <c r="L308" i="1" s="1"/>
  <c r="J309" i="1"/>
  <c r="L309" i="1" s="1"/>
  <c r="J310" i="1"/>
  <c r="L310" i="1" s="1"/>
  <c r="J311" i="1"/>
  <c r="L311" i="1" s="1"/>
  <c r="J312" i="1"/>
  <c r="L312" i="1" s="1"/>
  <c r="J313" i="1"/>
  <c r="L313" i="1" s="1"/>
  <c r="J314" i="1"/>
  <c r="L314" i="1" s="1"/>
  <c r="J315" i="1"/>
  <c r="L315" i="1" s="1"/>
  <c r="J316" i="1"/>
  <c r="L316" i="1" s="1"/>
  <c r="J317" i="1"/>
  <c r="L317" i="1" s="1"/>
  <c r="J318" i="1"/>
  <c r="L318" i="1" s="1"/>
  <c r="J319" i="1"/>
  <c r="L319" i="1" s="1"/>
  <c r="J320" i="1"/>
  <c r="L320" i="1" s="1"/>
  <c r="J321" i="1"/>
  <c r="L321" i="1" s="1"/>
  <c r="J322" i="1"/>
  <c r="L322" i="1" s="1"/>
  <c r="J323" i="1"/>
  <c r="J324" i="1"/>
  <c r="L324" i="1" s="1"/>
  <c r="J325" i="1"/>
  <c r="L325" i="1" s="1"/>
  <c r="J305" i="1"/>
  <c r="L305" i="1" s="1"/>
  <c r="J266" i="1"/>
  <c r="L266" i="1" s="1"/>
  <c r="J267" i="1"/>
  <c r="L267" i="1" s="1"/>
  <c r="J268" i="1"/>
  <c r="L268" i="1" s="1"/>
  <c r="J269" i="1"/>
  <c r="L269" i="1" s="1"/>
  <c r="J270" i="1"/>
  <c r="L270" i="1" s="1"/>
  <c r="J271" i="1"/>
  <c r="L271" i="1" s="1"/>
  <c r="J272" i="1"/>
  <c r="L272" i="1" s="1"/>
  <c r="J273" i="1"/>
  <c r="L273" i="1" s="1"/>
  <c r="J274" i="1"/>
  <c r="L274" i="1" s="1"/>
  <c r="J275" i="1"/>
  <c r="L275" i="1" s="1"/>
  <c r="J276" i="1"/>
  <c r="L276" i="1" s="1"/>
  <c r="J277" i="1"/>
  <c r="L277" i="1" s="1"/>
  <c r="J278" i="1"/>
  <c r="L278" i="1" s="1"/>
  <c r="J279" i="1"/>
  <c r="L279" i="1" s="1"/>
  <c r="J280" i="1"/>
  <c r="L280" i="1" s="1"/>
  <c r="J281" i="1"/>
  <c r="L281" i="1" s="1"/>
  <c r="J282" i="1"/>
  <c r="L282" i="1" s="1"/>
  <c r="J283" i="1"/>
  <c r="L283" i="1" s="1"/>
  <c r="J284" i="1"/>
  <c r="L284" i="1" s="1"/>
  <c r="J285" i="1"/>
  <c r="L285" i="1" s="1"/>
  <c r="J265" i="1"/>
  <c r="L265" i="1" s="1"/>
  <c r="J223" i="1"/>
  <c r="L223" i="1" s="1"/>
  <c r="J224" i="1"/>
  <c r="L224" i="1" s="1"/>
  <c r="J225" i="1"/>
  <c r="L225" i="1" s="1"/>
  <c r="J226" i="1"/>
  <c r="L226" i="1" s="1"/>
  <c r="J227" i="1"/>
  <c r="L227" i="1" s="1"/>
  <c r="J228" i="1"/>
  <c r="L228" i="1" s="1"/>
  <c r="J229" i="1"/>
  <c r="L229" i="1" s="1"/>
  <c r="J230" i="1"/>
  <c r="L230" i="1" s="1"/>
  <c r="J231" i="1"/>
  <c r="L231" i="1" s="1"/>
  <c r="J232" i="1"/>
  <c r="L232" i="1" s="1"/>
  <c r="J233" i="1"/>
  <c r="L233" i="1" s="1"/>
  <c r="J234" i="1"/>
  <c r="L234" i="1" s="1"/>
  <c r="J235" i="1"/>
  <c r="L235" i="1" s="1"/>
  <c r="J236" i="1"/>
  <c r="L236" i="1" s="1"/>
  <c r="J237" i="1"/>
  <c r="L237" i="1" s="1"/>
  <c r="J238" i="1"/>
  <c r="L238" i="1" s="1"/>
  <c r="J239" i="1"/>
  <c r="L239" i="1" s="1"/>
  <c r="J240" i="1"/>
  <c r="L240" i="1" s="1"/>
  <c r="J241" i="1"/>
  <c r="L241" i="1" s="1"/>
  <c r="J242" i="1"/>
  <c r="L242" i="1" s="1"/>
  <c r="J243" i="1"/>
  <c r="L243" i="1" s="1"/>
  <c r="J244" i="1"/>
  <c r="L244" i="1" s="1"/>
  <c r="J222" i="1"/>
  <c r="L222" i="1" s="1"/>
  <c r="J181" i="1"/>
  <c r="L181" i="1" s="1"/>
  <c r="J184" i="1"/>
  <c r="L184" i="1" s="1"/>
  <c r="J185" i="1"/>
  <c r="L185" i="1" s="1"/>
  <c r="J186" i="1"/>
  <c r="L186" i="1" s="1"/>
  <c r="J187" i="1"/>
  <c r="L187" i="1" s="1"/>
  <c r="J188" i="1"/>
  <c r="L188" i="1" s="1"/>
  <c r="J189" i="1"/>
  <c r="L189" i="1" s="1"/>
  <c r="J190" i="1"/>
  <c r="L190" i="1" s="1"/>
  <c r="J191" i="1"/>
  <c r="L191" i="1" s="1"/>
  <c r="J192" i="1"/>
  <c r="L192" i="1" s="1"/>
  <c r="J193" i="1"/>
  <c r="L193" i="1" s="1"/>
  <c r="J194" i="1"/>
  <c r="L194" i="1" s="1"/>
  <c r="J195" i="1"/>
  <c r="L195" i="1" s="1"/>
  <c r="J196" i="1"/>
  <c r="L196" i="1" s="1"/>
  <c r="J197" i="1"/>
  <c r="L197" i="1" s="1"/>
  <c r="J198" i="1"/>
  <c r="L198" i="1" s="1"/>
  <c r="J199" i="1"/>
  <c r="L199" i="1" s="1"/>
  <c r="J200" i="1"/>
  <c r="L200" i="1" s="1"/>
  <c r="J201" i="1"/>
  <c r="L201" i="1" s="1"/>
  <c r="J202" i="1"/>
  <c r="L202" i="1" s="1"/>
  <c r="J203" i="1"/>
  <c r="L203" i="1" s="1"/>
  <c r="J139" i="1"/>
  <c r="L139" i="1" s="1"/>
  <c r="J140" i="1"/>
  <c r="L140" i="1" s="1"/>
  <c r="J141" i="1"/>
  <c r="L141" i="1" s="1"/>
  <c r="J142" i="1"/>
  <c r="L142" i="1" s="1"/>
  <c r="J143" i="1"/>
  <c r="L143" i="1" s="1"/>
  <c r="J144" i="1"/>
  <c r="L144" i="1" s="1"/>
  <c r="J145" i="1"/>
  <c r="L145" i="1" s="1"/>
  <c r="J146" i="1"/>
  <c r="L146" i="1" s="1"/>
  <c r="J147" i="1"/>
  <c r="L147" i="1" s="1"/>
  <c r="J148" i="1"/>
  <c r="L148" i="1" s="1"/>
  <c r="J149" i="1"/>
  <c r="L149" i="1" s="1"/>
  <c r="J150" i="1"/>
  <c r="J151" i="1"/>
  <c r="J152" i="1"/>
  <c r="L152" i="1" s="1"/>
  <c r="J153" i="1"/>
  <c r="L153" i="1" s="1"/>
  <c r="J154" i="1"/>
  <c r="L154" i="1" s="1"/>
  <c r="J155" i="1"/>
  <c r="L155" i="1" s="1"/>
  <c r="J156" i="1"/>
  <c r="L156" i="1" s="1"/>
  <c r="J157" i="1"/>
  <c r="L157" i="1" s="1"/>
  <c r="J158" i="1"/>
  <c r="L158" i="1" s="1"/>
  <c r="J159" i="1"/>
  <c r="L159" i="1" s="1"/>
  <c r="J160" i="1"/>
  <c r="L160" i="1" s="1"/>
  <c r="J138" i="1"/>
  <c r="L138" i="1" s="1"/>
  <c r="J100" i="1"/>
  <c r="L100" i="1" s="1"/>
  <c r="J101" i="1"/>
  <c r="L101" i="1" s="1"/>
  <c r="J102" i="1"/>
  <c r="L102" i="1" s="1"/>
  <c r="J103" i="1"/>
  <c r="L103" i="1" s="1"/>
  <c r="J104" i="1"/>
  <c r="L104" i="1" s="1"/>
  <c r="J105" i="1"/>
  <c r="L105" i="1" s="1"/>
  <c r="J106" i="1"/>
  <c r="L106" i="1" s="1"/>
  <c r="J107" i="1"/>
  <c r="L107" i="1" s="1"/>
  <c r="J108" i="1"/>
  <c r="L108" i="1" s="1"/>
  <c r="J109" i="1"/>
  <c r="L109" i="1" s="1"/>
  <c r="J110" i="1"/>
  <c r="L110" i="1" s="1"/>
  <c r="J111" i="1"/>
  <c r="L111" i="1" s="1"/>
  <c r="J112" i="1"/>
  <c r="L112" i="1" s="1"/>
  <c r="J113" i="1"/>
  <c r="L113" i="1" s="1"/>
  <c r="J114" i="1"/>
  <c r="L114" i="1" s="1"/>
  <c r="J115" i="1"/>
  <c r="L115" i="1" s="1"/>
  <c r="J116" i="1"/>
  <c r="L116" i="1" s="1"/>
  <c r="J117" i="1"/>
  <c r="L117" i="1" s="1"/>
  <c r="J118" i="1"/>
  <c r="L118" i="1" s="1"/>
  <c r="J119" i="1"/>
  <c r="L119" i="1" s="1"/>
  <c r="J99" i="1"/>
  <c r="L99" i="1" s="1"/>
  <c r="L150" i="1" l="1"/>
  <c r="L29" i="1" s="1"/>
  <c r="J29" i="1"/>
  <c r="N29" i="1" s="1"/>
  <c r="L151" i="1"/>
  <c r="L30" i="1" s="1"/>
  <c r="J30" i="1"/>
  <c r="L182" i="1"/>
  <c r="L18" i="1" s="1"/>
  <c r="J18" i="1"/>
  <c r="N18" i="1" s="1"/>
  <c r="N323" i="1"/>
  <c r="L323" i="1"/>
  <c r="N182" i="1"/>
  <c r="J326" i="1"/>
  <c r="N345" i="1"/>
  <c r="N348" i="1"/>
  <c r="N360" i="1"/>
  <c r="N364" i="1"/>
  <c r="N368" i="1"/>
  <c r="N344" i="1"/>
  <c r="J371" i="1"/>
  <c r="N347" i="1"/>
  <c r="N357" i="1"/>
  <c r="N359" i="1"/>
  <c r="N361" i="1"/>
  <c r="N363" i="1"/>
  <c r="N365" i="1"/>
  <c r="N367" i="1"/>
  <c r="N369" i="1"/>
  <c r="N390" i="1"/>
  <c r="N392" i="1"/>
  <c r="N413" i="1"/>
  <c r="N433" i="1"/>
  <c r="N435" i="1"/>
  <c r="N437" i="1"/>
  <c r="N449" i="1"/>
  <c r="N451" i="1"/>
  <c r="N453" i="1"/>
  <c r="N455" i="1"/>
  <c r="N457" i="1"/>
  <c r="N358" i="1"/>
  <c r="N362" i="1"/>
  <c r="N366" i="1"/>
  <c r="N370" i="1"/>
  <c r="N389" i="1"/>
  <c r="N391" i="1"/>
  <c r="N412" i="1"/>
  <c r="N414" i="1"/>
  <c r="N434" i="1"/>
  <c r="N436" i="1"/>
  <c r="N438" i="1"/>
  <c r="N450" i="1"/>
  <c r="N452" i="1"/>
  <c r="N454" i="1"/>
  <c r="N456" i="1"/>
  <c r="N458" i="1"/>
  <c r="J120" i="1"/>
  <c r="J286" i="1"/>
  <c r="J245" i="1"/>
  <c r="J161" i="1"/>
  <c r="J204" i="1"/>
  <c r="N459" i="1" l="1"/>
  <c r="N415" i="1"/>
  <c r="N371" i="1"/>
  <c r="L415" i="1"/>
  <c r="L459" i="1"/>
  <c r="L371" i="1"/>
  <c r="N241" i="1"/>
  <c r="N242" i="1"/>
  <c r="N243" i="1"/>
  <c r="N244" i="1"/>
  <c r="N202" i="1" l="1"/>
  <c r="N203" i="1"/>
  <c r="N159" i="1"/>
  <c r="N160" i="1"/>
  <c r="L204" i="1" l="1"/>
  <c r="L326" i="1"/>
  <c r="L161" i="1"/>
  <c r="N325" i="1"/>
  <c r="N324" i="1"/>
  <c r="N322" i="1"/>
  <c r="N321" i="1"/>
  <c r="N320" i="1"/>
  <c r="N319" i="1"/>
  <c r="N318" i="1"/>
  <c r="N317" i="1"/>
  <c r="N316" i="1"/>
  <c r="N315" i="1"/>
  <c r="N314" i="1"/>
  <c r="N313" i="1"/>
  <c r="N312" i="1"/>
  <c r="N311" i="1"/>
  <c r="N310" i="1"/>
  <c r="N309" i="1"/>
  <c r="N308" i="1"/>
  <c r="N307" i="1"/>
  <c r="N306" i="1"/>
  <c r="N305" i="1"/>
  <c r="N285" i="1"/>
  <c r="N284" i="1"/>
  <c r="N283" i="1"/>
  <c r="N282" i="1"/>
  <c r="N281" i="1"/>
  <c r="N280" i="1"/>
  <c r="N279" i="1"/>
  <c r="N278" i="1"/>
  <c r="N277" i="1"/>
  <c r="N276" i="1"/>
  <c r="N275" i="1"/>
  <c r="N274" i="1"/>
  <c r="N273" i="1"/>
  <c r="N272" i="1"/>
  <c r="N271" i="1"/>
  <c r="N270" i="1"/>
  <c r="N269" i="1"/>
  <c r="N268" i="1"/>
  <c r="N267" i="1"/>
  <c r="N266" i="1"/>
  <c r="N265" i="1"/>
  <c r="L286" i="1"/>
  <c r="N240" i="1"/>
  <c r="N239" i="1"/>
  <c r="N238" i="1"/>
  <c r="N237" i="1"/>
  <c r="N236" i="1"/>
  <c r="N235" i="1"/>
  <c r="N234" i="1"/>
  <c r="N233" i="1"/>
  <c r="N232" i="1"/>
  <c r="N231" i="1"/>
  <c r="N230" i="1"/>
  <c r="N229" i="1"/>
  <c r="N228" i="1"/>
  <c r="N227" i="1"/>
  <c r="N226" i="1"/>
  <c r="N225" i="1"/>
  <c r="N224" i="1"/>
  <c r="N223" i="1"/>
  <c r="N222" i="1"/>
  <c r="L245" i="1"/>
  <c r="N201" i="1"/>
  <c r="N200" i="1"/>
  <c r="N199" i="1"/>
  <c r="N198" i="1"/>
  <c r="N197" i="1"/>
  <c r="N196" i="1"/>
  <c r="N195" i="1"/>
  <c r="N194" i="1"/>
  <c r="N193" i="1"/>
  <c r="N192" i="1"/>
  <c r="N191" i="1"/>
  <c r="N190" i="1"/>
  <c r="N189" i="1"/>
  <c r="N188" i="1"/>
  <c r="N187" i="1"/>
  <c r="N186" i="1"/>
  <c r="N185" i="1"/>
  <c r="N184" i="1"/>
  <c r="N183" i="1"/>
  <c r="N181" i="1"/>
  <c r="N180" i="1"/>
  <c r="N158" i="1"/>
  <c r="N157" i="1"/>
  <c r="N156" i="1"/>
  <c r="N155" i="1"/>
  <c r="N154" i="1"/>
  <c r="N153" i="1"/>
  <c r="N152" i="1"/>
  <c r="N151" i="1"/>
  <c r="N150" i="1"/>
  <c r="N149" i="1"/>
  <c r="N148" i="1"/>
  <c r="N147" i="1"/>
  <c r="N146" i="1"/>
  <c r="N145" i="1"/>
  <c r="N144" i="1"/>
  <c r="N143" i="1"/>
  <c r="N142" i="1"/>
  <c r="N141" i="1"/>
  <c r="N140" i="1"/>
  <c r="N139" i="1"/>
  <c r="N138" i="1"/>
  <c r="K118" i="1"/>
  <c r="N119" i="1"/>
  <c r="N118" i="1"/>
  <c r="N117" i="1"/>
  <c r="N116" i="1"/>
  <c r="N115" i="1"/>
  <c r="N114" i="1"/>
  <c r="N113" i="1"/>
  <c r="N112" i="1"/>
  <c r="N111" i="1"/>
  <c r="N110" i="1"/>
  <c r="N109" i="1"/>
  <c r="N108" i="1"/>
  <c r="N107" i="1"/>
  <c r="N106" i="1"/>
  <c r="N105" i="1"/>
  <c r="N104" i="1"/>
  <c r="N103" i="1"/>
  <c r="N102" i="1"/>
  <c r="N101" i="1"/>
  <c r="N100" i="1"/>
  <c r="N99" i="1"/>
  <c r="L120" i="1"/>
  <c r="F79" i="1"/>
  <c r="D79" i="1"/>
  <c r="H78" i="1"/>
  <c r="G78" i="1"/>
  <c r="E78" i="1"/>
  <c r="H77" i="1"/>
  <c r="G77" i="1"/>
  <c r="E77" i="1"/>
  <c r="H76" i="1"/>
  <c r="G76" i="1"/>
  <c r="E76" i="1"/>
  <c r="H75" i="1"/>
  <c r="G75" i="1"/>
  <c r="E75" i="1"/>
  <c r="H74" i="1"/>
  <c r="J74" i="1" s="1"/>
  <c r="J35" i="1" s="1"/>
  <c r="G74" i="1"/>
  <c r="E74" i="1"/>
  <c r="H73" i="1"/>
  <c r="J73" i="1" s="1"/>
  <c r="J34" i="1" s="1"/>
  <c r="G73" i="1"/>
  <c r="E73" i="1"/>
  <c r="H72" i="1"/>
  <c r="J72" i="1" s="1"/>
  <c r="J33" i="1" s="1"/>
  <c r="G72" i="1"/>
  <c r="E72" i="1"/>
  <c r="H71" i="1"/>
  <c r="J71" i="1" s="1"/>
  <c r="J32" i="1" s="1"/>
  <c r="G71" i="1"/>
  <c r="E71" i="1"/>
  <c r="H70" i="1"/>
  <c r="J70" i="1" s="1"/>
  <c r="J31" i="1" s="1"/>
  <c r="G70" i="1"/>
  <c r="E70" i="1"/>
  <c r="H69" i="1"/>
  <c r="J69" i="1" s="1"/>
  <c r="J28" i="1" s="1"/>
  <c r="G69" i="1"/>
  <c r="E69" i="1"/>
  <c r="H68" i="1"/>
  <c r="J68" i="1" s="1"/>
  <c r="J27" i="1" s="1"/>
  <c r="G68" i="1"/>
  <c r="E68" i="1"/>
  <c r="H67" i="1"/>
  <c r="J67" i="1" s="1"/>
  <c r="J26" i="1" s="1"/>
  <c r="G67" i="1"/>
  <c r="E67" i="1"/>
  <c r="H66" i="1"/>
  <c r="K66" i="1" s="1"/>
  <c r="G66" i="1"/>
  <c r="E66" i="1"/>
  <c r="H65" i="1"/>
  <c r="J65" i="1" s="1"/>
  <c r="J24" i="1" s="1"/>
  <c r="G65" i="1"/>
  <c r="E65" i="1"/>
  <c r="H64" i="1"/>
  <c r="G64" i="1"/>
  <c r="E64" i="1"/>
  <c r="H63" i="1"/>
  <c r="G63" i="1"/>
  <c r="E63" i="1"/>
  <c r="H62" i="1"/>
  <c r="G62" i="1"/>
  <c r="E62" i="1"/>
  <c r="H61" i="1"/>
  <c r="G61" i="1"/>
  <c r="E61" i="1"/>
  <c r="H60" i="1"/>
  <c r="G60" i="1"/>
  <c r="E60" i="1"/>
  <c r="H59" i="1"/>
  <c r="G59" i="1"/>
  <c r="E59" i="1"/>
  <c r="H58" i="1"/>
  <c r="G58" i="1"/>
  <c r="E58" i="1"/>
  <c r="K72" i="1" l="1"/>
  <c r="N24" i="1"/>
  <c r="L65" i="1"/>
  <c r="L24" i="1" s="1"/>
  <c r="N28" i="1"/>
  <c r="L69" i="1"/>
  <c r="L28" i="1" s="1"/>
  <c r="N31" i="1"/>
  <c r="L70" i="1"/>
  <c r="L31" i="1" s="1"/>
  <c r="N35" i="1"/>
  <c r="L74" i="1"/>
  <c r="L35" i="1" s="1"/>
  <c r="N26" i="1"/>
  <c r="L67" i="1"/>
  <c r="L26" i="1" s="1"/>
  <c r="N32" i="1"/>
  <c r="L71" i="1"/>
  <c r="L32" i="1" s="1"/>
  <c r="N27" i="1"/>
  <c r="L68" i="1"/>
  <c r="L27" i="1" s="1"/>
  <c r="N33" i="1"/>
  <c r="L72" i="1"/>
  <c r="L33" i="1" s="1"/>
  <c r="N34" i="1"/>
  <c r="L73" i="1"/>
  <c r="L34" i="1" s="1"/>
  <c r="J58" i="1"/>
  <c r="J16" i="1" s="1"/>
  <c r="K58" i="1"/>
  <c r="J62" i="1"/>
  <c r="J21" i="1" s="1"/>
  <c r="K62" i="1"/>
  <c r="J66" i="1"/>
  <c r="J25" i="1" s="1"/>
  <c r="J61" i="1"/>
  <c r="K61" i="1"/>
  <c r="J77" i="1"/>
  <c r="K77" i="1"/>
  <c r="J60" i="1"/>
  <c r="J19" i="1" s="1"/>
  <c r="K60" i="1"/>
  <c r="J64" i="1"/>
  <c r="K64" i="1"/>
  <c r="J76" i="1"/>
  <c r="J37" i="1" s="1"/>
  <c r="K76" i="1"/>
  <c r="N326" i="1"/>
  <c r="J78" i="1"/>
  <c r="J39" i="1" s="1"/>
  <c r="K78" i="1"/>
  <c r="J59" i="1"/>
  <c r="J17" i="1" s="1"/>
  <c r="K59" i="1"/>
  <c r="J63" i="1"/>
  <c r="J22" i="1" s="1"/>
  <c r="K63" i="1"/>
  <c r="J75" i="1"/>
  <c r="J36" i="1" s="1"/>
  <c r="K75" i="1"/>
  <c r="N204" i="1"/>
  <c r="N161" i="1"/>
  <c r="K69" i="1"/>
  <c r="K74" i="1"/>
  <c r="K65" i="1"/>
  <c r="K67" i="1"/>
  <c r="K68" i="1"/>
  <c r="K73" i="1"/>
  <c r="K70" i="1"/>
  <c r="K71" i="1"/>
  <c r="K324" i="1"/>
  <c r="K320" i="1"/>
  <c r="K316" i="1"/>
  <c r="K312" i="1"/>
  <c r="K308" i="1"/>
  <c r="K325" i="1"/>
  <c r="K321" i="1"/>
  <c r="K317" i="1"/>
  <c r="K313" i="1"/>
  <c r="K309" i="1"/>
  <c r="K305" i="1"/>
  <c r="K322" i="1"/>
  <c r="K318" i="1"/>
  <c r="K314" i="1"/>
  <c r="K310" i="1"/>
  <c r="K306" i="1"/>
  <c r="K323" i="1"/>
  <c r="K319" i="1"/>
  <c r="K315" i="1"/>
  <c r="K311" i="1"/>
  <c r="K307" i="1"/>
  <c r="K109" i="1"/>
  <c r="K104" i="1"/>
  <c r="K103" i="1"/>
  <c r="K119" i="1"/>
  <c r="K114" i="1"/>
  <c r="K105" i="1"/>
  <c r="K100" i="1"/>
  <c r="K116" i="1"/>
  <c r="K115" i="1"/>
  <c r="K110" i="1"/>
  <c r="K101" i="1"/>
  <c r="K117" i="1"/>
  <c r="K112" i="1"/>
  <c r="K111" i="1"/>
  <c r="K106" i="1"/>
  <c r="K281" i="1"/>
  <c r="K277" i="1"/>
  <c r="K273" i="1"/>
  <c r="K269" i="1"/>
  <c r="K265" i="1"/>
  <c r="K282" i="1"/>
  <c r="K278" i="1"/>
  <c r="K274" i="1"/>
  <c r="K270" i="1"/>
  <c r="K266" i="1"/>
  <c r="K283" i="1"/>
  <c r="K279" i="1"/>
  <c r="K275" i="1"/>
  <c r="K271" i="1"/>
  <c r="K267" i="1"/>
  <c r="K284" i="1"/>
  <c r="K280" i="1"/>
  <c r="K276" i="1"/>
  <c r="K272" i="1"/>
  <c r="K268" i="1"/>
  <c r="K285" i="1"/>
  <c r="K99" i="1"/>
  <c r="K113" i="1"/>
  <c r="K108" i="1"/>
  <c r="K107" i="1"/>
  <c r="K102" i="1"/>
  <c r="K159" i="1"/>
  <c r="K155" i="1"/>
  <c r="K149" i="1"/>
  <c r="K145" i="1"/>
  <c r="K139" i="1"/>
  <c r="K158" i="1"/>
  <c r="K156" i="1"/>
  <c r="K154" i="1"/>
  <c r="K152" i="1"/>
  <c r="K150" i="1"/>
  <c r="K29" i="1" s="1"/>
  <c r="K148" i="1"/>
  <c r="K146" i="1"/>
  <c r="K144" i="1"/>
  <c r="K142" i="1"/>
  <c r="K140" i="1"/>
  <c r="K138" i="1"/>
  <c r="K157" i="1"/>
  <c r="K153" i="1"/>
  <c r="K151" i="1"/>
  <c r="K30" i="1" s="1"/>
  <c r="K147" i="1"/>
  <c r="K143" i="1"/>
  <c r="K141" i="1"/>
  <c r="K160" i="1"/>
  <c r="I60" i="1"/>
  <c r="I62" i="1"/>
  <c r="I64" i="1"/>
  <c r="I66" i="1"/>
  <c r="I68" i="1"/>
  <c r="N286" i="1"/>
  <c r="I70" i="1"/>
  <c r="I72" i="1"/>
  <c r="I74" i="1"/>
  <c r="I76" i="1"/>
  <c r="I78" i="1"/>
  <c r="I58" i="1"/>
  <c r="H79" i="1"/>
  <c r="I59" i="1"/>
  <c r="I61" i="1"/>
  <c r="I63" i="1"/>
  <c r="I65" i="1"/>
  <c r="I67" i="1"/>
  <c r="I69" i="1"/>
  <c r="I71" i="1"/>
  <c r="I73" i="1"/>
  <c r="I75" i="1"/>
  <c r="I77" i="1"/>
  <c r="N120" i="1"/>
  <c r="N245" i="1"/>
  <c r="N63" i="1"/>
  <c r="N65" i="1"/>
  <c r="N67" i="1"/>
  <c r="N69" i="1"/>
  <c r="N71" i="1"/>
  <c r="N73" i="1"/>
  <c r="E79" i="1"/>
  <c r="G79" i="1"/>
  <c r="K25" i="1" l="1"/>
  <c r="K27" i="1"/>
  <c r="K19" i="1"/>
  <c r="K32" i="1"/>
  <c r="K26" i="1"/>
  <c r="K16" i="1"/>
  <c r="K31" i="1"/>
  <c r="K24" i="1"/>
  <c r="K34" i="1"/>
  <c r="K35" i="1"/>
  <c r="K36" i="1"/>
  <c r="K17" i="1"/>
  <c r="L64" i="1"/>
  <c r="L23" i="1" s="1"/>
  <c r="J23" i="1"/>
  <c r="N23" i="1" s="1"/>
  <c r="N77" i="1"/>
  <c r="J38" i="1"/>
  <c r="N38" i="1" s="1"/>
  <c r="K21" i="1"/>
  <c r="K37" i="1"/>
  <c r="K20" i="1"/>
  <c r="N61" i="1"/>
  <c r="J20" i="1"/>
  <c r="N20" i="1" s="1"/>
  <c r="K33" i="1"/>
  <c r="K28" i="1"/>
  <c r="K22" i="1"/>
  <c r="K39" i="1"/>
  <c r="K23" i="1"/>
  <c r="K38" i="1"/>
  <c r="N22" i="1"/>
  <c r="L63" i="1"/>
  <c r="L22" i="1" s="1"/>
  <c r="N39" i="1"/>
  <c r="L78" i="1"/>
  <c r="L39" i="1" s="1"/>
  <c r="N25" i="1"/>
  <c r="L66" i="1"/>
  <c r="L25" i="1" s="1"/>
  <c r="N16" i="1"/>
  <c r="L58" i="1"/>
  <c r="L16" i="1" s="1"/>
  <c r="N36" i="1"/>
  <c r="L75" i="1"/>
  <c r="L36" i="1" s="1"/>
  <c r="L59" i="1"/>
  <c r="L17" i="1" s="1"/>
  <c r="N21" i="1"/>
  <c r="L62" i="1"/>
  <c r="L21" i="1" s="1"/>
  <c r="L77" i="1"/>
  <c r="L38" i="1" s="1"/>
  <c r="N37" i="1"/>
  <c r="L76" i="1"/>
  <c r="L37" i="1" s="1"/>
  <c r="N19" i="1"/>
  <c r="L60" i="1"/>
  <c r="L19" i="1" s="1"/>
  <c r="L61" i="1"/>
  <c r="L20" i="1" s="1"/>
  <c r="N30" i="1"/>
  <c r="N59" i="1"/>
  <c r="K79" i="1"/>
  <c r="J79" i="1"/>
  <c r="K326" i="1"/>
  <c r="N17" i="1"/>
  <c r="N75" i="1"/>
  <c r="N64" i="1"/>
  <c r="K161" i="1"/>
  <c r="K204" i="1"/>
  <c r="I79" i="1"/>
  <c r="K245" i="1"/>
  <c r="K286" i="1"/>
  <c r="K120" i="1"/>
  <c r="N78" i="1"/>
  <c r="N74" i="1"/>
  <c r="N66" i="1"/>
  <c r="N62" i="1"/>
  <c r="N58" i="1"/>
  <c r="N76" i="1"/>
  <c r="N72" i="1"/>
  <c r="N68" i="1"/>
  <c r="N60" i="1"/>
  <c r="N70" i="1"/>
  <c r="N43" i="1" l="1"/>
  <c r="J43" i="1"/>
  <c r="K43" i="1"/>
  <c r="N79" i="1"/>
  <c r="L79" i="1"/>
  <c r="L43" i="1" l="1"/>
  <c r="C58" i="1"/>
  <c r="C59" i="1"/>
  <c r="C60" i="1"/>
  <c r="C61" i="1"/>
  <c r="C62" i="1"/>
  <c r="C63" i="1"/>
  <c r="C64" i="1"/>
  <c r="C65" i="1"/>
  <c r="C66" i="1"/>
  <c r="C67" i="1"/>
  <c r="C68" i="1"/>
  <c r="C69" i="1"/>
  <c r="C70" i="1"/>
  <c r="C71" i="1"/>
  <c r="C72" i="1"/>
  <c r="C73" i="1"/>
  <c r="C74" i="1"/>
  <c r="C75" i="1"/>
  <c r="C76" i="1"/>
  <c r="C77" i="1"/>
  <c r="C78" i="1"/>
  <c r="M344" i="1" l="1"/>
  <c r="O344" i="1" s="1"/>
  <c r="P344" i="1" s="1"/>
  <c r="M502" i="1"/>
  <c r="O502" i="1" s="1"/>
  <c r="P502" i="1" s="1"/>
  <c r="M500" i="1"/>
  <c r="O500" i="1" s="1"/>
  <c r="P500" i="1" s="1"/>
  <c r="M498" i="1"/>
  <c r="O498" i="1" s="1"/>
  <c r="P498" i="1" s="1"/>
  <c r="E130" i="7" s="1"/>
  <c r="M496" i="1"/>
  <c r="O496" i="1" s="1"/>
  <c r="P496" i="1" s="1"/>
  <c r="M494" i="1"/>
  <c r="O494" i="1" s="1"/>
  <c r="P494" i="1" s="1"/>
  <c r="F130" i="7" s="1"/>
  <c r="M492" i="1"/>
  <c r="O492" i="1" s="1"/>
  <c r="P492" i="1" s="1"/>
  <c r="M490" i="1"/>
  <c r="O490" i="1" s="1"/>
  <c r="P490" i="1" s="1"/>
  <c r="M488" i="1"/>
  <c r="O488" i="1" s="1"/>
  <c r="P488" i="1" s="1"/>
  <c r="M486" i="1"/>
  <c r="O486" i="1" s="1"/>
  <c r="P486" i="1" s="1"/>
  <c r="M484" i="1"/>
  <c r="O484" i="1" s="1"/>
  <c r="P484" i="1" s="1"/>
  <c r="M482" i="1"/>
  <c r="O482" i="1" s="1"/>
  <c r="P482" i="1" s="1"/>
  <c r="M480" i="1"/>
  <c r="O480" i="1" s="1"/>
  <c r="P480" i="1" s="1"/>
  <c r="M478" i="1"/>
  <c r="O478" i="1" s="1"/>
  <c r="P478" i="1" s="1"/>
  <c r="M501" i="1"/>
  <c r="O501" i="1" s="1"/>
  <c r="P501" i="1" s="1"/>
  <c r="M499" i="1"/>
  <c r="O499" i="1" s="1"/>
  <c r="P499" i="1" s="1"/>
  <c r="M497" i="1"/>
  <c r="O497" i="1" s="1"/>
  <c r="P497" i="1" s="1"/>
  <c r="C130" i="7" s="1"/>
  <c r="M493" i="1"/>
  <c r="O493" i="1" s="1"/>
  <c r="P493" i="1" s="1"/>
  <c r="M483" i="1"/>
  <c r="O483" i="1" s="1"/>
  <c r="P483" i="1" s="1"/>
  <c r="M495" i="1"/>
  <c r="O495" i="1" s="1"/>
  <c r="P495" i="1" s="1"/>
  <c r="D130" i="7" s="1"/>
  <c r="M491" i="1"/>
  <c r="O491" i="1" s="1"/>
  <c r="P491" i="1" s="1"/>
  <c r="M489" i="1"/>
  <c r="O489" i="1" s="1"/>
  <c r="P489" i="1" s="1"/>
  <c r="M487" i="1"/>
  <c r="O487" i="1" s="1"/>
  <c r="P487" i="1" s="1"/>
  <c r="M485" i="1"/>
  <c r="O485" i="1" s="1"/>
  <c r="P485" i="1" s="1"/>
  <c r="M481" i="1"/>
  <c r="O481" i="1" s="1"/>
  <c r="P481" i="1" s="1"/>
  <c r="M479" i="1"/>
  <c r="O479" i="1" s="1"/>
  <c r="P479" i="1" s="1"/>
  <c r="M477" i="1"/>
  <c r="M444" i="1"/>
  <c r="O444" i="1" s="1"/>
  <c r="P444" i="1" s="1"/>
  <c r="M370" i="1"/>
  <c r="M409" i="1"/>
  <c r="O409" i="1" s="1"/>
  <c r="P409" i="1" s="1"/>
  <c r="M393" i="1"/>
  <c r="O393" i="1" s="1"/>
  <c r="P393" i="1" s="1"/>
  <c r="M405" i="1"/>
  <c r="O405" i="1" s="1"/>
  <c r="P405" i="1" s="1"/>
  <c r="M282" i="1"/>
  <c r="O282" i="1" s="1"/>
  <c r="P282" i="1" s="1"/>
  <c r="M348" i="1"/>
  <c r="O348" i="1" s="1"/>
  <c r="P348" i="1" s="1"/>
  <c r="M447" i="1"/>
  <c r="O447" i="1" s="1"/>
  <c r="P447" i="1" s="1"/>
  <c r="M363" i="1"/>
  <c r="O363" i="1" s="1"/>
  <c r="P363" i="1" s="1"/>
  <c r="M99" i="1"/>
  <c r="M100" i="1"/>
  <c r="O100" i="1" s="1"/>
  <c r="P100" i="1" s="1"/>
  <c r="M359" i="1"/>
  <c r="O359" i="1" s="1"/>
  <c r="P359" i="1" s="1"/>
  <c r="M445" i="1"/>
  <c r="O445" i="1" s="1"/>
  <c r="P445" i="1" s="1"/>
  <c r="M355" i="1"/>
  <c r="O355" i="1" s="1"/>
  <c r="P355" i="1" s="1"/>
  <c r="M438" i="1"/>
  <c r="O438" i="1" s="1"/>
  <c r="P438" i="1" s="1"/>
  <c r="M311" i="1"/>
  <c r="O311" i="1" s="1"/>
  <c r="P311" i="1" s="1"/>
  <c r="M194" i="1"/>
  <c r="O194" i="1" s="1"/>
  <c r="P194" i="1" s="1"/>
  <c r="M413" i="1"/>
  <c r="O413" i="1" s="1"/>
  <c r="P413" i="1" s="1"/>
  <c r="M309" i="1"/>
  <c r="O309" i="1" s="1"/>
  <c r="P309" i="1" s="1"/>
  <c r="M306" i="1"/>
  <c r="O306" i="1" s="1"/>
  <c r="P306" i="1" s="1"/>
  <c r="M69" i="1"/>
  <c r="M273" i="1"/>
  <c r="O273" i="1" s="1"/>
  <c r="P273" i="1" s="1"/>
  <c r="M241" i="1"/>
  <c r="O241" i="1" s="1"/>
  <c r="P241" i="1" s="1"/>
  <c r="M364" i="1"/>
  <c r="O364" i="1" s="1"/>
  <c r="P364" i="1" s="1"/>
  <c r="M455" i="1"/>
  <c r="O455" i="1" s="1"/>
  <c r="P455" i="1" s="1"/>
  <c r="M361" i="1"/>
  <c r="O361" i="1" s="1"/>
  <c r="P361" i="1" s="1"/>
  <c r="M399" i="1"/>
  <c r="O399" i="1" s="1"/>
  <c r="P399" i="1" s="1"/>
  <c r="M102" i="1"/>
  <c r="O102" i="1" s="1"/>
  <c r="P102" i="1" s="1"/>
  <c r="M401" i="1"/>
  <c r="O401" i="1" s="1"/>
  <c r="P401" i="1" s="1"/>
  <c r="M397" i="1"/>
  <c r="O397" i="1" s="1"/>
  <c r="P397" i="1" s="1"/>
  <c r="M449" i="1"/>
  <c r="O449" i="1" s="1"/>
  <c r="P449" i="1" s="1"/>
  <c r="M391" i="1"/>
  <c r="O391" i="1" s="1"/>
  <c r="P391" i="1" s="1"/>
  <c r="M160" i="1"/>
  <c r="O160" i="1" s="1"/>
  <c r="P160" i="1" s="1"/>
  <c r="M394" i="1"/>
  <c r="O394" i="1" s="1"/>
  <c r="P394" i="1" s="1"/>
  <c r="M369" i="1"/>
  <c r="M323" i="1"/>
  <c r="O323" i="1" s="1"/>
  <c r="P323" i="1" s="1"/>
  <c r="M441" i="1"/>
  <c r="O441" i="1" s="1"/>
  <c r="P441" i="1" s="1"/>
  <c r="M62" i="1"/>
  <c r="M351" i="1"/>
  <c r="O351" i="1" s="1"/>
  <c r="P351" i="1" s="1"/>
  <c r="M392" i="1"/>
  <c r="O392" i="1" s="1"/>
  <c r="P392" i="1" s="1"/>
  <c r="M114" i="1"/>
  <c r="O114" i="1" s="1"/>
  <c r="P114" i="1" s="1"/>
  <c r="M186" i="1"/>
  <c r="O186" i="1" s="1"/>
  <c r="P186" i="1" s="1"/>
  <c r="M442" i="1"/>
  <c r="O442" i="1" s="1"/>
  <c r="P442" i="1" s="1"/>
  <c r="M350" i="1"/>
  <c r="O350" i="1" s="1"/>
  <c r="P350" i="1" s="1"/>
  <c r="M274" i="1"/>
  <c r="O274" i="1" s="1"/>
  <c r="P274" i="1" s="1"/>
  <c r="M316" i="1"/>
  <c r="O316" i="1" s="1"/>
  <c r="P316" i="1" s="1"/>
  <c r="M196" i="1"/>
  <c r="O196" i="1" s="1"/>
  <c r="P196" i="1" s="1"/>
  <c r="M242" i="1"/>
  <c r="O242" i="1" s="1"/>
  <c r="P242" i="1" s="1"/>
  <c r="M59" i="1"/>
  <c r="M76" i="1"/>
  <c r="M403" i="1"/>
  <c r="O403" i="1" s="1"/>
  <c r="P403" i="1" s="1"/>
  <c r="M356" i="1"/>
  <c r="O356" i="1" s="1"/>
  <c r="P356" i="1" s="1"/>
  <c r="M345" i="1"/>
  <c r="O345" i="1" s="1"/>
  <c r="P345" i="1" s="1"/>
  <c r="M143" i="1"/>
  <c r="O143" i="1" s="1"/>
  <c r="P143" i="1" s="1"/>
  <c r="M157" i="1"/>
  <c r="O157" i="1" s="1"/>
  <c r="P157" i="1" s="1"/>
  <c r="M117" i="1"/>
  <c r="O117" i="1" s="1"/>
  <c r="M398" i="1"/>
  <c r="O398" i="1" s="1"/>
  <c r="P398" i="1" s="1"/>
  <c r="M158" i="1"/>
  <c r="O158" i="1" s="1"/>
  <c r="P158" i="1" s="1"/>
  <c r="M456" i="1"/>
  <c r="O456" i="1" s="1"/>
  <c r="P456" i="1" s="1"/>
  <c r="M202" i="1"/>
  <c r="O202" i="1" s="1"/>
  <c r="P202" i="1" s="1"/>
  <c r="M184" i="1"/>
  <c r="O184" i="1" s="1"/>
  <c r="P184" i="1" s="1"/>
  <c r="M65" i="1"/>
  <c r="M222" i="1"/>
  <c r="M446" i="1"/>
  <c r="O446" i="1" s="1"/>
  <c r="P446" i="1" s="1"/>
  <c r="M365" i="1"/>
  <c r="O365" i="1" s="1"/>
  <c r="P365" i="1" s="1"/>
  <c r="M238" i="1"/>
  <c r="O238" i="1" s="1"/>
  <c r="P238" i="1" s="1"/>
  <c r="M368" i="1"/>
  <c r="M305" i="1"/>
  <c r="M280" i="1"/>
  <c r="O280" i="1" s="1"/>
  <c r="P280" i="1" s="1"/>
  <c r="M223" i="1"/>
  <c r="O223" i="1" s="1"/>
  <c r="P223" i="1" s="1"/>
  <c r="M198" i="1"/>
  <c r="O198" i="1" s="1"/>
  <c r="P198" i="1" s="1"/>
  <c r="M147" i="1"/>
  <c r="O147" i="1" s="1"/>
  <c r="P147" i="1" s="1"/>
  <c r="M267" i="1"/>
  <c r="O267" i="1" s="1"/>
  <c r="P267" i="1" s="1"/>
  <c r="M434" i="1"/>
  <c r="O434" i="1" s="1"/>
  <c r="P434" i="1" s="1"/>
  <c r="M68" i="1"/>
  <c r="M109" i="1"/>
  <c r="O109" i="1" s="1"/>
  <c r="P109" i="1" s="1"/>
  <c r="M60" i="1"/>
  <c r="M113" i="1"/>
  <c r="O113" i="1" s="1"/>
  <c r="P113" i="1" s="1"/>
  <c r="M150" i="1"/>
  <c r="M191" i="1"/>
  <c r="O191" i="1" s="1"/>
  <c r="P191" i="1" s="1"/>
  <c r="M230" i="1"/>
  <c r="O230" i="1" s="1"/>
  <c r="P230" i="1" s="1"/>
  <c r="M277" i="1"/>
  <c r="O277" i="1" s="1"/>
  <c r="P277" i="1" s="1"/>
  <c r="M228" i="1"/>
  <c r="O228" i="1" s="1"/>
  <c r="P228" i="1" s="1"/>
  <c r="M71" i="1"/>
  <c r="M354" i="1"/>
  <c r="O354" i="1" s="1"/>
  <c r="P354" i="1" s="1"/>
  <c r="M451" i="1"/>
  <c r="O451" i="1" s="1"/>
  <c r="P451" i="1" s="1"/>
  <c r="M325" i="1"/>
  <c r="O325" i="1" s="1"/>
  <c r="P325" i="1" s="1"/>
  <c r="M78" i="1"/>
  <c r="M321" i="1"/>
  <c r="O321" i="1" s="1"/>
  <c r="P321" i="1" s="1"/>
  <c r="M70" i="1"/>
  <c r="M404" i="1"/>
  <c r="O404" i="1" s="1"/>
  <c r="P404" i="1" s="1"/>
  <c r="M347" i="1"/>
  <c r="O347" i="1" s="1"/>
  <c r="P347" i="1" s="1"/>
  <c r="M436" i="1"/>
  <c r="O436" i="1" s="1"/>
  <c r="P436" i="1" s="1"/>
  <c r="M225" i="1"/>
  <c r="O225" i="1" s="1"/>
  <c r="P225" i="1" s="1"/>
  <c r="M315" i="1"/>
  <c r="O315" i="1" s="1"/>
  <c r="P315" i="1" s="1"/>
  <c r="M406" i="1"/>
  <c r="O406" i="1" s="1"/>
  <c r="P406" i="1" s="1"/>
  <c r="M433" i="1"/>
  <c r="O433" i="1" s="1"/>
  <c r="M144" i="1"/>
  <c r="O144" i="1" s="1"/>
  <c r="P144" i="1" s="1"/>
  <c r="M440" i="1"/>
  <c r="O440" i="1" s="1"/>
  <c r="P440" i="1" s="1"/>
  <c r="M233" i="1"/>
  <c r="O233" i="1" s="1"/>
  <c r="P233" i="1" s="1"/>
  <c r="M319" i="1"/>
  <c r="O319" i="1" s="1"/>
  <c r="P319" i="1" s="1"/>
  <c r="M201" i="1"/>
  <c r="O201" i="1" s="1"/>
  <c r="P201" i="1" s="1"/>
  <c r="M279" i="1"/>
  <c r="O279" i="1" s="1"/>
  <c r="P279" i="1" s="1"/>
  <c r="M154" i="1"/>
  <c r="O154" i="1" s="1"/>
  <c r="P154" i="1" s="1"/>
  <c r="M414" i="1"/>
  <c r="O414" i="1" s="1"/>
  <c r="P414" i="1" s="1"/>
  <c r="M308" i="1"/>
  <c r="O308" i="1" s="1"/>
  <c r="P308" i="1" s="1"/>
  <c r="M141" i="1"/>
  <c r="O141" i="1" s="1"/>
  <c r="P141" i="1" s="1"/>
  <c r="M156" i="1"/>
  <c r="O156" i="1" s="1"/>
  <c r="P156" i="1" s="1"/>
  <c r="M74" i="1"/>
  <c r="M285" i="1"/>
  <c r="O285" i="1" s="1"/>
  <c r="P285" i="1" s="1"/>
  <c r="M61" i="1"/>
  <c r="M366" i="1"/>
  <c r="O366" i="1" s="1"/>
  <c r="P366" i="1" s="1"/>
  <c r="M67" i="1"/>
  <c r="M229" i="1"/>
  <c r="O229" i="1" s="1"/>
  <c r="P229" i="1" s="1"/>
  <c r="M231" i="1"/>
  <c r="O231" i="1" s="1"/>
  <c r="P231" i="1" s="1"/>
  <c r="M63" i="1"/>
  <c r="M111" i="1"/>
  <c r="O111" i="1" s="1"/>
  <c r="P111" i="1" s="1"/>
  <c r="M197" i="1"/>
  <c r="O197" i="1" s="1"/>
  <c r="P197" i="1" s="1"/>
  <c r="M187" i="1"/>
  <c r="O187" i="1" s="1"/>
  <c r="P187" i="1" s="1"/>
  <c r="M353" i="1"/>
  <c r="O353" i="1" s="1"/>
  <c r="P353" i="1" s="1"/>
  <c r="M458" i="1"/>
  <c r="O458" i="1" s="1"/>
  <c r="P458" i="1" s="1"/>
  <c r="M272" i="1"/>
  <c r="O272" i="1" s="1"/>
  <c r="P272" i="1" s="1"/>
  <c r="M181" i="1"/>
  <c r="O181" i="1" s="1"/>
  <c r="P181" i="1" s="1"/>
  <c r="M188" i="1"/>
  <c r="O188" i="1" s="1"/>
  <c r="P188" i="1" s="1"/>
  <c r="M312" i="1"/>
  <c r="O312" i="1" s="1"/>
  <c r="P312" i="1" s="1"/>
  <c r="M240" i="1"/>
  <c r="O240" i="1" s="1"/>
  <c r="P240" i="1" s="1"/>
  <c r="M199" i="1"/>
  <c r="O199" i="1" s="1"/>
  <c r="P199" i="1" s="1"/>
  <c r="M148" i="1"/>
  <c r="O148" i="1" s="1"/>
  <c r="P148" i="1" s="1"/>
  <c r="M244" i="1"/>
  <c r="O244" i="1" s="1"/>
  <c r="P244" i="1" s="1"/>
  <c r="M153" i="1"/>
  <c r="O153" i="1" s="1"/>
  <c r="P153" i="1" s="1"/>
  <c r="M439" i="1"/>
  <c r="O439" i="1" s="1"/>
  <c r="P439" i="1" s="1"/>
  <c r="M362" i="1"/>
  <c r="O362" i="1" s="1"/>
  <c r="P362" i="1" s="1"/>
  <c r="M310" i="1"/>
  <c r="O310" i="1" s="1"/>
  <c r="P310" i="1" s="1"/>
  <c r="M192" i="1"/>
  <c r="O192" i="1" s="1"/>
  <c r="P192" i="1" s="1"/>
  <c r="M270" i="1"/>
  <c r="O270" i="1" s="1"/>
  <c r="P270" i="1" s="1"/>
  <c r="M139" i="1"/>
  <c r="O139" i="1" s="1"/>
  <c r="P139" i="1" s="1"/>
  <c r="M227" i="1"/>
  <c r="O227" i="1" s="1"/>
  <c r="P227" i="1" s="1"/>
  <c r="M64" i="1"/>
  <c r="M268" i="1"/>
  <c r="O268" i="1" s="1"/>
  <c r="P268" i="1" s="1"/>
  <c r="M283" i="1"/>
  <c r="O283" i="1" s="1"/>
  <c r="P283" i="1" s="1"/>
  <c r="M72" i="1"/>
  <c r="M408" i="1"/>
  <c r="O408" i="1" s="1"/>
  <c r="P408" i="1" s="1"/>
  <c r="M453" i="1"/>
  <c r="O453" i="1" s="1"/>
  <c r="P453" i="1" s="1"/>
  <c r="M266" i="1"/>
  <c r="O266" i="1" s="1"/>
  <c r="P266" i="1" s="1"/>
  <c r="M151" i="1"/>
  <c r="M104" i="1"/>
  <c r="O104" i="1" s="1"/>
  <c r="P104" i="1" s="1"/>
  <c r="M119" i="1"/>
  <c r="O119" i="1" s="1"/>
  <c r="P119" i="1" s="1"/>
  <c r="M314" i="1"/>
  <c r="O314" i="1" s="1"/>
  <c r="P314" i="1" s="1"/>
  <c r="M276" i="1"/>
  <c r="O276" i="1" s="1"/>
  <c r="P276" i="1" s="1"/>
  <c r="M195" i="1"/>
  <c r="O195" i="1" s="1"/>
  <c r="P195" i="1" s="1"/>
  <c r="M448" i="1"/>
  <c r="O448" i="1" s="1"/>
  <c r="P448" i="1" s="1"/>
  <c r="M443" i="1"/>
  <c r="O443" i="1" s="1"/>
  <c r="P443" i="1" s="1"/>
  <c r="M182" i="1"/>
  <c r="M346" i="1"/>
  <c r="O346" i="1" s="1"/>
  <c r="P346" i="1" s="1"/>
  <c r="M232" i="1"/>
  <c r="O232" i="1" s="1"/>
  <c r="P232" i="1" s="1"/>
  <c r="M367" i="1"/>
  <c r="O367" i="1" s="1"/>
  <c r="P367" i="1" s="1"/>
  <c r="M105" i="1"/>
  <c r="O105" i="1" s="1"/>
  <c r="P105" i="1" s="1"/>
  <c r="M140" i="1"/>
  <c r="O140" i="1" s="1"/>
  <c r="P140" i="1" s="1"/>
  <c r="M410" i="1"/>
  <c r="O410" i="1" s="1"/>
  <c r="P410" i="1" s="1"/>
  <c r="M452" i="1"/>
  <c r="O452" i="1" s="1"/>
  <c r="P452" i="1" s="1"/>
  <c r="M281" i="1"/>
  <c r="O281" i="1" s="1"/>
  <c r="P281" i="1" s="1"/>
  <c r="M307" i="1"/>
  <c r="O307" i="1" s="1"/>
  <c r="P307" i="1" s="1"/>
  <c r="M400" i="1"/>
  <c r="O400" i="1" s="1"/>
  <c r="P400" i="1" s="1"/>
  <c r="M108" i="1"/>
  <c r="O108" i="1" s="1"/>
  <c r="P108" i="1" s="1"/>
  <c r="M138" i="1"/>
  <c r="M411" i="1"/>
  <c r="O411" i="1" s="1"/>
  <c r="P411" i="1" s="1"/>
  <c r="M234" i="1"/>
  <c r="O234" i="1" s="1"/>
  <c r="P234" i="1" s="1"/>
  <c r="M183" i="1"/>
  <c r="O183" i="1" s="1"/>
  <c r="M357" i="1"/>
  <c r="O357" i="1" s="1"/>
  <c r="P357" i="1" s="1"/>
  <c r="M278" i="1"/>
  <c r="O278" i="1" s="1"/>
  <c r="P278" i="1" s="1"/>
  <c r="M66" i="1"/>
  <c r="M236" i="1"/>
  <c r="O236" i="1" s="1"/>
  <c r="P236" i="1" s="1"/>
  <c r="M390" i="1"/>
  <c r="O390" i="1" s="1"/>
  <c r="P390" i="1" s="1"/>
  <c r="M358" i="1"/>
  <c r="O358" i="1" s="1"/>
  <c r="P358" i="1" s="1"/>
  <c r="M412" i="1"/>
  <c r="O412" i="1" s="1"/>
  <c r="P412" i="1" s="1"/>
  <c r="M200" i="1"/>
  <c r="O200" i="1" s="1"/>
  <c r="P200" i="1" s="1"/>
  <c r="M320" i="1"/>
  <c r="O320" i="1" s="1"/>
  <c r="P320" i="1" s="1"/>
  <c r="M118" i="1"/>
  <c r="O118" i="1" s="1"/>
  <c r="P118" i="1" s="1"/>
  <c r="M101" i="1"/>
  <c r="O101" i="1" s="1"/>
  <c r="P101" i="1" s="1"/>
  <c r="M115" i="1"/>
  <c r="O115" i="1" s="1"/>
  <c r="P115" i="1" s="1"/>
  <c r="M352" i="1"/>
  <c r="O352" i="1" s="1"/>
  <c r="P352" i="1" s="1"/>
  <c r="M75" i="1"/>
  <c r="M180" i="1"/>
  <c r="M437" i="1"/>
  <c r="O437" i="1" s="1"/>
  <c r="P437" i="1" s="1"/>
  <c r="M269" i="1"/>
  <c r="O269" i="1" s="1"/>
  <c r="P269" i="1" s="1"/>
  <c r="M243" i="1"/>
  <c r="O243" i="1" s="1"/>
  <c r="P243" i="1" s="1"/>
  <c r="M395" i="1"/>
  <c r="O395" i="1" s="1"/>
  <c r="P395" i="1" s="1"/>
  <c r="M360" i="1"/>
  <c r="O360" i="1" s="1"/>
  <c r="P360" i="1" s="1"/>
  <c r="M110" i="1"/>
  <c r="O110" i="1" s="1"/>
  <c r="P110" i="1" s="1"/>
  <c r="M454" i="1"/>
  <c r="O454" i="1" s="1"/>
  <c r="P454" i="1" s="1"/>
  <c r="M407" i="1"/>
  <c r="O407" i="1" s="1"/>
  <c r="P407" i="1" s="1"/>
  <c r="M396" i="1"/>
  <c r="O396" i="1" s="1"/>
  <c r="P396" i="1" s="1"/>
  <c r="M402" i="1"/>
  <c r="O402" i="1" s="1"/>
  <c r="P402" i="1" s="1"/>
  <c r="M142" i="1"/>
  <c r="O142" i="1" s="1"/>
  <c r="P142" i="1" s="1"/>
  <c r="M159" i="1"/>
  <c r="O159" i="1" s="1"/>
  <c r="P159" i="1" s="1"/>
  <c r="M185" i="1"/>
  <c r="O185" i="1" s="1"/>
  <c r="P185" i="1" s="1"/>
  <c r="M149" i="1"/>
  <c r="O149" i="1" s="1"/>
  <c r="P149" i="1" s="1"/>
  <c r="M58" i="1"/>
  <c r="M77" i="1"/>
  <c r="M435" i="1"/>
  <c r="O435" i="1" s="1"/>
  <c r="P435" i="1" s="1"/>
  <c r="M226" i="1"/>
  <c r="O226" i="1" s="1"/>
  <c r="P226" i="1" s="1"/>
  <c r="M317" i="1"/>
  <c r="O317" i="1" s="1"/>
  <c r="P317" i="1" s="1"/>
  <c r="M318" i="1"/>
  <c r="O318" i="1" s="1"/>
  <c r="P318" i="1" s="1"/>
  <c r="M152" i="1"/>
  <c r="O152" i="1" s="1"/>
  <c r="P152" i="1" s="1"/>
  <c r="M324" i="1"/>
  <c r="O324" i="1" s="1"/>
  <c r="P324" i="1" s="1"/>
  <c r="M237" i="1"/>
  <c r="O237" i="1" s="1"/>
  <c r="P237" i="1" s="1"/>
  <c r="M203" i="1"/>
  <c r="O203" i="1" s="1"/>
  <c r="P203" i="1" s="1"/>
  <c r="M457" i="1"/>
  <c r="O457" i="1" s="1"/>
  <c r="P457" i="1" s="1"/>
  <c r="M389" i="1"/>
  <c r="O389" i="1" s="1"/>
  <c r="M193" i="1"/>
  <c r="O193" i="1" s="1"/>
  <c r="P193" i="1" s="1"/>
  <c r="M189" i="1"/>
  <c r="O189" i="1" s="1"/>
  <c r="P189" i="1" s="1"/>
  <c r="M284" i="1"/>
  <c r="O284" i="1" s="1"/>
  <c r="P284" i="1" s="1"/>
  <c r="M265" i="1"/>
  <c r="M145" i="1"/>
  <c r="O145" i="1" s="1"/>
  <c r="P145" i="1" s="1"/>
  <c r="M73" i="1"/>
  <c r="M106" i="1"/>
  <c r="O106" i="1" s="1"/>
  <c r="P106" i="1" s="1"/>
  <c r="M271" i="1"/>
  <c r="O271" i="1" s="1"/>
  <c r="P271" i="1" s="1"/>
  <c r="M275" i="1"/>
  <c r="O275" i="1" s="1"/>
  <c r="P275" i="1" s="1"/>
  <c r="M239" i="1"/>
  <c r="O239" i="1" s="1"/>
  <c r="P239" i="1" s="1"/>
  <c r="M155" i="1"/>
  <c r="O155" i="1" s="1"/>
  <c r="P155" i="1" s="1"/>
  <c r="M107" i="1"/>
  <c r="O107" i="1" s="1"/>
  <c r="P107" i="1" s="1"/>
  <c r="M146" i="1"/>
  <c r="O146" i="1" s="1"/>
  <c r="P146" i="1" s="1"/>
  <c r="M450" i="1"/>
  <c r="O450" i="1" s="1"/>
  <c r="P450" i="1" s="1"/>
  <c r="M112" i="1"/>
  <c r="O112" i="1" s="1"/>
  <c r="P112" i="1" s="1"/>
  <c r="M322" i="1"/>
  <c r="O322" i="1" s="1"/>
  <c r="P322" i="1" s="1"/>
  <c r="M235" i="1"/>
  <c r="O235" i="1" s="1"/>
  <c r="P235" i="1" s="1"/>
  <c r="M103" i="1"/>
  <c r="O103" i="1" s="1"/>
  <c r="P103" i="1" s="1"/>
  <c r="M313" i="1"/>
  <c r="O313" i="1" s="1"/>
  <c r="P313" i="1" s="1"/>
  <c r="M349" i="1"/>
  <c r="O349" i="1" s="1"/>
  <c r="P349" i="1" s="1"/>
  <c r="M224" i="1"/>
  <c r="O224" i="1" s="1"/>
  <c r="P224" i="1" s="1"/>
  <c r="M190" i="1"/>
  <c r="O190" i="1" s="1"/>
  <c r="P190" i="1" s="1"/>
  <c r="M116" i="1"/>
  <c r="O116" i="1" s="1"/>
  <c r="P116" i="1" s="1"/>
  <c r="C79" i="1"/>
  <c r="G130" i="7" l="1"/>
  <c r="O66" i="1"/>
  <c r="P66" i="1" s="1"/>
  <c r="E19" i="7" s="1"/>
  <c r="M25" i="1"/>
  <c r="O25" i="1" s="1"/>
  <c r="P25" i="1" s="1"/>
  <c r="O63" i="1"/>
  <c r="P63" i="1" s="1"/>
  <c r="M22" i="1"/>
  <c r="O22" i="1" s="1"/>
  <c r="P22" i="1" s="1"/>
  <c r="O75" i="1"/>
  <c r="P75" i="1" s="1"/>
  <c r="M36" i="1"/>
  <c r="O36" i="1" s="1"/>
  <c r="P36" i="1" s="1"/>
  <c r="O64" i="1"/>
  <c r="P64" i="1" s="1"/>
  <c r="M23" i="1"/>
  <c r="O23" i="1" s="1"/>
  <c r="P23" i="1" s="1"/>
  <c r="O70" i="1"/>
  <c r="P70" i="1" s="1"/>
  <c r="M31" i="1"/>
  <c r="O31" i="1" s="1"/>
  <c r="P31" i="1" s="1"/>
  <c r="O65" i="1"/>
  <c r="P65" i="1" s="1"/>
  <c r="M24" i="1"/>
  <c r="O24" i="1" s="1"/>
  <c r="P24" i="1" s="1"/>
  <c r="O76" i="1"/>
  <c r="P76" i="1" s="1"/>
  <c r="C19" i="7" s="1"/>
  <c r="M37" i="1"/>
  <c r="O37" i="1" s="1"/>
  <c r="P37" i="1" s="1"/>
  <c r="O62" i="1"/>
  <c r="P62" i="1" s="1"/>
  <c r="M21" i="1"/>
  <c r="O21" i="1" s="1"/>
  <c r="P21" i="1" s="1"/>
  <c r="O370" i="1"/>
  <c r="P370" i="1" s="1"/>
  <c r="O100" i="7" s="1"/>
  <c r="M42" i="1"/>
  <c r="O42" i="1" s="1"/>
  <c r="P42" i="1" s="1"/>
  <c r="M16" i="1"/>
  <c r="O73" i="1"/>
  <c r="P73" i="1" s="1"/>
  <c r="H19" i="7" s="1"/>
  <c r="M34" i="1"/>
  <c r="O34" i="1" s="1"/>
  <c r="P34" i="1" s="1"/>
  <c r="O77" i="1"/>
  <c r="P77" i="1" s="1"/>
  <c r="D19" i="7" s="1"/>
  <c r="M38" i="1"/>
  <c r="O38" i="1" s="1"/>
  <c r="P38" i="1" s="1"/>
  <c r="O61" i="1"/>
  <c r="P61" i="1" s="1"/>
  <c r="M20" i="1"/>
  <c r="O20" i="1" s="1"/>
  <c r="P20" i="1" s="1"/>
  <c r="O150" i="1"/>
  <c r="P150" i="1" s="1"/>
  <c r="M29" i="1"/>
  <c r="O29" i="1" s="1"/>
  <c r="P29" i="1" s="1"/>
  <c r="O68" i="1"/>
  <c r="P68" i="1" s="1"/>
  <c r="M27" i="1"/>
  <c r="O27" i="1" s="1"/>
  <c r="P27" i="1" s="1"/>
  <c r="O368" i="1"/>
  <c r="P368" i="1" s="1"/>
  <c r="M100" i="7" s="1"/>
  <c r="M40" i="1"/>
  <c r="O40" i="1" s="1"/>
  <c r="P40" i="1" s="1"/>
  <c r="O369" i="1"/>
  <c r="P369" i="1" s="1"/>
  <c r="N100" i="7" s="1"/>
  <c r="M41" i="1"/>
  <c r="O41" i="1" s="1"/>
  <c r="P41" i="1" s="1"/>
  <c r="O78" i="1"/>
  <c r="P78" i="1" s="1"/>
  <c r="J19" i="7" s="1"/>
  <c r="M39" i="1"/>
  <c r="O39" i="1" s="1"/>
  <c r="P39" i="1" s="1"/>
  <c r="O71" i="1"/>
  <c r="P71" i="1" s="1"/>
  <c r="M32" i="1"/>
  <c r="O32" i="1" s="1"/>
  <c r="P32" i="1" s="1"/>
  <c r="O182" i="1"/>
  <c r="P182" i="1" s="1"/>
  <c r="M55" i="7" s="1"/>
  <c r="M18" i="1"/>
  <c r="O18" i="1" s="1"/>
  <c r="P18" i="1" s="1"/>
  <c r="O151" i="1"/>
  <c r="P151" i="1" s="1"/>
  <c r="M30" i="1"/>
  <c r="O30" i="1" s="1"/>
  <c r="P30" i="1" s="1"/>
  <c r="O72" i="1"/>
  <c r="P72" i="1" s="1"/>
  <c r="G19" i="7" s="1"/>
  <c r="M33" i="1"/>
  <c r="O33" i="1" s="1"/>
  <c r="P33" i="1" s="1"/>
  <c r="O67" i="1"/>
  <c r="P67" i="1" s="1"/>
  <c r="M26" i="1"/>
  <c r="O26" i="1" s="1"/>
  <c r="P26" i="1" s="1"/>
  <c r="O74" i="1"/>
  <c r="P74" i="1" s="1"/>
  <c r="I19" i="7" s="1"/>
  <c r="M35" i="1"/>
  <c r="O35" i="1" s="1"/>
  <c r="P35" i="1" s="1"/>
  <c r="O60" i="1"/>
  <c r="P60" i="1" s="1"/>
  <c r="M19" i="1"/>
  <c r="O19" i="1" s="1"/>
  <c r="P19" i="1" s="1"/>
  <c r="O59" i="1"/>
  <c r="P59" i="1" s="1"/>
  <c r="M17" i="1"/>
  <c r="O17" i="1" s="1"/>
  <c r="P17" i="1" s="1"/>
  <c r="O69" i="1"/>
  <c r="P69" i="1" s="1"/>
  <c r="F19" i="7" s="1"/>
  <c r="M28" i="1"/>
  <c r="O28" i="1" s="1"/>
  <c r="P28" i="1" s="1"/>
  <c r="O477" i="1"/>
  <c r="M504" i="1"/>
  <c r="M371" i="1"/>
  <c r="M326" i="1"/>
  <c r="I55" i="7"/>
  <c r="D40" i="7"/>
  <c r="H95" i="7"/>
  <c r="K95" i="7"/>
  <c r="C100" i="7"/>
  <c r="M95" i="7"/>
  <c r="D85" i="7"/>
  <c r="C95" i="7"/>
  <c r="G50" i="7"/>
  <c r="E95" i="7"/>
  <c r="F29" i="7"/>
  <c r="D55" i="7"/>
  <c r="I100" i="7"/>
  <c r="C75" i="7"/>
  <c r="K55" i="7"/>
  <c r="C55" i="7"/>
  <c r="D29" i="7"/>
  <c r="D100" i="7"/>
  <c r="P100" i="7"/>
  <c r="E55" i="7"/>
  <c r="O50" i="7"/>
  <c r="G55" i="7"/>
  <c r="C50" i="7"/>
  <c r="C40" i="7"/>
  <c r="I50" i="7"/>
  <c r="G100" i="7"/>
  <c r="N95" i="7"/>
  <c r="C65" i="7"/>
  <c r="M50" i="7"/>
  <c r="E85" i="7"/>
  <c r="L50" i="7"/>
  <c r="L55" i="7"/>
  <c r="C120" i="7"/>
  <c r="E50" i="7"/>
  <c r="J50" i="7"/>
  <c r="H55" i="7"/>
  <c r="F55" i="7"/>
  <c r="J95" i="7"/>
  <c r="G95" i="7"/>
  <c r="C110" i="7"/>
  <c r="E40" i="7"/>
  <c r="H50" i="7"/>
  <c r="F100" i="7"/>
  <c r="E29" i="7"/>
  <c r="J55" i="7"/>
  <c r="H100" i="7"/>
  <c r="K50" i="7"/>
  <c r="L95" i="7"/>
  <c r="K100" i="7"/>
  <c r="F95" i="7"/>
  <c r="N50" i="7"/>
  <c r="O95" i="7"/>
  <c r="C85" i="7"/>
  <c r="I95" i="7"/>
  <c r="J100" i="7"/>
  <c r="E100" i="7"/>
  <c r="M79" i="1"/>
  <c r="O415" i="1"/>
  <c r="M161" i="1"/>
  <c r="O459" i="1"/>
  <c r="M415" i="1"/>
  <c r="P389" i="1"/>
  <c r="P415" i="1" s="1"/>
  <c r="B22" i="9" s="1"/>
  <c r="M459" i="1"/>
  <c r="P433" i="1"/>
  <c r="P459" i="1" s="1"/>
  <c r="B18" i="9" s="1"/>
  <c r="L100" i="7"/>
  <c r="D95" i="7"/>
  <c r="P117" i="1"/>
  <c r="M204" i="1"/>
  <c r="P183" i="1"/>
  <c r="O305" i="1"/>
  <c r="O326" i="1" s="1"/>
  <c r="O265" i="1"/>
  <c r="M286" i="1"/>
  <c r="O222" i="1"/>
  <c r="M245" i="1"/>
  <c r="O180" i="1"/>
  <c r="O138" i="1"/>
  <c r="O99" i="1"/>
  <c r="M120" i="1"/>
  <c r="O58" i="1"/>
  <c r="F85" i="7" l="1"/>
  <c r="O371" i="1"/>
  <c r="M43" i="1"/>
  <c r="O79" i="1"/>
  <c r="O204" i="1"/>
  <c r="P371" i="1"/>
  <c r="B21" i="9" s="1"/>
  <c r="C21" i="9" s="1"/>
  <c r="D21" i="9" s="1"/>
  <c r="O161" i="1"/>
  <c r="O16" i="1"/>
  <c r="P16" i="1" s="1"/>
  <c r="P43" i="1" s="1"/>
  <c r="O504" i="1"/>
  <c r="P477" i="1"/>
  <c r="K19" i="7"/>
  <c r="Q100" i="7"/>
  <c r="C22" i="9"/>
  <c r="D22" i="9" s="1"/>
  <c r="E22" i="9"/>
  <c r="C18" i="9"/>
  <c r="D18" i="9" s="1"/>
  <c r="E18" i="9"/>
  <c r="C29" i="7"/>
  <c r="G29" i="7" s="1"/>
  <c r="F40" i="7"/>
  <c r="F50" i="7"/>
  <c r="P58" i="1"/>
  <c r="P99" i="1"/>
  <c r="O120" i="1"/>
  <c r="P138" i="1"/>
  <c r="P180" i="1"/>
  <c r="P222" i="1"/>
  <c r="O245" i="1"/>
  <c r="P265" i="1"/>
  <c r="O286" i="1"/>
  <c r="P305" i="1"/>
  <c r="E21" i="9" l="1"/>
  <c r="O43" i="1"/>
  <c r="P504" i="1"/>
  <c r="B23" i="9" s="1"/>
  <c r="Q443" i="1"/>
  <c r="R443" i="1" s="1"/>
  <c r="Q433" i="1"/>
  <c r="Q446" i="1"/>
  <c r="R446" i="1" s="1"/>
  <c r="Q437" i="1"/>
  <c r="Q453" i="1"/>
  <c r="Q444" i="1"/>
  <c r="R444" i="1" s="1"/>
  <c r="Q439" i="1"/>
  <c r="R439" i="1" s="1"/>
  <c r="Q455" i="1"/>
  <c r="Q442" i="1"/>
  <c r="R442" i="1" s="1"/>
  <c r="Q458" i="1"/>
  <c r="Q449" i="1"/>
  <c r="Q440" i="1"/>
  <c r="R440" i="1" s="1"/>
  <c r="Q456" i="1"/>
  <c r="Q435" i="1"/>
  <c r="Q451" i="1"/>
  <c r="Q438" i="1"/>
  <c r="Q454" i="1"/>
  <c r="Q445" i="1"/>
  <c r="R445" i="1" s="1"/>
  <c r="Q436" i="1"/>
  <c r="Q452" i="1"/>
  <c r="Q447" i="1"/>
  <c r="R447" i="1" s="1"/>
  <c r="Q434" i="1"/>
  <c r="Q450" i="1"/>
  <c r="Q441" i="1"/>
  <c r="R441" i="1" s="1"/>
  <c r="Q457" i="1"/>
  <c r="Q448" i="1"/>
  <c r="R448" i="1" s="1"/>
  <c r="Q346" i="1"/>
  <c r="Q347" i="1"/>
  <c r="Q350" i="1"/>
  <c r="R350" i="1" s="1"/>
  <c r="Q366" i="1"/>
  <c r="Q353" i="1"/>
  <c r="R353" i="1" s="1"/>
  <c r="Q369" i="1"/>
  <c r="Q360" i="1"/>
  <c r="Q355" i="1"/>
  <c r="R355" i="1" s="1"/>
  <c r="Q344" i="1"/>
  <c r="Q362" i="1"/>
  <c r="Q349" i="1"/>
  <c r="R349" i="1" s="1"/>
  <c r="Q365" i="1"/>
  <c r="Q356" i="1"/>
  <c r="O96" i="7" s="1"/>
  <c r="O97" i="7" s="1"/>
  <c r="Q351" i="1"/>
  <c r="J96" i="7" s="1"/>
  <c r="J97" i="7" s="1"/>
  <c r="Q367" i="1"/>
  <c r="Q358" i="1"/>
  <c r="Q345" i="1"/>
  <c r="Q361" i="1"/>
  <c r="Q352" i="1"/>
  <c r="K96" i="7" s="1"/>
  <c r="K97" i="7" s="1"/>
  <c r="Q368" i="1"/>
  <c r="Q363" i="1"/>
  <c r="Q354" i="1"/>
  <c r="R354" i="1" s="1"/>
  <c r="Q370" i="1"/>
  <c r="Q357" i="1"/>
  <c r="Q348" i="1"/>
  <c r="Q364" i="1"/>
  <c r="Q359" i="1"/>
  <c r="Q397" i="1"/>
  <c r="R397" i="1" s="1"/>
  <c r="Q413" i="1"/>
  <c r="Q404" i="1"/>
  <c r="R404" i="1" s="1"/>
  <c r="Q395" i="1"/>
  <c r="R395" i="1" s="1"/>
  <c r="Q411" i="1"/>
  <c r="R411" i="1" s="1"/>
  <c r="Q398" i="1"/>
  <c r="R398" i="1" s="1"/>
  <c r="Q414" i="1"/>
  <c r="Q393" i="1"/>
  <c r="R393" i="1" s="1"/>
  <c r="Q409" i="1"/>
  <c r="C111" i="7" s="1"/>
  <c r="C112" i="7" s="1"/>
  <c r="Q400" i="1"/>
  <c r="R400" i="1" s="1"/>
  <c r="Q391" i="1"/>
  <c r="Q407" i="1"/>
  <c r="R407" i="1" s="1"/>
  <c r="Q394" i="1"/>
  <c r="R394" i="1" s="1"/>
  <c r="Q410" i="1"/>
  <c r="R410" i="1" s="1"/>
  <c r="Q405" i="1"/>
  <c r="R405" i="1" s="1"/>
  <c r="Q396" i="1"/>
  <c r="R396" i="1" s="1"/>
  <c r="Q412" i="1"/>
  <c r="Q403" i="1"/>
  <c r="R403" i="1" s="1"/>
  <c r="Q390" i="1"/>
  <c r="Q406" i="1"/>
  <c r="R406" i="1" s="1"/>
  <c r="Q401" i="1"/>
  <c r="R401" i="1" s="1"/>
  <c r="Q392" i="1"/>
  <c r="Q408" i="1"/>
  <c r="R408" i="1" s="1"/>
  <c r="Q399" i="1"/>
  <c r="R399" i="1" s="1"/>
  <c r="Q389" i="1"/>
  <c r="Q402" i="1"/>
  <c r="R402" i="1" s="1"/>
  <c r="P326" i="1"/>
  <c r="B17" i="9" s="1"/>
  <c r="P120" i="1"/>
  <c r="B14" i="9" s="1"/>
  <c r="P161" i="1"/>
  <c r="B19" i="9" s="1"/>
  <c r="P79" i="1"/>
  <c r="B13" i="9" s="1"/>
  <c r="P204" i="1"/>
  <c r="B15" i="9" s="1"/>
  <c r="D50" i="7"/>
  <c r="P286" i="1"/>
  <c r="B16" i="9" s="1"/>
  <c r="P245" i="1"/>
  <c r="B20" i="9" s="1"/>
  <c r="C23" i="9" l="1"/>
  <c r="D23" i="9" s="1"/>
  <c r="E23" i="9"/>
  <c r="B25" i="9"/>
  <c r="O101" i="7"/>
  <c r="O102" i="7" s="1"/>
  <c r="N55" i="7"/>
  <c r="C8" i="7" s="1"/>
  <c r="C16" i="9"/>
  <c r="D16" i="9" s="1"/>
  <c r="E16" i="9"/>
  <c r="C17" i="9"/>
  <c r="D17" i="9" s="1"/>
  <c r="E17" i="9"/>
  <c r="C20" i="9"/>
  <c r="D20" i="9" s="1"/>
  <c r="E20" i="9"/>
  <c r="C14" i="9"/>
  <c r="D14" i="9" s="1"/>
  <c r="E14" i="9"/>
  <c r="C19" i="9"/>
  <c r="D19" i="9" s="1"/>
  <c r="E19" i="9"/>
  <c r="C13" i="9"/>
  <c r="D13" i="9" s="1"/>
  <c r="E13" i="9"/>
  <c r="C15" i="9"/>
  <c r="D15" i="9" s="1"/>
  <c r="E15" i="9"/>
  <c r="L96" i="7"/>
  <c r="L97" i="7" s="1"/>
  <c r="R351" i="1"/>
  <c r="R409" i="1"/>
  <c r="Q415" i="1"/>
  <c r="H96" i="7"/>
  <c r="H97" i="7" s="1"/>
  <c r="R352" i="1"/>
  <c r="R356" i="1"/>
  <c r="N96" i="7"/>
  <c r="N97" i="7" s="1"/>
  <c r="M96" i="7"/>
  <c r="M97" i="7" s="1"/>
  <c r="I96" i="7"/>
  <c r="I97" i="7" s="1"/>
  <c r="R457" i="1"/>
  <c r="R455" i="1"/>
  <c r="R451" i="1"/>
  <c r="R449" i="1"/>
  <c r="R437" i="1"/>
  <c r="R435" i="1"/>
  <c r="R413" i="1"/>
  <c r="R392" i="1"/>
  <c r="R390" i="1"/>
  <c r="R458" i="1"/>
  <c r="R456" i="1"/>
  <c r="R454" i="1"/>
  <c r="R452" i="1"/>
  <c r="R450" i="1"/>
  <c r="R438" i="1"/>
  <c r="R436" i="1"/>
  <c r="R434" i="1"/>
  <c r="R414" i="1"/>
  <c r="R412" i="1"/>
  <c r="R391" i="1"/>
  <c r="R370" i="1"/>
  <c r="D96" i="7"/>
  <c r="D97" i="7" s="1"/>
  <c r="Q500" i="1" l="1"/>
  <c r="Q496" i="1"/>
  <c r="Q492" i="1"/>
  <c r="Q488" i="1"/>
  <c r="R488" i="1" s="1"/>
  <c r="Q484" i="1"/>
  <c r="Q480" i="1"/>
  <c r="Q501" i="1"/>
  <c r="Q497" i="1"/>
  <c r="Q493" i="1"/>
  <c r="Q489" i="1"/>
  <c r="Q485" i="1"/>
  <c r="Q481" i="1"/>
  <c r="Q477" i="1"/>
  <c r="Q499" i="1"/>
  <c r="R499" i="1" s="1"/>
  <c r="Q495" i="1"/>
  <c r="Q491" i="1"/>
  <c r="R491" i="1" s="1"/>
  <c r="Q487" i="1"/>
  <c r="R487" i="1" s="1"/>
  <c r="Q483" i="1"/>
  <c r="R483" i="1" s="1"/>
  <c r="Q479" i="1"/>
  <c r="R479" i="1" s="1"/>
  <c r="Q502" i="1"/>
  <c r="Q498" i="1"/>
  <c r="Q494" i="1"/>
  <c r="Q490" i="1"/>
  <c r="R490" i="1" s="1"/>
  <c r="Q486" i="1"/>
  <c r="R486" i="1" s="1"/>
  <c r="Q482" i="1"/>
  <c r="R482" i="1" s="1"/>
  <c r="Q478" i="1"/>
  <c r="R478" i="1" s="1"/>
  <c r="D25" i="9"/>
  <c r="Q68" i="1"/>
  <c r="Q63" i="1"/>
  <c r="Q58" i="1"/>
  <c r="Q74" i="1"/>
  <c r="Q69" i="1"/>
  <c r="Q64" i="1"/>
  <c r="Q59" i="1"/>
  <c r="Q75" i="1"/>
  <c r="Q70" i="1"/>
  <c r="Q65" i="1"/>
  <c r="Q60" i="1"/>
  <c r="Q76" i="1"/>
  <c r="Q71" i="1"/>
  <c r="Q66" i="1"/>
  <c r="Q61" i="1"/>
  <c r="Q77" i="1"/>
  <c r="Q72" i="1"/>
  <c r="Q67" i="1"/>
  <c r="Q62" i="1"/>
  <c r="Q78" i="1"/>
  <c r="Q73" i="1"/>
  <c r="Q308" i="1"/>
  <c r="R308" i="1" s="1"/>
  <c r="Q314" i="1"/>
  <c r="R314" i="1" s="1"/>
  <c r="Q320" i="1"/>
  <c r="R320" i="1" s="1"/>
  <c r="Q315" i="1"/>
  <c r="R315" i="1" s="1"/>
  <c r="Q310" i="1"/>
  <c r="R310" i="1" s="1"/>
  <c r="Q305" i="1"/>
  <c r="R305" i="1" s="1"/>
  <c r="Q321" i="1"/>
  <c r="R321" i="1" s="1"/>
  <c r="Q316" i="1"/>
  <c r="R316" i="1" s="1"/>
  <c r="Q311" i="1"/>
  <c r="R311" i="1" s="1"/>
  <c r="Q306" i="1"/>
  <c r="R306" i="1" s="1"/>
  <c r="Q322" i="1"/>
  <c r="R322" i="1" s="1"/>
  <c r="Q317" i="1"/>
  <c r="R317" i="1" s="1"/>
  <c r="Q319" i="1"/>
  <c r="R319" i="1" s="1"/>
  <c r="Q325" i="1"/>
  <c r="R325" i="1" s="1"/>
  <c r="Q312" i="1"/>
  <c r="R312" i="1" s="1"/>
  <c r="Q307" i="1"/>
  <c r="R307" i="1" s="1"/>
  <c r="Q323" i="1"/>
  <c r="R323" i="1" s="1"/>
  <c r="Q318" i="1"/>
  <c r="R318" i="1" s="1"/>
  <c r="Q313" i="1"/>
  <c r="R313" i="1" s="1"/>
  <c r="Q324" i="1"/>
  <c r="R324" i="1" s="1"/>
  <c r="Q309" i="1"/>
  <c r="R309" i="1" s="1"/>
  <c r="Q114" i="1"/>
  <c r="Q109" i="1"/>
  <c r="R109" i="1" s="1"/>
  <c r="Q104" i="1"/>
  <c r="R104" i="1" s="1"/>
  <c r="Q99" i="1"/>
  <c r="R99" i="1" s="1"/>
  <c r="Q115" i="1"/>
  <c r="E30" i="7" s="1"/>
  <c r="E31" i="7" s="1"/>
  <c r="Q110" i="1"/>
  <c r="R110" i="1" s="1"/>
  <c r="Q105" i="1"/>
  <c r="R105" i="1" s="1"/>
  <c r="Q100" i="1"/>
  <c r="R100" i="1" s="1"/>
  <c r="Q116" i="1"/>
  <c r="R116" i="1" s="1"/>
  <c r="Q111" i="1"/>
  <c r="R111" i="1" s="1"/>
  <c r="Q106" i="1"/>
  <c r="R106" i="1" s="1"/>
  <c r="Q101" i="1"/>
  <c r="R101" i="1" s="1"/>
  <c r="Q117" i="1"/>
  <c r="R117" i="1" s="1"/>
  <c r="Q112" i="1"/>
  <c r="R112" i="1" s="1"/>
  <c r="Q107" i="1"/>
  <c r="R107" i="1" s="1"/>
  <c r="Q102" i="1"/>
  <c r="R102" i="1" s="1"/>
  <c r="Q118" i="1"/>
  <c r="D30" i="7" s="1"/>
  <c r="D31" i="7" s="1"/>
  <c r="Q113" i="1"/>
  <c r="R113" i="1" s="1"/>
  <c r="Q108" i="1"/>
  <c r="R108" i="1" s="1"/>
  <c r="Q103" i="1"/>
  <c r="R103" i="1" s="1"/>
  <c r="Q119" i="1"/>
  <c r="R119" i="1" s="1"/>
  <c r="Q152" i="1"/>
  <c r="R152" i="1" s="1"/>
  <c r="Q143" i="1"/>
  <c r="R143" i="1" s="1"/>
  <c r="Q159" i="1"/>
  <c r="R159" i="1" s="1"/>
  <c r="Q154" i="1"/>
  <c r="R154" i="1" s="1"/>
  <c r="Q149" i="1"/>
  <c r="R149" i="1" s="1"/>
  <c r="Q148" i="1"/>
  <c r="R148" i="1" s="1"/>
  <c r="Q139" i="1"/>
  <c r="R139" i="1" s="1"/>
  <c r="Q155" i="1"/>
  <c r="E41" i="7" s="1"/>
  <c r="E42" i="7" s="1"/>
  <c r="Q150" i="1"/>
  <c r="R150" i="1" s="1"/>
  <c r="Q145" i="1"/>
  <c r="R145" i="1" s="1"/>
  <c r="Q138" i="1"/>
  <c r="R138" i="1" s="1"/>
  <c r="Q144" i="1"/>
  <c r="R144" i="1" s="1"/>
  <c r="Q160" i="1"/>
  <c r="R160" i="1" s="1"/>
  <c r="Q151" i="1"/>
  <c r="Q146" i="1"/>
  <c r="R146" i="1" s="1"/>
  <c r="Q141" i="1"/>
  <c r="R141" i="1" s="1"/>
  <c r="Q157" i="1"/>
  <c r="R157" i="1" s="1"/>
  <c r="Q140" i="1"/>
  <c r="R140" i="1" s="1"/>
  <c r="Q156" i="1"/>
  <c r="D41" i="7" s="1"/>
  <c r="D42" i="7" s="1"/>
  <c r="Q147" i="1"/>
  <c r="R147" i="1" s="1"/>
  <c r="Q142" i="1"/>
  <c r="R142" i="1" s="1"/>
  <c r="Q158" i="1"/>
  <c r="C41" i="7" s="1"/>
  <c r="Q153" i="1"/>
  <c r="R153" i="1" s="1"/>
  <c r="Q279" i="1"/>
  <c r="R279" i="1" s="1"/>
  <c r="Q274" i="1"/>
  <c r="R274" i="1" s="1"/>
  <c r="Q269" i="1"/>
  <c r="R269" i="1" s="1"/>
  <c r="Q285" i="1"/>
  <c r="R285" i="1" s="1"/>
  <c r="Q280" i="1"/>
  <c r="R280" i="1" s="1"/>
  <c r="Q275" i="1"/>
  <c r="R275" i="1" s="1"/>
  <c r="Q270" i="1"/>
  <c r="R270" i="1" s="1"/>
  <c r="Q265" i="1"/>
  <c r="R265" i="1" s="1"/>
  <c r="Q281" i="1"/>
  <c r="R281" i="1" s="1"/>
  <c r="Q276" i="1"/>
  <c r="R276" i="1" s="1"/>
  <c r="Q271" i="1"/>
  <c r="R271" i="1" s="1"/>
  <c r="Q266" i="1"/>
  <c r="R266" i="1" s="1"/>
  <c r="Q282" i="1"/>
  <c r="R282" i="1" s="1"/>
  <c r="Q277" i="1"/>
  <c r="R277" i="1" s="1"/>
  <c r="Q272" i="1"/>
  <c r="R272" i="1" s="1"/>
  <c r="Q267" i="1"/>
  <c r="R267" i="1" s="1"/>
  <c r="Q283" i="1"/>
  <c r="R283" i="1" s="1"/>
  <c r="Q278" i="1"/>
  <c r="R278" i="1" s="1"/>
  <c r="Q273" i="1"/>
  <c r="R273" i="1" s="1"/>
  <c r="Q268" i="1"/>
  <c r="R268" i="1" s="1"/>
  <c r="Q284" i="1"/>
  <c r="R284" i="1" s="1"/>
  <c r="Q235" i="1"/>
  <c r="R235" i="1" s="1"/>
  <c r="Q231" i="1"/>
  <c r="R231" i="1" s="1"/>
  <c r="Q237" i="1"/>
  <c r="R237" i="1" s="1"/>
  <c r="Q227" i="1"/>
  <c r="R227" i="1" s="1"/>
  <c r="Q243" i="1"/>
  <c r="R243" i="1" s="1"/>
  <c r="Q238" i="1"/>
  <c r="R238" i="1" s="1"/>
  <c r="Q233" i="1"/>
  <c r="R233" i="1" s="1"/>
  <c r="Q224" i="1"/>
  <c r="R224" i="1" s="1"/>
  <c r="Q240" i="1"/>
  <c r="R240" i="1" s="1"/>
  <c r="Q225" i="1"/>
  <c r="R225" i="1" s="1"/>
  <c r="Q232" i="1"/>
  <c r="R232" i="1" s="1"/>
  <c r="Q226" i="1"/>
  <c r="R226" i="1" s="1"/>
  <c r="Q228" i="1"/>
  <c r="R228" i="1" s="1"/>
  <c r="Q223" i="1"/>
  <c r="R223" i="1" s="1"/>
  <c r="Q239" i="1"/>
  <c r="E86" i="7" s="1"/>
  <c r="E87" i="7" s="1"/>
  <c r="Q234" i="1"/>
  <c r="R234" i="1" s="1"/>
  <c r="Q229" i="1"/>
  <c r="R229" i="1" s="1"/>
  <c r="Q222" i="1"/>
  <c r="Q236" i="1"/>
  <c r="R236" i="1" s="1"/>
  <c r="Q230" i="1"/>
  <c r="D86" i="7" s="1"/>
  <c r="D87" i="7" s="1"/>
  <c r="Q241" i="1"/>
  <c r="R241" i="1" s="1"/>
  <c r="Q242" i="1"/>
  <c r="R242" i="1" s="1"/>
  <c r="Q244" i="1"/>
  <c r="R244" i="1" s="1"/>
  <c r="Q182" i="1"/>
  <c r="Q190" i="1"/>
  <c r="Q181" i="1"/>
  <c r="R181" i="1" s="1"/>
  <c r="Q197" i="1"/>
  <c r="G56" i="7" s="1"/>
  <c r="G57" i="7" s="1"/>
  <c r="Q192" i="1"/>
  <c r="Q187" i="1"/>
  <c r="J51" i="7" s="1"/>
  <c r="J52" i="7" s="1"/>
  <c r="Q203" i="1"/>
  <c r="R203" i="1" s="1"/>
  <c r="Q186" i="1"/>
  <c r="R186" i="1" s="1"/>
  <c r="Q202" i="1"/>
  <c r="R202" i="1" s="1"/>
  <c r="Q193" i="1"/>
  <c r="C56" i="7" s="1"/>
  <c r="C57" i="7" s="1"/>
  <c r="Q188" i="1"/>
  <c r="Q180" i="1"/>
  <c r="D51" i="7" s="1"/>
  <c r="Q199" i="1"/>
  <c r="R199" i="1" s="1"/>
  <c r="Q198" i="1"/>
  <c r="H56" i="7" s="1"/>
  <c r="H57" i="7" s="1"/>
  <c r="Q189" i="1"/>
  <c r="L51" i="7" s="1"/>
  <c r="L52" i="7" s="1"/>
  <c r="Q184" i="1"/>
  <c r="Q200" i="1"/>
  <c r="J56" i="7" s="1"/>
  <c r="J57" i="7" s="1"/>
  <c r="Q195" i="1"/>
  <c r="Q183" i="1"/>
  <c r="F51" i="7" s="1"/>
  <c r="F52" i="7" s="1"/>
  <c r="Q194" i="1"/>
  <c r="D56" i="7" s="1"/>
  <c r="D57" i="7" s="1"/>
  <c r="Q185" i="1"/>
  <c r="Q201" i="1"/>
  <c r="C51" i="7" s="1"/>
  <c r="Q196" i="1"/>
  <c r="F56" i="7" s="1"/>
  <c r="F57" i="7" s="1"/>
  <c r="Q191" i="1"/>
  <c r="Q459" i="1"/>
  <c r="R359" i="1"/>
  <c r="E101" i="7"/>
  <c r="E102" i="7" s="1"/>
  <c r="R357" i="1"/>
  <c r="C101" i="7"/>
  <c r="C102" i="7" s="1"/>
  <c r="R348" i="1"/>
  <c r="G96" i="7"/>
  <c r="G97" i="7" s="1"/>
  <c r="R360" i="1"/>
  <c r="F101" i="7"/>
  <c r="F102" i="7" s="1"/>
  <c r="R364" i="1"/>
  <c r="J101" i="7"/>
  <c r="J102" i="7" s="1"/>
  <c r="R368" i="1"/>
  <c r="M101" i="7"/>
  <c r="R347" i="1"/>
  <c r="F96" i="7"/>
  <c r="F97" i="7" s="1"/>
  <c r="R361" i="1"/>
  <c r="G101" i="7"/>
  <c r="G102" i="7" s="1"/>
  <c r="R365" i="1"/>
  <c r="C96" i="7"/>
  <c r="R369" i="1"/>
  <c r="N101" i="7"/>
  <c r="N102" i="7" s="1"/>
  <c r="R345" i="1"/>
  <c r="E96" i="7"/>
  <c r="E97" i="7" s="1"/>
  <c r="R358" i="1"/>
  <c r="D101" i="7"/>
  <c r="D102" i="7" s="1"/>
  <c r="R362" i="1"/>
  <c r="H101" i="7"/>
  <c r="H102" i="7" s="1"/>
  <c r="R366" i="1"/>
  <c r="K101" i="7"/>
  <c r="K102" i="7" s="1"/>
  <c r="R363" i="1"/>
  <c r="I101" i="7"/>
  <c r="I102" i="7" s="1"/>
  <c r="R367" i="1"/>
  <c r="L101" i="7"/>
  <c r="L102" i="7" s="1"/>
  <c r="R453" i="1"/>
  <c r="C121" i="7"/>
  <c r="R433" i="1"/>
  <c r="R344" i="1"/>
  <c r="R389" i="1"/>
  <c r="R415" i="1" s="1"/>
  <c r="R494" i="1" l="1"/>
  <c r="F131" i="7"/>
  <c r="F132" i="7" s="1"/>
  <c r="Q34" i="1"/>
  <c r="Q16" i="1"/>
  <c r="R16" i="1" s="1"/>
  <c r="R66" i="1" s="1"/>
  <c r="R477" i="1"/>
  <c r="Q504" i="1"/>
  <c r="Q33" i="1"/>
  <c r="R493" i="1"/>
  <c r="Q24" i="1"/>
  <c r="R24" i="1" s="1"/>
  <c r="R74" i="1" s="1"/>
  <c r="R484" i="1"/>
  <c r="Q29" i="1"/>
  <c r="R29" i="1" s="1"/>
  <c r="R489" i="1"/>
  <c r="Q20" i="1"/>
  <c r="R20" i="1" s="1"/>
  <c r="R480" i="1"/>
  <c r="Q36" i="1"/>
  <c r="R36" i="1" s="1"/>
  <c r="R496" i="1"/>
  <c r="M56" i="7"/>
  <c r="M57" i="7" s="1"/>
  <c r="Q18" i="1"/>
  <c r="R18" i="1" s="1"/>
  <c r="D131" i="7"/>
  <c r="D132" i="7" s="1"/>
  <c r="R495" i="1"/>
  <c r="Q25" i="1"/>
  <c r="R485" i="1"/>
  <c r="Q41" i="1"/>
  <c r="R41" i="1" s="1"/>
  <c r="R501" i="1"/>
  <c r="Q32" i="1"/>
  <c r="R32" i="1" s="1"/>
  <c r="R492" i="1"/>
  <c r="Q27" i="1"/>
  <c r="R27" i="1" s="1"/>
  <c r="R77" i="1" s="1"/>
  <c r="Q26" i="1"/>
  <c r="R26" i="1" s="1"/>
  <c r="Q23" i="1"/>
  <c r="R23" i="1" s="1"/>
  <c r="Q22" i="1"/>
  <c r="R22" i="1" s="1"/>
  <c r="Q19" i="1"/>
  <c r="R19" i="1" s="1"/>
  <c r="R69" i="1" s="1"/>
  <c r="Q17" i="1"/>
  <c r="R17" i="1" s="1"/>
  <c r="R151" i="1"/>
  <c r="Q30" i="1"/>
  <c r="R30" i="1" s="1"/>
  <c r="E131" i="7"/>
  <c r="E132" i="7" s="1"/>
  <c r="R498" i="1"/>
  <c r="Q40" i="1"/>
  <c r="R40" i="1" s="1"/>
  <c r="R500" i="1"/>
  <c r="R502" i="1"/>
  <c r="Q42" i="1"/>
  <c r="R42" i="1" s="1"/>
  <c r="Q21" i="1"/>
  <c r="R21" i="1" s="1"/>
  <c r="R481" i="1"/>
  <c r="Q37" i="1"/>
  <c r="C131" i="7"/>
  <c r="R497" i="1"/>
  <c r="Q31" i="1"/>
  <c r="R31" i="1" s="1"/>
  <c r="Q28" i="1"/>
  <c r="R28" i="1" s="1"/>
  <c r="R78" i="1" s="1"/>
  <c r="Q39" i="1"/>
  <c r="Q38" i="1"/>
  <c r="R38" i="1" s="1"/>
  <c r="Q35" i="1"/>
  <c r="R35" i="1" s="1"/>
  <c r="R158" i="1"/>
  <c r="R182" i="1"/>
  <c r="P101" i="7"/>
  <c r="P102" i="7" s="1"/>
  <c r="R346" i="1"/>
  <c r="R371" i="1" s="1"/>
  <c r="Q371" i="1"/>
  <c r="R196" i="1"/>
  <c r="R118" i="1"/>
  <c r="C86" i="7"/>
  <c r="F86" i="7" s="1"/>
  <c r="R180" i="1"/>
  <c r="L56" i="7"/>
  <c r="L57" i="7" s="1"/>
  <c r="R187" i="1"/>
  <c r="K56" i="7"/>
  <c r="K57" i="7" s="1"/>
  <c r="R200" i="1"/>
  <c r="R194" i="1"/>
  <c r="I51" i="7"/>
  <c r="I52" i="7" s="1"/>
  <c r="Q245" i="1"/>
  <c r="R115" i="1"/>
  <c r="F30" i="7"/>
  <c r="F31" i="7" s="1"/>
  <c r="R230" i="1"/>
  <c r="R198" i="1"/>
  <c r="Q120" i="1"/>
  <c r="C30" i="7"/>
  <c r="G30" i="7" s="1"/>
  <c r="R114" i="1"/>
  <c r="E51" i="7"/>
  <c r="E52" i="7" s="1"/>
  <c r="C76" i="7"/>
  <c r="C77" i="7" s="1"/>
  <c r="R190" i="1"/>
  <c r="M51" i="7"/>
  <c r="M52" i="7" s="1"/>
  <c r="R222" i="1"/>
  <c r="R183" i="1"/>
  <c r="R193" i="1"/>
  <c r="H51" i="7"/>
  <c r="H52" i="7" s="1"/>
  <c r="I56" i="7"/>
  <c r="I57" i="7" s="1"/>
  <c r="R326" i="1"/>
  <c r="R459" i="1"/>
  <c r="R75" i="1"/>
  <c r="Q326" i="1"/>
  <c r="G51" i="7"/>
  <c r="G52" i="7" s="1"/>
  <c r="R184" i="1"/>
  <c r="N51" i="7"/>
  <c r="N52" i="7" s="1"/>
  <c r="R191" i="1"/>
  <c r="F41" i="7"/>
  <c r="O51" i="7"/>
  <c r="O52" i="7" s="1"/>
  <c r="R192" i="1"/>
  <c r="R185" i="1"/>
  <c r="C97" i="7"/>
  <c r="Q204" i="1"/>
  <c r="R201" i="1"/>
  <c r="R197" i="1"/>
  <c r="R189" i="1"/>
  <c r="D20" i="7"/>
  <c r="D21" i="7" s="1"/>
  <c r="K51" i="7"/>
  <c r="K52" i="7" s="1"/>
  <c r="R188" i="1"/>
  <c r="E56" i="7"/>
  <c r="E57" i="7" s="1"/>
  <c r="R195" i="1"/>
  <c r="C42" i="7"/>
  <c r="F42" i="7" s="1"/>
  <c r="Q286" i="1"/>
  <c r="C66" i="7" s="1"/>
  <c r="C67" i="7" s="1"/>
  <c r="Q161" i="1"/>
  <c r="R156" i="1"/>
  <c r="R155" i="1"/>
  <c r="R239" i="1"/>
  <c r="M102" i="7"/>
  <c r="R286" i="1"/>
  <c r="C122" i="7"/>
  <c r="R64" i="1"/>
  <c r="R62" i="1"/>
  <c r="R68" i="1"/>
  <c r="H20" i="7"/>
  <c r="H21" i="7" s="1"/>
  <c r="R67" i="1"/>
  <c r="R59" i="1"/>
  <c r="R70" i="1"/>
  <c r="R71" i="1"/>
  <c r="J20" i="7"/>
  <c r="J21" i="7" s="1"/>
  <c r="R60" i="1"/>
  <c r="I20" i="7"/>
  <c r="I21" i="7" s="1"/>
  <c r="R63" i="1"/>
  <c r="G20" i="7"/>
  <c r="G21" i="7" s="1"/>
  <c r="R65" i="1"/>
  <c r="R61" i="1"/>
  <c r="R58" i="1"/>
  <c r="D52" i="7"/>
  <c r="R73" i="1"/>
  <c r="R72" i="1"/>
  <c r="C52" i="7"/>
  <c r="G131" i="7" l="1"/>
  <c r="R34" i="1"/>
  <c r="R33" i="1"/>
  <c r="C132" i="7"/>
  <c r="G132" i="7"/>
  <c r="R504" i="1"/>
  <c r="C87" i="7"/>
  <c r="F87" i="7" s="1"/>
  <c r="Q101" i="7"/>
  <c r="Q102" i="7" s="1"/>
  <c r="N56" i="7"/>
  <c r="N57" i="7" s="1"/>
  <c r="E20" i="7"/>
  <c r="E21" i="7" s="1"/>
  <c r="F20" i="7"/>
  <c r="F21" i="7" s="1"/>
  <c r="R25" i="1"/>
  <c r="Q79" i="1"/>
  <c r="R39" i="1"/>
  <c r="R120" i="1"/>
  <c r="R245" i="1"/>
  <c r="C31" i="7"/>
  <c r="G31" i="7" s="1"/>
  <c r="R204" i="1"/>
  <c r="R161" i="1"/>
  <c r="R37" i="1" l="1"/>
  <c r="R43" i="1" s="1"/>
  <c r="C20" i="7"/>
  <c r="R76" i="1"/>
  <c r="R79" i="1" s="1"/>
  <c r="Q43" i="1" l="1"/>
  <c r="C21" i="7"/>
  <c r="K21" i="7" s="1"/>
  <c r="K20" i="7"/>
  <c r="C9" i="7" s="1"/>
  <c r="C10" i="7" l="1"/>
</calcChain>
</file>

<file path=xl/comments1.xml><?xml version="1.0" encoding="utf-8"?>
<comments xmlns="http://schemas.openxmlformats.org/spreadsheetml/2006/main">
  <authors>
    <author>Tbutkows</author>
  </authors>
  <commentList>
    <comment ref="M6" authorId="0" shapeId="0">
      <text>
        <r>
          <rPr>
            <b/>
            <sz val="8"/>
            <color indexed="81"/>
            <rFont val="Tahoma"/>
            <family val="2"/>
          </rPr>
          <t>Actual Revenue Collections</t>
        </r>
        <r>
          <rPr>
            <sz val="8"/>
            <color indexed="81"/>
            <rFont val="Tahoma"/>
            <family val="2"/>
          </rPr>
          <t xml:space="preserve">
</t>
        </r>
      </text>
    </comment>
    <comment ref="A64" authorId="0" shapeId="0">
      <text>
        <r>
          <rPr>
            <sz val="8"/>
            <color indexed="81"/>
            <rFont val="Tahoma"/>
            <family val="2"/>
          </rPr>
          <t>MISO uses the "Michigan Joint Zone" load to develop the Schedule 26 rates.  Link formula in column L (Calculated Revenue Allocation) to the Michgan Joint Zone load on the Projected Zonal Load and Actual Load tabs.</t>
        </r>
      </text>
    </comment>
    <comment ref="A150" authorId="0" shapeId="0">
      <text>
        <r>
          <rPr>
            <sz val="8"/>
            <color indexed="81"/>
            <rFont val="Tahoma"/>
            <family val="2"/>
          </rPr>
          <t xml:space="preserve">MISO uses the "Michigan Jt Zone Subzone" load to develop the Schedule 26 rates.  Link formula in column L (Calculated Revenue Allocation) to the Michgan Jt Zone Subzone  load on the Projected Zonal Load and Actual Load tabs.
</t>
        </r>
      </text>
    </comment>
    <comment ref="A151" authorId="0" shapeId="0">
      <text>
        <r>
          <rPr>
            <sz val="8"/>
            <color indexed="81"/>
            <rFont val="Tahoma"/>
            <family val="2"/>
          </rPr>
          <t>MISO uses the "Michigan Joint Zone" load to develop the Schedule 26 rates.  Link formula in column L (Calculated Revenue Allocation) to the Michgan Joint Zone load on the Projected Zonal Load and Actual Load tabs.</t>
        </r>
      </text>
    </comment>
  </commentList>
</comments>
</file>

<file path=xl/comments2.xml><?xml version="1.0" encoding="utf-8"?>
<comments xmlns="http://schemas.openxmlformats.org/spreadsheetml/2006/main">
  <authors>
    <author>Jeff Haselhorst</author>
    <author>Michael Gard</author>
    <author>Ron Gable</author>
  </authors>
  <commentList>
    <comment ref="B36" authorId="0" shapeId="0">
      <text>
        <r>
          <rPr>
            <b/>
            <sz val="9"/>
            <color indexed="81"/>
            <rFont val="Tahoma"/>
            <family val="2"/>
          </rPr>
          <t>Jeff Haselhorst:</t>
        </r>
        <r>
          <rPr>
            <sz val="9"/>
            <color indexed="81"/>
            <rFont val="Tahoma"/>
            <family val="2"/>
          </rPr>
          <t xml:space="preserve">
This amount does not include the SMEPA load in the EMI TPZ.</t>
        </r>
      </text>
    </comment>
    <comment ref="B68" authorId="1" shapeId="0">
      <text>
        <r>
          <rPr>
            <b/>
            <sz val="8"/>
            <color indexed="81"/>
            <rFont val="Tahoma"/>
            <family val="2"/>
          </rPr>
          <t>Michael Gard:</t>
        </r>
        <r>
          <rPr>
            <sz val="8"/>
            <color indexed="81"/>
            <rFont val="Tahoma"/>
            <family val="2"/>
          </rPr>
          <t xml:space="preserve">
ITCM load as reported on Attachment O less loads of other Transmission Oweners in ITCM zone.</t>
        </r>
      </text>
    </comment>
    <comment ref="B75" authorId="1" shapeId="0">
      <text>
        <r>
          <rPr>
            <b/>
            <sz val="8"/>
            <color indexed="81"/>
            <rFont val="Tahoma"/>
            <family val="2"/>
          </rPr>
          <t>Michael Gard:</t>
        </r>
        <r>
          <rPr>
            <sz val="8"/>
            <color indexed="81"/>
            <rFont val="Tahoma"/>
            <family val="2"/>
          </rPr>
          <t xml:space="preserve">
Total will match amount reported on line 15, page 1 of 5, of the Actual ITCM Attachment O.</t>
        </r>
      </text>
    </comment>
    <comment ref="B76" authorId="1" shapeId="0">
      <text>
        <r>
          <rPr>
            <b/>
            <sz val="8"/>
            <color indexed="81"/>
            <rFont val="Tahoma"/>
            <family val="2"/>
          </rPr>
          <t>Michael Gard:</t>
        </r>
        <r>
          <rPr>
            <sz val="8"/>
            <color indexed="81"/>
            <rFont val="Tahoma"/>
            <family val="2"/>
          </rPr>
          <t xml:space="preserve">
Includes only AC System load as reported on line 15, page 1 of 6, of the Actual Attachment O.</t>
        </r>
      </text>
    </comment>
    <comment ref="B79" authorId="2" shapeId="0">
      <text>
        <r>
          <rPr>
            <b/>
            <sz val="9"/>
            <color indexed="81"/>
            <rFont val="Tahoma"/>
            <family val="2"/>
          </rPr>
          <t>Ron Gable:</t>
        </r>
        <r>
          <rPr>
            <sz val="9"/>
            <color indexed="81"/>
            <rFont val="Tahoma"/>
            <family val="2"/>
          </rPr>
          <t xml:space="preserve">
OTP load plus NSP load in OTP PZ.</t>
        </r>
      </text>
    </comment>
    <comment ref="B85" authorId="1" shapeId="0">
      <text>
        <r>
          <rPr>
            <b/>
            <sz val="8"/>
            <color indexed="81"/>
            <rFont val="Tahoma"/>
            <family val="2"/>
          </rPr>
          <t>Michael Gard:</t>
        </r>
        <r>
          <rPr>
            <sz val="8"/>
            <color indexed="81"/>
            <rFont val="Tahoma"/>
            <family val="2"/>
          </rPr>
          <t xml:space="preserve">
NSP load as reported on line 15, page 1 of 5, of the Actual Attachment O less NWEC, Glencoe, Blue Earth and Delano; as the loads for these four Transmission Owners are included in the load NSP has reported in line 15.  Also subtract NSP load in OTP PZ as it is included in NSP Att O.</t>
        </r>
      </text>
    </comment>
    <comment ref="B108" authorId="0" shapeId="0">
      <text>
        <r>
          <rPr>
            <b/>
            <sz val="9"/>
            <color indexed="81"/>
            <rFont val="Tahoma"/>
            <family val="2"/>
          </rPr>
          <t>Jeff Haselhorst:</t>
        </r>
        <r>
          <rPr>
            <sz val="9"/>
            <color indexed="81"/>
            <rFont val="Tahoma"/>
            <family val="2"/>
          </rPr>
          <t xml:space="preserve">
Total will match amount reported on line 15, page 1 of 5, of the Actual DPC Attachment O.</t>
        </r>
      </text>
    </comment>
    <comment ref="B124" authorId="0" shapeId="0">
      <text>
        <r>
          <rPr>
            <b/>
            <sz val="9"/>
            <color indexed="81"/>
            <rFont val="Tahoma"/>
            <family val="2"/>
          </rPr>
          <t>Jeff Haselhorst:</t>
        </r>
        <r>
          <rPr>
            <sz val="9"/>
            <color indexed="81"/>
            <rFont val="Tahoma"/>
            <family val="2"/>
          </rPr>
          <t xml:space="preserve">
EATO to report all AECC load for 2014 &amp; beyond…even the non-conforming NITSA load.</t>
        </r>
      </text>
    </comment>
    <comment ref="B127" authorId="0" shapeId="0">
      <text>
        <r>
          <rPr>
            <b/>
            <sz val="9"/>
            <color indexed="81"/>
            <rFont val="Tahoma"/>
            <family val="2"/>
          </rPr>
          <t>Jeff Haselhorst:</t>
        </r>
        <r>
          <rPr>
            <sz val="9"/>
            <color indexed="81"/>
            <rFont val="Tahoma"/>
            <family val="2"/>
          </rPr>
          <t xml:space="preserve">
Amount inlcudes CLECO load in ELL. Combined with EGSL in 11/15.</t>
        </r>
      </text>
    </comment>
    <comment ref="C147" authorId="2" shapeId="0">
      <text>
        <r>
          <rPr>
            <b/>
            <sz val="9"/>
            <color indexed="81"/>
            <rFont val="Tahoma"/>
            <family val="2"/>
          </rPr>
          <t>Ron Gable:</t>
        </r>
        <r>
          <rPr>
            <sz val="9"/>
            <color indexed="81"/>
            <rFont val="Tahoma"/>
            <family val="2"/>
          </rPr>
          <t xml:space="preserve">
NSP load in OTP PZ</t>
        </r>
      </text>
    </comment>
  </commentList>
</comments>
</file>

<file path=xl/sharedStrings.xml><?xml version="1.0" encoding="utf-8"?>
<sst xmlns="http://schemas.openxmlformats.org/spreadsheetml/2006/main" count="1603" uniqueCount="299">
  <si>
    <t>Project ID:</t>
  </si>
  <si>
    <t>1472  GIP</t>
  </si>
  <si>
    <t>Project Name:</t>
  </si>
  <si>
    <t>G536 19.95 MW wind farm in Jackson County, MN</t>
  </si>
  <si>
    <t>Voltage Class</t>
  </si>
  <si>
    <t>69 kV</t>
  </si>
  <si>
    <t>Project Cost</t>
  </si>
  <si>
    <t xml:space="preserve">Region / Zone: </t>
  </si>
  <si>
    <t>West / GRE</t>
  </si>
  <si>
    <t>ARR</t>
  </si>
  <si>
    <t>Postage Stamp</t>
  </si>
  <si>
    <t>Sub-regional</t>
  </si>
  <si>
    <t>Allocation Total</t>
  </si>
  <si>
    <t>Allocation</t>
  </si>
  <si>
    <t>Pricing Zone</t>
  </si>
  <si>
    <t>12 CP Load kW</t>
  </si>
  <si>
    <t xml:space="preserve">Load Ratio Share </t>
  </si>
  <si>
    <t>%</t>
  </si>
  <si>
    <t>$</t>
  </si>
  <si>
    <t>HE</t>
  </si>
  <si>
    <t>IPL</t>
  </si>
  <si>
    <t>NIPS</t>
  </si>
  <si>
    <t>METC</t>
  </si>
  <si>
    <t>ITC</t>
  </si>
  <si>
    <t>ITCM</t>
  </si>
  <si>
    <t>CWLD</t>
  </si>
  <si>
    <t>AMIL</t>
  </si>
  <si>
    <t>AMMO</t>
  </si>
  <si>
    <t>CWLP</t>
  </si>
  <si>
    <t>SIPC</t>
  </si>
  <si>
    <t>ATC</t>
  </si>
  <si>
    <t>NSP</t>
  </si>
  <si>
    <t>MP</t>
  </si>
  <si>
    <t>SMMPA</t>
  </si>
  <si>
    <t>GRE</t>
  </si>
  <si>
    <t>OTP</t>
  </si>
  <si>
    <t>MDU</t>
  </si>
  <si>
    <t>Note: This is a Generation Interconnection Project.  Therefore, only 50% of project cost is included in Pricing Zone/s.</t>
  </si>
  <si>
    <t>D</t>
  </si>
  <si>
    <t>F</t>
  </si>
  <si>
    <t>G</t>
  </si>
  <si>
    <t>A</t>
  </si>
  <si>
    <t>B</t>
  </si>
  <si>
    <t>E</t>
  </si>
  <si>
    <t>H</t>
  </si>
  <si>
    <t>Revenue True-Up Adjustment</t>
  </si>
  <si>
    <t>Attachment GG</t>
  </si>
  <si>
    <t xml:space="preserve">Total </t>
  </si>
  <si>
    <t>Cost True-Up</t>
  </si>
  <si>
    <t>Actual Revenue Calculation</t>
  </si>
  <si>
    <t>Revenue True-Up</t>
  </si>
  <si>
    <t>Zonal True-Up</t>
  </si>
  <si>
    <t>True-Up</t>
  </si>
  <si>
    <t>Adjustment</t>
  </si>
  <si>
    <t>Projected Rev.</t>
  </si>
  <si>
    <t>Interest</t>
  </si>
  <si>
    <t>Amount</t>
  </si>
  <si>
    <t>Over/(Under) collection</t>
  </si>
  <si>
    <t>279 - GRE portion</t>
  </si>
  <si>
    <t>Boswell - Wilton 230 kV Line</t>
  </si>
  <si>
    <t>230 kV</t>
  </si>
  <si>
    <t>West / MPC, NSP, OTP, MP</t>
  </si>
  <si>
    <t>277, 1022  -  1022 is GRE portion</t>
  </si>
  <si>
    <t>Badoura Area Upgrades</t>
  </si>
  <si>
    <t>115kV</t>
  </si>
  <si>
    <t>West - MP</t>
  </si>
  <si>
    <t>2097   GIP</t>
  </si>
  <si>
    <t>GRE2097_GIP</t>
  </si>
  <si>
    <t>69 kV, 230kV</t>
  </si>
  <si>
    <t>MI13AG</t>
  </si>
  <si>
    <t>MI13ANG</t>
  </si>
  <si>
    <t>286 - GRE portion - see below for NSP, OTP &amp; MP</t>
  </si>
  <si>
    <t>Capx_Twin Cities - Fargo 345kV project</t>
  </si>
  <si>
    <t>345 kV, 115 kV</t>
  </si>
  <si>
    <t>West / GRE/NSP/OTP/MP</t>
  </si>
  <si>
    <t>2562 GIP</t>
  </si>
  <si>
    <t>1471  GIP</t>
  </si>
  <si>
    <t>G518 8 MWI wind farm in Jackson County, MN</t>
  </si>
  <si>
    <t>Jan.</t>
  </si>
  <si>
    <t>Feb.</t>
  </si>
  <si>
    <t>Mar</t>
  </si>
  <si>
    <t>Apr</t>
  </si>
  <si>
    <t>May</t>
  </si>
  <si>
    <t>Jun</t>
  </si>
  <si>
    <t>Jul</t>
  </si>
  <si>
    <t>Aug</t>
  </si>
  <si>
    <t>Sep</t>
  </si>
  <si>
    <t>Oct</t>
  </si>
  <si>
    <t>Nov</t>
  </si>
  <si>
    <t>12 CP</t>
  </si>
  <si>
    <t>DUK</t>
  </si>
  <si>
    <t>MEC</t>
  </si>
  <si>
    <t>MPW</t>
  </si>
  <si>
    <t>DPC</t>
  </si>
  <si>
    <t>BREC</t>
  </si>
  <si>
    <t>Total</t>
  </si>
  <si>
    <t>WVPA</t>
  </si>
  <si>
    <t>IMPA</t>
  </si>
  <si>
    <t>Joint Transmission System</t>
  </si>
  <si>
    <t>Michigan Joint Sub-Zone</t>
  </si>
  <si>
    <t xml:space="preserve">     Michigan Joint Zone</t>
  </si>
  <si>
    <t>MPPA</t>
  </si>
  <si>
    <t>Wolverine</t>
  </si>
  <si>
    <t>MSCPA</t>
  </si>
  <si>
    <t>Traverse City</t>
  </si>
  <si>
    <t>Grand Haven</t>
  </si>
  <si>
    <t>Zeeland</t>
  </si>
  <si>
    <t>Mich Joint Zone</t>
  </si>
  <si>
    <t>International</t>
  </si>
  <si>
    <t>Great River Energy</t>
  </si>
  <si>
    <t>Elk River</t>
  </si>
  <si>
    <t>Northern States</t>
  </si>
  <si>
    <t>ITC Midwest</t>
  </si>
  <si>
    <t>Tipton</t>
  </si>
  <si>
    <t>Mountian Lake</t>
  </si>
  <si>
    <t>Windom</t>
  </si>
  <si>
    <t>Minnesota Power</t>
  </si>
  <si>
    <t>Otter Tail</t>
  </si>
  <si>
    <t>MRES</t>
  </si>
  <si>
    <t>NWEC</t>
  </si>
  <si>
    <t>Blue Earth</t>
  </si>
  <si>
    <t>Delano</t>
  </si>
  <si>
    <t>CFU</t>
  </si>
  <si>
    <t>Atlantic</t>
  </si>
  <si>
    <t>IPPA</t>
  </si>
  <si>
    <t>Eldridge</t>
  </si>
  <si>
    <t>Pella</t>
  </si>
  <si>
    <t>Montezuma</t>
  </si>
  <si>
    <t>Non-GFA</t>
  </si>
  <si>
    <t>Mi Joint Zone (Zone 13)</t>
  </si>
  <si>
    <t>GFA</t>
  </si>
  <si>
    <t>Mi Joint Zone Subzone (Zone 13A)</t>
  </si>
  <si>
    <t xml:space="preserve"> </t>
  </si>
  <si>
    <t>Formula</t>
  </si>
  <si>
    <t>MTEP:</t>
  </si>
  <si>
    <t>06</t>
  </si>
  <si>
    <t>07</t>
  </si>
  <si>
    <t>MTEP</t>
  </si>
  <si>
    <t>From 26 File does not change</t>
  </si>
  <si>
    <t>08</t>
  </si>
  <si>
    <t>FROM MTEP</t>
  </si>
  <si>
    <t>09</t>
  </si>
  <si>
    <t>Attachment GG True-up Summary</t>
  </si>
  <si>
    <t>Total Over (Under) Collection</t>
  </si>
  <si>
    <t xml:space="preserve">Total Interest </t>
  </si>
  <si>
    <t>Total Annual True Up Amount</t>
  </si>
  <si>
    <t>Individual Project Listing:</t>
  </si>
  <si>
    <t>Annual Over (Under) Collection</t>
  </si>
  <si>
    <t xml:space="preserve">Interest </t>
  </si>
  <si>
    <t>Total True Up Amount</t>
  </si>
  <si>
    <t>Interest Information:</t>
  </si>
  <si>
    <t>Month</t>
  </si>
  <si>
    <t>Year</t>
  </si>
  <si>
    <t>FERC Monthly
 Interest Rate</t>
  </si>
  <si>
    <t>January</t>
  </si>
  <si>
    <t>February</t>
  </si>
  <si>
    <t>March</t>
  </si>
  <si>
    <t>April</t>
  </si>
  <si>
    <t>June</t>
  </si>
  <si>
    <t>July</t>
  </si>
  <si>
    <t>August</t>
  </si>
  <si>
    <t>September</t>
  </si>
  <si>
    <t>October</t>
  </si>
  <si>
    <t>November</t>
  </si>
  <si>
    <t>December</t>
  </si>
  <si>
    <t>Average Monthly Rate</t>
  </si>
  <si>
    <t>Times 12</t>
  </si>
  <si>
    <t>Annual Rate</t>
  </si>
  <si>
    <t xml:space="preserve">286 GRE portion </t>
  </si>
  <si>
    <t>Capx_TwinCities_Fargo 345kV Project</t>
  </si>
  <si>
    <t>West/GRE.NSP.OTP MP</t>
  </si>
  <si>
    <t xml:space="preserve">2097 GRE portion </t>
  </si>
  <si>
    <t>60kV, 230kV</t>
  </si>
  <si>
    <t>West/GRE</t>
  </si>
  <si>
    <t>Total Projected Revenue Requirement</t>
  </si>
  <si>
    <t>Projected Revenue Requirement</t>
  </si>
  <si>
    <t>Net Revenue Requirement</t>
  </si>
  <si>
    <t>True-Up Adjustment</t>
  </si>
  <si>
    <t>Actual Revenue Requirement</t>
  </si>
  <si>
    <t>Calculated Revenue Allocation</t>
  </si>
  <si>
    <t>Actual Total Revenue Allocated</t>
  </si>
  <si>
    <t>Over(Under) Recovery</t>
  </si>
  <si>
    <t>C</t>
  </si>
  <si>
    <t>C-D</t>
  </si>
  <si>
    <t>A+E</t>
  </si>
  <si>
    <t>F+G</t>
  </si>
  <si>
    <t>Interest Calculation</t>
  </si>
  <si>
    <t>True Up Calculation</t>
  </si>
  <si>
    <t>True Up Amounts</t>
  </si>
  <si>
    <t>3104 GIP</t>
  </si>
  <si>
    <t>3105 GIP</t>
  </si>
  <si>
    <t>1542 GIP</t>
  </si>
  <si>
    <t>3104  GIP</t>
  </si>
  <si>
    <t>3105  GIP</t>
  </si>
  <si>
    <t>1542  GIP</t>
  </si>
  <si>
    <t>ATSI = FE</t>
  </si>
  <si>
    <t>Hutchinson</t>
  </si>
  <si>
    <t>GRE Total</t>
  </si>
  <si>
    <t>Allocation was revised 6/11 to reflect the inclusion of MRES per Docket ER11-3276</t>
  </si>
  <si>
    <t>TAREA - Pleasant Valley Substation: Generation Network Upgrades</t>
  </si>
  <si>
    <t>TAREA - Wilmarth replace circuit breakers 8S23 &amp; 8S25</t>
  </si>
  <si>
    <t>TAREA - G252: Valley View Wind Interconnection</t>
  </si>
  <si>
    <t>TAREA - SC-ODT Line - Modify Strs to meet 212 Deg F</t>
  </si>
  <si>
    <t xml:space="preserve">  </t>
  </si>
  <si>
    <t>SC-ODT Line - Modify Strs to meet 212 Deg F</t>
  </si>
  <si>
    <t>G252: Valley View Wind Interconnection</t>
  </si>
  <si>
    <t>Wilmarth replace circuit breakers 8S23 &amp; 8S25</t>
  </si>
  <si>
    <t>DEO &amp; DEK</t>
  </si>
  <si>
    <t>Michigan Joint Zone</t>
  </si>
  <si>
    <t>Michigan Jt Zone Subzone</t>
  </si>
  <si>
    <t>DUK = CIN</t>
  </si>
  <si>
    <t>SIGE = VECT</t>
  </si>
  <si>
    <t>ATXI</t>
  </si>
  <si>
    <t>SMMPA Total</t>
  </si>
  <si>
    <t>NSP Total</t>
  </si>
  <si>
    <t>Interest Summary</t>
  </si>
  <si>
    <t>Project</t>
  </si>
  <si>
    <t>Over/(Under)</t>
  </si>
  <si>
    <t>Int</t>
  </si>
  <si>
    <t>Total Int</t>
  </si>
  <si>
    <t>277/1022</t>
  </si>
  <si>
    <t>GRE Monthly Short Term Debt Rate</t>
  </si>
  <si>
    <t xml:space="preserve"> Dec </t>
  </si>
  <si>
    <t>EATO</t>
  </si>
  <si>
    <t>ELTO</t>
  </si>
  <si>
    <t>EMTO</t>
  </si>
  <si>
    <t>ETTO</t>
  </si>
  <si>
    <t>CLEC</t>
  </si>
  <si>
    <t>SME</t>
  </si>
  <si>
    <t>LAFA</t>
  </si>
  <si>
    <t>Worthington</t>
  </si>
  <si>
    <t>Benson</t>
  </si>
  <si>
    <t>Detroit Lakes</t>
  </si>
  <si>
    <t>CMMPA- Agency</t>
  </si>
  <si>
    <t>MMPA</t>
  </si>
  <si>
    <t>PPI</t>
  </si>
  <si>
    <t>AECC</t>
  </si>
  <si>
    <t>ENO</t>
  </si>
  <si>
    <t>EGSL</t>
  </si>
  <si>
    <t>Sam Houston</t>
  </si>
  <si>
    <t>Tex-La</t>
  </si>
  <si>
    <t>Jasper Newton</t>
  </si>
  <si>
    <t>Deep East Texas</t>
  </si>
  <si>
    <t>Jasper-Newton</t>
  </si>
  <si>
    <t xml:space="preserve">July </t>
  </si>
  <si>
    <t>2634 - GRE portion - see next project for MP</t>
  </si>
  <si>
    <t>GRE/MP</t>
  </si>
  <si>
    <t>(12 CP Loads for Attachment GG True-Ups, Footnote 1 from Attachment GG)</t>
  </si>
  <si>
    <t>PRICING ZONES</t>
  </si>
  <si>
    <t>TOTAL</t>
  </si>
  <si>
    <t>LOAD IN PRICING ZONES WITH MULTIPLE TRANSMISSION OWNERS</t>
  </si>
  <si>
    <t>Glencoe</t>
  </si>
  <si>
    <t>Ames</t>
  </si>
  <si>
    <t>Rochester</t>
  </si>
  <si>
    <t>CLECO</t>
  </si>
  <si>
    <t>Alexandria, LA</t>
  </si>
  <si>
    <t>Loads for Attachment GG True-Ups
(Footnote 1 from Attachment GG True-Up Procedure for GRE, ITCM, ITC, METC, and NSP)</t>
  </si>
  <si>
    <t>* Cells highlighted in green are forward-looking TO's, or zones with Forward-looking TOs</t>
  </si>
  <si>
    <t>12 CP LOAD (kW)</t>
  </si>
  <si>
    <t>TRANSMISSION OWNER</t>
  </si>
  <si>
    <t xml:space="preserve">     13A Michigan Joint Zone</t>
  </si>
  <si>
    <t>13 Mich Joint Zone</t>
  </si>
  <si>
    <t>10 ITC</t>
  </si>
  <si>
    <t>8 GRE</t>
  </si>
  <si>
    <t>1 ITCM</t>
  </si>
  <si>
    <t>14 MP</t>
  </si>
  <si>
    <t>18 OTP</t>
  </si>
  <si>
    <t>16 NSP</t>
  </si>
  <si>
    <t>24 MEC</t>
  </si>
  <si>
    <t>26 DPC</t>
  </si>
  <si>
    <t>3A AMIL</t>
  </si>
  <si>
    <t>20 SMMPA</t>
  </si>
  <si>
    <t>13 Mi Joint Zone</t>
  </si>
  <si>
    <t>13 A Mi Joint Zone Subzone</t>
  </si>
  <si>
    <t>28 EATO</t>
  </si>
  <si>
    <t>29 ELTO</t>
  </si>
  <si>
    <t>30 EMTO</t>
  </si>
  <si>
    <t>31 ETTO</t>
  </si>
  <si>
    <t>32 CLECO</t>
  </si>
  <si>
    <t>TRANSMISSION OWNERS WITH LOAD IN MULTIPLE ZONES</t>
  </si>
  <si>
    <t>CHECK FIGURE- SHOULD TIE TO ATTACH O DIVISOR</t>
  </si>
  <si>
    <t>SMEPA Total</t>
  </si>
  <si>
    <t>GRE's Short Term Debt Rate (Avg Rate Jan '14 - July '15)</t>
  </si>
  <si>
    <t>FERC Interest Rate (Avg Rate Jan '14 - July '15)</t>
  </si>
  <si>
    <t>TOTAL PRICING ZONE LOADS USED IN 2015 RATES</t>
  </si>
  <si>
    <t>Marshall</t>
  </si>
  <si>
    <t>ELL</t>
  </si>
  <si>
    <t>EMI</t>
  </si>
  <si>
    <t>TOTAL ACTUAL 2015 PRICING ZONE LOADS</t>
  </si>
  <si>
    <t>Willmar</t>
  </si>
  <si>
    <t>ETI</t>
  </si>
  <si>
    <t>NSP Load in OTP PZ</t>
  </si>
  <si>
    <t>NWEC Total</t>
  </si>
  <si>
    <t>CLECO Total</t>
  </si>
  <si>
    <t>Actual 2015 Sched 26 Revenue Req</t>
  </si>
  <si>
    <t>2013 True-Up</t>
  </si>
  <si>
    <t>Actual 2015 Sched 26 Revenue Req (Including 2013 True-up)</t>
  </si>
  <si>
    <t>Actual 2015 Schedule 26 Revenue</t>
  </si>
  <si>
    <t>Annual True-Up for Fiscal Year Ended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</si>
</sst>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0.0000%"/>
    <numFmt numFmtId="168" formatCode="_(* #,##0_);_(* \(#,##0\);_(* &quot;-&quot;??_);_(@_)"/>
    <numFmt numFmtId="169" formatCode="_(* #,##0.00000_);_(* \(#,##0.00000\);_(* &quot;-&quot;??_);_(@_)"/>
    <numFmt numFmtId="170" formatCode="0.00000%"/>
  </numFmts>
  <fonts count="35" x14ac:knownFonts="1">
    <font>
      <sz val="11"/>
      <color theme="1"/>
      <name val="Calibri"/>
      <family val="2"/>
      <scheme val="minor"/>
    </font>
    <font>
      <sz val="11"/>
      <color theme="1"/>
      <name val="Calibri"/>
      <family val="2"/>
      <scheme val="minor"/>
    </font>
    <font>
      <sz val="10"/>
      <color indexed="8"/>
      <name val="Arial Narrow"/>
      <family val="2"/>
    </font>
    <font>
      <sz val="10"/>
      <color indexed="8"/>
      <name val="Arial"/>
      <family val="2"/>
    </font>
    <font>
      <sz val="12"/>
      <name val="Times New Roman"/>
      <family val="1"/>
    </font>
    <font>
      <b/>
      <sz val="8"/>
      <color indexed="81"/>
      <name val="Tahoma"/>
      <family val="2"/>
    </font>
    <font>
      <sz val="8"/>
      <color indexed="81"/>
      <name val="Tahoma"/>
      <family val="2"/>
    </font>
    <font>
      <b/>
      <sz val="11"/>
      <color theme="1"/>
      <name val="Calibri"/>
      <family val="2"/>
      <scheme val="minor"/>
    </font>
    <font>
      <sz val="12"/>
      <name val="Times New Roman"/>
      <family val="1"/>
    </font>
    <font>
      <b/>
      <sz val="12"/>
      <name val="Times New Roman"/>
      <family val="1"/>
    </font>
    <font>
      <sz val="11"/>
      <name val="Calibri"/>
      <family val="2"/>
      <scheme val="minor"/>
    </font>
    <font>
      <sz val="11"/>
      <color theme="0"/>
      <name val="Calibri"/>
      <family val="2"/>
      <scheme val="minor"/>
    </font>
    <font>
      <sz val="12"/>
      <color theme="0"/>
      <name val="Times New Roman"/>
      <family val="1"/>
    </font>
    <font>
      <b/>
      <sz val="11"/>
      <name val="Calibri"/>
      <family val="2"/>
      <scheme val="minor"/>
    </font>
    <font>
      <sz val="11"/>
      <color indexed="8"/>
      <name val="Calibri"/>
      <family val="2"/>
    </font>
    <font>
      <sz val="11"/>
      <color indexed="8"/>
      <name val="Calibri"/>
      <family val="2"/>
      <scheme val="minor"/>
    </font>
    <font>
      <sz val="11"/>
      <color indexed="12"/>
      <name val="Calibri"/>
      <family val="2"/>
      <scheme val="minor"/>
    </font>
    <font>
      <b/>
      <sz val="11"/>
      <color indexed="8"/>
      <name val="Calibri"/>
      <family val="2"/>
      <scheme val="minor"/>
    </font>
    <font>
      <b/>
      <sz val="11"/>
      <color indexed="12"/>
      <name val="Calibri"/>
      <family val="2"/>
      <scheme val="minor"/>
    </font>
    <font>
      <b/>
      <sz val="12"/>
      <color theme="1"/>
      <name val="Calibri"/>
      <family val="2"/>
      <scheme val="minor"/>
    </font>
    <font>
      <sz val="12"/>
      <color theme="1"/>
      <name val="Calibri"/>
      <family val="2"/>
      <scheme val="minor"/>
    </font>
    <font>
      <sz val="11"/>
      <color rgb="FF0070C0"/>
      <name val="Calibri"/>
      <family val="2"/>
      <scheme val="minor"/>
    </font>
    <font>
      <b/>
      <sz val="9"/>
      <color indexed="81"/>
      <name val="Tahoma"/>
      <family val="2"/>
    </font>
    <font>
      <sz val="9"/>
      <color indexed="81"/>
      <name val="Tahoma"/>
      <family val="2"/>
    </font>
    <font>
      <b/>
      <sz val="12"/>
      <color theme="1"/>
      <name val="Arial"/>
      <family val="2"/>
    </font>
    <font>
      <b/>
      <sz val="12"/>
      <name val="Arial"/>
      <family val="2"/>
    </font>
    <font>
      <sz val="12"/>
      <color theme="1"/>
      <name val="Arial"/>
      <family val="2"/>
    </font>
    <font>
      <sz val="12"/>
      <color rgb="FF0070C0"/>
      <name val="Arial"/>
      <family val="2"/>
    </font>
    <font>
      <sz val="12"/>
      <name val="Arial"/>
      <family val="2"/>
    </font>
    <font>
      <sz val="12"/>
      <color theme="3"/>
      <name val="Arial"/>
      <family val="2"/>
    </font>
    <font>
      <u/>
      <sz val="12"/>
      <name val="Arial"/>
      <family val="2"/>
    </font>
    <font>
      <sz val="10"/>
      <color theme="1"/>
      <name val="Arial"/>
      <family val="2"/>
    </font>
    <font>
      <b/>
      <u/>
      <sz val="12"/>
      <name val="Arial"/>
      <family val="2"/>
    </font>
    <font>
      <sz val="12"/>
      <color theme="4"/>
      <name val="Arial"/>
      <family val="2"/>
    </font>
    <font>
      <sz val="10"/>
      <name val="Arial"/>
      <family val="2"/>
    </font>
  </fonts>
  <fills count="1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indexed="47"/>
        <bgColor indexed="64"/>
      </patternFill>
    </fill>
    <fill>
      <patternFill patternType="solid">
        <fgColor indexed="4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rgb="FFB8CCE4"/>
        <bgColor indexed="64"/>
      </patternFill>
    </fill>
    <fill>
      <patternFill patternType="solid">
        <fgColor rgb="FFD8E4BC"/>
        <bgColor indexed="64"/>
      </patternFill>
    </fill>
  </fills>
  <borders count="66">
    <border>
      <left/>
      <right/>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right style="thin">
        <color indexed="64"/>
      </right>
      <top style="thin">
        <color indexed="64"/>
      </top>
      <bottom style="thin">
        <color indexed="22"/>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right style="thin">
        <color indexed="22"/>
      </right>
      <top style="thin">
        <color indexed="64"/>
      </top>
      <bottom style="thin">
        <color indexed="22"/>
      </bottom>
      <diagonal/>
    </border>
    <border>
      <left style="thin">
        <color indexed="64"/>
      </left>
      <right/>
      <top style="thin">
        <color indexed="22"/>
      </top>
      <bottom style="thin">
        <color indexed="64"/>
      </bottom>
      <diagonal/>
    </border>
    <border>
      <left/>
      <right style="thin">
        <color indexed="22"/>
      </right>
      <top style="thin">
        <color indexed="22"/>
      </top>
      <bottom style="thin">
        <color indexed="64"/>
      </bottom>
      <diagonal/>
    </border>
    <border>
      <left/>
      <right/>
      <top style="thin">
        <color indexed="64"/>
      </top>
      <bottom style="double">
        <color indexed="64"/>
      </bottom>
      <diagonal/>
    </border>
    <border>
      <left style="thin">
        <color indexed="64"/>
      </left>
      <right/>
      <top/>
      <bottom/>
      <diagonal/>
    </border>
    <border>
      <left style="thin">
        <color indexed="22"/>
      </left>
      <right/>
      <top/>
      <bottom style="thin">
        <color indexed="22"/>
      </bottom>
      <diagonal/>
    </border>
    <border>
      <left/>
      <right style="thin">
        <color indexed="22"/>
      </right>
      <top/>
      <bottom style="thin">
        <color indexed="22"/>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22"/>
      </right>
      <top style="thin">
        <color indexed="22"/>
      </top>
      <bottom/>
      <diagonal/>
    </border>
    <border>
      <left style="thin">
        <color indexed="64"/>
      </left>
      <right style="thin">
        <color indexed="64"/>
      </right>
      <top style="thin">
        <color indexed="22"/>
      </top>
      <bottom style="thin">
        <color indexed="64"/>
      </bottom>
      <diagonal/>
    </border>
    <border>
      <left style="thin">
        <color indexed="22"/>
      </left>
      <right style="thin">
        <color indexed="22"/>
      </right>
      <top/>
      <bottom/>
      <diagonal/>
    </border>
    <border>
      <left style="thin">
        <color indexed="22"/>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s>
  <cellStyleXfs count="1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2" fillId="0" borderId="0"/>
    <xf numFmtId="44" fontId="4" fillId="0" borderId="0" applyFont="0" applyFill="0" applyBorder="0" applyAlignment="0" applyProtection="0"/>
    <xf numFmtId="0" fontId="4" fillId="0" borderId="0"/>
    <xf numFmtId="43" fontId="1" fillId="0" borderId="0" applyFont="0" applyFill="0" applyBorder="0" applyAlignment="0" applyProtection="0"/>
    <xf numFmtId="0" fontId="8" fillId="0" borderId="0"/>
    <xf numFmtId="44" fontId="8"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412">
    <xf numFmtId="0" fontId="0" fillId="0" borderId="0" xfId="0"/>
    <xf numFmtId="0" fontId="0" fillId="0" borderId="0" xfId="0" applyAlignment="1">
      <alignment horizontal="center"/>
    </xf>
    <xf numFmtId="0" fontId="8" fillId="0" borderId="0" xfId="9"/>
    <xf numFmtId="0" fontId="8" fillId="0" borderId="0" xfId="9" applyBorder="1"/>
    <xf numFmtId="0" fontId="4" fillId="0" borderId="0" xfId="9" applyFont="1"/>
    <xf numFmtId="0" fontId="9" fillId="0" borderId="0" xfId="3" applyFont="1" applyBorder="1" applyAlignment="1">
      <alignment horizontal="left" vertical="center" wrapText="1"/>
    </xf>
    <xf numFmtId="0" fontId="4" fillId="0" borderId="0" xfId="3" applyFont="1" applyBorder="1" applyAlignment="1">
      <alignment horizontal="left" vertical="center" wrapText="1"/>
    </xf>
    <xf numFmtId="0" fontId="8" fillId="0" borderId="22" xfId="9" applyBorder="1" applyAlignment="1">
      <alignment horizontal="center"/>
    </xf>
    <xf numFmtId="165" fontId="0" fillId="0" borderId="0" xfId="10" applyNumberFormat="1" applyFont="1"/>
    <xf numFmtId="165" fontId="0" fillId="0" borderId="48" xfId="10" applyNumberFormat="1" applyFont="1" applyBorder="1"/>
    <xf numFmtId="0" fontId="9" fillId="0" borderId="0" xfId="3" applyFont="1" applyBorder="1" applyAlignment="1">
      <alignment horizontal="left" vertical="center"/>
    </xf>
    <xf numFmtId="0" fontId="4" fillId="0" borderId="0" xfId="3" applyFont="1" applyBorder="1" applyAlignment="1">
      <alignment horizontal="left" vertical="center"/>
    </xf>
    <xf numFmtId="10" fontId="8" fillId="0" borderId="0" xfId="2" applyNumberFormat="1" applyFont="1"/>
    <xf numFmtId="43" fontId="0" fillId="0" borderId="0" xfId="8" applyFont="1"/>
    <xf numFmtId="0" fontId="7" fillId="0" borderId="0" xfId="0" applyFont="1"/>
    <xf numFmtId="0" fontId="7" fillId="0" borderId="52" xfId="0" applyFont="1" applyBorder="1" applyAlignment="1">
      <alignment horizontal="center"/>
    </xf>
    <xf numFmtId="0" fontId="7" fillId="0" borderId="52" xfId="0" applyFont="1" applyBorder="1" applyAlignment="1">
      <alignment horizontal="center" wrapText="1"/>
    </xf>
    <xf numFmtId="1" fontId="0" fillId="0" borderId="0" xfId="0" applyNumberFormat="1"/>
    <xf numFmtId="0" fontId="0" fillId="0" borderId="0" xfId="0" applyFill="1"/>
    <xf numFmtId="0" fontId="9" fillId="0" borderId="0" xfId="3" applyFont="1" applyFill="1" applyBorder="1" applyAlignment="1">
      <alignment horizontal="left" vertical="center" wrapText="1"/>
    </xf>
    <xf numFmtId="0" fontId="8" fillId="0" borderId="0" xfId="9" applyFill="1"/>
    <xf numFmtId="0" fontId="4" fillId="0" borderId="0" xfId="3" applyFont="1" applyFill="1" applyBorder="1" applyAlignment="1">
      <alignment horizontal="left" vertical="center" wrapText="1"/>
    </xf>
    <xf numFmtId="0" fontId="8" fillId="0" borderId="22" xfId="9" applyFill="1" applyBorder="1" applyAlignment="1">
      <alignment horizontal="center"/>
    </xf>
    <xf numFmtId="165" fontId="0" fillId="0" borderId="0" xfId="10" applyNumberFormat="1" applyFont="1" applyFill="1"/>
    <xf numFmtId="0" fontId="4" fillId="0" borderId="0" xfId="9" applyFont="1" applyFill="1"/>
    <xf numFmtId="165" fontId="0" fillId="0" borderId="48" xfId="10" applyNumberFormat="1" applyFont="1" applyFill="1" applyBorder="1"/>
    <xf numFmtId="0" fontId="8" fillId="0" borderId="0" xfId="9" applyFill="1" applyBorder="1"/>
    <xf numFmtId="0" fontId="9" fillId="0" borderId="0" xfId="3" applyFont="1" applyFill="1" applyBorder="1" applyAlignment="1">
      <alignment horizontal="left" vertical="center" wrapText="1"/>
    </xf>
    <xf numFmtId="165" fontId="0" fillId="0" borderId="0" xfId="10" applyNumberFormat="1" applyFont="1" applyBorder="1"/>
    <xf numFmtId="165" fontId="0" fillId="0" borderId="0" xfId="10" applyNumberFormat="1" applyFont="1" applyFill="1" applyBorder="1"/>
    <xf numFmtId="0" fontId="9" fillId="0" borderId="0" xfId="9" applyFont="1" applyFill="1" applyBorder="1"/>
    <xf numFmtId="165" fontId="8" fillId="0" borderId="0" xfId="9" applyNumberFormat="1" applyFill="1" applyBorder="1"/>
    <xf numFmtId="165" fontId="8" fillId="0" borderId="19" xfId="9" applyNumberFormat="1" applyFill="1" applyBorder="1"/>
    <xf numFmtId="165" fontId="0" fillId="0" borderId="0" xfId="1" applyNumberFormat="1" applyFont="1" applyFill="1"/>
    <xf numFmtId="0" fontId="9" fillId="0" borderId="0" xfId="3" applyFont="1" applyFill="1" applyBorder="1" applyAlignment="1">
      <alignment horizontal="left" vertical="center" wrapText="1"/>
    </xf>
    <xf numFmtId="0" fontId="0" fillId="0" borderId="19" xfId="0" applyFill="1" applyBorder="1"/>
    <xf numFmtId="0" fontId="8" fillId="0" borderId="0" xfId="9" applyFill="1" applyBorder="1" applyAlignment="1">
      <alignment horizontal="center"/>
    </xf>
    <xf numFmtId="0" fontId="4" fillId="0" borderId="22" xfId="9" applyFont="1" applyFill="1" applyBorder="1" applyAlignment="1">
      <alignment horizontal="center"/>
    </xf>
    <xf numFmtId="0" fontId="4" fillId="0" borderId="0" xfId="9" applyFont="1" applyFill="1" applyBorder="1"/>
    <xf numFmtId="43" fontId="8" fillId="0" borderId="0" xfId="8" applyFont="1" applyFill="1" applyBorder="1"/>
    <xf numFmtId="44" fontId="8" fillId="0" borderId="0" xfId="9" applyNumberFormat="1" applyFill="1" applyBorder="1"/>
    <xf numFmtId="0" fontId="11" fillId="0" borderId="0" xfId="0" applyFont="1"/>
    <xf numFmtId="0" fontId="12" fillId="0" borderId="0" xfId="9" applyFont="1"/>
    <xf numFmtId="0" fontId="13" fillId="0" borderId="52" xfId="0" applyFont="1" applyFill="1" applyBorder="1" applyAlignment="1">
      <alignment horizontal="center" wrapText="1"/>
    </xf>
    <xf numFmtId="1" fontId="10" fillId="0" borderId="0" xfId="0" applyNumberFormat="1" applyFont="1" applyFill="1"/>
    <xf numFmtId="0" fontId="10" fillId="0" borderId="0" xfId="0" applyFont="1" applyAlignment="1">
      <alignment horizontal="center"/>
    </xf>
    <xf numFmtId="168" fontId="0" fillId="0" borderId="0" xfId="8" applyNumberFormat="1" applyFont="1" applyFill="1" applyBorder="1" applyAlignment="1"/>
    <xf numFmtId="167" fontId="0" fillId="0" borderId="0" xfId="2" applyNumberFormat="1" applyFont="1"/>
    <xf numFmtId="0" fontId="0" fillId="0" borderId="0" xfId="0" applyAlignment="1">
      <alignment horizontal="right"/>
    </xf>
    <xf numFmtId="165" fontId="0" fillId="0" borderId="0" xfId="1" applyNumberFormat="1" applyFont="1"/>
    <xf numFmtId="0" fontId="0" fillId="0" borderId="22" xfId="0" applyBorder="1"/>
    <xf numFmtId="0" fontId="0" fillId="0" borderId="22" xfId="0" applyBorder="1" applyAlignment="1">
      <alignment horizontal="center"/>
    </xf>
    <xf numFmtId="168" fontId="0" fillId="0" borderId="0" xfId="8" applyNumberFormat="1" applyFont="1" applyFill="1"/>
    <xf numFmtId="167" fontId="0" fillId="0" borderId="0" xfId="2" applyNumberFormat="1" applyFont="1" applyFill="1"/>
    <xf numFmtId="168" fontId="0" fillId="0" borderId="0" xfId="0" applyNumberFormat="1" applyFill="1"/>
    <xf numFmtId="168" fontId="0" fillId="0" borderId="0" xfId="8" applyNumberFormat="1" applyFont="1" applyFill="1" applyAlignment="1">
      <alignment horizontal="center"/>
    </xf>
    <xf numFmtId="0" fontId="0" fillId="0" borderId="19" xfId="0" applyBorder="1" applyAlignment="1">
      <alignment horizontal="center"/>
    </xf>
    <xf numFmtId="168" fontId="0" fillId="0" borderId="19" xfId="8" applyNumberFormat="1" applyFont="1" applyFill="1" applyBorder="1"/>
    <xf numFmtId="167" fontId="0" fillId="0" borderId="19" xfId="2" applyNumberFormat="1" applyFont="1" applyFill="1" applyBorder="1"/>
    <xf numFmtId="168" fontId="0" fillId="0" borderId="19" xfId="0" applyNumberFormat="1" applyFill="1" applyBorder="1"/>
    <xf numFmtId="0" fontId="0" fillId="0" borderId="0" xfId="0" applyBorder="1" applyAlignment="1">
      <alignment horizontal="center"/>
    </xf>
    <xf numFmtId="168" fontId="0" fillId="0" borderId="0" xfId="8" applyNumberFormat="1" applyFont="1" applyFill="1" applyBorder="1"/>
    <xf numFmtId="167" fontId="0" fillId="0" borderId="0" xfId="2" applyNumberFormat="1" applyFont="1" applyFill="1" applyBorder="1"/>
    <xf numFmtId="168" fontId="0" fillId="0" borderId="0" xfId="0" applyNumberFormat="1" applyFill="1" applyBorder="1"/>
    <xf numFmtId="0" fontId="0" fillId="0" borderId="0" xfId="0" applyFill="1" applyBorder="1"/>
    <xf numFmtId="170" fontId="0" fillId="0" borderId="0" xfId="2" applyNumberFormat="1" applyFont="1"/>
    <xf numFmtId="0" fontId="9" fillId="0" borderId="0" xfId="9" applyFont="1" applyFill="1"/>
    <xf numFmtId="0" fontId="4" fillId="0" borderId="0" xfId="9" applyFont="1" applyFill="1" applyProtection="1">
      <protection locked="0"/>
    </xf>
    <xf numFmtId="10" fontId="4" fillId="0" borderId="0" xfId="2" applyNumberFormat="1" applyFont="1" applyFill="1" applyProtection="1">
      <protection locked="0"/>
    </xf>
    <xf numFmtId="10" fontId="8" fillId="0" borderId="0" xfId="2" applyNumberFormat="1" applyFont="1" applyFill="1"/>
    <xf numFmtId="167" fontId="0" fillId="0" borderId="0" xfId="0" applyNumberFormat="1" applyFill="1"/>
    <xf numFmtId="169" fontId="0" fillId="0" borderId="0" xfId="0" applyNumberFormat="1"/>
    <xf numFmtId="0" fontId="9" fillId="0" borderId="0" xfId="3" applyFont="1" applyFill="1" applyBorder="1" applyAlignment="1">
      <alignment horizontal="left" vertical="center" wrapText="1"/>
    </xf>
    <xf numFmtId="0" fontId="0" fillId="0" borderId="19" xfId="0" applyBorder="1"/>
    <xf numFmtId="42" fontId="0" fillId="0" borderId="0" xfId="0" applyNumberFormat="1" applyFont="1" applyFill="1"/>
    <xf numFmtId="0" fontId="15" fillId="0" borderId="26" xfId="4" applyFont="1" applyFill="1" applyBorder="1" applyAlignment="1">
      <alignment vertical="top"/>
    </xf>
    <xf numFmtId="0" fontId="15" fillId="0" borderId="4" xfId="4" applyFont="1" applyFill="1" applyBorder="1" applyAlignment="1">
      <alignment vertical="top"/>
    </xf>
    <xf numFmtId="0" fontId="15" fillId="0" borderId="56" xfId="4" applyFont="1" applyFill="1" applyBorder="1" applyAlignment="1">
      <alignment vertical="top"/>
    </xf>
    <xf numFmtId="10" fontId="16" fillId="0" borderId="29" xfId="2" applyNumberFormat="1" applyFont="1" applyBorder="1" applyAlignment="1">
      <alignment vertical="top"/>
    </xf>
    <xf numFmtId="0" fontId="0" fillId="0" borderId="0" xfId="0" applyFont="1"/>
    <xf numFmtId="0" fontId="0" fillId="0" borderId="0" xfId="0" applyFont="1" applyFill="1" applyAlignment="1">
      <alignment horizontal="right"/>
    </xf>
    <xf numFmtId="0" fontId="0" fillId="0" borderId="0" xfId="0" applyFont="1" applyFill="1"/>
    <xf numFmtId="42" fontId="0" fillId="0" borderId="0" xfId="0" applyNumberFormat="1" applyFont="1"/>
    <xf numFmtId="0" fontId="0" fillId="0" borderId="0" xfId="0" applyFont="1" applyAlignment="1">
      <alignment horizontal="right"/>
    </xf>
    <xf numFmtId="165" fontId="0" fillId="0" borderId="0" xfId="0" applyNumberFormat="1" applyFont="1" applyFill="1"/>
    <xf numFmtId="0" fontId="17" fillId="7" borderId="53" xfId="0" applyFont="1" applyFill="1" applyBorder="1" applyAlignment="1">
      <alignment horizontal="centerContinuous"/>
    </xf>
    <xf numFmtId="0" fontId="17" fillId="7" borderId="54" xfId="0" applyFont="1" applyFill="1" applyBorder="1" applyAlignment="1">
      <alignment horizontal="centerContinuous"/>
    </xf>
    <xf numFmtId="0" fontId="17" fillId="8" borderId="53" xfId="0" applyFont="1" applyFill="1" applyBorder="1" applyAlignment="1">
      <alignment horizontal="centerContinuous"/>
    </xf>
    <xf numFmtId="0" fontId="17" fillId="8" borderId="54" xfId="0" applyFont="1" applyFill="1" applyBorder="1" applyAlignment="1">
      <alignment horizontal="centerContinuous"/>
    </xf>
    <xf numFmtId="0" fontId="17" fillId="8" borderId="55" xfId="0" applyFont="1" applyFill="1" applyBorder="1" applyAlignment="1">
      <alignment horizontal="centerContinuous"/>
    </xf>
    <xf numFmtId="166" fontId="0" fillId="0" borderId="17" xfId="0" applyNumberFormat="1" applyFont="1" applyBorder="1" applyAlignment="1"/>
    <xf numFmtId="166" fontId="0" fillId="0" borderId="17" xfId="0" applyNumberFormat="1" applyFont="1" applyBorder="1" applyAlignment="1">
      <alignment horizontal="center"/>
    </xf>
    <xf numFmtId="166" fontId="0" fillId="0" borderId="21" xfId="0" applyNumberFormat="1" applyFont="1" applyBorder="1" applyAlignment="1">
      <alignment horizontal="center"/>
    </xf>
    <xf numFmtId="166" fontId="0" fillId="0" borderId="17" xfId="0" applyNumberFormat="1" applyFont="1" applyFill="1" applyBorder="1" applyAlignment="1"/>
    <xf numFmtId="166" fontId="0" fillId="0" borderId="21" xfId="0" applyNumberFormat="1" applyFont="1" applyBorder="1" applyAlignment="1"/>
    <xf numFmtId="166" fontId="0" fillId="0" borderId="34" xfId="0" applyNumberFormat="1" applyFont="1" applyBorder="1" applyAlignment="1">
      <alignment horizontal="center"/>
    </xf>
    <xf numFmtId="166" fontId="0" fillId="0" borderId="22" xfId="0" applyNumberFormat="1" applyFont="1" applyFill="1" applyBorder="1" applyAlignment="1">
      <alignment horizontal="center"/>
    </xf>
    <xf numFmtId="166" fontId="0" fillId="0" borderId="25" xfId="0" applyNumberFormat="1" applyFont="1" applyBorder="1" applyAlignment="1">
      <alignment horizontal="center"/>
    </xf>
    <xf numFmtId="166" fontId="0" fillId="0" borderId="34" xfId="0" applyNumberFormat="1" applyFont="1" applyFill="1" applyBorder="1" applyAlignment="1">
      <alignment horizontal="center"/>
    </xf>
    <xf numFmtId="166" fontId="0" fillId="0" borderId="0" xfId="0" applyNumberFormat="1" applyFont="1" applyFill="1" applyAlignment="1"/>
    <xf numFmtId="166" fontId="0" fillId="0" borderId="0" xfId="0" applyNumberFormat="1" applyFont="1" applyAlignment="1"/>
    <xf numFmtId="165" fontId="0" fillId="0" borderId="21" xfId="0" applyNumberFormat="1" applyFont="1" applyFill="1" applyBorder="1"/>
    <xf numFmtId="165" fontId="0" fillId="0" borderId="0" xfId="0" applyNumberFormat="1" applyFont="1" applyAlignment="1"/>
    <xf numFmtId="165" fontId="0" fillId="0" borderId="33" xfId="0" applyNumberFormat="1" applyFont="1" applyBorder="1"/>
    <xf numFmtId="165" fontId="0" fillId="0" borderId="34" xfId="0" applyNumberFormat="1" applyFont="1" applyFill="1" applyBorder="1"/>
    <xf numFmtId="165" fontId="0" fillId="0" borderId="18" xfId="0" applyNumberFormat="1" applyFont="1" applyFill="1" applyBorder="1"/>
    <xf numFmtId="165" fontId="0" fillId="0" borderId="25" xfId="0" applyNumberFormat="1" applyFont="1" applyFill="1" applyBorder="1"/>
    <xf numFmtId="165" fontId="0" fillId="0" borderId="23" xfId="0" applyNumberFormat="1" applyFont="1" applyFill="1" applyBorder="1"/>
    <xf numFmtId="165" fontId="0" fillId="0" borderId="23" xfId="0" applyNumberFormat="1" applyFont="1" applyBorder="1"/>
    <xf numFmtId="165" fontId="0" fillId="0" borderId="24" xfId="0" applyNumberFormat="1" applyFont="1" applyBorder="1"/>
    <xf numFmtId="165" fontId="0" fillId="0" borderId="0" xfId="0" applyNumberFormat="1" applyFont="1"/>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6" borderId="0" xfId="0" applyFont="1" applyFill="1"/>
    <xf numFmtId="0" fontId="0" fillId="6" borderId="0" xfId="0" applyFont="1" applyFill="1" applyAlignment="1">
      <alignment horizontal="center"/>
    </xf>
    <xf numFmtId="0" fontId="0" fillId="6" borderId="0" xfId="0" applyFont="1" applyFill="1" applyBorder="1" applyAlignment="1">
      <alignment horizontal="center"/>
    </xf>
    <xf numFmtId="0" fontId="0" fillId="5" borderId="0" xfId="0" applyFont="1" applyFill="1" applyBorder="1" applyAlignment="1">
      <alignment horizontal="center"/>
    </xf>
    <xf numFmtId="165" fontId="0" fillId="0" borderId="0" xfId="0" applyNumberFormat="1" applyFont="1" applyFill="1" applyAlignment="1"/>
    <xf numFmtId="44" fontId="0" fillId="0" borderId="33" xfId="0" applyNumberFormat="1" applyFont="1" applyFill="1" applyBorder="1"/>
    <xf numFmtId="165" fontId="0" fillId="0" borderId="25" xfId="0" applyNumberFormat="1" applyFont="1" applyBorder="1"/>
    <xf numFmtId="44" fontId="0" fillId="0" borderId="24" xfId="0" applyNumberFormat="1" applyFont="1" applyFill="1" applyBorder="1"/>
    <xf numFmtId="1" fontId="0" fillId="0" borderId="0" xfId="0" applyNumberFormat="1" applyFont="1" applyFill="1"/>
    <xf numFmtId="14" fontId="0" fillId="0" borderId="0" xfId="0" applyNumberFormat="1" applyFont="1" applyAlignment="1">
      <alignment horizontal="right"/>
    </xf>
    <xf numFmtId="0" fontId="0" fillId="4" borderId="0" xfId="0" applyFont="1" applyFill="1"/>
    <xf numFmtId="0" fontId="0" fillId="4" borderId="0" xfId="0" applyFont="1" applyFill="1" applyAlignment="1">
      <alignment horizontal="right"/>
    </xf>
    <xf numFmtId="16" fontId="0" fillId="0" borderId="0" xfId="0" applyNumberFormat="1" applyFont="1"/>
    <xf numFmtId="44" fontId="0" fillId="0" borderId="33" xfId="0" applyNumberFormat="1" applyFont="1" applyBorder="1"/>
    <xf numFmtId="44" fontId="0" fillId="0" borderId="24" xfId="0" applyNumberFormat="1" applyFont="1" applyBorder="1"/>
    <xf numFmtId="42" fontId="0" fillId="4" borderId="0" xfId="0" applyNumberFormat="1" applyFont="1" applyFill="1"/>
    <xf numFmtId="44" fontId="0" fillId="0" borderId="25" xfId="0" applyNumberFormat="1" applyFont="1" applyBorder="1"/>
    <xf numFmtId="165" fontId="0" fillId="11" borderId="0" xfId="0" applyNumberFormat="1" applyFont="1" applyFill="1" applyAlignment="1"/>
    <xf numFmtId="14" fontId="0" fillId="0" borderId="0" xfId="0" applyNumberFormat="1" applyFont="1" applyFill="1" applyAlignment="1">
      <alignment horizontal="right"/>
    </xf>
    <xf numFmtId="16" fontId="0" fillId="0" borderId="0" xfId="0" applyNumberFormat="1" applyFont="1" applyFill="1"/>
    <xf numFmtId="0" fontId="15" fillId="0" borderId="0" xfId="3" applyFont="1"/>
    <xf numFmtId="0" fontId="10" fillId="2" borderId="14" xfId="3" applyFont="1" applyFill="1" applyBorder="1"/>
    <xf numFmtId="0" fontId="10" fillId="2" borderId="15" xfId="3" applyFont="1" applyFill="1" applyBorder="1"/>
    <xf numFmtId="0" fontId="10" fillId="2" borderId="16" xfId="3" applyFont="1" applyFill="1" applyBorder="1"/>
    <xf numFmtId="9" fontId="13" fillId="3" borderId="14" xfId="3" applyNumberFormat="1" applyFont="1" applyFill="1" applyBorder="1" applyAlignment="1">
      <alignment horizontal="center"/>
    </xf>
    <xf numFmtId="9" fontId="13" fillId="3" borderId="15" xfId="3" applyNumberFormat="1" applyFont="1" applyFill="1" applyBorder="1" applyAlignment="1">
      <alignment horizontal="center"/>
    </xf>
    <xf numFmtId="0" fontId="13" fillId="3" borderId="17" xfId="0" applyFont="1" applyFill="1" applyBorder="1" applyAlignment="1">
      <alignment horizontal="center"/>
    </xf>
    <xf numFmtId="0" fontId="10" fillId="2" borderId="18" xfId="3" applyFont="1" applyFill="1" applyBorder="1" applyAlignment="1">
      <alignment vertical="top"/>
    </xf>
    <xf numFmtId="0" fontId="10" fillId="2" borderId="19" xfId="3" applyFont="1" applyFill="1" applyBorder="1" applyAlignment="1">
      <alignment vertical="top"/>
    </xf>
    <xf numFmtId="0" fontId="10" fillId="2" borderId="20" xfId="3" applyFont="1" applyFill="1" applyBorder="1" applyAlignment="1">
      <alignment vertical="top"/>
    </xf>
    <xf numFmtId="0" fontId="13" fillId="3" borderId="21" xfId="0" applyFont="1" applyFill="1" applyBorder="1" applyAlignment="1">
      <alignment horizontal="center"/>
    </xf>
    <xf numFmtId="0" fontId="13" fillId="0" borderId="22" xfId="3" applyFont="1" applyBorder="1" applyAlignment="1">
      <alignment vertical="top" wrapText="1"/>
    </xf>
    <xf numFmtId="0" fontId="17" fillId="0" borderId="22" xfId="3" applyFont="1" applyFill="1" applyBorder="1" applyAlignment="1">
      <alignment horizontal="center" vertical="top" wrapText="1"/>
    </xf>
    <xf numFmtId="0" fontId="13" fillId="0" borderId="22" xfId="3" applyFont="1" applyFill="1" applyBorder="1" applyAlignment="1">
      <alignment horizontal="center" vertical="top" wrapText="1"/>
    </xf>
    <xf numFmtId="0" fontId="13" fillId="0" borderId="23" xfId="3" applyFont="1" applyFill="1" applyBorder="1" applyAlignment="1">
      <alignment horizontal="center" vertical="top" wrapText="1"/>
    </xf>
    <xf numFmtId="0" fontId="13" fillId="0" borderId="24" xfId="3" applyFont="1" applyFill="1" applyBorder="1" applyAlignment="1">
      <alignment horizontal="center" vertical="top" wrapText="1"/>
    </xf>
    <xf numFmtId="0" fontId="13" fillId="0" borderId="25" xfId="3" applyFont="1" applyFill="1" applyBorder="1" applyAlignment="1">
      <alignment horizontal="center" vertical="top" wrapText="1"/>
    </xf>
    <xf numFmtId="0" fontId="13" fillId="0" borderId="17" xfId="3" applyFont="1" applyFill="1" applyBorder="1" applyAlignment="1">
      <alignment horizontal="center" vertical="top" wrapText="1"/>
    </xf>
    <xf numFmtId="0" fontId="13" fillId="0" borderId="0" xfId="3" applyFont="1" applyFill="1" applyBorder="1" applyAlignment="1">
      <alignment horizontal="center" vertical="top" wrapText="1"/>
    </xf>
    <xf numFmtId="0" fontId="13" fillId="0" borderId="16" xfId="3" applyFont="1" applyFill="1" applyBorder="1" applyAlignment="1">
      <alignment horizontal="center" vertical="top" wrapText="1"/>
    </xf>
    <xf numFmtId="3" fontId="10" fillId="0" borderId="27" xfId="3" applyNumberFormat="1" applyFont="1" applyFill="1" applyBorder="1" applyAlignment="1">
      <alignment vertical="top"/>
    </xf>
    <xf numFmtId="10" fontId="10" fillId="0" borderId="28" xfId="2" applyNumberFormat="1" applyFont="1" applyBorder="1" applyAlignment="1">
      <alignment vertical="top"/>
    </xf>
    <xf numFmtId="165" fontId="10" fillId="0" borderId="30" xfId="1" applyNumberFormat="1" applyFont="1" applyBorder="1" applyAlignment="1">
      <alignment vertical="top"/>
    </xf>
    <xf numFmtId="10" fontId="16" fillId="0" borderId="31" xfId="2" applyNumberFormat="1" applyFont="1" applyBorder="1" applyAlignment="1">
      <alignment vertical="top"/>
    </xf>
    <xf numFmtId="165" fontId="10" fillId="0" borderId="32" xfId="1" applyNumberFormat="1" applyFont="1" applyBorder="1" applyAlignment="1">
      <alignment vertical="top"/>
    </xf>
    <xf numFmtId="10" fontId="10" fillId="0" borderId="29" xfId="2" applyNumberFormat="1" applyFont="1" applyBorder="1" applyAlignment="1">
      <alignment vertical="top"/>
    </xf>
    <xf numFmtId="165" fontId="10" fillId="0" borderId="14" xfId="1" applyNumberFormat="1" applyFont="1" applyBorder="1" applyAlignment="1">
      <alignment vertical="top"/>
    </xf>
    <xf numFmtId="165" fontId="10" fillId="0" borderId="49" xfId="1" applyNumberFormat="1" applyFont="1" applyBorder="1" applyAlignment="1">
      <alignment vertical="top"/>
    </xf>
    <xf numFmtId="165" fontId="10" fillId="0" borderId="33" xfId="1" applyNumberFormat="1" applyFont="1" applyBorder="1" applyAlignment="1">
      <alignment vertical="top"/>
    </xf>
    <xf numFmtId="10" fontId="10" fillId="0" borderId="0" xfId="2" applyNumberFormat="1" applyFont="1" applyBorder="1" applyAlignment="1">
      <alignment vertical="top"/>
    </xf>
    <xf numFmtId="0" fontId="15" fillId="0" borderId="49" xfId="4" applyFont="1" applyFill="1" applyBorder="1" applyAlignment="1">
      <alignment vertical="top"/>
    </xf>
    <xf numFmtId="3" fontId="10" fillId="0" borderId="51" xfId="3" applyNumberFormat="1" applyFont="1" applyFill="1" applyBorder="1" applyAlignment="1">
      <alignment vertical="top"/>
    </xf>
    <xf numFmtId="0" fontId="15" fillId="0" borderId="9" xfId="4" applyFont="1" applyFill="1" applyBorder="1" applyAlignment="1">
      <alignment vertical="top"/>
    </xf>
    <xf numFmtId="165" fontId="10" fillId="0" borderId="20" xfId="1" applyNumberFormat="1" applyFont="1" applyBorder="1" applyAlignment="1">
      <alignment vertical="top"/>
    </xf>
    <xf numFmtId="10" fontId="10" fillId="0" borderId="13" xfId="2" applyNumberFormat="1" applyFont="1" applyBorder="1" applyAlignment="1">
      <alignment vertical="top"/>
    </xf>
    <xf numFmtId="165" fontId="10" fillId="0" borderId="18" xfId="1" applyNumberFormat="1" applyFont="1" applyBorder="1" applyAlignment="1">
      <alignment vertical="top"/>
    </xf>
    <xf numFmtId="0" fontId="10" fillId="0" borderId="35" xfId="3" applyFont="1" applyFill="1" applyBorder="1" applyAlignment="1">
      <alignment vertical="top"/>
    </xf>
    <xf numFmtId="3" fontId="10" fillId="0" borderId="36" xfId="3" applyNumberFormat="1" applyFont="1" applyFill="1" applyBorder="1" applyAlignment="1">
      <alignment vertical="top"/>
    </xf>
    <xf numFmtId="10" fontId="10" fillId="0" borderId="36" xfId="2" applyNumberFormat="1" applyFont="1" applyFill="1" applyBorder="1" applyAlignment="1">
      <alignment vertical="top"/>
    </xf>
    <xf numFmtId="10" fontId="10" fillId="0" borderId="37" xfId="2" applyNumberFormat="1" applyFont="1" applyFill="1" applyBorder="1" applyAlignment="1">
      <alignment vertical="top"/>
    </xf>
    <xf numFmtId="165" fontId="10" fillId="0" borderId="23" xfId="1" applyNumberFormat="1" applyFont="1" applyFill="1" applyBorder="1" applyAlignment="1">
      <alignment vertical="top"/>
    </xf>
    <xf numFmtId="10" fontId="10" fillId="0" borderId="25" xfId="2" applyNumberFormat="1" applyFont="1" applyFill="1" applyBorder="1" applyAlignment="1">
      <alignment vertical="top"/>
    </xf>
    <xf numFmtId="10" fontId="10" fillId="0" borderId="18" xfId="2" applyNumberFormat="1" applyFont="1" applyFill="1" applyBorder="1" applyAlignment="1">
      <alignment vertical="top"/>
    </xf>
    <xf numFmtId="165" fontId="10" fillId="0" borderId="19" xfId="1" applyNumberFormat="1" applyFont="1" applyFill="1" applyBorder="1" applyAlignment="1">
      <alignment vertical="top"/>
    </xf>
    <xf numFmtId="0" fontId="13" fillId="0" borderId="0" xfId="3" applyFont="1" applyBorder="1" applyAlignment="1">
      <alignment vertical="center" wrapText="1"/>
    </xf>
    <xf numFmtId="0" fontId="13" fillId="0" borderId="26" xfId="3" applyFont="1" applyBorder="1" applyAlignment="1">
      <alignment horizontal="left" vertical="center" wrapText="1"/>
    </xf>
    <xf numFmtId="0" fontId="13" fillId="0" borderId="27" xfId="3" applyFont="1" applyBorder="1" applyAlignment="1">
      <alignment horizontal="left" vertical="center" wrapText="1"/>
    </xf>
    <xf numFmtId="0" fontId="13" fillId="0" borderId="50" xfId="3" quotePrefix="1" applyFont="1" applyBorder="1" applyAlignment="1">
      <alignment horizontal="left" vertical="center" wrapText="1"/>
    </xf>
    <xf numFmtId="0" fontId="13" fillId="0" borderId="29" xfId="3" applyFont="1" applyBorder="1" applyAlignment="1">
      <alignment horizontal="left" vertical="center" wrapText="1"/>
    </xf>
    <xf numFmtId="0" fontId="13" fillId="0" borderId="30" xfId="3" applyFont="1" applyBorder="1" applyAlignment="1">
      <alignment horizontal="left" vertical="center" wrapText="1"/>
    </xf>
    <xf numFmtId="165" fontId="10" fillId="0" borderId="17" xfId="1" applyNumberFormat="1" applyFont="1" applyBorder="1" applyAlignment="1">
      <alignment vertical="top"/>
    </xf>
    <xf numFmtId="44" fontId="10" fillId="0" borderId="33" xfId="0" applyNumberFormat="1" applyFont="1" applyBorder="1"/>
    <xf numFmtId="165" fontId="10" fillId="0" borderId="21" xfId="1" applyNumberFormat="1" applyFont="1" applyBorder="1" applyAlignment="1">
      <alignment vertical="top"/>
    </xf>
    <xf numFmtId="165" fontId="10" fillId="0" borderId="34" xfId="1" applyNumberFormat="1" applyFont="1" applyBorder="1" applyAlignment="1">
      <alignment vertical="top"/>
    </xf>
    <xf numFmtId="44" fontId="10" fillId="0" borderId="22" xfId="0" applyNumberFormat="1" applyFont="1" applyBorder="1"/>
    <xf numFmtId="0" fontId="10" fillId="0" borderId="0" xfId="0" applyFont="1"/>
    <xf numFmtId="3" fontId="10" fillId="0" borderId="0" xfId="0" applyNumberFormat="1" applyFont="1"/>
    <xf numFmtId="42" fontId="10" fillId="0" borderId="0" xfId="1" applyNumberFormat="1" applyFont="1" applyFill="1" applyBorder="1" applyAlignment="1">
      <alignment vertical="top"/>
    </xf>
    <xf numFmtId="42" fontId="13" fillId="4" borderId="22" xfId="1" applyNumberFormat="1" applyFont="1" applyFill="1" applyBorder="1"/>
    <xf numFmtId="165" fontId="13" fillId="0" borderId="0" xfId="1" applyNumberFormat="1" applyFont="1" applyBorder="1"/>
    <xf numFmtId="3" fontId="10" fillId="0" borderId="27" xfId="3" applyNumberFormat="1" applyFont="1" applyBorder="1" applyAlignment="1">
      <alignment vertical="top"/>
    </xf>
    <xf numFmtId="44" fontId="13" fillId="0" borderId="0" xfId="1" applyFont="1" applyBorder="1"/>
    <xf numFmtId="0" fontId="13" fillId="0" borderId="27" xfId="3" quotePrefix="1" applyFont="1" applyBorder="1" applyAlignment="1">
      <alignment horizontal="left" vertical="center" wrapText="1"/>
    </xf>
    <xf numFmtId="0" fontId="13" fillId="0" borderId="28" xfId="3" applyFont="1" applyBorder="1" applyAlignment="1">
      <alignment horizontal="left" vertical="center" wrapText="1"/>
    </xf>
    <xf numFmtId="3" fontId="16" fillId="0" borderId="27" xfId="3" applyNumberFormat="1" applyFont="1" applyBorder="1" applyAlignment="1">
      <alignment vertical="top"/>
    </xf>
    <xf numFmtId="0" fontId="15" fillId="0" borderId="0" xfId="4" applyFont="1" applyFill="1" applyBorder="1" applyAlignment="1">
      <alignment vertical="top"/>
    </xf>
    <xf numFmtId="10" fontId="10" fillId="0" borderId="29" xfId="2" applyNumberFormat="1" applyFont="1" applyFill="1" applyBorder="1" applyAlignment="1">
      <alignment vertical="top"/>
    </xf>
    <xf numFmtId="165" fontId="10" fillId="0" borderId="17" xfId="1" applyNumberFormat="1" applyFont="1" applyFill="1" applyBorder="1" applyAlignment="1">
      <alignment vertical="top"/>
    </xf>
    <xf numFmtId="44" fontId="10" fillId="0" borderId="33" xfId="0" applyNumberFormat="1" applyFont="1" applyFill="1" applyBorder="1"/>
    <xf numFmtId="165" fontId="10" fillId="0" borderId="21" xfId="1" applyNumberFormat="1" applyFont="1" applyFill="1" applyBorder="1" applyAlignment="1">
      <alignment vertical="top"/>
    </xf>
    <xf numFmtId="0" fontId="15" fillId="11" borderId="4" xfId="4" applyFont="1" applyFill="1" applyBorder="1" applyAlignment="1">
      <alignment vertical="top"/>
    </xf>
    <xf numFmtId="44" fontId="10" fillId="11" borderId="33" xfId="0" applyNumberFormat="1" applyFont="1" applyFill="1" applyBorder="1"/>
    <xf numFmtId="10" fontId="10" fillId="0" borderId="28" xfId="2" applyNumberFormat="1" applyFont="1" applyFill="1" applyBorder="1" applyAlignment="1">
      <alignment vertical="top"/>
    </xf>
    <xf numFmtId="10" fontId="16" fillId="0" borderId="29" xfId="2" applyNumberFormat="1" applyFont="1" applyFill="1" applyBorder="1" applyAlignment="1">
      <alignment vertical="top"/>
    </xf>
    <xf numFmtId="165" fontId="10" fillId="0" borderId="30" xfId="1" applyNumberFormat="1" applyFont="1" applyFill="1" applyBorder="1" applyAlignment="1">
      <alignment vertical="top"/>
    </xf>
    <xf numFmtId="10" fontId="16" fillId="0" borderId="31" xfId="2" applyNumberFormat="1" applyFont="1" applyFill="1" applyBorder="1" applyAlignment="1">
      <alignment vertical="top"/>
    </xf>
    <xf numFmtId="10" fontId="10" fillId="0" borderId="57" xfId="2" applyNumberFormat="1" applyFont="1" applyFill="1" applyBorder="1" applyAlignment="1">
      <alignment vertical="top"/>
    </xf>
    <xf numFmtId="165" fontId="10" fillId="0" borderId="34" xfId="1" applyNumberFormat="1" applyFont="1" applyFill="1" applyBorder="1" applyAlignment="1">
      <alignment vertical="top"/>
    </xf>
    <xf numFmtId="44" fontId="10" fillId="0" borderId="22" xfId="0" applyNumberFormat="1" applyFont="1" applyFill="1" applyBorder="1"/>
    <xf numFmtId="0" fontId="10" fillId="0" borderId="0" xfId="0" applyFont="1" applyFill="1"/>
    <xf numFmtId="3" fontId="10" fillId="0" borderId="0" xfId="0" applyNumberFormat="1" applyFont="1" applyFill="1"/>
    <xf numFmtId="42" fontId="13" fillId="0" borderId="22" xfId="1" applyNumberFormat="1" applyFont="1" applyFill="1" applyBorder="1"/>
    <xf numFmtId="165" fontId="13" fillId="0" borderId="0" xfId="1" applyNumberFormat="1" applyFont="1" applyFill="1" applyBorder="1"/>
    <xf numFmtId="0" fontId="13" fillId="0" borderId="31" xfId="3" applyFont="1" applyBorder="1" applyAlignment="1">
      <alignment horizontal="left" vertical="center" wrapText="1"/>
    </xf>
    <xf numFmtId="0" fontId="13" fillId="0" borderId="51" xfId="3" applyFont="1" applyBorder="1" applyAlignment="1">
      <alignment horizontal="left" vertical="center" wrapText="1"/>
    </xf>
    <xf numFmtId="10" fontId="16" fillId="0" borderId="13" xfId="2" applyNumberFormat="1" applyFont="1" applyBorder="1" applyAlignment="1">
      <alignment vertical="top"/>
    </xf>
    <xf numFmtId="165" fontId="10" fillId="0" borderId="22" xfId="1" applyNumberFormat="1" applyFont="1" applyFill="1" applyBorder="1" applyAlignment="1">
      <alignment vertical="top"/>
    </xf>
    <xf numFmtId="44" fontId="10" fillId="0" borderId="34" xfId="0" applyNumberFormat="1" applyFont="1" applyBorder="1"/>
    <xf numFmtId="10" fontId="10" fillId="0" borderId="19" xfId="2" applyNumberFormat="1" applyFont="1" applyBorder="1" applyAlignment="1">
      <alignment vertical="top"/>
    </xf>
    <xf numFmtId="44" fontId="10" fillId="0" borderId="20" xfId="0" applyNumberFormat="1" applyFont="1" applyBorder="1"/>
    <xf numFmtId="10" fontId="16" fillId="0" borderId="18" xfId="2" applyNumberFormat="1" applyFont="1" applyBorder="1" applyAlignment="1">
      <alignment vertical="top"/>
    </xf>
    <xf numFmtId="3" fontId="10" fillId="0" borderId="58" xfId="3" applyNumberFormat="1" applyFont="1" applyBorder="1" applyAlignment="1">
      <alignment vertical="top"/>
    </xf>
    <xf numFmtId="10" fontId="10" fillId="0" borderId="59" xfId="2" applyNumberFormat="1" applyFont="1" applyBorder="1" applyAlignment="1">
      <alignment vertical="top"/>
    </xf>
    <xf numFmtId="0" fontId="19" fillId="12" borderId="0" xfId="0" applyFont="1" applyFill="1"/>
    <xf numFmtId="0" fontId="20" fillId="0" borderId="0" xfId="0" applyFont="1"/>
    <xf numFmtId="3" fontId="20" fillId="12" borderId="60" xfId="0" applyNumberFormat="1" applyFont="1" applyFill="1" applyBorder="1" applyAlignment="1">
      <alignment horizontal="right"/>
    </xf>
    <xf numFmtId="2" fontId="0" fillId="0" borderId="0" xfId="0" applyNumberFormat="1" applyFont="1"/>
    <xf numFmtId="0" fontId="20" fillId="0" borderId="0" xfId="0" applyFont="1" applyFill="1"/>
    <xf numFmtId="0" fontId="21" fillId="13" borderId="0" xfId="0" applyFont="1" applyFill="1"/>
    <xf numFmtId="3" fontId="20" fillId="9" borderId="0" xfId="0" applyNumberFormat="1" applyFont="1" applyFill="1" applyAlignment="1">
      <alignment horizontal="right"/>
    </xf>
    <xf numFmtId="3" fontId="20" fillId="15" borderId="60" xfId="0" applyNumberFormat="1" applyFont="1" applyFill="1" applyBorder="1" applyAlignment="1">
      <alignment horizontal="right"/>
    </xf>
    <xf numFmtId="168" fontId="0" fillId="0" borderId="0" xfId="0" applyNumberFormat="1" applyFont="1"/>
    <xf numFmtId="0" fontId="0" fillId="0" borderId="0" xfId="0" applyFill="1" applyAlignment="1">
      <alignment horizontal="right"/>
    </xf>
    <xf numFmtId="165" fontId="0" fillId="0" borderId="0" xfId="0" applyNumberFormat="1" applyFill="1" applyAlignment="1">
      <alignment horizontal="right"/>
    </xf>
    <xf numFmtId="0" fontId="24" fillId="12" borderId="0" xfId="0" applyFont="1" applyFill="1"/>
    <xf numFmtId="0" fontId="25" fillId="12" borderId="0" xfId="0" applyFont="1" applyFill="1"/>
    <xf numFmtId="0" fontId="0" fillId="12" borderId="0" xfId="0" applyFill="1"/>
    <xf numFmtId="0" fontId="26" fillId="12" borderId="0" xfId="0" applyFont="1" applyFill="1"/>
    <xf numFmtId="0" fontId="24" fillId="12" borderId="0" xfId="0" applyFont="1" applyFill="1" applyAlignment="1">
      <alignment wrapText="1"/>
    </xf>
    <xf numFmtId="3" fontId="24" fillId="12" borderId="60" xfId="0" applyNumberFormat="1" applyFont="1" applyFill="1" applyBorder="1" applyAlignment="1">
      <alignment horizontal="right"/>
    </xf>
    <xf numFmtId="0" fontId="24" fillId="12" borderId="0" xfId="0" applyFont="1" applyFill="1" applyBorder="1" applyAlignment="1">
      <alignment horizontal="center"/>
    </xf>
    <xf numFmtId="0" fontId="24" fillId="12" borderId="61" xfId="0" applyFont="1" applyFill="1" applyBorder="1" applyAlignment="1">
      <alignment horizontal="center"/>
    </xf>
    <xf numFmtId="3" fontId="26" fillId="12" borderId="60" xfId="0" applyNumberFormat="1" applyFont="1" applyFill="1" applyBorder="1" applyAlignment="1">
      <alignment horizontal="right"/>
    </xf>
    <xf numFmtId="168" fontId="26" fillId="0" borderId="0" xfId="8" applyNumberFormat="1" applyFont="1" applyBorder="1"/>
    <xf numFmtId="43" fontId="26" fillId="0" borderId="61" xfId="0" applyNumberFormat="1" applyFont="1" applyBorder="1"/>
    <xf numFmtId="168" fontId="27" fillId="13" borderId="0" xfId="8" applyNumberFormat="1" applyFont="1" applyFill="1" applyBorder="1"/>
    <xf numFmtId="168" fontId="28" fillId="0" borderId="0" xfId="8" applyNumberFormat="1" applyFont="1" applyBorder="1"/>
    <xf numFmtId="168" fontId="28" fillId="0" borderId="0" xfId="8" applyNumberFormat="1" applyFont="1" applyFill="1" applyBorder="1"/>
    <xf numFmtId="43" fontId="26" fillId="0" borderId="61" xfId="0" applyNumberFormat="1" applyFont="1" applyFill="1" applyBorder="1"/>
    <xf numFmtId="168" fontId="26" fillId="0" borderId="0" xfId="8" applyNumberFormat="1" applyFont="1" applyFill="1" applyBorder="1"/>
    <xf numFmtId="168" fontId="29" fillId="0" borderId="0" xfId="8" applyNumberFormat="1" applyFont="1" applyBorder="1"/>
    <xf numFmtId="168" fontId="26" fillId="0" borderId="61" xfId="0" applyNumberFormat="1" applyFont="1" applyFill="1" applyBorder="1"/>
    <xf numFmtId="3" fontId="24" fillId="12" borderId="62" xfId="0" applyNumberFormat="1" applyFont="1" applyFill="1" applyBorder="1" applyAlignment="1">
      <alignment horizontal="right"/>
    </xf>
    <xf numFmtId="168" fontId="26" fillId="0" borderId="63" xfId="8" applyNumberFormat="1" applyFont="1" applyBorder="1"/>
    <xf numFmtId="168" fontId="26" fillId="0" borderId="64" xfId="8" applyNumberFormat="1" applyFont="1" applyBorder="1"/>
    <xf numFmtId="0" fontId="26" fillId="0" borderId="0" xfId="0" applyFont="1"/>
    <xf numFmtId="168" fontId="25" fillId="12" borderId="0" xfId="0" applyNumberFormat="1" applyFont="1" applyFill="1"/>
    <xf numFmtId="166" fontId="28" fillId="0" borderId="14" xfId="0" applyNumberFormat="1" applyFont="1" applyFill="1" applyBorder="1" applyAlignment="1">
      <alignment horizontal="center"/>
    </xf>
    <xf numFmtId="168" fontId="27" fillId="13" borderId="0" xfId="8" applyNumberFormat="1" applyFont="1" applyFill="1"/>
    <xf numFmtId="166" fontId="28" fillId="0" borderId="49" xfId="0" applyNumberFormat="1" applyFont="1" applyFill="1" applyBorder="1" applyAlignment="1">
      <alignment horizontal="center"/>
    </xf>
    <xf numFmtId="168" fontId="27" fillId="13" borderId="19" xfId="8" applyNumberFormat="1" applyFont="1" applyFill="1" applyBorder="1"/>
    <xf numFmtId="166" fontId="30" fillId="12" borderId="18" xfId="0" applyNumberFormat="1" applyFont="1" applyFill="1" applyBorder="1" applyAlignment="1">
      <alignment horizontal="center" wrapText="1"/>
    </xf>
    <xf numFmtId="168" fontId="28" fillId="12" borderId="19" xfId="8" applyNumberFormat="1" applyFont="1" applyFill="1" applyBorder="1" applyAlignment="1"/>
    <xf numFmtId="166" fontId="28" fillId="0" borderId="14" xfId="0" applyNumberFormat="1" applyFont="1" applyFill="1" applyBorder="1" applyAlignment="1">
      <alignment horizontal="right"/>
    </xf>
    <xf numFmtId="166" fontId="28" fillId="0" borderId="49" xfId="0" applyNumberFormat="1" applyFont="1" applyFill="1" applyBorder="1" applyAlignment="1">
      <alignment horizontal="right" wrapText="1"/>
    </xf>
    <xf numFmtId="166" fontId="28" fillId="12" borderId="18" xfId="0" applyNumberFormat="1" applyFont="1" applyFill="1" applyBorder="1" applyAlignment="1">
      <alignment horizontal="left"/>
    </xf>
    <xf numFmtId="166" fontId="28" fillId="0" borderId="49" xfId="0" applyNumberFormat="1" applyFont="1" applyFill="1" applyBorder="1" applyAlignment="1">
      <alignment horizontal="right"/>
    </xf>
    <xf numFmtId="166" fontId="30" fillId="12" borderId="18" xfId="0" applyNumberFormat="1" applyFont="1" applyFill="1" applyBorder="1" applyAlignment="1">
      <alignment horizontal="right" wrapText="1"/>
    </xf>
    <xf numFmtId="168" fontId="28" fillId="12" borderId="23" xfId="8" applyNumberFormat="1" applyFont="1" applyFill="1" applyBorder="1"/>
    <xf numFmtId="166" fontId="28" fillId="0" borderId="14" xfId="0" applyNumberFormat="1" applyFont="1" applyFill="1" applyBorder="1" applyAlignment="1">
      <alignment horizontal="right" wrapText="1"/>
    </xf>
    <xf numFmtId="168" fontId="28" fillId="0" borderId="0" xfId="8" applyNumberFormat="1" applyFont="1"/>
    <xf numFmtId="168" fontId="27" fillId="13" borderId="19" xfId="8" applyNumberFormat="1" applyFont="1" applyFill="1" applyBorder="1" applyAlignment="1"/>
    <xf numFmtId="168" fontId="27" fillId="13" borderId="0" xfId="8" applyNumberFormat="1" applyFont="1" applyFill="1" applyBorder="1" applyAlignment="1"/>
    <xf numFmtId="168" fontId="28" fillId="0" borderId="19" xfId="8" applyNumberFormat="1" applyFont="1" applyBorder="1"/>
    <xf numFmtId="3" fontId="28" fillId="0" borderId="49" xfId="0" applyNumberFormat="1" applyFont="1" applyFill="1" applyBorder="1" applyAlignment="1">
      <alignment horizontal="right"/>
    </xf>
    <xf numFmtId="0" fontId="26" fillId="0" borderId="0" xfId="0" applyFont="1" applyFill="1"/>
    <xf numFmtId="3" fontId="30" fillId="12" borderId="18" xfId="0" applyNumberFormat="1" applyFont="1" applyFill="1" applyBorder="1" applyAlignment="1">
      <alignment horizontal="right"/>
    </xf>
    <xf numFmtId="168" fontId="28" fillId="0" borderId="0" xfId="8" applyNumberFormat="1" applyFont="1" applyFill="1"/>
    <xf numFmtId="166" fontId="28" fillId="5" borderId="49" xfId="0" applyNumberFormat="1" applyFont="1" applyFill="1" applyBorder="1" applyAlignment="1">
      <alignment horizontal="right" wrapText="1"/>
    </xf>
    <xf numFmtId="168" fontId="28" fillId="0" borderId="0" xfId="8" applyNumberFormat="1" applyFont="1" applyBorder="1" applyAlignment="1"/>
    <xf numFmtId="168" fontId="26" fillId="12" borderId="19" xfId="8" applyNumberFormat="1" applyFont="1" applyFill="1" applyBorder="1"/>
    <xf numFmtId="168" fontId="26" fillId="0" borderId="0" xfId="8" applyNumberFormat="1" applyFont="1"/>
    <xf numFmtId="3" fontId="30" fillId="12" borderId="19" xfId="0" applyNumberFormat="1" applyFont="1" applyFill="1" applyBorder="1" applyAlignment="1">
      <alignment horizontal="right"/>
    </xf>
    <xf numFmtId="168" fontId="26" fillId="12" borderId="23" xfId="8" applyNumberFormat="1" applyFont="1" applyFill="1" applyBorder="1"/>
    <xf numFmtId="168" fontId="26" fillId="12" borderId="0" xfId="8" applyNumberFormat="1" applyFont="1" applyFill="1"/>
    <xf numFmtId="168" fontId="27" fillId="13" borderId="15" xfId="8" applyNumberFormat="1" applyFont="1" applyFill="1" applyBorder="1"/>
    <xf numFmtId="3" fontId="30" fillId="14" borderId="18" xfId="0" applyNumberFormat="1" applyFont="1" applyFill="1" applyBorder="1" applyAlignment="1">
      <alignment horizontal="right"/>
    </xf>
    <xf numFmtId="168" fontId="26" fillId="14" borderId="23" xfId="8" applyNumberFormat="1" applyFont="1" applyFill="1" applyBorder="1"/>
    <xf numFmtId="166" fontId="30" fillId="14" borderId="49" xfId="0" applyNumberFormat="1" applyFont="1" applyFill="1" applyBorder="1" applyAlignment="1">
      <alignment horizontal="right" wrapText="1"/>
    </xf>
    <xf numFmtId="3" fontId="31" fillId="9" borderId="0" xfId="0" applyNumberFormat="1" applyFont="1" applyFill="1" applyAlignment="1">
      <alignment horizontal="left" vertical="top" wrapText="1"/>
    </xf>
    <xf numFmtId="3" fontId="24" fillId="12" borderId="62" xfId="0" applyNumberFormat="1" applyFont="1" applyFill="1" applyBorder="1" applyAlignment="1">
      <alignment horizontal="center"/>
    </xf>
    <xf numFmtId="3" fontId="24" fillId="12" borderId="65" xfId="0" applyNumberFormat="1" applyFont="1" applyFill="1" applyBorder="1" applyAlignment="1">
      <alignment horizontal="right"/>
    </xf>
    <xf numFmtId="168" fontId="27" fillId="0" borderId="0" xfId="8" applyNumberFormat="1" applyFont="1" applyFill="1"/>
    <xf numFmtId="168" fontId="27" fillId="0" borderId="0" xfId="8" applyNumberFormat="1" applyFont="1"/>
    <xf numFmtId="0" fontId="0" fillId="0" borderId="0" xfId="0" applyAlignment="1">
      <alignment horizontal="center" vertical="center" wrapText="1"/>
    </xf>
    <xf numFmtId="168" fontId="26" fillId="0" borderId="0" xfId="8" applyNumberFormat="1" applyFont="1" applyFill="1"/>
    <xf numFmtId="168" fontId="26" fillId="0" borderId="48" xfId="8" applyNumberFormat="1" applyFont="1" applyBorder="1"/>
    <xf numFmtId="3" fontId="24" fillId="0" borderId="0" xfId="0" applyNumberFormat="1" applyFont="1" applyFill="1" applyBorder="1" applyAlignment="1">
      <alignment horizontal="right"/>
    </xf>
    <xf numFmtId="166" fontId="28" fillId="0" borderId="14" xfId="0" applyNumberFormat="1" applyFont="1" applyBorder="1" applyAlignment="1">
      <alignment horizontal="center"/>
    </xf>
    <xf numFmtId="166" fontId="28" fillId="0" borderId="49" xfId="0" applyNumberFormat="1" applyFont="1" applyBorder="1" applyAlignment="1">
      <alignment horizontal="center"/>
    </xf>
    <xf numFmtId="168" fontId="27" fillId="0" borderId="19" xfId="8" applyNumberFormat="1" applyFont="1" applyBorder="1"/>
    <xf numFmtId="166" fontId="30" fillId="14" borderId="18" xfId="0" applyNumberFormat="1" applyFont="1" applyFill="1" applyBorder="1" applyAlignment="1">
      <alignment horizontal="right" wrapText="1"/>
    </xf>
    <xf numFmtId="168" fontId="28" fillId="14" borderId="19" xfId="8" applyNumberFormat="1" applyFont="1" applyFill="1" applyBorder="1" applyAlignment="1"/>
    <xf numFmtId="168" fontId="26" fillId="0" borderId="19" xfId="8" applyNumberFormat="1" applyFont="1" applyFill="1" applyBorder="1"/>
    <xf numFmtId="166" fontId="28" fillId="14" borderId="18" xfId="0" applyNumberFormat="1" applyFont="1" applyFill="1" applyBorder="1" applyAlignment="1">
      <alignment horizontal="right"/>
    </xf>
    <xf numFmtId="168" fontId="28" fillId="14" borderId="23" xfId="8" applyNumberFormat="1" applyFont="1" applyFill="1" applyBorder="1"/>
    <xf numFmtId="166" fontId="28" fillId="9" borderId="14" xfId="0" applyNumberFormat="1" applyFont="1" applyFill="1" applyBorder="1" applyAlignment="1">
      <alignment horizontal="right" wrapText="1"/>
    </xf>
    <xf numFmtId="166" fontId="28" fillId="0" borderId="49" xfId="0" applyNumberFormat="1" applyFont="1" applyBorder="1" applyAlignment="1">
      <alignment horizontal="right" wrapText="1"/>
    </xf>
    <xf numFmtId="168" fontId="27" fillId="0" borderId="0" xfId="8" applyNumberFormat="1" applyFont="1" applyFill="1" applyBorder="1" applyAlignment="1"/>
    <xf numFmtId="166" fontId="32" fillId="14" borderId="18" xfId="0" applyNumberFormat="1" applyFont="1" applyFill="1" applyBorder="1" applyAlignment="1">
      <alignment horizontal="right" wrapText="1"/>
    </xf>
    <xf numFmtId="166" fontId="28" fillId="9" borderId="49" xfId="0" applyNumberFormat="1" applyFont="1" applyFill="1" applyBorder="1" applyAlignment="1">
      <alignment horizontal="right" wrapText="1"/>
    </xf>
    <xf numFmtId="168" fontId="27" fillId="0" borderId="19" xfId="8" applyNumberFormat="1" applyFont="1" applyFill="1" applyBorder="1"/>
    <xf numFmtId="168" fontId="27" fillId="10" borderId="0" xfId="8" applyNumberFormat="1" applyFont="1" applyFill="1"/>
    <xf numFmtId="3" fontId="28" fillId="0" borderId="49" xfId="0" applyNumberFormat="1" applyFont="1" applyBorder="1" applyAlignment="1">
      <alignment horizontal="right"/>
    </xf>
    <xf numFmtId="168" fontId="27" fillId="0" borderId="0" xfId="8" applyNumberFormat="1" applyFont="1" applyFill="1" applyBorder="1"/>
    <xf numFmtId="3" fontId="26" fillId="9" borderId="14" xfId="0" applyNumberFormat="1" applyFont="1" applyFill="1" applyBorder="1" applyAlignment="1">
      <alignment horizontal="right"/>
    </xf>
    <xf numFmtId="3" fontId="26" fillId="9" borderId="49" xfId="0" applyNumberFormat="1" applyFont="1" applyFill="1" applyBorder="1" applyAlignment="1">
      <alignment horizontal="right"/>
    </xf>
    <xf numFmtId="3" fontId="28" fillId="9" borderId="14" xfId="0" applyNumberFormat="1" applyFont="1" applyFill="1" applyBorder="1" applyAlignment="1">
      <alignment horizontal="right"/>
    </xf>
    <xf numFmtId="3" fontId="28" fillId="9" borderId="49" xfId="0" applyNumberFormat="1" applyFont="1" applyFill="1" applyBorder="1" applyAlignment="1">
      <alignment horizontal="right"/>
    </xf>
    <xf numFmtId="3" fontId="28" fillId="15" borderId="14" xfId="0" applyNumberFormat="1" applyFont="1" applyFill="1" applyBorder="1" applyAlignment="1">
      <alignment horizontal="right"/>
    </xf>
    <xf numFmtId="168" fontId="0" fillId="0" borderId="0" xfId="0" applyNumberFormat="1"/>
    <xf numFmtId="3" fontId="28" fillId="15" borderId="49" xfId="0" applyNumberFormat="1" applyFont="1" applyFill="1" applyBorder="1" applyAlignment="1">
      <alignment horizontal="right"/>
    </xf>
    <xf numFmtId="168" fontId="27" fillId="5" borderId="0" xfId="8" applyNumberFormat="1" applyFont="1" applyFill="1"/>
    <xf numFmtId="168" fontId="27" fillId="0" borderId="0" xfId="8" applyNumberFormat="1" applyFont="1" applyBorder="1" applyAlignment="1"/>
    <xf numFmtId="3" fontId="32" fillId="14" borderId="18" xfId="0" applyNumberFormat="1" applyFont="1" applyFill="1" applyBorder="1" applyAlignment="1">
      <alignment horizontal="right"/>
    </xf>
    <xf numFmtId="168" fontId="27" fillId="0" borderId="0" xfId="8" applyNumberFormat="1" applyFont="1" applyBorder="1"/>
    <xf numFmtId="3" fontId="30" fillId="0" borderId="49" xfId="0" applyNumberFormat="1" applyFont="1" applyBorder="1" applyAlignment="1">
      <alignment horizontal="right"/>
    </xf>
    <xf numFmtId="3" fontId="26" fillId="0" borderId="0" xfId="0" applyNumberFormat="1" applyFont="1" applyAlignment="1">
      <alignment horizontal="right"/>
    </xf>
    <xf numFmtId="3" fontId="28" fillId="0" borderId="0" xfId="0" applyNumberFormat="1" applyFont="1" applyFill="1" applyBorder="1" applyAlignment="1">
      <alignment horizontal="right"/>
    </xf>
    <xf numFmtId="168" fontId="33" fillId="0" borderId="19" xfId="8" applyNumberFormat="1" applyFont="1" applyFill="1" applyBorder="1" applyAlignment="1"/>
    <xf numFmtId="168" fontId="28" fillId="0" borderId="0" xfId="8" applyNumberFormat="1" applyFont="1" applyFill="1" applyBorder="1" applyAlignment="1"/>
    <xf numFmtId="168" fontId="28" fillId="0" borderId="19" xfId="8" applyNumberFormat="1" applyFont="1" applyFill="1" applyBorder="1" applyAlignment="1"/>
    <xf numFmtId="3" fontId="28" fillId="14" borderId="22" xfId="0" applyNumberFormat="1" applyFont="1" applyFill="1" applyBorder="1" applyAlignment="1">
      <alignment horizontal="right" wrapText="1"/>
    </xf>
    <xf numFmtId="3" fontId="28" fillId="14" borderId="24" xfId="0" applyNumberFormat="1" applyFont="1" applyFill="1" applyBorder="1" applyAlignment="1">
      <alignment horizontal="right" wrapText="1"/>
    </xf>
    <xf numFmtId="3" fontId="34" fillId="14" borderId="24" xfId="0" applyNumberFormat="1" applyFont="1" applyFill="1" applyBorder="1" applyAlignment="1">
      <alignment horizontal="center" vertical="center" wrapText="1"/>
    </xf>
    <xf numFmtId="0" fontId="0" fillId="0" borderId="25" xfId="0" applyBorder="1" applyAlignment="1">
      <alignment horizontal="right"/>
    </xf>
    <xf numFmtId="168" fontId="0" fillId="0" borderId="23" xfId="0" applyNumberFormat="1" applyBorder="1"/>
    <xf numFmtId="168" fontId="21" fillId="0" borderId="23" xfId="8" applyNumberFormat="1" applyFont="1" applyBorder="1"/>
    <xf numFmtId="168" fontId="0" fillId="0" borderId="22" xfId="0" applyNumberFormat="1" applyBorder="1"/>
    <xf numFmtId="0" fontId="0" fillId="0" borderId="0" xfId="0" applyFill="1" applyBorder="1" applyAlignment="1">
      <alignment horizontal="right"/>
    </xf>
    <xf numFmtId="167" fontId="10" fillId="0" borderId="0" xfId="2" applyNumberFormat="1" applyFont="1" applyFill="1"/>
    <xf numFmtId="167" fontId="10" fillId="0" borderId="19" xfId="2" quotePrefix="1" applyNumberFormat="1" applyFont="1" applyFill="1" applyBorder="1"/>
    <xf numFmtId="167" fontId="10" fillId="0" borderId="19" xfId="2" applyNumberFormat="1" applyFont="1" applyFill="1" applyBorder="1"/>
    <xf numFmtId="0" fontId="0" fillId="4" borderId="34" xfId="0" applyFill="1" applyBorder="1" applyAlignment="1">
      <alignment horizontal="center"/>
    </xf>
    <xf numFmtId="0" fontId="9" fillId="0" borderId="0" xfId="3" applyFont="1" applyFill="1" applyBorder="1" applyAlignment="1">
      <alignment horizontal="left" vertical="center" wrapText="1"/>
    </xf>
    <xf numFmtId="0" fontId="9" fillId="0" borderId="0" xfId="3" applyFont="1" applyBorder="1" applyAlignment="1">
      <alignment horizontal="left" vertical="center" wrapText="1"/>
    </xf>
    <xf numFmtId="0" fontId="9" fillId="0" borderId="0" xfId="9" applyFont="1" applyAlignment="1">
      <alignment horizontal="center"/>
    </xf>
    <xf numFmtId="166" fontId="0" fillId="0" borderId="25" xfId="0" applyNumberFormat="1" applyFont="1" applyBorder="1" applyAlignment="1">
      <alignment horizontal="center"/>
    </xf>
    <xf numFmtId="166" fontId="0" fillId="0" borderId="23" xfId="0" applyNumberFormat="1" applyFont="1" applyBorder="1" applyAlignment="1">
      <alignment horizontal="center"/>
    </xf>
    <xf numFmtId="166" fontId="0" fillId="0" borderId="24" xfId="0" applyNumberFormat="1" applyFont="1" applyBorder="1" applyAlignment="1">
      <alignment horizontal="center"/>
    </xf>
    <xf numFmtId="9" fontId="13" fillId="3" borderId="14" xfId="3" applyNumberFormat="1" applyFont="1" applyFill="1" applyBorder="1" applyAlignment="1">
      <alignment horizontal="center"/>
    </xf>
    <xf numFmtId="9" fontId="13" fillId="3" borderId="16" xfId="3" applyNumberFormat="1" applyFont="1" applyFill="1" applyBorder="1" applyAlignment="1">
      <alignment horizontal="center"/>
    </xf>
    <xf numFmtId="0" fontId="13" fillId="3" borderId="18" xfId="3" applyFont="1" applyFill="1" applyBorder="1" applyAlignment="1">
      <alignment horizontal="center" vertical="top" wrapText="1"/>
    </xf>
    <xf numFmtId="0" fontId="13" fillId="3" borderId="20" xfId="3" applyFont="1" applyFill="1" applyBorder="1" applyAlignment="1">
      <alignment horizontal="center" vertical="top" wrapText="1"/>
    </xf>
    <xf numFmtId="0" fontId="13" fillId="3" borderId="19" xfId="3" applyFont="1" applyFill="1" applyBorder="1" applyAlignment="1">
      <alignment horizontal="center" vertical="top" wrapText="1"/>
    </xf>
    <xf numFmtId="0" fontId="13" fillId="0" borderId="1" xfId="3" applyFont="1" applyBorder="1" applyAlignment="1">
      <alignment horizontal="left" vertical="center" wrapText="1"/>
    </xf>
    <xf numFmtId="0" fontId="13" fillId="0" borderId="2" xfId="3" applyFont="1" applyBorder="1" applyAlignment="1">
      <alignment horizontal="left" vertical="center" wrapText="1"/>
    </xf>
    <xf numFmtId="0" fontId="13" fillId="0" borderId="3" xfId="3" applyFont="1" applyBorder="1" applyAlignment="1">
      <alignment horizontal="left" vertical="center" wrapText="1"/>
    </xf>
    <xf numFmtId="0" fontId="13" fillId="0" borderId="4" xfId="3" applyFont="1" applyBorder="1" applyAlignment="1">
      <alignment horizontal="left" vertical="center" wrapText="1"/>
    </xf>
    <xf numFmtId="0" fontId="13" fillId="0" borderId="5" xfId="3" applyFont="1" applyBorder="1" applyAlignment="1">
      <alignment horizontal="left" vertical="center" wrapText="1"/>
    </xf>
    <xf numFmtId="0" fontId="13" fillId="0" borderId="6" xfId="3" applyFont="1" applyFill="1" applyBorder="1" applyAlignment="1">
      <alignment horizontal="left" vertical="center" wrapText="1"/>
    </xf>
    <xf numFmtId="0" fontId="13" fillId="0" borderId="7" xfId="3" applyFont="1" applyFill="1" applyBorder="1" applyAlignment="1">
      <alignment horizontal="left" vertical="center" wrapText="1"/>
    </xf>
    <xf numFmtId="0" fontId="13" fillId="0" borderId="8" xfId="3" applyFont="1" applyFill="1" applyBorder="1" applyAlignment="1">
      <alignment horizontal="left" vertical="center" wrapText="1"/>
    </xf>
    <xf numFmtId="164" fontId="18" fillId="0" borderId="6" xfId="3" applyNumberFormat="1" applyFont="1" applyFill="1" applyBorder="1" applyAlignment="1">
      <alignment horizontal="left" vertical="center" wrapText="1"/>
    </xf>
    <xf numFmtId="164" fontId="18" fillId="0" borderId="7" xfId="3" applyNumberFormat="1" applyFont="1" applyFill="1" applyBorder="1" applyAlignment="1">
      <alignment horizontal="left" vertical="center" wrapText="1"/>
    </xf>
    <xf numFmtId="164" fontId="18" fillId="0" borderId="8" xfId="3" applyNumberFormat="1" applyFont="1" applyFill="1" applyBorder="1" applyAlignment="1">
      <alignment horizontal="left" vertical="center" wrapText="1"/>
    </xf>
    <xf numFmtId="0" fontId="13" fillId="0" borderId="9" xfId="3" applyFont="1" applyBorder="1" applyAlignment="1">
      <alignment horizontal="left" vertical="center" wrapText="1"/>
    </xf>
    <xf numFmtId="0" fontId="13" fillId="0" borderId="10" xfId="3" applyFont="1" applyBorder="1" applyAlignment="1">
      <alignment horizontal="left" vertical="center" wrapText="1"/>
    </xf>
    <xf numFmtId="164" fontId="13" fillId="0" borderId="11" xfId="3" applyNumberFormat="1" applyFont="1" applyBorder="1" applyAlignment="1">
      <alignment horizontal="left" vertical="center" wrapText="1"/>
    </xf>
    <xf numFmtId="164" fontId="13" fillId="0" borderId="12" xfId="3" applyNumberFormat="1" applyFont="1" applyBorder="1" applyAlignment="1">
      <alignment horizontal="left" vertical="center" wrapText="1"/>
    </xf>
    <xf numFmtId="164" fontId="13" fillId="0" borderId="13" xfId="3" applyNumberFormat="1" applyFont="1" applyBorder="1" applyAlignment="1">
      <alignment horizontal="left" vertical="center" wrapText="1"/>
    </xf>
    <xf numFmtId="164" fontId="18" fillId="0" borderId="6" xfId="3" applyNumberFormat="1" applyFont="1" applyBorder="1" applyAlignment="1">
      <alignment horizontal="left" vertical="center" wrapText="1"/>
    </xf>
    <xf numFmtId="164" fontId="18" fillId="0" borderId="7" xfId="3" applyNumberFormat="1" applyFont="1" applyBorder="1" applyAlignment="1">
      <alignment horizontal="left" vertical="center" wrapText="1"/>
    </xf>
    <xf numFmtId="164" fontId="18" fillId="0" borderId="8" xfId="3" applyNumberFormat="1" applyFont="1" applyBorder="1" applyAlignment="1">
      <alignment horizontal="left" vertical="center" wrapText="1"/>
    </xf>
    <xf numFmtId="9" fontId="13" fillId="3" borderId="53" xfId="3" applyNumberFormat="1" applyFont="1" applyFill="1" applyBorder="1" applyAlignment="1">
      <alignment horizontal="center"/>
    </xf>
    <xf numFmtId="9" fontId="13" fillId="3" borderId="54" xfId="3" applyNumberFormat="1" applyFont="1" applyFill="1" applyBorder="1" applyAlignment="1">
      <alignment horizontal="center"/>
    </xf>
    <xf numFmtId="9" fontId="13" fillId="3" borderId="55" xfId="3" applyNumberFormat="1" applyFont="1" applyFill="1" applyBorder="1" applyAlignment="1">
      <alignment horizontal="center"/>
    </xf>
    <xf numFmtId="0" fontId="13" fillId="0" borderId="6" xfId="3" applyFont="1" applyBorder="1" applyAlignment="1">
      <alignment horizontal="left" vertical="center" wrapText="1"/>
    </xf>
    <xf numFmtId="0" fontId="13" fillId="0" borderId="7" xfId="3" applyFont="1" applyBorder="1" applyAlignment="1">
      <alignment horizontal="left" vertical="center" wrapText="1"/>
    </xf>
    <xf numFmtId="0" fontId="13" fillId="0" borderId="8" xfId="3" applyFont="1" applyBorder="1" applyAlignment="1">
      <alignment horizontal="left" vertical="center" wrapText="1"/>
    </xf>
    <xf numFmtId="0" fontId="13" fillId="0" borderId="40" xfId="3" applyFont="1" applyBorder="1" applyAlignment="1">
      <alignment horizontal="left" vertical="center" wrapText="1"/>
    </xf>
    <xf numFmtId="0" fontId="13" fillId="0" borderId="41" xfId="3" applyFont="1" applyBorder="1" applyAlignment="1">
      <alignment horizontal="left" vertical="center" wrapText="1"/>
    </xf>
    <xf numFmtId="0" fontId="13" fillId="0" borderId="6" xfId="5" applyFont="1" applyBorder="1" applyAlignment="1">
      <alignment horizontal="left" vertical="center" wrapText="1"/>
    </xf>
    <xf numFmtId="0" fontId="13" fillId="0" borderId="7" xfId="5" applyFont="1" applyBorder="1" applyAlignment="1">
      <alignment horizontal="left" vertical="center" wrapText="1"/>
    </xf>
    <xf numFmtId="0" fontId="13" fillId="0" borderId="8" xfId="5" applyFont="1" applyBorder="1" applyAlignment="1">
      <alignment horizontal="left" vertical="center" wrapText="1"/>
    </xf>
    <xf numFmtId="0" fontId="13" fillId="0" borderId="46" xfId="3" applyFont="1" applyBorder="1" applyAlignment="1">
      <alignment horizontal="left" vertical="center" wrapText="1"/>
    </xf>
    <xf numFmtId="0" fontId="13" fillId="0" borderId="47" xfId="3" applyFont="1" applyBorder="1" applyAlignment="1">
      <alignment horizontal="left" vertical="center" wrapText="1"/>
    </xf>
    <xf numFmtId="164" fontId="13" fillId="0" borderId="11" xfId="5" applyNumberFormat="1" applyFont="1" applyBorder="1" applyAlignment="1">
      <alignment horizontal="left" vertical="center" wrapText="1"/>
    </xf>
    <xf numFmtId="164" fontId="13" fillId="0" borderId="12" xfId="5" applyNumberFormat="1" applyFont="1" applyBorder="1" applyAlignment="1">
      <alignment horizontal="left" vertical="center" wrapText="1"/>
    </xf>
    <xf numFmtId="164" fontId="13" fillId="0" borderId="13" xfId="5" applyNumberFormat="1" applyFont="1" applyBorder="1" applyAlignment="1">
      <alignment horizontal="left" vertical="center" wrapText="1"/>
    </xf>
    <xf numFmtId="0" fontId="13" fillId="0" borderId="44" xfId="3" applyFont="1" applyBorder="1" applyAlignment="1">
      <alignment horizontal="left" vertical="center" wrapText="1"/>
    </xf>
    <xf numFmtId="0" fontId="13" fillId="0" borderId="45" xfId="3" applyFont="1" applyBorder="1" applyAlignment="1">
      <alignment horizontal="left" vertical="center" wrapText="1"/>
    </xf>
    <xf numFmtId="0" fontId="13" fillId="0" borderId="42" xfId="3" applyFont="1" applyBorder="1" applyAlignment="1">
      <alignment horizontal="left" vertical="center" wrapText="1"/>
    </xf>
    <xf numFmtId="0" fontId="13" fillId="0" borderId="43" xfId="3" applyFont="1" applyBorder="1" applyAlignment="1">
      <alignment horizontal="left" vertical="center" wrapText="1"/>
    </xf>
    <xf numFmtId="0" fontId="13" fillId="0" borderId="32" xfId="3" applyFont="1" applyBorder="1" applyAlignment="1">
      <alignment horizontal="left" vertical="center" wrapText="1"/>
    </xf>
    <xf numFmtId="0" fontId="13" fillId="0" borderId="0" xfId="3" applyFont="1" applyFill="1" applyBorder="1" applyAlignment="1">
      <alignment horizontal="left" vertical="center" wrapText="1"/>
    </xf>
    <xf numFmtId="0" fontId="13" fillId="0" borderId="27" xfId="5" applyNumberFormat="1" applyFont="1" applyBorder="1" applyAlignment="1">
      <alignment horizontal="left" vertical="center" wrapText="1"/>
    </xf>
    <xf numFmtId="0" fontId="13" fillId="0" borderId="28" xfId="5" applyNumberFormat="1" applyFont="1" applyBorder="1" applyAlignment="1">
      <alignment horizontal="left" vertical="center" wrapText="1"/>
    </xf>
    <xf numFmtId="0" fontId="13" fillId="0" borderId="5" xfId="5" applyFont="1" applyBorder="1" applyAlignment="1">
      <alignment horizontal="left" vertical="center" wrapText="1"/>
    </xf>
    <xf numFmtId="0" fontId="13" fillId="0" borderId="38" xfId="5" applyFont="1" applyBorder="1" applyAlignment="1">
      <alignment horizontal="left" vertical="center" wrapText="1"/>
    </xf>
    <xf numFmtId="164" fontId="18" fillId="0" borderId="6" xfId="1" applyNumberFormat="1" applyFont="1" applyBorder="1" applyAlignment="1">
      <alignment horizontal="left" vertical="center" wrapText="1"/>
    </xf>
    <xf numFmtId="164" fontId="18" fillId="0" borderId="7" xfId="1" applyNumberFormat="1" applyFont="1" applyBorder="1" applyAlignment="1">
      <alignment horizontal="left" vertical="center" wrapText="1"/>
    </xf>
    <xf numFmtId="164" fontId="18" fillId="0" borderId="8" xfId="1" applyNumberFormat="1" applyFont="1" applyBorder="1" applyAlignment="1">
      <alignment horizontal="left" vertical="center" wrapText="1"/>
    </xf>
    <xf numFmtId="164" fontId="13" fillId="0" borderId="10" xfId="5" applyNumberFormat="1" applyFont="1" applyBorder="1" applyAlignment="1">
      <alignment horizontal="left" vertical="center" wrapText="1"/>
    </xf>
    <xf numFmtId="164" fontId="13" fillId="0" borderId="39" xfId="5" applyNumberFormat="1" applyFont="1" applyBorder="1" applyAlignment="1">
      <alignment horizontal="left" vertical="center" wrapText="1"/>
    </xf>
    <xf numFmtId="0" fontId="13" fillId="0" borderId="5" xfId="5" applyNumberFormat="1" applyFont="1" applyBorder="1" applyAlignment="1">
      <alignment horizontal="left" vertical="center" wrapText="1"/>
    </xf>
    <xf numFmtId="0" fontId="13" fillId="0" borderId="38" xfId="5" applyNumberFormat="1" applyFont="1" applyBorder="1" applyAlignment="1">
      <alignment horizontal="left" vertical="center" wrapText="1"/>
    </xf>
    <xf numFmtId="0" fontId="26" fillId="12" borderId="0" xfId="0" applyFont="1" applyFill="1" applyAlignment="1">
      <alignment horizontal="left" vertical="top" wrapText="1"/>
    </xf>
  </cellXfs>
  <cellStyles count="14">
    <cellStyle name="Comma" xfId="8" builtinId="3"/>
    <cellStyle name="Comma 2" xfId="11"/>
    <cellStyle name="Currency" xfId="1" builtinId="4"/>
    <cellStyle name="Currency 2" xfId="6"/>
    <cellStyle name="Currency 2 2" xfId="10"/>
    <cellStyle name="Currency 3" xfId="12"/>
    <cellStyle name="Normal" xfId="0" builtinId="0"/>
    <cellStyle name="Normal 2" xfId="7"/>
    <cellStyle name="Normal 2 2" xfId="9"/>
    <cellStyle name="Normal_East_Central_West Project_costsharing_0207 with Summary_June07_Rev3" xfId="5"/>
    <cellStyle name="Normal_Sheet1" xfId="3"/>
    <cellStyle name="Normal_Sheet1_Capx_pricingzone_051201" xfId="4"/>
    <cellStyle name="Percent" xfId="2" builtinId="5"/>
    <cellStyle name="Percent 2" xfId="13"/>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7"/>
  <sheetViews>
    <sheetView showGridLines="0" zoomScaleNormal="100" zoomScaleSheetLayoutView="100" workbookViewId="0">
      <selection activeCell="I20" sqref="I20"/>
    </sheetView>
  </sheetViews>
  <sheetFormatPr defaultColWidth="9.140625" defaultRowHeight="15.75" x14ac:dyDescent="0.25"/>
  <cols>
    <col min="1" max="1" width="14.42578125" style="2" customWidth="1"/>
    <col min="2" max="2" width="13.42578125" style="2" customWidth="1"/>
    <col min="3" max="3" width="24.28515625" style="2" bestFit="1" customWidth="1"/>
    <col min="4" max="4" width="18.7109375" style="2" bestFit="1" customWidth="1"/>
    <col min="5" max="5" width="12.7109375" style="2" bestFit="1" customWidth="1"/>
    <col min="6" max="6" width="12.28515625" style="2" bestFit="1" customWidth="1"/>
    <col min="7" max="7" width="14.140625" style="2" bestFit="1" customWidth="1"/>
    <col min="8" max="8" width="11.5703125" style="2" bestFit="1" customWidth="1"/>
    <col min="9" max="9" width="11.140625" style="2" customWidth="1"/>
    <col min="10" max="10" width="18.7109375" style="2" bestFit="1" customWidth="1"/>
    <col min="11" max="12" width="11.140625" style="2" customWidth="1"/>
    <col min="13" max="13" width="13.140625" style="2" bestFit="1" customWidth="1"/>
    <col min="14" max="14" width="11.5703125" style="2" bestFit="1" customWidth="1"/>
    <col min="15" max="15" width="11.140625" style="2" customWidth="1"/>
    <col min="16" max="16" width="13.140625" style="2" bestFit="1" customWidth="1"/>
    <col min="17" max="16384" width="9.140625" style="2"/>
  </cols>
  <sheetData>
    <row r="1" spans="1:15" x14ac:dyDescent="0.25">
      <c r="A1" s="350" t="s">
        <v>109</v>
      </c>
      <c r="B1" s="350"/>
      <c r="C1" s="350"/>
      <c r="D1" s="350"/>
      <c r="E1" s="350"/>
      <c r="F1" s="350"/>
      <c r="G1" s="350"/>
      <c r="H1" s="350"/>
      <c r="I1" s="350"/>
      <c r="J1" s="350"/>
      <c r="K1" s="350"/>
      <c r="L1" s="350"/>
      <c r="M1" s="350"/>
      <c r="N1" s="350"/>
      <c r="O1" s="350"/>
    </row>
    <row r="2" spans="1:15" x14ac:dyDescent="0.25">
      <c r="A2" s="350" t="s">
        <v>46</v>
      </c>
      <c r="B2" s="350"/>
      <c r="C2" s="350"/>
      <c r="D2" s="350"/>
      <c r="E2" s="350"/>
      <c r="F2" s="350"/>
      <c r="G2" s="350"/>
      <c r="H2" s="350"/>
      <c r="I2" s="350"/>
      <c r="J2" s="350"/>
      <c r="K2" s="350"/>
      <c r="L2" s="350"/>
      <c r="M2" s="350"/>
      <c r="N2" s="350"/>
      <c r="O2" s="350"/>
    </row>
    <row r="3" spans="1:15" x14ac:dyDescent="0.25">
      <c r="A3" s="350" t="s">
        <v>298</v>
      </c>
      <c r="B3" s="350"/>
      <c r="C3" s="350"/>
      <c r="D3" s="350"/>
      <c r="E3" s="350"/>
      <c r="F3" s="350"/>
      <c r="G3" s="350"/>
      <c r="H3" s="350"/>
      <c r="I3" s="350"/>
      <c r="J3" s="350"/>
      <c r="K3" s="350"/>
      <c r="L3" s="350"/>
      <c r="M3" s="350"/>
      <c r="N3" s="350"/>
      <c r="O3" s="350"/>
    </row>
    <row r="6" spans="1:15" x14ac:dyDescent="0.25">
      <c r="B6" s="3"/>
      <c r="C6" s="3"/>
      <c r="D6" s="3"/>
      <c r="E6" s="3"/>
      <c r="F6" s="3"/>
      <c r="G6" s="3"/>
    </row>
    <row r="7" spans="1:15" s="20" customFormat="1" x14ac:dyDescent="0.25">
      <c r="A7" s="30" t="s">
        <v>142</v>
      </c>
      <c r="B7" s="26"/>
      <c r="C7" s="26"/>
      <c r="D7" s="26"/>
      <c r="E7" s="26"/>
      <c r="F7" s="26"/>
      <c r="G7" s="26"/>
    </row>
    <row r="8" spans="1:15" s="20" customFormat="1" x14ac:dyDescent="0.25">
      <c r="A8" s="20" t="s">
        <v>143</v>
      </c>
      <c r="B8" s="26"/>
      <c r="C8" s="31">
        <f>K19+G29+N55+F40+C65+C75+F85+Q100+C110+C120+G130</f>
        <v>3041945.7749285279</v>
      </c>
      <c r="D8" s="31"/>
      <c r="E8" s="38"/>
      <c r="F8" s="26"/>
      <c r="G8" s="26"/>
    </row>
    <row r="9" spans="1:15" s="20" customFormat="1" x14ac:dyDescent="0.25">
      <c r="A9" s="24" t="s">
        <v>144</v>
      </c>
      <c r="B9" s="26"/>
      <c r="C9" s="32">
        <f>K20+G30+N56+F41+C66+C76+F86+Q101+C111+C121+G131</f>
        <v>202121.51196146506</v>
      </c>
      <c r="D9" s="39"/>
      <c r="E9" s="40"/>
      <c r="F9" s="26"/>
      <c r="G9" s="26"/>
    </row>
    <row r="10" spans="1:15" s="20" customFormat="1" x14ac:dyDescent="0.25">
      <c r="A10" s="20" t="s">
        <v>145</v>
      </c>
      <c r="B10" s="26"/>
      <c r="C10" s="31">
        <f>SUM(C8:C9)</f>
        <v>3244067.2868899931</v>
      </c>
      <c r="D10" s="26"/>
      <c r="E10" s="26"/>
      <c r="F10" s="26"/>
      <c r="G10" s="26"/>
    </row>
    <row r="11" spans="1:15" x14ac:dyDescent="0.25">
      <c r="A11" s="3"/>
      <c r="B11" s="3"/>
      <c r="C11" s="3"/>
      <c r="D11" s="3"/>
      <c r="E11" s="3"/>
      <c r="F11" s="3"/>
      <c r="G11" s="3"/>
    </row>
    <row r="12" spans="1:15" x14ac:dyDescent="0.25">
      <c r="A12" s="3"/>
      <c r="B12" s="3"/>
      <c r="C12" s="3"/>
      <c r="D12" s="3"/>
      <c r="E12" s="3"/>
      <c r="F12" s="3"/>
      <c r="G12" s="3"/>
    </row>
    <row r="13" spans="1:15" s="20" customFormat="1" x14ac:dyDescent="0.25">
      <c r="A13" s="26" t="s">
        <v>146</v>
      </c>
      <c r="B13" s="26"/>
      <c r="C13" s="26"/>
      <c r="D13" s="26"/>
      <c r="E13" s="26"/>
      <c r="F13" s="26"/>
      <c r="G13" s="26"/>
    </row>
    <row r="14" spans="1:15" s="20" customFormat="1" x14ac:dyDescent="0.25">
      <c r="A14" s="19" t="s">
        <v>0</v>
      </c>
      <c r="B14" s="348" t="s">
        <v>58</v>
      </c>
      <c r="C14" s="348"/>
      <c r="D14" s="348"/>
      <c r="E14" s="348"/>
      <c r="F14" s="348"/>
      <c r="G14" s="348"/>
    </row>
    <row r="15" spans="1:15" s="20" customFormat="1" ht="15.75" customHeight="1" x14ac:dyDescent="0.25">
      <c r="A15" s="21" t="s">
        <v>2</v>
      </c>
      <c r="B15" s="348" t="s">
        <v>59</v>
      </c>
      <c r="C15" s="348"/>
      <c r="D15" s="348"/>
      <c r="E15" s="348"/>
      <c r="F15" s="348"/>
      <c r="G15" s="348"/>
    </row>
    <row r="16" spans="1:15" s="20" customFormat="1" ht="15.75" customHeight="1" x14ac:dyDescent="0.25">
      <c r="A16" s="21" t="s">
        <v>4</v>
      </c>
      <c r="B16" s="348" t="s">
        <v>60</v>
      </c>
      <c r="C16" s="348"/>
      <c r="D16" s="348"/>
      <c r="E16" s="348"/>
      <c r="F16" s="348"/>
      <c r="G16" s="348"/>
    </row>
    <row r="17" spans="1:11" s="20" customFormat="1" x14ac:dyDescent="0.25">
      <c r="A17" s="21" t="s">
        <v>7</v>
      </c>
      <c r="B17" s="348" t="s">
        <v>61</v>
      </c>
      <c r="C17" s="348"/>
      <c r="D17" s="348"/>
      <c r="E17" s="348"/>
      <c r="F17" s="348"/>
      <c r="G17" s="348"/>
    </row>
    <row r="18" spans="1:11" s="20" customFormat="1" x14ac:dyDescent="0.25">
      <c r="A18" s="26"/>
      <c r="B18" s="26"/>
      <c r="C18" s="22" t="s">
        <v>34</v>
      </c>
      <c r="D18" s="22" t="s">
        <v>35</v>
      </c>
      <c r="E18" s="22" t="s">
        <v>24</v>
      </c>
      <c r="F18" s="22" t="s">
        <v>27</v>
      </c>
      <c r="G18" s="22" t="s">
        <v>30</v>
      </c>
      <c r="H18" s="22" t="s">
        <v>31</v>
      </c>
      <c r="I18" s="22" t="s">
        <v>32</v>
      </c>
      <c r="J18" s="22" t="s">
        <v>36</v>
      </c>
      <c r="K18" s="22" t="s">
        <v>95</v>
      </c>
    </row>
    <row r="19" spans="1:11" s="20" customFormat="1" x14ac:dyDescent="0.25">
      <c r="A19" s="20" t="s">
        <v>147</v>
      </c>
      <c r="C19" s="23">
        <f>'True-up'!P76</f>
        <v>2661.6051779322584</v>
      </c>
      <c r="D19" s="23">
        <f>'True-up'!P77</f>
        <v>74205.119905556552</v>
      </c>
      <c r="E19" s="23">
        <f>'True-up'!P66</f>
        <v>769.74579905265819</v>
      </c>
      <c r="F19" s="23">
        <f>'True-up'!P69</f>
        <v>48.71387780847293</v>
      </c>
      <c r="G19" s="23">
        <f>'True-up'!P72</f>
        <v>6439.9535370928188</v>
      </c>
      <c r="H19" s="23">
        <f>'True-up'!P73</f>
        <v>35971.37153999172</v>
      </c>
      <c r="I19" s="23">
        <f>'True-up'!P74</f>
        <v>14139.553424124635</v>
      </c>
      <c r="J19" s="23">
        <f>'True-up'!P78</f>
        <v>21.666309272464613</v>
      </c>
      <c r="K19" s="23">
        <f>SUM(C19:J19)</f>
        <v>134257.72957083158</v>
      </c>
    </row>
    <row r="20" spans="1:11" s="20" customFormat="1" x14ac:dyDescent="0.25">
      <c r="A20" s="24" t="s">
        <v>148</v>
      </c>
      <c r="C20" s="23">
        <f>'True-up'!Q76</f>
        <v>163.78536863008875</v>
      </c>
      <c r="D20" s="23">
        <f>'True-up'!Q77</f>
        <v>3144.6625892241505</v>
      </c>
      <c r="E20" s="23">
        <f>'True-up'!Q66</f>
        <v>39.171364826269588</v>
      </c>
      <c r="F20" s="23">
        <f>'True-up'!Q69</f>
        <v>6.036268924299204</v>
      </c>
      <c r="G20" s="23">
        <f>'True-up'!Q72</f>
        <v>395.6860289699186</v>
      </c>
      <c r="H20" s="23">
        <f>'True-up'!Q73</f>
        <v>2892.6606199526582</v>
      </c>
      <c r="I20" s="23">
        <f>'True-up'!Q74</f>
        <v>2277.4034271662049</v>
      </c>
      <c r="J20" s="23">
        <f>'True-up'!Q78</f>
        <v>0.96053284418723228</v>
      </c>
      <c r="K20" s="23">
        <f>SUM(C20:J20)</f>
        <v>8920.3662005377773</v>
      </c>
    </row>
    <row r="21" spans="1:11" s="20" customFormat="1" ht="16.5" thickBot="1" x14ac:dyDescent="0.3">
      <c r="A21" s="20" t="s">
        <v>149</v>
      </c>
      <c r="C21" s="25">
        <f t="shared" ref="C21:J21" si="0">SUM(C19:C20)</f>
        <v>2825.390546562347</v>
      </c>
      <c r="D21" s="25">
        <f t="shared" si="0"/>
        <v>77349.782494780709</v>
      </c>
      <c r="E21" s="25">
        <f t="shared" si="0"/>
        <v>808.91716387892779</v>
      </c>
      <c r="F21" s="25">
        <f t="shared" si="0"/>
        <v>54.750146732772137</v>
      </c>
      <c r="G21" s="25">
        <f t="shared" si="0"/>
        <v>6835.6395660627377</v>
      </c>
      <c r="H21" s="25">
        <f t="shared" si="0"/>
        <v>38864.032159944378</v>
      </c>
      <c r="I21" s="25">
        <f t="shared" si="0"/>
        <v>16416.956851290841</v>
      </c>
      <c r="J21" s="25">
        <f t="shared" si="0"/>
        <v>22.626842116651844</v>
      </c>
      <c r="K21" s="25">
        <f>SUM(C21:J21)</f>
        <v>143178.09577136935</v>
      </c>
    </row>
    <row r="22" spans="1:11" ht="16.5" thickTop="1" x14ac:dyDescent="0.25"/>
    <row r="23" spans="1:11" ht="12.75" customHeight="1" x14ac:dyDescent="0.25">
      <c r="A23" s="3"/>
      <c r="B23" s="3"/>
      <c r="C23" s="3"/>
      <c r="D23" s="3"/>
      <c r="E23" s="3"/>
      <c r="F23" s="3"/>
      <c r="G23" s="3"/>
    </row>
    <row r="24" spans="1:11" x14ac:dyDescent="0.25">
      <c r="A24" s="5" t="s">
        <v>0</v>
      </c>
      <c r="B24" s="349" t="s">
        <v>62</v>
      </c>
      <c r="C24" s="349"/>
      <c r="D24" s="349"/>
      <c r="E24" s="349"/>
      <c r="F24" s="349"/>
      <c r="G24" s="349"/>
    </row>
    <row r="25" spans="1:11" ht="15.75" customHeight="1" x14ac:dyDescent="0.25">
      <c r="A25" s="6" t="s">
        <v>2</v>
      </c>
      <c r="B25" s="349" t="s">
        <v>63</v>
      </c>
      <c r="C25" s="349"/>
      <c r="D25" s="349"/>
      <c r="E25" s="349"/>
      <c r="F25" s="349"/>
      <c r="G25" s="349"/>
    </row>
    <row r="26" spans="1:11" ht="15.75" customHeight="1" x14ac:dyDescent="0.25">
      <c r="A26" s="6" t="s">
        <v>4</v>
      </c>
      <c r="B26" s="349" t="s">
        <v>64</v>
      </c>
      <c r="C26" s="349"/>
      <c r="D26" s="349"/>
      <c r="E26" s="349"/>
      <c r="F26" s="349"/>
      <c r="G26" s="349"/>
    </row>
    <row r="27" spans="1:11" x14ac:dyDescent="0.25">
      <c r="A27" s="6" t="s">
        <v>7</v>
      </c>
      <c r="B27" s="349" t="s">
        <v>65</v>
      </c>
      <c r="C27" s="349"/>
      <c r="D27" s="349"/>
      <c r="E27" s="349"/>
      <c r="F27" s="349"/>
      <c r="G27" s="349"/>
    </row>
    <row r="28" spans="1:11" x14ac:dyDescent="0.25">
      <c r="A28" s="3"/>
      <c r="B28" s="3"/>
      <c r="C28" s="7" t="s">
        <v>34</v>
      </c>
      <c r="D28" s="7" t="s">
        <v>35</v>
      </c>
      <c r="E28" s="7" t="s">
        <v>32</v>
      </c>
      <c r="F28" s="7" t="s">
        <v>31</v>
      </c>
      <c r="G28" s="7" t="s">
        <v>95</v>
      </c>
    </row>
    <row r="29" spans="1:11" x14ac:dyDescent="0.25">
      <c r="A29" s="2" t="s">
        <v>147</v>
      </c>
      <c r="C29" s="8">
        <f>'True-up'!P117</f>
        <v>152.57098134088983</v>
      </c>
      <c r="D29" s="8">
        <f>'True-up'!P118</f>
        <v>9567.7804818556433</v>
      </c>
      <c r="E29" s="8">
        <f>'True-up'!P115</f>
        <v>5769.10228678165</v>
      </c>
      <c r="F29" s="8">
        <f>'True-up'!P114</f>
        <v>4206.9009496264207</v>
      </c>
      <c r="G29" s="8">
        <f>SUM(C29:F29)</f>
        <v>19696.354699604606</v>
      </c>
    </row>
    <row r="30" spans="1:11" x14ac:dyDescent="0.25">
      <c r="A30" s="4" t="s">
        <v>148</v>
      </c>
      <c r="C30" s="8">
        <f>'True-up'!Q117</f>
        <v>3.8564027746843665</v>
      </c>
      <c r="D30" s="8">
        <f>'True-up'!Q118</f>
        <v>148.56880215033621</v>
      </c>
      <c r="E30" s="8">
        <f>'True-up'!Q115</f>
        <v>999.07070864676234</v>
      </c>
      <c r="F30" s="8">
        <f>'True-up'!Q114</f>
        <v>157.17135867984086</v>
      </c>
      <c r="G30" s="8">
        <f>SUM(C30:F30)</f>
        <v>1308.6672722516237</v>
      </c>
    </row>
    <row r="31" spans="1:11" ht="16.5" thickBot="1" x14ac:dyDescent="0.3">
      <c r="A31" s="2" t="s">
        <v>149</v>
      </c>
      <c r="C31" s="9">
        <f>SUM(C29:C30)</f>
        <v>156.4273841155742</v>
      </c>
      <c r="D31" s="9">
        <f>SUM(D29:D30)</f>
        <v>9716.3492840059789</v>
      </c>
      <c r="E31" s="9">
        <f>SUM(E29:E30)</f>
        <v>6768.1729954284128</v>
      </c>
      <c r="F31" s="9">
        <f>SUM(F29:F30)</f>
        <v>4364.0723083062612</v>
      </c>
      <c r="G31" s="9">
        <f>SUM(C31:F31)</f>
        <v>21005.021971856229</v>
      </c>
    </row>
    <row r="32" spans="1:11" ht="16.5" thickTop="1" x14ac:dyDescent="0.25">
      <c r="C32" s="28"/>
      <c r="D32" s="28"/>
      <c r="E32" s="28"/>
      <c r="F32" s="28"/>
      <c r="G32" s="28"/>
    </row>
    <row r="33" spans="1:10" s="20" customFormat="1" x14ac:dyDescent="0.25">
      <c r="C33" s="29"/>
      <c r="D33" s="29"/>
      <c r="E33" s="29"/>
      <c r="F33" s="29"/>
    </row>
    <row r="34" spans="1:10" s="20" customFormat="1" x14ac:dyDescent="0.25">
      <c r="A34" s="27" t="s">
        <v>0</v>
      </c>
      <c r="B34" s="348" t="s">
        <v>171</v>
      </c>
      <c r="C34" s="348"/>
      <c r="D34" s="348"/>
      <c r="E34" s="348"/>
      <c r="F34" s="348"/>
      <c r="G34" s="348"/>
    </row>
    <row r="35" spans="1:10" s="20" customFormat="1" ht="15.75" customHeight="1" x14ac:dyDescent="0.25">
      <c r="A35" s="21" t="s">
        <v>2</v>
      </c>
      <c r="B35" s="348" t="s">
        <v>67</v>
      </c>
      <c r="C35" s="348"/>
      <c r="D35" s="348"/>
      <c r="E35" s="348"/>
      <c r="F35" s="348"/>
      <c r="G35" s="348"/>
    </row>
    <row r="36" spans="1:10" s="20" customFormat="1" ht="15.75" customHeight="1" x14ac:dyDescent="0.25">
      <c r="A36" s="21" t="s">
        <v>4</v>
      </c>
      <c r="B36" s="348" t="s">
        <v>172</v>
      </c>
      <c r="C36" s="348"/>
      <c r="D36" s="348"/>
      <c r="E36" s="348"/>
      <c r="F36" s="348"/>
      <c r="G36" s="348"/>
    </row>
    <row r="37" spans="1:10" s="20" customFormat="1" x14ac:dyDescent="0.25">
      <c r="A37" s="21" t="s">
        <v>7</v>
      </c>
      <c r="B37" s="348" t="s">
        <v>173</v>
      </c>
      <c r="C37" s="348"/>
      <c r="D37" s="348"/>
      <c r="E37" s="348"/>
      <c r="F37" s="348"/>
      <c r="G37" s="348"/>
    </row>
    <row r="38" spans="1:10" s="20" customFormat="1" x14ac:dyDescent="0.25">
      <c r="C38" s="29"/>
      <c r="D38" s="29"/>
      <c r="E38" s="29"/>
      <c r="F38" s="29"/>
      <c r="G38" s="29"/>
      <c r="H38" s="29"/>
      <c r="I38" s="29"/>
      <c r="J38" s="29"/>
    </row>
    <row r="39" spans="1:10" s="20" customFormat="1" x14ac:dyDescent="0.25">
      <c r="C39" s="22" t="s">
        <v>34</v>
      </c>
      <c r="D39" s="22" t="s">
        <v>32</v>
      </c>
      <c r="E39" s="22" t="s">
        <v>31</v>
      </c>
      <c r="F39" s="22" t="s">
        <v>95</v>
      </c>
    </row>
    <row r="40" spans="1:10" s="20" customFormat="1" x14ac:dyDescent="0.25">
      <c r="A40" s="20" t="s">
        <v>147</v>
      </c>
      <c r="C40" s="23">
        <f>'True-up'!P158</f>
        <v>47545.050455146324</v>
      </c>
      <c r="D40" s="23">
        <f>'True-up'!P156</f>
        <v>30.852841135033024</v>
      </c>
      <c r="E40" s="23">
        <f>'True-up'!P155</f>
        <v>546.7494522304055</v>
      </c>
      <c r="F40" s="23">
        <f>SUM(C40:E40)</f>
        <v>48122.652748511762</v>
      </c>
    </row>
    <row r="41" spans="1:10" s="20" customFormat="1" x14ac:dyDescent="0.25">
      <c r="A41" s="24" t="s">
        <v>148</v>
      </c>
      <c r="C41" s="23">
        <f>'True-up'!Q158</f>
        <v>3152.7878438355583</v>
      </c>
      <c r="D41" s="23">
        <f>'True-up'!Q156</f>
        <v>3.1132931465089961</v>
      </c>
      <c r="E41" s="23">
        <f>'True-up'!Q155</f>
        <v>41.469222476945411</v>
      </c>
      <c r="F41" s="23">
        <f>SUM(C41:E41)</f>
        <v>3197.3703594590129</v>
      </c>
    </row>
    <row r="42" spans="1:10" s="20" customFormat="1" ht="16.5" thickBot="1" x14ac:dyDescent="0.3">
      <c r="A42" s="20" t="s">
        <v>149</v>
      </c>
      <c r="C42" s="25">
        <f>SUM(C40:C41)</f>
        <v>50697.838298981878</v>
      </c>
      <c r="D42" s="25">
        <f>SUM(D40:D41)</f>
        <v>33.966134281542018</v>
      </c>
      <c r="E42" s="25">
        <f>SUM(E40:E41)</f>
        <v>588.21867470735094</v>
      </c>
      <c r="F42" s="25">
        <f>SUM(C42:E42)</f>
        <v>51320.023107970774</v>
      </c>
    </row>
    <row r="43" spans="1:10" ht="16.5" thickTop="1" x14ac:dyDescent="0.25"/>
    <row r="45" spans="1:10" s="20" customFormat="1" x14ac:dyDescent="0.25">
      <c r="A45" s="19" t="s">
        <v>0</v>
      </c>
      <c r="B45" s="348" t="s">
        <v>168</v>
      </c>
      <c r="C45" s="348"/>
      <c r="D45" s="348"/>
      <c r="E45" s="348"/>
      <c r="F45" s="348"/>
      <c r="G45" s="348"/>
    </row>
    <row r="46" spans="1:10" s="20" customFormat="1" ht="15.75" customHeight="1" x14ac:dyDescent="0.25">
      <c r="A46" s="21" t="s">
        <v>2</v>
      </c>
      <c r="B46" s="348" t="s">
        <v>169</v>
      </c>
      <c r="C46" s="348"/>
      <c r="D46" s="348"/>
      <c r="E46" s="348"/>
      <c r="F46" s="348"/>
      <c r="G46" s="348"/>
    </row>
    <row r="47" spans="1:10" s="20" customFormat="1" ht="15.75" customHeight="1" x14ac:dyDescent="0.25">
      <c r="A47" s="21" t="s">
        <v>4</v>
      </c>
      <c r="B47" s="348" t="s">
        <v>73</v>
      </c>
      <c r="C47" s="348"/>
      <c r="D47" s="348"/>
      <c r="E47" s="348"/>
      <c r="F47" s="348"/>
      <c r="G47" s="348"/>
    </row>
    <row r="48" spans="1:10" s="20" customFormat="1" x14ac:dyDescent="0.25">
      <c r="A48" s="21" t="s">
        <v>7</v>
      </c>
      <c r="B48" s="348" t="s">
        <v>170</v>
      </c>
      <c r="C48" s="348"/>
      <c r="D48" s="348"/>
      <c r="E48" s="348"/>
      <c r="F48" s="348"/>
      <c r="G48" s="348"/>
    </row>
    <row r="49" spans="1:15" s="20" customFormat="1" x14ac:dyDescent="0.25">
      <c r="A49" s="26"/>
      <c r="B49" s="26"/>
      <c r="C49" s="22" t="s">
        <v>34</v>
      </c>
      <c r="D49" s="22" t="s">
        <v>195</v>
      </c>
      <c r="E49" s="22" t="s">
        <v>19</v>
      </c>
      <c r="F49" s="37" t="s">
        <v>210</v>
      </c>
      <c r="G49" s="37" t="s">
        <v>211</v>
      </c>
      <c r="H49" s="22" t="s">
        <v>20</v>
      </c>
      <c r="I49" s="22" t="s">
        <v>21</v>
      </c>
      <c r="J49" s="37" t="s">
        <v>22</v>
      </c>
      <c r="K49" s="22" t="s">
        <v>23</v>
      </c>
      <c r="L49" s="22" t="s">
        <v>24</v>
      </c>
      <c r="M49" s="22" t="s">
        <v>25</v>
      </c>
      <c r="N49" s="22" t="s">
        <v>27</v>
      </c>
      <c r="O49" s="22" t="s">
        <v>26</v>
      </c>
    </row>
    <row r="50" spans="1:15" s="20" customFormat="1" x14ac:dyDescent="0.25">
      <c r="A50" s="20" t="s">
        <v>147</v>
      </c>
      <c r="C50" s="23">
        <f>'True-up'!P201</f>
        <v>80317.81988580832</v>
      </c>
      <c r="D50" s="23">
        <f>'True-up'!P180</f>
        <v>81682.647043049074</v>
      </c>
      <c r="E50" s="23">
        <f>'True-up'!P181</f>
        <v>2905.7811967560424</v>
      </c>
      <c r="F50" s="23">
        <f>'True-up'!P183</f>
        <v>44168.024035490438</v>
      </c>
      <c r="G50" s="23">
        <f>'True-up'!P184</f>
        <v>6514.9457315656946</v>
      </c>
      <c r="H50" s="23">
        <f>'True-up'!P185</f>
        <v>11364.623046164763</v>
      </c>
      <c r="I50" s="23">
        <f>'True-up'!P186</f>
        <v>14354.420107691521</v>
      </c>
      <c r="J50" s="23">
        <f>'True-up'!P187</f>
        <v>39935.121519601074</v>
      </c>
      <c r="K50" s="23">
        <f>'True-up'!P188</f>
        <v>43183.470794073022</v>
      </c>
      <c r="L50" s="23">
        <f>'True-up'!P189</f>
        <v>32600.167654528068</v>
      </c>
      <c r="M50" s="23">
        <f>'True-up'!P190</f>
        <v>1456.8496144133774</v>
      </c>
      <c r="N50" s="23">
        <f>'True-up'!P191</f>
        <v>26241.551548677809</v>
      </c>
      <c r="O50" s="23">
        <f>'True-up'!P192</f>
        <v>40854.012602850198</v>
      </c>
    </row>
    <row r="51" spans="1:15" s="20" customFormat="1" x14ac:dyDescent="0.25">
      <c r="A51" s="24" t="s">
        <v>148</v>
      </c>
      <c r="C51" s="23">
        <f>'True-up'!Q201</f>
        <v>5082.3694520349218</v>
      </c>
      <c r="D51" s="23">
        <f>'True-up'!Q180</f>
        <v>3980.7132573658</v>
      </c>
      <c r="E51" s="23">
        <f>'True-up'!Q181</f>
        <v>191.49343184847316</v>
      </c>
      <c r="F51" s="23">
        <f>'True-up'!Q183</f>
        <v>2101.9816504312389</v>
      </c>
      <c r="G51" s="23">
        <f>'True-up'!Q184</f>
        <v>358.13403637770671</v>
      </c>
      <c r="H51" s="23">
        <f>'True-up'!Q185</f>
        <v>897.979520480931</v>
      </c>
      <c r="I51" s="23">
        <f>'True-up'!Q186</f>
        <v>1035.4801732649014</v>
      </c>
      <c r="J51" s="23">
        <f>'True-up'!Q187</f>
        <v>2426.3999759640574</v>
      </c>
      <c r="K51" s="23">
        <f>'True-up'!Q188</f>
        <v>3219.1327002079593</v>
      </c>
      <c r="L51" s="23">
        <f>'True-up'!Q189</f>
        <v>1820.7329976860146</v>
      </c>
      <c r="M51" s="23">
        <f>'True-up'!Q190</f>
        <v>81.145660351758778</v>
      </c>
      <c r="N51" s="23">
        <f>'True-up'!Q191</f>
        <v>2448.3769158814466</v>
      </c>
      <c r="O51" s="23">
        <f>'True-up'!Q192</f>
        <v>2451.3930523810959</v>
      </c>
    </row>
    <row r="52" spans="1:15" s="20" customFormat="1" ht="16.5" thickBot="1" x14ac:dyDescent="0.3">
      <c r="A52" s="20" t="s">
        <v>149</v>
      </c>
      <c r="C52" s="25">
        <f t="shared" ref="C52:O52" si="1">SUM(C50:C51)</f>
        <v>85400.189337843243</v>
      </c>
      <c r="D52" s="25">
        <f t="shared" si="1"/>
        <v>85663.360300414875</v>
      </c>
      <c r="E52" s="25">
        <f t="shared" si="1"/>
        <v>3097.2746286045158</v>
      </c>
      <c r="F52" s="25">
        <f t="shared" si="1"/>
        <v>46270.005685921678</v>
      </c>
      <c r="G52" s="25">
        <f t="shared" si="1"/>
        <v>6873.0797679434017</v>
      </c>
      <c r="H52" s="25">
        <f t="shared" si="1"/>
        <v>12262.602566645694</v>
      </c>
      <c r="I52" s="25">
        <f t="shared" si="1"/>
        <v>15389.900280956423</v>
      </c>
      <c r="J52" s="25">
        <f t="shared" si="1"/>
        <v>42361.521495565132</v>
      </c>
      <c r="K52" s="25">
        <f t="shared" si="1"/>
        <v>46402.603494280978</v>
      </c>
      <c r="L52" s="25">
        <f t="shared" si="1"/>
        <v>34420.900652214084</v>
      </c>
      <c r="M52" s="25">
        <f t="shared" si="1"/>
        <v>1537.9952747651362</v>
      </c>
      <c r="N52" s="25">
        <f t="shared" si="1"/>
        <v>28689.928464559256</v>
      </c>
      <c r="O52" s="25">
        <f t="shared" si="1"/>
        <v>43305.405655231298</v>
      </c>
    </row>
    <row r="53" spans="1:15" s="20" customFormat="1" ht="16.5" thickTop="1" x14ac:dyDescent="0.25">
      <c r="C53" s="29"/>
      <c r="D53" s="29"/>
      <c r="E53" s="29"/>
      <c r="F53" s="29"/>
      <c r="G53" s="29"/>
      <c r="H53" s="29"/>
      <c r="I53" s="29"/>
      <c r="J53" s="29"/>
    </row>
    <row r="54" spans="1:15" s="20" customFormat="1" x14ac:dyDescent="0.25">
      <c r="A54" s="26"/>
      <c r="B54" s="26"/>
      <c r="C54" s="37" t="s">
        <v>69</v>
      </c>
      <c r="D54" s="37" t="s">
        <v>70</v>
      </c>
      <c r="E54" s="22" t="s">
        <v>28</v>
      </c>
      <c r="F54" s="22" t="s">
        <v>29</v>
      </c>
      <c r="G54" s="22" t="s">
        <v>30</v>
      </c>
      <c r="H54" s="22" t="s">
        <v>31</v>
      </c>
      <c r="I54" s="22" t="s">
        <v>32</v>
      </c>
      <c r="J54" s="22" t="s">
        <v>33</v>
      </c>
      <c r="K54" s="22" t="s">
        <v>35</v>
      </c>
      <c r="L54" s="22" t="s">
        <v>36</v>
      </c>
      <c r="M54" s="37" t="s">
        <v>207</v>
      </c>
      <c r="N54" s="22" t="s">
        <v>95</v>
      </c>
    </row>
    <row r="55" spans="1:15" s="20" customFormat="1" x14ac:dyDescent="0.25">
      <c r="A55" s="20" t="s">
        <v>147</v>
      </c>
      <c r="C55" s="23">
        <f>'True-up'!P193</f>
        <v>2805.4781494766357</v>
      </c>
      <c r="D55" s="23">
        <f>'True-up'!P194</f>
        <v>716.42356856235369</v>
      </c>
      <c r="E55" s="23">
        <f>'True-up'!P195</f>
        <v>2569.6208716719339</v>
      </c>
      <c r="F55" s="23">
        <f>'True-up'!P196</f>
        <v>2492.6134906379557</v>
      </c>
      <c r="G55" s="23">
        <f>'True-up'!P197</f>
        <v>74625.622986193397</v>
      </c>
      <c r="H55" s="23">
        <f>'True-up'!P198</f>
        <v>1039273.9595412842</v>
      </c>
      <c r="I55" s="23">
        <f>'True-up'!P199</f>
        <v>146977.83947707692</v>
      </c>
      <c r="J55" s="23">
        <f>'True-up'!P200</f>
        <v>1211.038734257444</v>
      </c>
      <c r="K55" s="23">
        <f>'True-up'!P202</f>
        <v>583387.6051457182</v>
      </c>
      <c r="L55" s="23">
        <f>'True-up'!P203</f>
        <v>39606.708186787735</v>
      </c>
      <c r="M55" s="23">
        <f>'True-up'!P182</f>
        <v>31362.438362082725</v>
      </c>
      <c r="N55" s="23">
        <f>SUM(C50:O50)+SUM(C55:M55)</f>
        <v>2350608.7832944188</v>
      </c>
    </row>
    <row r="56" spans="1:15" s="20" customFormat="1" x14ac:dyDescent="0.25">
      <c r="A56" s="24" t="s">
        <v>148</v>
      </c>
      <c r="C56" s="23">
        <f>'True-up'!Q193</f>
        <v>167.7335479439262</v>
      </c>
      <c r="D56" s="23">
        <f>'True-up'!Q194</f>
        <v>43.520482010289435</v>
      </c>
      <c r="E56" s="23">
        <f>'True-up'!Q195</f>
        <v>121.02528827755054</v>
      </c>
      <c r="F56" s="23">
        <f>'True-up'!Q196</f>
        <v>128.20344950685723</v>
      </c>
      <c r="G56" s="23">
        <f>'True-up'!Q197</f>
        <v>4717.5417229149589</v>
      </c>
      <c r="H56" s="23">
        <f>'True-up'!Q198</f>
        <v>77270.299467901859</v>
      </c>
      <c r="I56" s="23">
        <f>'True-up'!Q199</f>
        <v>15295.505071223592</v>
      </c>
      <c r="J56" s="23">
        <f>'True-up'!Q200</f>
        <v>90.311204397865097</v>
      </c>
      <c r="K56" s="23">
        <f>'True-up'!Q202</f>
        <v>28689.905509497039</v>
      </c>
      <c r="L56" s="23">
        <f>'True-up'!Q203</f>
        <v>2031.6335936666021</v>
      </c>
      <c r="M56" s="23">
        <f>'True-up'!Q182</f>
        <v>1528.3838943550113</v>
      </c>
      <c r="N56" s="23">
        <f>SUM(C51:O51)+SUM(C56:M56)</f>
        <v>156179.39605597185</v>
      </c>
    </row>
    <row r="57" spans="1:15" s="20" customFormat="1" ht="16.5" thickBot="1" x14ac:dyDescent="0.3">
      <c r="A57" s="20" t="s">
        <v>149</v>
      </c>
      <c r="C57" s="25">
        <f>SUM(C55:C56)</f>
        <v>2973.2116974205619</v>
      </c>
      <c r="D57" s="25">
        <f t="shared" ref="D57:L57" si="2">SUM(D55:D56)</f>
        <v>759.94405057264316</v>
      </c>
      <c r="E57" s="25">
        <f t="shared" si="2"/>
        <v>2690.6461599494842</v>
      </c>
      <c r="F57" s="25">
        <f t="shared" si="2"/>
        <v>2620.8169401448131</v>
      </c>
      <c r="G57" s="25">
        <f t="shared" si="2"/>
        <v>79343.164709108358</v>
      </c>
      <c r="H57" s="25">
        <f t="shared" si="2"/>
        <v>1116544.2590091862</v>
      </c>
      <c r="I57" s="25">
        <f t="shared" si="2"/>
        <v>162273.34454830052</v>
      </c>
      <c r="J57" s="25">
        <f t="shared" si="2"/>
        <v>1301.3499386553092</v>
      </c>
      <c r="K57" s="25">
        <f t="shared" si="2"/>
        <v>612077.51065521524</v>
      </c>
      <c r="L57" s="25">
        <f t="shared" si="2"/>
        <v>41638.341780454335</v>
      </c>
      <c r="M57" s="25">
        <f>SUM(M55:M56)</f>
        <v>32890.822256437736</v>
      </c>
      <c r="N57" s="25">
        <f>SUM(N55:N56)</f>
        <v>2506788.1793503906</v>
      </c>
    </row>
    <row r="58" spans="1:15" s="20" customFormat="1" ht="16.5" thickTop="1" x14ac:dyDescent="0.25">
      <c r="C58" s="29"/>
      <c r="D58" s="29"/>
      <c r="E58" s="29"/>
      <c r="F58" s="29"/>
      <c r="G58" s="29"/>
      <c r="H58" s="29"/>
      <c r="I58" s="29"/>
      <c r="J58" s="29"/>
    </row>
    <row r="60" spans="1:15" x14ac:dyDescent="0.25">
      <c r="A60" s="5" t="s">
        <v>0</v>
      </c>
      <c r="B60" s="10" t="s">
        <v>76</v>
      </c>
      <c r="D60" s="11"/>
      <c r="E60" s="11"/>
    </row>
    <row r="61" spans="1:15" x14ac:dyDescent="0.25">
      <c r="A61" s="6" t="s">
        <v>2</v>
      </c>
      <c r="B61" s="10" t="s">
        <v>77</v>
      </c>
      <c r="D61" s="11"/>
      <c r="E61" s="11"/>
    </row>
    <row r="62" spans="1:15" x14ac:dyDescent="0.25">
      <c r="A62" s="6" t="s">
        <v>4</v>
      </c>
      <c r="B62" s="10" t="s">
        <v>5</v>
      </c>
      <c r="D62" s="11"/>
      <c r="E62" s="11"/>
    </row>
    <row r="63" spans="1:15" x14ac:dyDescent="0.25">
      <c r="A63" s="6" t="s">
        <v>7</v>
      </c>
      <c r="B63" s="10" t="s">
        <v>8</v>
      </c>
      <c r="D63" s="11"/>
      <c r="E63" s="11"/>
    </row>
    <row r="64" spans="1:15" x14ac:dyDescent="0.25">
      <c r="C64" s="7" t="s">
        <v>34</v>
      </c>
      <c r="D64" s="11"/>
      <c r="E64" s="11"/>
    </row>
    <row r="65" spans="1:7" x14ac:dyDescent="0.25">
      <c r="A65" s="2" t="s">
        <v>147</v>
      </c>
      <c r="C65" s="8">
        <f>'True-up'!P283</f>
        <v>280.14737566338863</v>
      </c>
      <c r="D65" s="11"/>
      <c r="E65" s="11"/>
    </row>
    <row r="66" spans="1:7" x14ac:dyDescent="0.25">
      <c r="A66" s="4" t="s">
        <v>148</v>
      </c>
      <c r="C66" s="8">
        <f>'True-up'!Q286</f>
        <v>18.613581423024304</v>
      </c>
      <c r="D66" s="11"/>
      <c r="E66" s="11"/>
    </row>
    <row r="67" spans="1:7" ht="16.5" thickBot="1" x14ac:dyDescent="0.3">
      <c r="A67" s="2" t="s">
        <v>149</v>
      </c>
      <c r="C67" s="9">
        <f>SUM(C65:C66)</f>
        <v>298.76095708641293</v>
      </c>
      <c r="D67" s="11"/>
      <c r="E67" s="11"/>
    </row>
    <row r="68" spans="1:7" ht="16.5" thickTop="1" x14ac:dyDescent="0.25"/>
    <row r="70" spans="1:7" x14ac:dyDescent="0.25">
      <c r="A70" s="5" t="s">
        <v>0</v>
      </c>
      <c r="B70" s="10" t="s">
        <v>1</v>
      </c>
      <c r="D70" s="11"/>
      <c r="E70" s="11"/>
    </row>
    <row r="71" spans="1:7" x14ac:dyDescent="0.25">
      <c r="A71" s="6" t="s">
        <v>2</v>
      </c>
      <c r="B71" s="10" t="s">
        <v>3</v>
      </c>
      <c r="D71" s="11"/>
      <c r="E71" s="11"/>
    </row>
    <row r="72" spans="1:7" x14ac:dyDescent="0.25">
      <c r="A72" s="6" t="s">
        <v>4</v>
      </c>
      <c r="B72" s="10" t="s">
        <v>5</v>
      </c>
      <c r="D72" s="11"/>
      <c r="E72" s="11"/>
    </row>
    <row r="73" spans="1:7" x14ac:dyDescent="0.25">
      <c r="A73" s="6" t="s">
        <v>7</v>
      </c>
      <c r="B73" s="10" t="s">
        <v>8</v>
      </c>
      <c r="D73" s="11"/>
      <c r="E73" s="11"/>
    </row>
    <row r="74" spans="1:7" x14ac:dyDescent="0.25">
      <c r="C74" s="7" t="s">
        <v>34</v>
      </c>
      <c r="D74" s="11"/>
      <c r="E74" s="11"/>
    </row>
    <row r="75" spans="1:7" x14ac:dyDescent="0.25">
      <c r="A75" s="2" t="s">
        <v>147</v>
      </c>
      <c r="C75" s="8">
        <f>'True-up'!P323</f>
        <v>308.55247352323204</v>
      </c>
      <c r="D75" s="11"/>
      <c r="E75" s="11"/>
    </row>
    <row r="76" spans="1:7" x14ac:dyDescent="0.25">
      <c r="A76" s="4" t="s">
        <v>148</v>
      </c>
      <c r="C76" s="8">
        <f>'True-up'!Q323</f>
        <v>20.500875925038319</v>
      </c>
      <c r="D76" s="11"/>
      <c r="E76" s="11"/>
    </row>
    <row r="77" spans="1:7" ht="16.5" thickBot="1" x14ac:dyDescent="0.3">
      <c r="A77" s="2" t="s">
        <v>149</v>
      </c>
      <c r="C77" s="9">
        <f>SUM(C75:C76)</f>
        <v>329.05334944827035</v>
      </c>
      <c r="D77" s="11"/>
      <c r="E77" s="11"/>
    </row>
    <row r="78" spans="1:7" ht="16.5" thickTop="1" x14ac:dyDescent="0.25">
      <c r="C78" s="28"/>
      <c r="D78" s="11"/>
      <c r="E78" s="11"/>
    </row>
    <row r="79" spans="1:7" x14ac:dyDescent="0.25">
      <c r="C79" s="28"/>
      <c r="D79" s="11"/>
      <c r="E79" s="11"/>
    </row>
    <row r="80" spans="1:7" s="20" customFormat="1" x14ac:dyDescent="0.25">
      <c r="A80" s="19" t="s">
        <v>0</v>
      </c>
      <c r="B80" s="348" t="s">
        <v>75</v>
      </c>
      <c r="C80" s="348"/>
      <c r="D80" s="348"/>
      <c r="E80" s="348"/>
      <c r="F80" s="348"/>
      <c r="G80" s="348"/>
    </row>
    <row r="81" spans="1:15" s="20" customFormat="1" ht="15.75" customHeight="1" x14ac:dyDescent="0.25">
      <c r="A81" s="21" t="s">
        <v>2</v>
      </c>
      <c r="B81" s="348" t="s">
        <v>199</v>
      </c>
      <c r="C81" s="348"/>
      <c r="D81" s="348"/>
      <c r="E81" s="348"/>
      <c r="F81" s="348"/>
      <c r="G81" s="348"/>
    </row>
    <row r="82" spans="1:15" s="20" customFormat="1" ht="15.75" customHeight="1" x14ac:dyDescent="0.25">
      <c r="A82" s="21" t="s">
        <v>4</v>
      </c>
      <c r="B82" s="348" t="s">
        <v>132</v>
      </c>
      <c r="C82" s="348"/>
      <c r="D82" s="348"/>
      <c r="E82" s="348"/>
      <c r="F82" s="348"/>
      <c r="G82" s="348"/>
    </row>
    <row r="83" spans="1:15" s="20" customFormat="1" x14ac:dyDescent="0.25">
      <c r="A83" s="21" t="s">
        <v>7</v>
      </c>
      <c r="B83" s="348" t="s">
        <v>34</v>
      </c>
      <c r="C83" s="348"/>
      <c r="D83" s="348"/>
      <c r="E83" s="348"/>
      <c r="F83" s="348"/>
      <c r="G83" s="348"/>
    </row>
    <row r="84" spans="1:15" s="20" customFormat="1" x14ac:dyDescent="0.25">
      <c r="A84" s="26"/>
      <c r="B84" s="26"/>
      <c r="C84" s="22" t="s">
        <v>34</v>
      </c>
      <c r="D84" s="22" t="s">
        <v>24</v>
      </c>
      <c r="E84" s="22" t="s">
        <v>31</v>
      </c>
      <c r="F84" s="22" t="s">
        <v>95</v>
      </c>
    </row>
    <row r="85" spans="1:15" s="20" customFormat="1" x14ac:dyDescent="0.25">
      <c r="A85" s="20" t="s">
        <v>147</v>
      </c>
      <c r="C85" s="23">
        <f>'True-up'!P242</f>
        <v>13944.52070962962</v>
      </c>
      <c r="D85" s="23">
        <f>'True-up'!P230</f>
        <v>12352.166047028204</v>
      </c>
      <c r="E85" s="23">
        <f>'True-up'!P239</f>
        <v>9118.1202578551256</v>
      </c>
      <c r="F85" s="23">
        <f>SUM(C85:E85)</f>
        <v>35414.807014512946</v>
      </c>
    </row>
    <row r="86" spans="1:15" s="20" customFormat="1" x14ac:dyDescent="0.25">
      <c r="A86" s="24" t="s">
        <v>148</v>
      </c>
      <c r="C86" s="23">
        <f>'True-up'!Q242</f>
        <v>887.35798020404206</v>
      </c>
      <c r="D86" s="23">
        <f>'True-up'!Q230</f>
        <v>610.78321405929455</v>
      </c>
      <c r="E86" s="23">
        <f>'True-up'!Q239</f>
        <v>854.89314126935528</v>
      </c>
      <c r="F86" s="23">
        <f>SUM(C86:E86)</f>
        <v>2353.0343355326922</v>
      </c>
    </row>
    <row r="87" spans="1:15" s="20" customFormat="1" ht="16.5" thickBot="1" x14ac:dyDescent="0.3">
      <c r="A87" s="20" t="s">
        <v>149</v>
      </c>
      <c r="C87" s="25">
        <f>SUM(C85:C86)</f>
        <v>14831.878689833662</v>
      </c>
      <c r="D87" s="25">
        <f>SUM(D85:D86)</f>
        <v>12962.949261087499</v>
      </c>
      <c r="E87" s="25">
        <f>SUM(E85:E86)</f>
        <v>9973.0133991244802</v>
      </c>
      <c r="F87" s="25">
        <f>SUM(C87:E87)</f>
        <v>37767.841350045637</v>
      </c>
    </row>
    <row r="88" spans="1:15" ht="16.5" thickTop="1" x14ac:dyDescent="0.25">
      <c r="D88" s="11"/>
      <c r="E88" s="11"/>
    </row>
    <row r="89" spans="1:15" x14ac:dyDescent="0.25">
      <c r="C89" s="28"/>
      <c r="D89" s="11"/>
      <c r="E89" s="11"/>
    </row>
    <row r="90" spans="1:15" s="20" customFormat="1" x14ac:dyDescent="0.25">
      <c r="A90" s="34" t="s">
        <v>0</v>
      </c>
      <c r="B90" s="348" t="s">
        <v>189</v>
      </c>
      <c r="C90" s="348"/>
      <c r="D90" s="348"/>
      <c r="E90" s="348"/>
      <c r="F90" s="348"/>
      <c r="G90" s="348"/>
    </row>
    <row r="91" spans="1:15" s="20" customFormat="1" ht="15.75" customHeight="1" x14ac:dyDescent="0.25">
      <c r="A91" s="21" t="s">
        <v>2</v>
      </c>
      <c r="B91" s="348" t="s">
        <v>200</v>
      </c>
      <c r="C91" s="348"/>
      <c r="D91" s="348"/>
      <c r="E91" s="348"/>
      <c r="F91" s="348"/>
      <c r="G91" s="348"/>
    </row>
    <row r="92" spans="1:15" s="20" customFormat="1" ht="15.75" customHeight="1" x14ac:dyDescent="0.25">
      <c r="A92" s="21" t="s">
        <v>4</v>
      </c>
      <c r="B92" s="348" t="s">
        <v>132</v>
      </c>
      <c r="C92" s="348"/>
      <c r="D92" s="348"/>
      <c r="E92" s="348"/>
      <c r="F92" s="348"/>
      <c r="G92" s="348"/>
    </row>
    <row r="93" spans="1:15" s="20" customFormat="1" x14ac:dyDescent="0.25">
      <c r="A93" s="21" t="s">
        <v>7</v>
      </c>
      <c r="B93" s="348" t="s">
        <v>34</v>
      </c>
      <c r="C93" s="348"/>
      <c r="D93" s="348"/>
      <c r="E93" s="348"/>
      <c r="F93" s="348"/>
      <c r="G93" s="348"/>
    </row>
    <row r="94" spans="1:15" s="20" customFormat="1" x14ac:dyDescent="0.25">
      <c r="A94" s="26"/>
      <c r="B94" s="26"/>
      <c r="C94" s="22" t="s">
        <v>34</v>
      </c>
      <c r="D94" s="22" t="s">
        <v>195</v>
      </c>
      <c r="E94" s="22" t="s">
        <v>19</v>
      </c>
      <c r="F94" s="22" t="s">
        <v>210</v>
      </c>
      <c r="G94" s="22" t="s">
        <v>211</v>
      </c>
      <c r="H94" s="22" t="s">
        <v>20</v>
      </c>
      <c r="I94" s="22" t="s">
        <v>21</v>
      </c>
      <c r="J94" s="37" t="s">
        <v>22</v>
      </c>
      <c r="K94" s="22" t="s">
        <v>23</v>
      </c>
      <c r="L94" s="22" t="s">
        <v>24</v>
      </c>
      <c r="M94" s="22" t="s">
        <v>25</v>
      </c>
      <c r="N94" s="22" t="s">
        <v>27</v>
      </c>
      <c r="O94" s="22" t="s">
        <v>26</v>
      </c>
    </row>
    <row r="95" spans="1:15" s="20" customFormat="1" x14ac:dyDescent="0.25">
      <c r="A95" s="20" t="s">
        <v>147</v>
      </c>
      <c r="C95" s="23">
        <f>'True-up'!P365</f>
        <v>-183.92178082540886</v>
      </c>
      <c r="D95" s="23">
        <f>'True-up'!P344</f>
        <v>-17.09509029350022</v>
      </c>
      <c r="E95" s="23">
        <f>'True-up'!P345</f>
        <v>-1.5462309774630256E-2</v>
      </c>
      <c r="F95" s="23">
        <f>'True-up'!P347</f>
        <v>-9.7179448174584877</v>
      </c>
      <c r="G95" s="23">
        <f>'True-up'!P348</f>
        <v>-1.2828915458822081</v>
      </c>
      <c r="H95" s="23">
        <f>'True-up'!P349</f>
        <v>0.29226691322938336</v>
      </c>
      <c r="I95" s="23">
        <f>'True-up'!P350</f>
        <v>-0.35799491507471259</v>
      </c>
      <c r="J95" s="23">
        <f>'True-up'!P351</f>
        <v>-4.5125976053562908</v>
      </c>
      <c r="K95" s="23">
        <f>'True-up'!P352</f>
        <v>-0.30697270580793656</v>
      </c>
      <c r="L95" s="23">
        <f>'True-up'!P353</f>
        <v>-2.9300234131101632</v>
      </c>
      <c r="M95" s="23">
        <f>'True-up'!P354</f>
        <v>-0.50152899384236349</v>
      </c>
      <c r="N95" s="23">
        <f>'True-up'!P355</f>
        <v>4.3585970775305611</v>
      </c>
      <c r="O95" s="23">
        <f>'True-up'!P356</f>
        <v>-4.4250421292109365</v>
      </c>
    </row>
    <row r="96" spans="1:15" s="20" customFormat="1" x14ac:dyDescent="0.25">
      <c r="A96" s="24" t="s">
        <v>148</v>
      </c>
      <c r="C96" s="23">
        <f>'True-up'!Q365</f>
        <v>-5.7860231771427975</v>
      </c>
      <c r="D96" s="23">
        <f>'True-up'!Q344</f>
        <v>-0.17434559985215789</v>
      </c>
      <c r="E96" s="23">
        <f>'True-up'!Q345</f>
        <v>-9.2860945767964179E-3</v>
      </c>
      <c r="F96" s="23">
        <f>'True-up'!Q347</f>
        <v>-9.4340353090861959E-2</v>
      </c>
      <c r="G96" s="23">
        <f>'True-up'!Q348</f>
        <v>-1.6405795033760311E-2</v>
      </c>
      <c r="H96" s="23">
        <f>'True-up'!Q349</f>
        <v>-4.1965880207805097E-2</v>
      </c>
      <c r="I96" s="23">
        <f>'True-up'!Q350</f>
        <v>-4.4743093054497723E-2</v>
      </c>
      <c r="J96" s="23">
        <f>'True-up'!Q351</f>
        <v>-0.10929913531885595</v>
      </c>
      <c r="K96" s="23">
        <f>'True-up'!Q352</f>
        <v>-0.13718914047838085</v>
      </c>
      <c r="L96" s="23">
        <f>'True-up'!Q353</f>
        <v>-4.967044235712418E-2</v>
      </c>
      <c r="M96" s="23">
        <f>'True-up'!Q354</f>
        <v>-3.8831999758001884E-3</v>
      </c>
      <c r="N96" s="23">
        <f>'True-up'!Q355</f>
        <v>-0.11057629390289679</v>
      </c>
      <c r="O96" s="23">
        <f>'True-up'!Q356</f>
        <v>-0.11295654016006329</v>
      </c>
    </row>
    <row r="97" spans="1:17" s="20" customFormat="1" ht="16.5" thickBot="1" x14ac:dyDescent="0.3">
      <c r="A97" s="20" t="s">
        <v>149</v>
      </c>
      <c r="C97" s="25">
        <f>SUM(C95:C96)</f>
        <v>-189.70780400255165</v>
      </c>
      <c r="D97" s="25">
        <f t="shared" ref="D97:I97" si="3">SUM(D95:D96)</f>
        <v>-17.269435893352377</v>
      </c>
      <c r="E97" s="25">
        <f t="shared" si="3"/>
        <v>-2.4748404351426674E-2</v>
      </c>
      <c r="F97" s="25">
        <f t="shared" si="3"/>
        <v>-9.8122851705493499</v>
      </c>
      <c r="G97" s="25">
        <f t="shared" si="3"/>
        <v>-1.2992973409159685</v>
      </c>
      <c r="H97" s="25">
        <f t="shared" si="3"/>
        <v>0.25030103302157825</v>
      </c>
      <c r="I97" s="25">
        <f t="shared" si="3"/>
        <v>-0.40273800812921035</v>
      </c>
      <c r="J97" s="25">
        <f t="shared" ref="J97:O97" si="4">SUM(J95:J96)</f>
        <v>-4.6218967406751466</v>
      </c>
      <c r="K97" s="25">
        <f t="shared" si="4"/>
        <v>-0.44416184628631739</v>
      </c>
      <c r="L97" s="25">
        <f t="shared" si="4"/>
        <v>-2.9796938554672874</v>
      </c>
      <c r="M97" s="25">
        <f t="shared" si="4"/>
        <v>-0.50541219381816371</v>
      </c>
      <c r="N97" s="25">
        <f t="shared" si="4"/>
        <v>4.2480207836276644</v>
      </c>
      <c r="O97" s="25">
        <f t="shared" si="4"/>
        <v>-4.5379986693709995</v>
      </c>
    </row>
    <row r="98" spans="1:17" s="20" customFormat="1" ht="16.5" thickTop="1" x14ac:dyDescent="0.25">
      <c r="C98" s="29"/>
      <c r="D98" s="29"/>
      <c r="E98" s="29"/>
      <c r="F98" s="29"/>
      <c r="G98" s="29"/>
      <c r="H98" s="29"/>
      <c r="I98" s="29"/>
      <c r="J98" s="29"/>
    </row>
    <row r="99" spans="1:17" s="20" customFormat="1" x14ac:dyDescent="0.25">
      <c r="A99" s="26"/>
      <c r="B99" s="26"/>
      <c r="C99" s="22" t="s">
        <v>69</v>
      </c>
      <c r="D99" s="22" t="s">
        <v>70</v>
      </c>
      <c r="E99" s="22" t="s">
        <v>28</v>
      </c>
      <c r="F99" s="22" t="s">
        <v>29</v>
      </c>
      <c r="G99" s="22" t="s">
        <v>30</v>
      </c>
      <c r="H99" s="22" t="s">
        <v>31</v>
      </c>
      <c r="I99" s="22" t="s">
        <v>32</v>
      </c>
      <c r="J99" s="22" t="s">
        <v>33</v>
      </c>
      <c r="K99" s="22" t="s">
        <v>35</v>
      </c>
      <c r="L99" s="22" t="s">
        <v>36</v>
      </c>
      <c r="M99" s="37" t="s">
        <v>91</v>
      </c>
      <c r="N99" s="37" t="s">
        <v>92</v>
      </c>
      <c r="O99" s="37" t="s">
        <v>93</v>
      </c>
      <c r="P99" s="37" t="s">
        <v>207</v>
      </c>
      <c r="Q99" s="22" t="s">
        <v>95</v>
      </c>
    </row>
    <row r="100" spans="1:17" s="20" customFormat="1" x14ac:dyDescent="0.25">
      <c r="A100" s="20" t="s">
        <v>147</v>
      </c>
      <c r="C100" s="23">
        <f>'True-up'!P357</f>
        <v>0.14211525035307915</v>
      </c>
      <c r="D100" s="23">
        <f>'True-up'!P358</f>
        <v>0.23916415888279374</v>
      </c>
      <c r="E100" s="23">
        <f>'True-up'!P359</f>
        <v>-0.94476546268653649</v>
      </c>
      <c r="F100" s="23">
        <f>'True-up'!P360</f>
        <v>-0.94474571897392323</v>
      </c>
      <c r="G100" s="23">
        <f>'True-up'!P361</f>
        <v>-5.2055497102260233</v>
      </c>
      <c r="H100" s="23">
        <f>'True-up'!P362</f>
        <v>0.24600778193632777</v>
      </c>
      <c r="I100" s="23">
        <f>'True-up'!P363</f>
        <v>1.8350243499627226</v>
      </c>
      <c r="J100" s="23">
        <f>'True-up'!P364</f>
        <v>0.11718090863008435</v>
      </c>
      <c r="K100" s="23">
        <f>'True-up'!P366</f>
        <v>-1.6786901761127382</v>
      </c>
      <c r="L100" s="23">
        <f>'True-up'!P367</f>
        <v>-0.38218466731403922</v>
      </c>
      <c r="M100" s="23">
        <f>'True-up'!P368</f>
        <v>1.0509170611248209</v>
      </c>
      <c r="N100" s="23">
        <f>'True-up'!P369</f>
        <v>-4.1669945604843051E-2</v>
      </c>
      <c r="O100" s="23">
        <f>'True-up'!P370</f>
        <v>0</v>
      </c>
      <c r="P100" s="23">
        <f>'True-up'!P346</f>
        <v>-6.4314073674584051</v>
      </c>
      <c r="Q100" s="23">
        <f>SUM(C95:O95)+SUM(C100:P100)</f>
        <v>-232.41506910115356</v>
      </c>
    </row>
    <row r="101" spans="1:17" s="20" customFormat="1" x14ac:dyDescent="0.25">
      <c r="A101" s="24" t="s">
        <v>148</v>
      </c>
      <c r="C101" s="23">
        <f>'True-up'!Q357</f>
        <v>-8.3311725560807539E-3</v>
      </c>
      <c r="D101" s="23">
        <f>'True-up'!Q358</f>
        <v>-2.183221319727661E-3</v>
      </c>
      <c r="E101" s="23">
        <f>'True-up'!Q359</f>
        <v>-5.7298772976251662E-3</v>
      </c>
      <c r="F101" s="23">
        <f>'True-up'!Q360</f>
        <v>-6.2462048250741175E-3</v>
      </c>
      <c r="G101" s="23">
        <f>'True-up'!Q361</f>
        <v>-0.16885025125595329</v>
      </c>
      <c r="H101" s="23">
        <f>'True-up'!Q362</f>
        <v>-0.13539658633488524</v>
      </c>
      <c r="I101" s="23">
        <f>'True-up'!Q363</f>
        <v>-2.8269833893157841E-2</v>
      </c>
      <c r="J101" s="23">
        <f>'True-up'!Q364</f>
        <v>-4.1883332005652864E-3</v>
      </c>
      <c r="K101" s="23">
        <f>'True-up'!Q366</f>
        <v>-1.8792185376221834E-2</v>
      </c>
      <c r="L101" s="23">
        <f>'True-up'!Q367</f>
        <v>-1.0654189074937223E-2</v>
      </c>
      <c r="M101" s="23">
        <f>'True-up'!Q368</f>
        <v>-6.1443786923753574E-2</v>
      </c>
      <c r="N101" s="23">
        <f>'True-up'!Q369</f>
        <v>-2.0447205205907878E-3</v>
      </c>
      <c r="O101" s="23">
        <f>'True-up'!Q370</f>
        <v>0</v>
      </c>
      <c r="P101" s="23">
        <f>'True-up'!Q346</f>
        <v>-6.8596353456395309E-2</v>
      </c>
      <c r="Q101" s="23">
        <f>SUM(C96:O96)+SUM(C101:P101)</f>
        <v>-7.2114114611867661</v>
      </c>
    </row>
    <row r="102" spans="1:17" s="20" customFormat="1" ht="16.5" thickBot="1" x14ac:dyDescent="0.3">
      <c r="A102" s="20" t="s">
        <v>149</v>
      </c>
      <c r="C102" s="25">
        <f>SUM(C100:C101)</f>
        <v>0.13378407779699839</v>
      </c>
      <c r="D102" s="25">
        <f t="shared" ref="D102:L102" si="5">SUM(D100:D101)</f>
        <v>0.23698093756306607</v>
      </c>
      <c r="E102" s="25">
        <f t="shared" si="5"/>
        <v>-0.95049533998416169</v>
      </c>
      <c r="F102" s="25">
        <f t="shared" si="5"/>
        <v>-0.95099192379899733</v>
      </c>
      <c r="G102" s="25">
        <f t="shared" si="5"/>
        <v>-5.3743999614819762</v>
      </c>
      <c r="H102" s="25">
        <f t="shared" si="5"/>
        <v>0.11061119560144253</v>
      </c>
      <c r="I102" s="25">
        <f t="shared" si="5"/>
        <v>1.8067545160695648</v>
      </c>
      <c r="J102" s="25">
        <f t="shared" si="5"/>
        <v>0.11299257542951906</v>
      </c>
      <c r="K102" s="25">
        <f t="shared" si="5"/>
        <v>-1.69748236148896</v>
      </c>
      <c r="L102" s="25">
        <f t="shared" si="5"/>
        <v>-0.39283885638897642</v>
      </c>
      <c r="M102" s="25">
        <f>SUM(M100:M101)</f>
        <v>0.98947327420106723</v>
      </c>
      <c r="N102" s="25">
        <f>SUM(N100:N101)</f>
        <v>-4.3714666125433836E-2</v>
      </c>
      <c r="O102" s="25">
        <f>SUM(O100:O101)</f>
        <v>0</v>
      </c>
      <c r="P102" s="25">
        <f>SUM(P100:P101)</f>
        <v>-6.5000037209148003</v>
      </c>
      <c r="Q102" s="25">
        <f>SUM(Q100:Q101)</f>
        <v>-239.62648056234033</v>
      </c>
    </row>
    <row r="103" spans="1:17" s="20" customFormat="1" ht="16.5" thickTop="1" x14ac:dyDescent="0.25">
      <c r="C103" s="29"/>
      <c r="D103" s="29"/>
      <c r="E103" s="29"/>
      <c r="F103" s="29"/>
    </row>
    <row r="104" spans="1:17" s="20" customFormat="1" x14ac:dyDescent="0.25">
      <c r="C104" s="29"/>
      <c r="D104" s="29"/>
      <c r="E104" s="29"/>
      <c r="F104" s="29"/>
    </row>
    <row r="105" spans="1:17" s="20" customFormat="1" x14ac:dyDescent="0.25">
      <c r="A105" s="34" t="s">
        <v>0</v>
      </c>
      <c r="B105" s="348" t="s">
        <v>190</v>
      </c>
      <c r="C105" s="348"/>
      <c r="D105" s="348"/>
      <c r="E105" s="348"/>
      <c r="F105" s="348"/>
      <c r="G105" s="348"/>
    </row>
    <row r="106" spans="1:17" s="20" customFormat="1" ht="15.75" customHeight="1" x14ac:dyDescent="0.25">
      <c r="A106" s="21" t="s">
        <v>2</v>
      </c>
      <c r="B106" s="348" t="s">
        <v>201</v>
      </c>
      <c r="C106" s="348"/>
      <c r="D106" s="348"/>
      <c r="E106" s="348"/>
      <c r="F106" s="348"/>
      <c r="G106" s="348"/>
    </row>
    <row r="107" spans="1:17" s="20" customFormat="1" ht="15.75" customHeight="1" x14ac:dyDescent="0.25">
      <c r="A107" s="21" t="s">
        <v>4</v>
      </c>
      <c r="B107" s="348" t="s">
        <v>132</v>
      </c>
      <c r="C107" s="348"/>
      <c r="D107" s="348"/>
      <c r="E107" s="348"/>
      <c r="F107" s="348"/>
      <c r="G107" s="348"/>
    </row>
    <row r="108" spans="1:17" s="20" customFormat="1" x14ac:dyDescent="0.25">
      <c r="A108" s="21" t="s">
        <v>7</v>
      </c>
      <c r="B108" s="348" t="s">
        <v>34</v>
      </c>
      <c r="C108" s="348"/>
      <c r="D108" s="348"/>
      <c r="E108" s="348"/>
      <c r="F108" s="348"/>
      <c r="G108" s="348"/>
    </row>
    <row r="109" spans="1:17" s="20" customFormat="1" x14ac:dyDescent="0.25">
      <c r="A109" s="26"/>
      <c r="B109" s="26"/>
      <c r="C109" s="22" t="s">
        <v>34</v>
      </c>
      <c r="D109" s="36"/>
      <c r="E109" s="36"/>
      <c r="F109" s="36"/>
    </row>
    <row r="110" spans="1:17" s="20" customFormat="1" x14ac:dyDescent="0.25">
      <c r="A110" s="20" t="s">
        <v>147</v>
      </c>
      <c r="C110" s="23">
        <f>'True-up'!P409</f>
        <v>605.07660052832398</v>
      </c>
      <c r="D110" s="29"/>
      <c r="E110" s="29"/>
      <c r="F110" s="29"/>
    </row>
    <row r="111" spans="1:17" s="20" customFormat="1" x14ac:dyDescent="0.25">
      <c r="A111" s="24" t="s">
        <v>148</v>
      </c>
      <c r="C111" s="23">
        <f>'True-up'!Q409</f>
        <v>40.202563184576633</v>
      </c>
      <c r="D111" s="29"/>
      <c r="E111" s="29"/>
      <c r="F111" s="29"/>
    </row>
    <row r="112" spans="1:17" s="20" customFormat="1" ht="16.5" thickBot="1" x14ac:dyDescent="0.3">
      <c r="A112" s="20" t="s">
        <v>149</v>
      </c>
      <c r="C112" s="25">
        <f>SUM(C110:C111)</f>
        <v>645.27916371290064</v>
      </c>
      <c r="D112" s="29"/>
      <c r="E112" s="29"/>
      <c r="F112" s="29"/>
    </row>
    <row r="113" spans="1:7" s="20" customFormat="1" ht="16.5" thickTop="1" x14ac:dyDescent="0.25">
      <c r="C113" s="29"/>
      <c r="D113" s="29"/>
      <c r="E113" s="29"/>
      <c r="F113" s="29"/>
    </row>
    <row r="114" spans="1:7" s="20" customFormat="1" x14ac:dyDescent="0.25">
      <c r="C114" s="29"/>
      <c r="D114" s="29"/>
      <c r="E114" s="29"/>
      <c r="F114" s="29"/>
    </row>
    <row r="115" spans="1:7" s="20" customFormat="1" x14ac:dyDescent="0.25">
      <c r="A115" s="34" t="s">
        <v>0</v>
      </c>
      <c r="B115" s="348" t="s">
        <v>191</v>
      </c>
      <c r="C115" s="348"/>
      <c r="D115" s="348"/>
      <c r="E115" s="348"/>
      <c r="F115" s="348"/>
      <c r="G115" s="348"/>
    </row>
    <row r="116" spans="1:7" s="20" customFormat="1" ht="15.75" customHeight="1" x14ac:dyDescent="0.25">
      <c r="A116" s="21" t="s">
        <v>2</v>
      </c>
      <c r="B116" s="348" t="s">
        <v>202</v>
      </c>
      <c r="C116" s="348"/>
      <c r="D116" s="348"/>
      <c r="E116" s="348"/>
      <c r="F116" s="348"/>
      <c r="G116" s="348"/>
    </row>
    <row r="117" spans="1:7" s="20" customFormat="1" ht="15.75" customHeight="1" x14ac:dyDescent="0.25">
      <c r="A117" s="21" t="s">
        <v>4</v>
      </c>
      <c r="B117" s="348" t="s">
        <v>132</v>
      </c>
      <c r="C117" s="348"/>
      <c r="D117" s="348"/>
      <c r="E117" s="348"/>
      <c r="F117" s="348"/>
      <c r="G117" s="348"/>
    </row>
    <row r="118" spans="1:7" s="20" customFormat="1" x14ac:dyDescent="0.25">
      <c r="A118" s="21" t="s">
        <v>7</v>
      </c>
      <c r="B118" s="348" t="s">
        <v>34</v>
      </c>
      <c r="C118" s="348"/>
      <c r="D118" s="348"/>
      <c r="E118" s="348"/>
      <c r="F118" s="348"/>
      <c r="G118" s="348"/>
    </row>
    <row r="119" spans="1:7" s="20" customFormat="1" x14ac:dyDescent="0.25">
      <c r="A119" s="26"/>
      <c r="B119" s="26"/>
      <c r="C119" s="22" t="s">
        <v>34</v>
      </c>
      <c r="D119" s="36"/>
      <c r="E119" s="36"/>
      <c r="F119" s="36"/>
    </row>
    <row r="120" spans="1:7" s="20" customFormat="1" x14ac:dyDescent="0.25">
      <c r="A120" s="20" t="s">
        <v>147</v>
      </c>
      <c r="C120" s="23">
        <f>'True-up'!P453</f>
        <v>661.73678078539888</v>
      </c>
      <c r="D120" s="29"/>
      <c r="E120" s="29"/>
      <c r="F120" s="29"/>
    </row>
    <row r="121" spans="1:7" s="20" customFormat="1" x14ac:dyDescent="0.25">
      <c r="A121" s="24" t="s">
        <v>148</v>
      </c>
      <c r="C121" s="23">
        <f>'True-up'!Q453</f>
        <v>43.96718484544671</v>
      </c>
      <c r="D121" s="29"/>
      <c r="E121" s="29"/>
      <c r="F121" s="29"/>
    </row>
    <row r="122" spans="1:7" s="20" customFormat="1" ht="16.5" thickBot="1" x14ac:dyDescent="0.3">
      <c r="A122" s="20" t="s">
        <v>149</v>
      </c>
      <c r="C122" s="25">
        <f>SUM(C120:C121)</f>
        <v>705.70396563084557</v>
      </c>
      <c r="D122" s="29"/>
      <c r="E122" s="29"/>
      <c r="F122" s="29"/>
    </row>
    <row r="123" spans="1:7" s="20" customFormat="1" ht="16.5" thickTop="1" x14ac:dyDescent="0.25">
      <c r="C123" s="29"/>
      <c r="D123" s="29"/>
      <c r="E123" s="29"/>
      <c r="F123" s="29"/>
    </row>
    <row r="124" spans="1:7" s="20" customFormat="1" x14ac:dyDescent="0.25">
      <c r="C124" s="29"/>
      <c r="D124" s="29"/>
      <c r="E124" s="29"/>
      <c r="F124" s="29"/>
    </row>
    <row r="125" spans="1:7" s="20" customFormat="1" ht="15.75" customHeight="1" x14ac:dyDescent="0.25">
      <c r="A125" s="72" t="s">
        <v>0</v>
      </c>
      <c r="B125" s="348" t="s">
        <v>245</v>
      </c>
      <c r="C125" s="348"/>
      <c r="D125" s="348"/>
      <c r="E125" s="348"/>
      <c r="F125" s="348"/>
      <c r="G125" s="348"/>
    </row>
    <row r="126" spans="1:7" s="20" customFormat="1" x14ac:dyDescent="0.25">
      <c r="A126" s="21" t="s">
        <v>2</v>
      </c>
      <c r="B126" s="348"/>
      <c r="C126" s="348"/>
      <c r="D126" s="348"/>
      <c r="E126" s="348"/>
      <c r="F126" s="348"/>
      <c r="G126" s="348"/>
    </row>
    <row r="127" spans="1:7" s="20" customFormat="1" x14ac:dyDescent="0.25">
      <c r="A127" s="21" t="s">
        <v>4</v>
      </c>
      <c r="B127" s="348" t="s">
        <v>132</v>
      </c>
      <c r="C127" s="348"/>
      <c r="D127" s="348"/>
      <c r="E127" s="348"/>
      <c r="F127" s="348"/>
      <c r="G127" s="348"/>
    </row>
    <row r="128" spans="1:7" s="20" customFormat="1" x14ac:dyDescent="0.25">
      <c r="A128" s="21" t="s">
        <v>7</v>
      </c>
      <c r="B128" s="348" t="s">
        <v>246</v>
      </c>
      <c r="C128" s="348"/>
      <c r="D128" s="348"/>
      <c r="E128" s="348"/>
      <c r="F128" s="348"/>
      <c r="G128" s="348"/>
    </row>
    <row r="129" spans="1:7" s="20" customFormat="1" x14ac:dyDescent="0.25">
      <c r="A129" s="26"/>
      <c r="B129" s="26"/>
      <c r="C129" s="22" t="s">
        <v>34</v>
      </c>
      <c r="D129" s="37" t="s">
        <v>32</v>
      </c>
      <c r="E129" s="37" t="s">
        <v>35</v>
      </c>
      <c r="F129" s="37" t="s">
        <v>31</v>
      </c>
      <c r="G129" s="22" t="s">
        <v>95</v>
      </c>
    </row>
    <row r="130" spans="1:7" s="20" customFormat="1" x14ac:dyDescent="0.25">
      <c r="A130" s="20" t="s">
        <v>147</v>
      </c>
      <c r="C130" s="23">
        <f>'True-up'!P497</f>
        <v>4595.1732295514275</v>
      </c>
      <c r="D130" s="23">
        <f>'True-up'!P495</f>
        <v>402387.22260106454</v>
      </c>
      <c r="E130" s="23">
        <f>'True-up'!P498</f>
        <v>4218.5814315772204</v>
      </c>
      <c r="F130" s="23">
        <f>'True-up'!P494</f>
        <v>41021.372177056284</v>
      </c>
      <c r="G130" s="23">
        <f>SUM(C130:F130)</f>
        <v>452222.34943924943</v>
      </c>
    </row>
    <row r="131" spans="1:7" s="20" customFormat="1" x14ac:dyDescent="0.25">
      <c r="A131" s="24" t="s">
        <v>148</v>
      </c>
      <c r="C131" s="23">
        <f>'True-up'!Q497</f>
        <v>261.9923996213185</v>
      </c>
      <c r="D131" s="23">
        <f>'True-up'!Q495</f>
        <v>27084.969702514602</v>
      </c>
      <c r="E131" s="23">
        <f>'True-up'!Q498</f>
        <v>216.34238578410157</v>
      </c>
      <c r="F131" s="23">
        <f>'True-up'!Q494</f>
        <v>2483.3004558751609</v>
      </c>
      <c r="G131" s="23">
        <f>SUM(C131:F131)</f>
        <v>30046.604943795181</v>
      </c>
    </row>
    <row r="132" spans="1:7" s="20" customFormat="1" ht="16.5" thickBot="1" x14ac:dyDescent="0.3">
      <c r="A132" s="20" t="s">
        <v>149</v>
      </c>
      <c r="C132" s="25">
        <f>SUM(C130:C131)</f>
        <v>4857.1656291727459</v>
      </c>
      <c r="D132" s="25">
        <f>SUM(D130:D131)</f>
        <v>429472.19230357913</v>
      </c>
      <c r="E132" s="25">
        <f>SUM(E130:E131)</f>
        <v>4434.9238173613221</v>
      </c>
      <c r="F132" s="25">
        <f>SUM(F130:F131)</f>
        <v>43504.672632931448</v>
      </c>
      <c r="G132" s="25">
        <f>SUM(G130:G131)</f>
        <v>482268.95438304462</v>
      </c>
    </row>
    <row r="133" spans="1:7" s="20" customFormat="1" ht="16.5" thickTop="1" x14ac:dyDescent="0.25">
      <c r="C133" s="29"/>
      <c r="D133" s="29"/>
      <c r="E133" s="29"/>
      <c r="F133" s="29"/>
    </row>
    <row r="134" spans="1:7" x14ac:dyDescent="0.25">
      <c r="A134" s="66" t="s">
        <v>150</v>
      </c>
      <c r="B134" s="20"/>
      <c r="C134" s="20"/>
      <c r="D134" s="20"/>
      <c r="E134" s="20"/>
      <c r="F134" s="20"/>
    </row>
    <row r="135" spans="1:7" s="42" customFormat="1" x14ac:dyDescent="0.25">
      <c r="A135" s="67" t="s">
        <v>282</v>
      </c>
      <c r="B135" s="67"/>
      <c r="C135" s="67"/>
      <c r="D135" s="67"/>
      <c r="E135" s="67"/>
      <c r="F135" s="68">
        <f>Interest!D51</f>
        <v>1.551407894736842E-2</v>
      </c>
    </row>
    <row r="136" spans="1:7" x14ac:dyDescent="0.25">
      <c r="A136" s="4" t="s">
        <v>283</v>
      </c>
      <c r="F136" s="69">
        <f>Interest!C51</f>
        <v>3.3221052631578943E-2</v>
      </c>
    </row>
    <row r="137" spans="1:7" x14ac:dyDescent="0.25">
      <c r="F137" s="12"/>
    </row>
  </sheetData>
  <mergeCells count="39">
    <mergeCell ref="A1:O1"/>
    <mergeCell ref="A2:O2"/>
    <mergeCell ref="A3:O3"/>
    <mergeCell ref="B14:G14"/>
    <mergeCell ref="B15:G15"/>
    <mergeCell ref="B16:G16"/>
    <mergeCell ref="B17:G17"/>
    <mergeCell ref="B80:G80"/>
    <mergeCell ref="B45:G45"/>
    <mergeCell ref="B46:G46"/>
    <mergeCell ref="B47:G47"/>
    <mergeCell ref="B48:G48"/>
    <mergeCell ref="B24:G24"/>
    <mergeCell ref="B25:G25"/>
    <mergeCell ref="B26:G26"/>
    <mergeCell ref="B27:G27"/>
    <mergeCell ref="B34:G34"/>
    <mergeCell ref="B35:G35"/>
    <mergeCell ref="B36:G36"/>
    <mergeCell ref="B37:G37"/>
    <mergeCell ref="B81:G81"/>
    <mergeCell ref="B82:G82"/>
    <mergeCell ref="B90:G90"/>
    <mergeCell ref="B83:G83"/>
    <mergeCell ref="B91:G91"/>
    <mergeCell ref="B92:G92"/>
    <mergeCell ref="B93:G93"/>
    <mergeCell ref="B105:G105"/>
    <mergeCell ref="B106:G106"/>
    <mergeCell ref="B107:G107"/>
    <mergeCell ref="B125:G125"/>
    <mergeCell ref="B126:G126"/>
    <mergeCell ref="B127:G127"/>
    <mergeCell ref="B128:G128"/>
    <mergeCell ref="B108:G108"/>
    <mergeCell ref="B115:G115"/>
    <mergeCell ref="B116:G116"/>
    <mergeCell ref="B117:G117"/>
    <mergeCell ref="B118:G118"/>
  </mergeCells>
  <pageMargins left="0.17" right="0.17" top="0.55000000000000004" bottom="0.32" header="0.5" footer="0.17"/>
  <pageSetup scale="33" orientation="portrait" r:id="rId1"/>
  <headerFooter alignWithMargins="0"/>
  <rowBreaks count="1" manualBreakCount="1">
    <brk id="8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509"/>
  <sheetViews>
    <sheetView zoomScaleNormal="100" workbookViewId="0">
      <selection activeCell="M6" sqref="M6"/>
    </sheetView>
  </sheetViews>
  <sheetFormatPr defaultColWidth="9.140625" defaultRowHeight="15" outlineLevelRow="1" x14ac:dyDescent="0.25"/>
  <cols>
    <col min="1" max="1" width="20.28515625" style="79" customWidth="1"/>
    <col min="2" max="2" width="12.28515625" style="79" customWidth="1"/>
    <col min="3" max="4" width="9.140625" style="79"/>
    <col min="5" max="5" width="11.42578125" style="79" customWidth="1"/>
    <col min="6" max="6" width="9.140625" style="79" customWidth="1"/>
    <col min="7" max="7" width="11.28515625" style="79" customWidth="1"/>
    <col min="8" max="8" width="18.28515625" style="79" customWidth="1"/>
    <col min="9" max="9" width="17.7109375" style="79" bestFit="1" customWidth="1"/>
    <col min="10" max="10" width="17.28515625" style="79" bestFit="1" customWidth="1"/>
    <col min="11" max="11" width="14" style="79" customWidth="1"/>
    <col min="12" max="12" width="32.140625" style="81" customWidth="1"/>
    <col min="13" max="13" width="30.7109375" style="79" customWidth="1"/>
    <col min="14" max="14" width="15.28515625" style="81" bestFit="1" customWidth="1"/>
    <col min="15" max="15" width="18.5703125" style="79" customWidth="1"/>
    <col min="16" max="16" width="17.28515625" style="79" customWidth="1"/>
    <col min="17" max="17" width="11.140625" style="79" customWidth="1"/>
    <col min="18" max="18" width="15.7109375" style="79" bestFit="1" customWidth="1"/>
    <col min="19" max="16384" width="9.140625" style="79"/>
  </cols>
  <sheetData>
    <row r="2" spans="1:18" x14ac:dyDescent="0.25">
      <c r="L2" s="236" t="s">
        <v>294</v>
      </c>
      <c r="M2" s="74">
        <v>29383458.60041507</v>
      </c>
      <c r="O2" s="74"/>
    </row>
    <row r="3" spans="1:18" x14ac:dyDescent="0.25">
      <c r="L3" s="236" t="s">
        <v>295</v>
      </c>
      <c r="M3" s="74">
        <v>-2194567.3538508117</v>
      </c>
    </row>
    <row r="4" spans="1:18" x14ac:dyDescent="0.25">
      <c r="L4" s="236" t="s">
        <v>296</v>
      </c>
      <c r="M4" s="74">
        <f>M2+M3</f>
        <v>27188891.246564258</v>
      </c>
      <c r="N4" s="81" t="s">
        <v>132</v>
      </c>
    </row>
    <row r="5" spans="1:18" x14ac:dyDescent="0.25">
      <c r="L5" s="80"/>
      <c r="M5" s="81"/>
    </row>
    <row r="6" spans="1:18" x14ac:dyDescent="0.25">
      <c r="L6" s="237" t="s">
        <v>297</v>
      </c>
      <c r="M6" s="74">
        <f>4073830+26157007</f>
        <v>30230837</v>
      </c>
      <c r="N6" s="81" t="s">
        <v>132</v>
      </c>
      <c r="O6" s="46"/>
      <c r="P6" s="82"/>
    </row>
    <row r="7" spans="1:18" x14ac:dyDescent="0.25">
      <c r="L7" s="80"/>
      <c r="M7" s="81"/>
      <c r="Q7" s="83"/>
      <c r="R7" s="47"/>
    </row>
    <row r="8" spans="1:18" x14ac:dyDescent="0.25">
      <c r="I8" s="82"/>
      <c r="L8" s="80" t="s">
        <v>181</v>
      </c>
      <c r="M8" s="82">
        <f>M6-M4</f>
        <v>3041945.7534357421</v>
      </c>
      <c r="N8" s="84"/>
      <c r="Q8" s="83"/>
      <c r="R8" s="47"/>
    </row>
    <row r="9" spans="1:18" ht="15.75" thickBot="1" x14ac:dyDescent="0.3"/>
    <row r="10" spans="1:18" ht="15.75" thickBot="1" x14ac:dyDescent="0.3">
      <c r="D10" s="378" t="s">
        <v>174</v>
      </c>
      <c r="E10" s="379"/>
      <c r="F10" s="379"/>
      <c r="G10" s="379"/>
      <c r="H10" s="379"/>
      <c r="I10" s="379"/>
      <c r="J10" s="380"/>
      <c r="K10" s="85" t="s">
        <v>187</v>
      </c>
      <c r="L10" s="86"/>
      <c r="M10" s="86"/>
      <c r="N10" s="86"/>
      <c r="O10" s="86"/>
      <c r="P10" s="87" t="s">
        <v>188</v>
      </c>
      <c r="Q10" s="88"/>
      <c r="R10" s="89"/>
    </row>
    <row r="12" spans="1:18" x14ac:dyDescent="0.25">
      <c r="A12" s="134"/>
      <c r="B12" s="134"/>
      <c r="C12" s="134"/>
      <c r="D12" s="134"/>
      <c r="E12" s="134"/>
      <c r="F12" s="134"/>
      <c r="G12" s="134"/>
      <c r="H12" s="134"/>
      <c r="I12" s="134"/>
      <c r="K12" s="90"/>
      <c r="L12" s="351" t="s">
        <v>45</v>
      </c>
      <c r="M12" s="352"/>
      <c r="N12" s="352"/>
      <c r="O12" s="353"/>
      <c r="P12" s="91" t="s">
        <v>46</v>
      </c>
      <c r="Q12" s="90"/>
      <c r="R12" s="91" t="s">
        <v>47</v>
      </c>
    </row>
    <row r="13" spans="1:18" x14ac:dyDescent="0.25">
      <c r="A13" s="135"/>
      <c r="B13" s="136"/>
      <c r="C13" s="137"/>
      <c r="D13" s="354">
        <v>0</v>
      </c>
      <c r="E13" s="355"/>
      <c r="F13" s="354">
        <v>1</v>
      </c>
      <c r="G13" s="355"/>
      <c r="H13" s="138"/>
      <c r="I13" s="139"/>
      <c r="J13" s="140" t="s">
        <v>9</v>
      </c>
      <c r="K13" s="92" t="s">
        <v>48</v>
      </c>
      <c r="L13" s="351" t="s">
        <v>49</v>
      </c>
      <c r="M13" s="352"/>
      <c r="N13" s="93"/>
      <c r="O13" s="91" t="s">
        <v>50</v>
      </c>
      <c r="P13" s="92" t="s">
        <v>51</v>
      </c>
      <c r="Q13" s="94"/>
      <c r="R13" s="92" t="s">
        <v>52</v>
      </c>
    </row>
    <row r="14" spans="1:18" x14ac:dyDescent="0.25">
      <c r="A14" s="141"/>
      <c r="B14" s="142"/>
      <c r="C14" s="143"/>
      <c r="D14" s="356" t="s">
        <v>10</v>
      </c>
      <c r="E14" s="357"/>
      <c r="F14" s="356" t="s">
        <v>11</v>
      </c>
      <c r="G14" s="357"/>
      <c r="H14" s="356" t="s">
        <v>12</v>
      </c>
      <c r="I14" s="358"/>
      <c r="J14" s="144" t="s">
        <v>13</v>
      </c>
      <c r="K14" s="95" t="s">
        <v>53</v>
      </c>
      <c r="L14" s="96" t="s">
        <v>179</v>
      </c>
      <c r="M14" s="97" t="s">
        <v>180</v>
      </c>
      <c r="N14" s="98" t="s">
        <v>54</v>
      </c>
      <c r="O14" s="98" t="s">
        <v>53</v>
      </c>
      <c r="P14" s="98" t="s">
        <v>53</v>
      </c>
      <c r="Q14" s="98" t="s">
        <v>55</v>
      </c>
      <c r="R14" s="98" t="s">
        <v>56</v>
      </c>
    </row>
    <row r="15" spans="1:18" ht="45" x14ac:dyDescent="0.25">
      <c r="A15" s="145" t="s">
        <v>14</v>
      </c>
      <c r="B15" s="146" t="s">
        <v>15</v>
      </c>
      <c r="C15" s="147" t="s">
        <v>16</v>
      </c>
      <c r="D15" s="148" t="s">
        <v>17</v>
      </c>
      <c r="E15" s="149" t="s">
        <v>18</v>
      </c>
      <c r="F15" s="148" t="s">
        <v>17</v>
      </c>
      <c r="G15" s="149" t="s">
        <v>18</v>
      </c>
      <c r="H15" s="150" t="s">
        <v>17</v>
      </c>
      <c r="I15" s="151" t="s">
        <v>18</v>
      </c>
      <c r="J15" s="147" t="s">
        <v>18</v>
      </c>
      <c r="K15" s="152" t="s">
        <v>57</v>
      </c>
      <c r="L15" s="99"/>
      <c r="M15" s="100"/>
      <c r="N15" s="99"/>
      <c r="O15" s="152" t="s">
        <v>57</v>
      </c>
      <c r="P15" s="100"/>
      <c r="Q15" s="100"/>
      <c r="R15" s="153" t="s">
        <v>57</v>
      </c>
    </row>
    <row r="16" spans="1:18" x14ac:dyDescent="0.25">
      <c r="A16" s="75" t="s">
        <v>195</v>
      </c>
      <c r="B16" s="154"/>
      <c r="C16" s="155"/>
      <c r="D16" s="78"/>
      <c r="E16" s="156"/>
      <c r="F16" s="157"/>
      <c r="G16" s="158"/>
      <c r="H16" s="159"/>
      <c r="I16" s="160"/>
      <c r="J16" s="101">
        <f t="shared" ref="J16:J42" si="0">SUMIF($A$58:$A$1001,A16,$J$58:$J$1001)</f>
        <v>600925.96884240699</v>
      </c>
      <c r="K16" s="84">
        <f t="shared" ref="K16:K42" si="1">SUMIF($A$58:$A$1001,A16,$K$58:$K$1001)</f>
        <v>53469.437904340768</v>
      </c>
      <c r="L16" s="84">
        <f t="shared" ref="L16:L42" si="2">SUMIF($A$58:$A$1001,A16,$L$58:$L$1001)</f>
        <v>600925</v>
      </c>
      <c r="M16" s="84">
        <f t="shared" ref="M16:M42" si="3">SUMIF($A$58:$A$1001,A16,$M$58:$M$1001)</f>
        <v>629122.08289082185</v>
      </c>
      <c r="N16" s="84">
        <f>+J16</f>
        <v>600925.96884240699</v>
      </c>
      <c r="O16" s="102">
        <f>+M16-N16</f>
        <v>28196.114048414864</v>
      </c>
      <c r="P16" s="102">
        <f t="shared" ref="P16:P42" si="4">+K16+O16</f>
        <v>81665.551952755632</v>
      </c>
      <c r="Q16" s="84">
        <f t="shared" ref="Q16:Q42" si="5">SUMIF($A$58:$A$1001,A16,$Q$58:$Q$1001)</f>
        <v>3980.5389117659479</v>
      </c>
      <c r="R16" s="103">
        <f t="shared" ref="R16:R23" si="6">+P16+Q16</f>
        <v>85646.090864521582</v>
      </c>
    </row>
    <row r="17" spans="1:18" x14ac:dyDescent="0.25">
      <c r="A17" s="76" t="s">
        <v>19</v>
      </c>
      <c r="B17" s="154"/>
      <c r="C17" s="155"/>
      <c r="D17" s="78"/>
      <c r="E17" s="156"/>
      <c r="F17" s="157"/>
      <c r="G17" s="156"/>
      <c r="H17" s="159"/>
      <c r="I17" s="161"/>
      <c r="J17" s="101">
        <f t="shared" si="0"/>
        <v>28905.904819937128</v>
      </c>
      <c r="K17" s="84">
        <f t="shared" si="1"/>
        <v>2572.1637056788763</v>
      </c>
      <c r="L17" s="84">
        <f t="shared" si="2"/>
        <v>27929</v>
      </c>
      <c r="M17" s="84">
        <f t="shared" si="3"/>
        <v>29239.506848704521</v>
      </c>
      <c r="N17" s="84">
        <f t="shared" ref="N17:N39" si="7">+J17</f>
        <v>28905.904819937128</v>
      </c>
      <c r="O17" s="102">
        <f t="shared" ref="O17:O23" si="8">+M17-N17</f>
        <v>333.60202876739277</v>
      </c>
      <c r="P17" s="102">
        <f t="shared" si="4"/>
        <v>2905.7657344462691</v>
      </c>
      <c r="Q17" s="84">
        <f t="shared" si="5"/>
        <v>191.48414575389637</v>
      </c>
      <c r="R17" s="103">
        <f t="shared" si="6"/>
        <v>3097.2498802001655</v>
      </c>
    </row>
    <row r="18" spans="1:18" x14ac:dyDescent="0.25">
      <c r="A18" s="76" t="s">
        <v>207</v>
      </c>
      <c r="B18" s="154"/>
      <c r="C18" s="155"/>
      <c r="D18" s="78"/>
      <c r="E18" s="156"/>
      <c r="F18" s="157"/>
      <c r="G18" s="156"/>
      <c r="H18" s="159"/>
      <c r="I18" s="161"/>
      <c r="J18" s="101">
        <f t="shared" si="0"/>
        <v>230720.51157203427</v>
      </c>
      <c r="K18" s="84">
        <f t="shared" si="1"/>
        <v>20529.443456394158</v>
      </c>
      <c r="L18" s="84">
        <f t="shared" si="2"/>
        <v>230721</v>
      </c>
      <c r="M18" s="84">
        <f t="shared" si="3"/>
        <v>241547.07507035538</v>
      </c>
      <c r="N18" s="84">
        <f t="shared" si="7"/>
        <v>230720.51157203427</v>
      </c>
      <c r="O18" s="102">
        <f t="shared" si="8"/>
        <v>10826.563498321106</v>
      </c>
      <c r="P18" s="102">
        <f t="shared" si="4"/>
        <v>31356.006954715263</v>
      </c>
      <c r="Q18" s="84">
        <f t="shared" si="5"/>
        <v>1528.315298001555</v>
      </c>
      <c r="R18" s="103">
        <f t="shared" si="6"/>
        <v>32884.322252716818</v>
      </c>
    </row>
    <row r="19" spans="1:18" x14ac:dyDescent="0.25">
      <c r="A19" s="76" t="s">
        <v>210</v>
      </c>
      <c r="B19" s="154"/>
      <c r="C19" s="155"/>
      <c r="D19" s="78"/>
      <c r="E19" s="156"/>
      <c r="F19" s="157"/>
      <c r="G19" s="156"/>
      <c r="H19" s="159"/>
      <c r="I19" s="161"/>
      <c r="J19" s="101">
        <f t="shared" si="0"/>
        <v>317309.20712638443</v>
      </c>
      <c r="K19" s="84">
        <f t="shared" si="1"/>
        <v>28234.080192998143</v>
      </c>
      <c r="L19" s="84">
        <f t="shared" si="2"/>
        <v>318298</v>
      </c>
      <c r="M19" s="84">
        <f t="shared" si="3"/>
        <v>333233.43302405922</v>
      </c>
      <c r="N19" s="84">
        <f t="shared" si="7"/>
        <v>317309.20712638443</v>
      </c>
      <c r="O19" s="102">
        <f t="shared" si="8"/>
        <v>15924.225897674798</v>
      </c>
      <c r="P19" s="102">
        <f t="shared" si="4"/>
        <v>44158.306090672937</v>
      </c>
      <c r="Q19" s="84">
        <f t="shared" si="5"/>
        <v>2101.8873100781479</v>
      </c>
      <c r="R19" s="103">
        <f t="shared" si="6"/>
        <v>46260.193400751086</v>
      </c>
    </row>
    <row r="20" spans="1:18" x14ac:dyDescent="0.25">
      <c r="A20" s="76" t="s">
        <v>211</v>
      </c>
      <c r="B20" s="154"/>
      <c r="C20" s="155"/>
      <c r="D20" s="78"/>
      <c r="E20" s="156"/>
      <c r="F20" s="157"/>
      <c r="G20" s="156"/>
      <c r="H20" s="159"/>
      <c r="I20" s="161"/>
      <c r="J20" s="101">
        <f t="shared" si="0"/>
        <v>54062.228091992249</v>
      </c>
      <c r="K20" s="84">
        <f t="shared" si="1"/>
        <v>4810.5011291872179</v>
      </c>
      <c r="L20" s="84">
        <f t="shared" si="2"/>
        <v>53266</v>
      </c>
      <c r="M20" s="84">
        <f t="shared" si="3"/>
        <v>55765.389802824844</v>
      </c>
      <c r="N20" s="84">
        <f t="shared" si="7"/>
        <v>54062.228091992249</v>
      </c>
      <c r="O20" s="102">
        <f t="shared" si="8"/>
        <v>1703.1617108325954</v>
      </c>
      <c r="P20" s="102">
        <f t="shared" si="4"/>
        <v>6513.6628400198133</v>
      </c>
      <c r="Q20" s="84">
        <f t="shared" si="5"/>
        <v>358.11763058267297</v>
      </c>
      <c r="R20" s="103">
        <f t="shared" si="6"/>
        <v>6871.7804706024863</v>
      </c>
    </row>
    <row r="21" spans="1:18" x14ac:dyDescent="0.25">
      <c r="A21" s="76" t="s">
        <v>20</v>
      </c>
      <c r="B21" s="154"/>
      <c r="C21" s="155"/>
      <c r="D21" s="78"/>
      <c r="E21" s="156"/>
      <c r="F21" s="157"/>
      <c r="G21" s="156"/>
      <c r="H21" s="159"/>
      <c r="I21" s="161"/>
      <c r="J21" s="101">
        <f t="shared" si="0"/>
        <v>135553.07738160226</v>
      </c>
      <c r="K21" s="84">
        <f t="shared" si="1"/>
        <v>12061.773130953412</v>
      </c>
      <c r="L21" s="84">
        <f t="shared" si="2"/>
        <v>128812</v>
      </c>
      <c r="M21" s="84">
        <f t="shared" si="3"/>
        <v>134856.21956372683</v>
      </c>
      <c r="N21" s="84">
        <f t="shared" si="7"/>
        <v>135553.07738160226</v>
      </c>
      <c r="O21" s="102">
        <f t="shared" si="8"/>
        <v>-696.8578178754251</v>
      </c>
      <c r="P21" s="102">
        <f t="shared" si="4"/>
        <v>11364.915313077987</v>
      </c>
      <c r="Q21" s="84">
        <f t="shared" si="5"/>
        <v>897.93755460072316</v>
      </c>
      <c r="R21" s="103">
        <f t="shared" si="6"/>
        <v>12262.85286767871</v>
      </c>
    </row>
    <row r="22" spans="1:18" x14ac:dyDescent="0.25">
      <c r="A22" s="76" t="s">
        <v>21</v>
      </c>
      <c r="B22" s="154"/>
      <c r="C22" s="155"/>
      <c r="D22" s="78"/>
      <c r="E22" s="156"/>
      <c r="F22" s="157"/>
      <c r="G22" s="156"/>
      <c r="H22" s="159"/>
      <c r="I22" s="161"/>
      <c r="J22" s="101">
        <f t="shared" si="0"/>
        <v>156316.66917508544</v>
      </c>
      <c r="K22" s="84">
        <f t="shared" si="1"/>
        <v>13908.699081280212</v>
      </c>
      <c r="L22" s="84">
        <f t="shared" si="2"/>
        <v>149736</v>
      </c>
      <c r="M22" s="84">
        <f t="shared" si="3"/>
        <v>156762.03220658167</v>
      </c>
      <c r="N22" s="84">
        <f t="shared" si="7"/>
        <v>156316.66917508544</v>
      </c>
      <c r="O22" s="102">
        <f t="shared" si="8"/>
        <v>445.36303149623564</v>
      </c>
      <c r="P22" s="102">
        <f t="shared" si="4"/>
        <v>14354.062112776448</v>
      </c>
      <c r="Q22" s="84">
        <f t="shared" si="5"/>
        <v>1035.435430171847</v>
      </c>
      <c r="R22" s="103">
        <f t="shared" si="6"/>
        <v>15389.497542948295</v>
      </c>
    </row>
    <row r="23" spans="1:18" x14ac:dyDescent="0.25">
      <c r="A23" s="76" t="s">
        <v>22</v>
      </c>
      <c r="B23" s="154"/>
      <c r="C23" s="155"/>
      <c r="D23" s="78"/>
      <c r="E23" s="156"/>
      <c r="F23" s="157"/>
      <c r="G23" s="156"/>
      <c r="H23" s="159"/>
      <c r="I23" s="161"/>
      <c r="J23" s="101">
        <f t="shared" si="0"/>
        <v>366281.67259376816</v>
      </c>
      <c r="K23" s="84">
        <f t="shared" si="1"/>
        <v>32591.707680989104</v>
      </c>
      <c r="L23" s="84">
        <f t="shared" si="2"/>
        <v>356875</v>
      </c>
      <c r="M23" s="84">
        <f t="shared" si="3"/>
        <v>373620.57383477478</v>
      </c>
      <c r="N23" s="84">
        <f t="shared" si="7"/>
        <v>366281.67259376816</v>
      </c>
      <c r="O23" s="102">
        <f t="shared" si="8"/>
        <v>7338.9012410066207</v>
      </c>
      <c r="P23" s="102">
        <f t="shared" si="4"/>
        <v>39930.608921995721</v>
      </c>
      <c r="Q23" s="84">
        <f t="shared" si="5"/>
        <v>2426.2906768287385</v>
      </c>
      <c r="R23" s="103">
        <f t="shared" si="6"/>
        <v>42356.899598824457</v>
      </c>
    </row>
    <row r="24" spans="1:18" x14ac:dyDescent="0.25">
      <c r="A24" s="76" t="s">
        <v>23</v>
      </c>
      <c r="B24" s="154"/>
      <c r="C24" s="155"/>
      <c r="D24" s="78"/>
      <c r="E24" s="156"/>
      <c r="F24" s="157"/>
      <c r="G24" s="156"/>
      <c r="H24" s="159"/>
      <c r="I24" s="161"/>
      <c r="J24" s="101">
        <f t="shared" si="0"/>
        <v>485965.95441862301</v>
      </c>
      <c r="K24" s="84">
        <f t="shared" si="1"/>
        <v>43239.792693208095</v>
      </c>
      <c r="L24" s="84">
        <f t="shared" si="2"/>
        <v>464131</v>
      </c>
      <c r="M24" s="84">
        <f t="shared" si="3"/>
        <v>485909.32554678211</v>
      </c>
      <c r="N24" s="84">
        <f t="shared" si="7"/>
        <v>485965.95441862301</v>
      </c>
      <c r="O24" s="102">
        <f>+M24-N24</f>
        <v>-56.628871840890497</v>
      </c>
      <c r="P24" s="102">
        <f t="shared" si="4"/>
        <v>43183.163821367205</v>
      </c>
      <c r="Q24" s="84">
        <f t="shared" si="5"/>
        <v>3218.9955110674809</v>
      </c>
      <c r="R24" s="103">
        <f>+P24+Q24</f>
        <v>46402.159332434683</v>
      </c>
    </row>
    <row r="25" spans="1:18" x14ac:dyDescent="0.25">
      <c r="A25" s="76" t="s">
        <v>24</v>
      </c>
      <c r="B25" s="154"/>
      <c r="C25" s="155"/>
      <c r="D25" s="78"/>
      <c r="E25" s="156"/>
      <c r="F25" s="157"/>
      <c r="G25" s="156"/>
      <c r="H25" s="159"/>
      <c r="I25" s="161"/>
      <c r="J25" s="101">
        <f t="shared" si="0"/>
        <v>482449.77377121319</v>
      </c>
      <c r="K25" s="84">
        <f t="shared" si="1"/>
        <v>31433.369038858666</v>
      </c>
      <c r="L25" s="84">
        <f t="shared" si="2"/>
        <v>474472</v>
      </c>
      <c r="M25" s="84">
        <f t="shared" si="3"/>
        <v>496735.55420955026</v>
      </c>
      <c r="N25" s="84">
        <f t="shared" si="7"/>
        <v>482449.77377121319</v>
      </c>
      <c r="O25" s="102">
        <f t="shared" ref="O25:O39" si="9">+M25-N25</f>
        <v>14285.780438337068</v>
      </c>
      <c r="P25" s="102">
        <f t="shared" si="4"/>
        <v>45719.149477195737</v>
      </c>
      <c r="Q25" s="84">
        <f t="shared" si="5"/>
        <v>2470.6379061292214</v>
      </c>
      <c r="R25" s="103">
        <f t="shared" ref="R25:R39" si="10">+P25+Q25</f>
        <v>48189.787383324961</v>
      </c>
    </row>
    <row r="26" spans="1:18" x14ac:dyDescent="0.25">
      <c r="A26" s="76" t="s">
        <v>25</v>
      </c>
      <c r="B26" s="154"/>
      <c r="C26" s="155"/>
      <c r="D26" s="78"/>
      <c r="E26" s="156"/>
      <c r="F26" s="157"/>
      <c r="G26" s="156"/>
      <c r="H26" s="159"/>
      <c r="I26" s="161"/>
      <c r="J26" s="101">
        <f t="shared" si="0"/>
        <v>12249.030290396855</v>
      </c>
      <c r="K26" s="84">
        <f t="shared" si="1"/>
        <v>1089.9586498366029</v>
      </c>
      <c r="L26" s="84">
        <f t="shared" si="2"/>
        <v>12050</v>
      </c>
      <c r="M26" s="84">
        <f t="shared" si="3"/>
        <v>12615.419725979787</v>
      </c>
      <c r="N26" s="84">
        <f t="shared" si="7"/>
        <v>12249.030290396855</v>
      </c>
      <c r="O26" s="102">
        <f t="shared" si="9"/>
        <v>366.38943558293249</v>
      </c>
      <c r="P26" s="102">
        <f t="shared" si="4"/>
        <v>1456.3480854195354</v>
      </c>
      <c r="Q26" s="84">
        <f t="shared" si="5"/>
        <v>81.141777151782975</v>
      </c>
      <c r="R26" s="103">
        <f t="shared" si="10"/>
        <v>1537.4898625713183</v>
      </c>
    </row>
    <row r="27" spans="1:18" x14ac:dyDescent="0.25">
      <c r="A27" s="76" t="s">
        <v>26</v>
      </c>
      <c r="B27" s="154"/>
      <c r="C27" s="155"/>
      <c r="D27" s="78"/>
      <c r="E27" s="156"/>
      <c r="F27" s="157"/>
      <c r="G27" s="156"/>
      <c r="H27" s="159"/>
      <c r="I27" s="161"/>
      <c r="J27" s="101">
        <f t="shared" si="0"/>
        <v>370049.4152325851</v>
      </c>
      <c r="K27" s="84">
        <f t="shared" si="1"/>
        <v>32927.417806566853</v>
      </c>
      <c r="L27" s="84">
        <f t="shared" si="2"/>
        <v>361031</v>
      </c>
      <c r="M27" s="84">
        <f t="shared" si="3"/>
        <v>377971.58498673927</v>
      </c>
      <c r="N27" s="84">
        <f t="shared" si="7"/>
        <v>370049.4152325851</v>
      </c>
      <c r="O27" s="102">
        <f t="shared" si="9"/>
        <v>7922.1697541541653</v>
      </c>
      <c r="P27" s="102">
        <f t="shared" si="4"/>
        <v>40849.587560721018</v>
      </c>
      <c r="Q27" s="84">
        <f t="shared" si="5"/>
        <v>2451.2800958409357</v>
      </c>
      <c r="R27" s="103">
        <f t="shared" si="10"/>
        <v>43300.867656561953</v>
      </c>
    </row>
    <row r="28" spans="1:18" x14ac:dyDescent="0.25">
      <c r="A28" s="76" t="s">
        <v>27</v>
      </c>
      <c r="B28" s="154"/>
      <c r="C28" s="155"/>
      <c r="D28" s="78"/>
      <c r="E28" s="156"/>
      <c r="F28" s="157"/>
      <c r="G28" s="156"/>
      <c r="H28" s="159"/>
      <c r="I28" s="161"/>
      <c r="J28" s="101">
        <f t="shared" si="0"/>
        <v>371076.91683555837</v>
      </c>
      <c r="K28" s="84">
        <f t="shared" si="1"/>
        <v>32961.79380851084</v>
      </c>
      <c r="L28" s="84">
        <f t="shared" si="2"/>
        <v>348077</v>
      </c>
      <c r="M28" s="84">
        <f t="shared" si="3"/>
        <v>364409.74705061136</v>
      </c>
      <c r="N28" s="84">
        <f t="shared" si="7"/>
        <v>371076.91683555837</v>
      </c>
      <c r="O28" s="102">
        <f t="shared" si="9"/>
        <v>-6667.1697849470074</v>
      </c>
      <c r="P28" s="102">
        <f t="shared" si="4"/>
        <v>26294.624023563832</v>
      </c>
      <c r="Q28" s="84">
        <f t="shared" si="5"/>
        <v>2454.3026085118431</v>
      </c>
      <c r="R28" s="103">
        <f t="shared" si="10"/>
        <v>28748.926632075676</v>
      </c>
    </row>
    <row r="29" spans="1:18" x14ac:dyDescent="0.25">
      <c r="A29" s="76" t="s">
        <v>69</v>
      </c>
      <c r="B29" s="154"/>
      <c r="C29" s="155"/>
      <c r="D29" s="78"/>
      <c r="E29" s="156"/>
      <c r="F29" s="157"/>
      <c r="G29" s="156"/>
      <c r="H29" s="159"/>
      <c r="I29" s="161"/>
      <c r="J29" s="101">
        <f t="shared" si="0"/>
        <v>25318.953916149629</v>
      </c>
      <c r="K29" s="84">
        <f t="shared" si="1"/>
        <v>2253.0179760291066</v>
      </c>
      <c r="L29" s="84">
        <f t="shared" si="2"/>
        <v>24712</v>
      </c>
      <c r="M29" s="84">
        <f t="shared" si="3"/>
        <v>25871.556204847511</v>
      </c>
      <c r="N29" s="84">
        <f t="shared" si="7"/>
        <v>25318.953916149629</v>
      </c>
      <c r="O29" s="102">
        <f t="shared" si="9"/>
        <v>552.60228869788261</v>
      </c>
      <c r="P29" s="102">
        <f t="shared" si="4"/>
        <v>2805.6202647269893</v>
      </c>
      <c r="Q29" s="84">
        <f t="shared" si="5"/>
        <v>167.72521677137013</v>
      </c>
      <c r="R29" s="103">
        <f t="shared" si="10"/>
        <v>2973.3454814983593</v>
      </c>
    </row>
    <row r="30" spans="1:18" x14ac:dyDescent="0.25">
      <c r="A30" s="76" t="s">
        <v>70</v>
      </c>
      <c r="B30" s="154"/>
      <c r="C30" s="155"/>
      <c r="D30" s="78"/>
      <c r="E30" s="156"/>
      <c r="F30" s="157"/>
      <c r="G30" s="156"/>
      <c r="H30" s="159"/>
      <c r="I30" s="161"/>
      <c r="J30" s="101">
        <f t="shared" si="0"/>
        <v>6569.2626553289419</v>
      </c>
      <c r="K30" s="84">
        <f t="shared" si="1"/>
        <v>584.57255269776238</v>
      </c>
      <c r="L30" s="84">
        <f t="shared" si="2"/>
        <v>6401</v>
      </c>
      <c r="M30" s="84">
        <f t="shared" si="3"/>
        <v>6701.3528353524162</v>
      </c>
      <c r="N30" s="84">
        <f t="shared" si="7"/>
        <v>6569.2626553289419</v>
      </c>
      <c r="O30" s="102">
        <f t="shared" si="9"/>
        <v>132.0901800234742</v>
      </c>
      <c r="P30" s="102">
        <f t="shared" si="4"/>
        <v>716.66273272123658</v>
      </c>
      <c r="Q30" s="84">
        <f t="shared" si="5"/>
        <v>43.518298788969709</v>
      </c>
      <c r="R30" s="103">
        <f t="shared" si="10"/>
        <v>760.18103151020625</v>
      </c>
    </row>
    <row r="31" spans="1:18" x14ac:dyDescent="0.25">
      <c r="A31" s="76" t="s">
        <v>28</v>
      </c>
      <c r="B31" s="154"/>
      <c r="C31" s="155"/>
      <c r="D31" s="78"/>
      <c r="E31" s="156"/>
      <c r="F31" s="157"/>
      <c r="G31" s="156"/>
      <c r="H31" s="159"/>
      <c r="I31" s="161"/>
      <c r="J31" s="101">
        <f t="shared" si="0"/>
        <v>18269.030970748223</v>
      </c>
      <c r="K31" s="84">
        <f t="shared" si="1"/>
        <v>1625.6267955089172</v>
      </c>
      <c r="L31" s="84">
        <f t="shared" si="2"/>
        <v>18351</v>
      </c>
      <c r="M31" s="84">
        <f t="shared" si="3"/>
        <v>19212.080281448551</v>
      </c>
      <c r="N31" s="84">
        <f t="shared" si="7"/>
        <v>18269.030970748223</v>
      </c>
      <c r="O31" s="102">
        <f t="shared" si="9"/>
        <v>943.04931070032762</v>
      </c>
      <c r="P31" s="102">
        <f t="shared" si="4"/>
        <v>2568.6761062092446</v>
      </c>
      <c r="Q31" s="84">
        <f t="shared" si="5"/>
        <v>121.01955840025292</v>
      </c>
      <c r="R31" s="103">
        <f t="shared" si="10"/>
        <v>2689.6956646094977</v>
      </c>
    </row>
    <row r="32" spans="1:18" x14ac:dyDescent="0.25">
      <c r="A32" s="76" t="s">
        <v>29</v>
      </c>
      <c r="B32" s="154"/>
      <c r="C32" s="155"/>
      <c r="D32" s="78"/>
      <c r="E32" s="156"/>
      <c r="F32" s="157"/>
      <c r="G32" s="156"/>
      <c r="H32" s="159"/>
      <c r="I32" s="161"/>
      <c r="J32" s="101">
        <f t="shared" si="0"/>
        <v>19352.232202845138</v>
      </c>
      <c r="K32" s="84">
        <f t="shared" si="1"/>
        <v>1722.044754126651</v>
      </c>
      <c r="L32" s="84">
        <f t="shared" si="2"/>
        <v>19220</v>
      </c>
      <c r="M32" s="84">
        <f t="shared" si="3"/>
        <v>20121.856193637468</v>
      </c>
      <c r="N32" s="84">
        <f t="shared" si="7"/>
        <v>19352.232202845138</v>
      </c>
      <c r="O32" s="102">
        <f t="shared" si="9"/>
        <v>769.62399079233001</v>
      </c>
      <c r="P32" s="102">
        <f t="shared" si="4"/>
        <v>2491.6687449189812</v>
      </c>
      <c r="Q32" s="84">
        <f t="shared" si="5"/>
        <v>128.19720330203216</v>
      </c>
      <c r="R32" s="103">
        <f t="shared" si="10"/>
        <v>2619.8659482210132</v>
      </c>
    </row>
    <row r="33" spans="1:18" x14ac:dyDescent="0.25">
      <c r="A33" s="76" t="s">
        <v>30</v>
      </c>
      <c r="B33" s="154"/>
      <c r="C33" s="155"/>
      <c r="D33" s="78"/>
      <c r="E33" s="156"/>
      <c r="F33" s="157"/>
      <c r="G33" s="156"/>
      <c r="H33" s="159"/>
      <c r="I33" s="161"/>
      <c r="J33" s="101">
        <f t="shared" si="0"/>
        <v>809135.57251701772</v>
      </c>
      <c r="K33" s="84">
        <f t="shared" si="1"/>
        <v>68275.698734439124</v>
      </c>
      <c r="L33" s="84">
        <f t="shared" si="2"/>
        <v>785082</v>
      </c>
      <c r="M33" s="84">
        <f t="shared" si="3"/>
        <v>821920.2447561546</v>
      </c>
      <c r="N33" s="84">
        <f t="shared" si="7"/>
        <v>809135.57251701772</v>
      </c>
      <c r="O33" s="102">
        <f t="shared" si="9"/>
        <v>12784.672239136882</v>
      </c>
      <c r="P33" s="102">
        <f t="shared" si="4"/>
        <v>81060.370973576006</v>
      </c>
      <c r="Q33" s="84">
        <f t="shared" si="5"/>
        <v>5113.0589016336216</v>
      </c>
      <c r="R33" s="103">
        <f t="shared" si="10"/>
        <v>86173.429875209622</v>
      </c>
    </row>
    <row r="34" spans="1:18" x14ac:dyDescent="0.25">
      <c r="A34" s="76" t="s">
        <v>31</v>
      </c>
      <c r="B34" s="154"/>
      <c r="C34" s="155"/>
      <c r="D34" s="78"/>
      <c r="E34" s="156"/>
      <c r="F34" s="157"/>
      <c r="G34" s="156"/>
      <c r="H34" s="159"/>
      <c r="I34" s="161"/>
      <c r="J34" s="101">
        <f t="shared" si="0"/>
        <v>12953942.916003754</v>
      </c>
      <c r="K34" s="84">
        <f t="shared" si="1"/>
        <v>1128618.2441193042</v>
      </c>
      <c r="L34" s="84">
        <f t="shared" si="2"/>
        <v>12374803</v>
      </c>
      <c r="M34" s="84">
        <f t="shared" si="3"/>
        <v>12955463.391810277</v>
      </c>
      <c r="N34" s="84">
        <f t="shared" si="7"/>
        <v>12953942.916003754</v>
      </c>
      <c r="O34" s="102">
        <f t="shared" si="9"/>
        <v>1520.4758065231144</v>
      </c>
      <c r="P34" s="102">
        <f t="shared" si="4"/>
        <v>1130138.7199258273</v>
      </c>
      <c r="Q34" s="84">
        <f t="shared" si="5"/>
        <v>83699.658869569466</v>
      </c>
      <c r="R34" s="103">
        <f t="shared" si="10"/>
        <v>1213838.3787953968</v>
      </c>
    </row>
    <row r="35" spans="1:18" x14ac:dyDescent="0.25">
      <c r="A35" s="76" t="s">
        <v>32</v>
      </c>
      <c r="B35" s="154"/>
      <c r="C35" s="155"/>
      <c r="D35" s="78"/>
      <c r="E35" s="156"/>
      <c r="F35" s="157"/>
      <c r="G35" s="156"/>
      <c r="H35" s="159"/>
      <c r="I35" s="161"/>
      <c r="J35" s="101">
        <f t="shared" si="0"/>
        <v>5464418.5766431568</v>
      </c>
      <c r="K35" s="84">
        <f t="shared" si="1"/>
        <v>707605.74780570064</v>
      </c>
      <c r="L35" s="84">
        <f t="shared" si="2"/>
        <v>5087404</v>
      </c>
      <c r="M35" s="84">
        <f t="shared" si="3"/>
        <v>5326119.234491989</v>
      </c>
      <c r="N35" s="84">
        <f t="shared" si="7"/>
        <v>5464418.5766431568</v>
      </c>
      <c r="O35" s="102">
        <f t="shared" si="9"/>
        <v>-138299.3421511678</v>
      </c>
      <c r="P35" s="102">
        <f t="shared" si="4"/>
        <v>569306.40565453283</v>
      </c>
      <c r="Q35" s="84">
        <f t="shared" si="5"/>
        <v>45660.033932863778</v>
      </c>
      <c r="R35" s="103">
        <f t="shared" si="10"/>
        <v>614966.43958739657</v>
      </c>
    </row>
    <row r="36" spans="1:18" x14ac:dyDescent="0.25">
      <c r="A36" s="76" t="s">
        <v>33</v>
      </c>
      <c r="B36" s="154"/>
      <c r="C36" s="155"/>
      <c r="D36" s="78"/>
      <c r="E36" s="156"/>
      <c r="F36" s="157"/>
      <c r="G36" s="156"/>
      <c r="H36" s="159"/>
      <c r="I36" s="161"/>
      <c r="J36" s="101">
        <f t="shared" si="0"/>
        <v>13632.850308478797</v>
      </c>
      <c r="K36" s="84">
        <f t="shared" si="1"/>
        <v>1213.0713827936825</v>
      </c>
      <c r="L36" s="84">
        <f t="shared" si="2"/>
        <v>13020</v>
      </c>
      <c r="M36" s="84">
        <f t="shared" si="3"/>
        <v>13630.934840851189</v>
      </c>
      <c r="N36" s="84">
        <f t="shared" si="7"/>
        <v>13632.850308478797</v>
      </c>
      <c r="O36" s="102">
        <f t="shared" si="9"/>
        <v>-1.9154676276084501</v>
      </c>
      <c r="P36" s="102">
        <f t="shared" si="4"/>
        <v>1211.155915166074</v>
      </c>
      <c r="Q36" s="84">
        <f t="shared" si="5"/>
        <v>90.307016064664538</v>
      </c>
      <c r="R36" s="103">
        <f t="shared" si="10"/>
        <v>1301.4629312307386</v>
      </c>
    </row>
    <row r="37" spans="1:18" x14ac:dyDescent="0.25">
      <c r="A37" s="76" t="s">
        <v>34</v>
      </c>
      <c r="B37" s="154"/>
      <c r="C37" s="155"/>
      <c r="D37" s="78"/>
      <c r="E37" s="156"/>
      <c r="F37" s="157"/>
      <c r="G37" s="156"/>
      <c r="H37" s="159"/>
      <c r="I37" s="161"/>
      <c r="J37" s="101">
        <f t="shared" si="0"/>
        <v>1526836.5188687393</v>
      </c>
      <c r="K37" s="84">
        <f t="shared" si="1"/>
        <v>126920.202686918</v>
      </c>
      <c r="L37" s="84">
        <f t="shared" si="2"/>
        <v>1481298</v>
      </c>
      <c r="M37" s="84">
        <f t="shared" si="3"/>
        <v>1550804.6480709054</v>
      </c>
      <c r="N37" s="84">
        <f t="shared" si="7"/>
        <v>1526836.5188687393</v>
      </c>
      <c r="O37" s="102">
        <f t="shared" si="9"/>
        <v>23968.129202166107</v>
      </c>
      <c r="P37" s="102">
        <f t="shared" si="4"/>
        <v>150888.3318890841</v>
      </c>
      <c r="Q37" s="84">
        <f t="shared" si="5"/>
        <v>9669.6476293015567</v>
      </c>
      <c r="R37" s="103">
        <f t="shared" si="10"/>
        <v>160557.97951838566</v>
      </c>
    </row>
    <row r="38" spans="1:18" x14ac:dyDescent="0.25">
      <c r="A38" s="77" t="s">
        <v>35</v>
      </c>
      <c r="B38" s="154"/>
      <c r="C38" s="155"/>
      <c r="D38" s="78"/>
      <c r="E38" s="156"/>
      <c r="F38" s="157"/>
      <c r="G38" s="162"/>
      <c r="H38" s="163"/>
      <c r="I38" s="161"/>
      <c r="J38" s="101">
        <f t="shared" si="0"/>
        <v>5240454.4965192527</v>
      </c>
      <c r="K38" s="84">
        <f t="shared" si="1"/>
        <v>431915.52346151794</v>
      </c>
      <c r="L38" s="84">
        <f t="shared" si="2"/>
        <v>5234308</v>
      </c>
      <c r="M38" s="84">
        <f t="shared" si="3"/>
        <v>5479916.3813322671</v>
      </c>
      <c r="N38" s="84">
        <f t="shared" si="7"/>
        <v>5240454.4965192527</v>
      </c>
      <c r="O38" s="102">
        <f t="shared" si="9"/>
        <v>239461.88481301442</v>
      </c>
      <c r="P38" s="102">
        <f t="shared" si="4"/>
        <v>671377.4082745323</v>
      </c>
      <c r="Q38" s="84">
        <f t="shared" si="5"/>
        <v>32199.460494470251</v>
      </c>
      <c r="R38" s="103">
        <f t="shared" si="10"/>
        <v>703576.8687690025</v>
      </c>
    </row>
    <row r="39" spans="1:18" x14ac:dyDescent="0.25">
      <c r="A39" s="164" t="s">
        <v>36</v>
      </c>
      <c r="B39" s="165"/>
      <c r="C39" s="155"/>
      <c r="D39" s="78"/>
      <c r="E39" s="156"/>
      <c r="F39" s="157"/>
      <c r="G39" s="162"/>
      <c r="H39" s="163"/>
      <c r="I39" s="161"/>
      <c r="J39" s="101">
        <f t="shared" si="0"/>
        <v>307088.17986986012</v>
      </c>
      <c r="K39" s="84">
        <f t="shared" si="1"/>
        <v>27301.07317903663</v>
      </c>
      <c r="L39" s="84">
        <f t="shared" si="2"/>
        <v>305099</v>
      </c>
      <c r="M39" s="84">
        <f t="shared" si="3"/>
        <v>319415.0990022163</v>
      </c>
      <c r="N39" s="84">
        <f t="shared" si="7"/>
        <v>307088.17986986012</v>
      </c>
      <c r="O39" s="102">
        <f t="shared" si="9"/>
        <v>12326.919132356183</v>
      </c>
      <c r="P39" s="102">
        <f t="shared" si="4"/>
        <v>39627.992311392809</v>
      </c>
      <c r="Q39" s="84">
        <f t="shared" si="5"/>
        <v>2032.5834723217142</v>
      </c>
      <c r="R39" s="103">
        <f t="shared" si="10"/>
        <v>41660.575783714521</v>
      </c>
    </row>
    <row r="40" spans="1:18" x14ac:dyDescent="0.25">
      <c r="A40" s="75" t="s">
        <v>91</v>
      </c>
      <c r="B40" s="154"/>
      <c r="C40" s="155"/>
      <c r="D40" s="78"/>
      <c r="E40" s="156"/>
      <c r="F40" s="157"/>
      <c r="G40" s="162"/>
      <c r="H40" s="163"/>
      <c r="I40" s="161"/>
      <c r="J40" s="101">
        <f t="shared" si="0"/>
        <v>-124.58780732383144</v>
      </c>
      <c r="K40" s="84">
        <f t="shared" si="1"/>
        <v>0</v>
      </c>
      <c r="L40" s="84">
        <f t="shared" si="2"/>
        <v>-118</v>
      </c>
      <c r="M40" s="84">
        <f t="shared" si="3"/>
        <v>-123.53689026270662</v>
      </c>
      <c r="N40" s="84">
        <f>+J40</f>
        <v>-124.58780732383144</v>
      </c>
      <c r="O40" s="102">
        <f>+M40-N40</f>
        <v>1.0509170611248209</v>
      </c>
      <c r="P40" s="102">
        <f t="shared" si="4"/>
        <v>1.0509170611248209</v>
      </c>
      <c r="Q40" s="84">
        <f t="shared" si="5"/>
        <v>-6.1443786923753574E-2</v>
      </c>
      <c r="R40" s="103">
        <f>+P40+Q40</f>
        <v>0.98947327420106723</v>
      </c>
    </row>
    <row r="41" spans="1:18" x14ac:dyDescent="0.25">
      <c r="A41" s="76" t="s">
        <v>92</v>
      </c>
      <c r="B41" s="154"/>
      <c r="C41" s="155"/>
      <c r="D41" s="78"/>
      <c r="E41" s="156"/>
      <c r="F41" s="157"/>
      <c r="G41" s="156"/>
      <c r="H41" s="159"/>
      <c r="I41" s="161"/>
      <c r="J41" s="101">
        <f t="shared" si="0"/>
        <v>-4.1460212497411444</v>
      </c>
      <c r="K41" s="84">
        <f t="shared" si="1"/>
        <v>0</v>
      </c>
      <c r="L41" s="84">
        <f t="shared" si="2"/>
        <v>-4</v>
      </c>
      <c r="M41" s="84">
        <f t="shared" si="3"/>
        <v>-4.1876911953459874</v>
      </c>
      <c r="N41" s="84">
        <f>+J41</f>
        <v>-4.1460212497411444</v>
      </c>
      <c r="O41" s="102">
        <f>+M41-N41</f>
        <v>-4.1669945604843051E-2</v>
      </c>
      <c r="P41" s="102">
        <f t="shared" si="4"/>
        <v>-4.1669945604843051E-2</v>
      </c>
      <c r="Q41" s="84">
        <f t="shared" si="5"/>
        <v>-2.0447205205907878E-3</v>
      </c>
      <c r="R41" s="103">
        <f>+P41+Q41</f>
        <v>-4.3714666125433836E-2</v>
      </c>
    </row>
    <row r="42" spans="1:18" x14ac:dyDescent="0.25">
      <c r="A42" s="166" t="s">
        <v>93</v>
      </c>
      <c r="B42" s="154"/>
      <c r="C42" s="155"/>
      <c r="D42" s="78"/>
      <c r="E42" s="156"/>
      <c r="F42" s="157"/>
      <c r="G42" s="167"/>
      <c r="H42" s="168"/>
      <c r="I42" s="169"/>
      <c r="J42" s="104">
        <f t="shared" si="0"/>
        <v>0</v>
      </c>
      <c r="K42" s="84">
        <f t="shared" si="1"/>
        <v>0</v>
      </c>
      <c r="L42" s="84">
        <f t="shared" si="2"/>
        <v>0</v>
      </c>
      <c r="M42" s="84">
        <f t="shared" si="3"/>
        <v>0</v>
      </c>
      <c r="N42" s="84">
        <f>+J42</f>
        <v>0</v>
      </c>
      <c r="O42" s="102">
        <f>+M42-N42</f>
        <v>0</v>
      </c>
      <c r="P42" s="102">
        <f t="shared" si="4"/>
        <v>0</v>
      </c>
      <c r="Q42" s="84">
        <f t="shared" si="5"/>
        <v>0</v>
      </c>
      <c r="R42" s="103">
        <f>+P42+Q42</f>
        <v>0</v>
      </c>
    </row>
    <row r="43" spans="1:18" x14ac:dyDescent="0.25">
      <c r="A43" s="170"/>
      <c r="B43" s="171"/>
      <c r="C43" s="172"/>
      <c r="D43" s="173"/>
      <c r="E43" s="174"/>
      <c r="F43" s="175"/>
      <c r="G43" s="174"/>
      <c r="H43" s="176"/>
      <c r="I43" s="177"/>
      <c r="J43" s="105">
        <f t="shared" ref="J43:R43" si="11">SUM(J16:J42)</f>
        <v>29996756.186798345</v>
      </c>
      <c r="K43" s="106">
        <f t="shared" si="11"/>
        <v>2807864.9617268755</v>
      </c>
      <c r="L43" s="107">
        <f t="shared" si="11"/>
        <v>28875899</v>
      </c>
      <c r="M43" s="108">
        <f>SUM(M16:M42)</f>
        <v>30230837</v>
      </c>
      <c r="N43" s="107">
        <f>SUM(N16:N42)</f>
        <v>29996756.186798345</v>
      </c>
      <c r="O43" s="108">
        <f t="shared" si="11"/>
        <v>234080.81320165528</v>
      </c>
      <c r="P43" s="108">
        <f t="shared" si="11"/>
        <v>3041945.7749285307</v>
      </c>
      <c r="Q43" s="108">
        <f t="shared" si="11"/>
        <v>202121.51196146506</v>
      </c>
      <c r="R43" s="109">
        <f t="shared" si="11"/>
        <v>3244067.2868899954</v>
      </c>
    </row>
    <row r="44" spans="1:18" x14ac:dyDescent="0.25">
      <c r="J44" s="81"/>
      <c r="K44" s="81"/>
    </row>
    <row r="45" spans="1:18" x14ac:dyDescent="0.25">
      <c r="J45" s="81"/>
      <c r="K45" s="110"/>
      <c r="L45" s="110"/>
      <c r="M45" s="110"/>
      <c r="N45" s="110"/>
      <c r="O45" s="110"/>
      <c r="P45" s="13"/>
      <c r="R45" s="110"/>
    </row>
    <row r="46" spans="1:18" x14ac:dyDescent="0.25">
      <c r="J46" s="81"/>
      <c r="K46" s="81"/>
      <c r="L46" s="110"/>
      <c r="M46" s="110"/>
      <c r="N46" s="110"/>
      <c r="O46" s="110"/>
      <c r="P46" s="110"/>
      <c r="Q46" s="110"/>
      <c r="R46" s="110"/>
    </row>
    <row r="47" spans="1:18" ht="15.75" customHeight="1" x14ac:dyDescent="0.25">
      <c r="A47" s="359" t="s">
        <v>0</v>
      </c>
      <c r="B47" s="360"/>
      <c r="C47" s="360" t="s">
        <v>58</v>
      </c>
      <c r="D47" s="360"/>
      <c r="E47" s="360"/>
      <c r="F47" s="360"/>
      <c r="G47" s="360"/>
      <c r="H47" s="361"/>
      <c r="I47" s="178"/>
      <c r="J47" s="74"/>
      <c r="K47" s="74"/>
      <c r="P47" s="110"/>
    </row>
    <row r="48" spans="1:18" ht="15.75" hidden="1" customHeight="1" outlineLevel="1" x14ac:dyDescent="0.25">
      <c r="A48" s="179" t="s">
        <v>134</v>
      </c>
      <c r="B48" s="180"/>
      <c r="C48" s="181" t="s">
        <v>135</v>
      </c>
      <c r="D48" s="182"/>
      <c r="E48" s="182"/>
      <c r="F48" s="182"/>
      <c r="G48" s="182"/>
      <c r="H48" s="183"/>
      <c r="I48" s="178"/>
      <c r="J48" s="74"/>
      <c r="K48" s="81"/>
      <c r="P48" s="110"/>
    </row>
    <row r="49" spans="1:18" ht="15.75" customHeight="1" collapsed="1" x14ac:dyDescent="0.25">
      <c r="A49" s="362" t="s">
        <v>2</v>
      </c>
      <c r="B49" s="363"/>
      <c r="C49" s="381" t="s">
        <v>59</v>
      </c>
      <c r="D49" s="382"/>
      <c r="E49" s="382"/>
      <c r="F49" s="382"/>
      <c r="G49" s="382"/>
      <c r="H49" s="383"/>
      <c r="I49" s="178"/>
      <c r="J49" s="74"/>
      <c r="K49" s="81"/>
      <c r="P49" s="110"/>
    </row>
    <row r="50" spans="1:18" ht="15.75" customHeight="1" x14ac:dyDescent="0.25">
      <c r="A50" s="362" t="s">
        <v>4</v>
      </c>
      <c r="B50" s="363"/>
      <c r="C50" s="381" t="s">
        <v>60</v>
      </c>
      <c r="D50" s="382"/>
      <c r="E50" s="382"/>
      <c r="F50" s="382"/>
      <c r="G50" s="382"/>
      <c r="H50" s="383"/>
      <c r="I50" s="178"/>
      <c r="J50" s="74"/>
    </row>
    <row r="51" spans="1:18" ht="15.75" customHeight="1" x14ac:dyDescent="0.25">
      <c r="A51" s="362" t="s">
        <v>6</v>
      </c>
      <c r="B51" s="363"/>
      <c r="C51" s="375">
        <v>0</v>
      </c>
      <c r="D51" s="376"/>
      <c r="E51" s="376"/>
      <c r="F51" s="376"/>
      <c r="G51" s="376"/>
      <c r="H51" s="377"/>
      <c r="I51" s="178"/>
      <c r="M51" s="111"/>
      <c r="O51" s="111" t="s">
        <v>43</v>
      </c>
      <c r="P51" s="111" t="s">
        <v>39</v>
      </c>
      <c r="R51" s="111" t="s">
        <v>44</v>
      </c>
    </row>
    <row r="52" spans="1:18" ht="15.75" customHeight="1" x14ac:dyDescent="0.25">
      <c r="A52" s="370" t="s">
        <v>7</v>
      </c>
      <c r="B52" s="371"/>
      <c r="C52" s="372" t="s">
        <v>61</v>
      </c>
      <c r="D52" s="373"/>
      <c r="E52" s="373"/>
      <c r="F52" s="373"/>
      <c r="G52" s="373"/>
      <c r="H52" s="374"/>
      <c r="I52" s="178"/>
      <c r="K52" s="111" t="s">
        <v>41</v>
      </c>
      <c r="L52" s="112" t="s">
        <v>42</v>
      </c>
      <c r="M52" s="113" t="s">
        <v>182</v>
      </c>
      <c r="N52" s="113" t="s">
        <v>38</v>
      </c>
      <c r="O52" s="113" t="s">
        <v>183</v>
      </c>
      <c r="P52" s="113" t="s">
        <v>184</v>
      </c>
      <c r="Q52" s="113" t="s">
        <v>40</v>
      </c>
      <c r="R52" s="113" t="s">
        <v>185</v>
      </c>
    </row>
    <row r="53" spans="1:18" s="114" customFormat="1" ht="15.75" hidden="1" customHeight="1" outlineLevel="1" x14ac:dyDescent="0.25">
      <c r="A53" s="114" t="s">
        <v>132</v>
      </c>
      <c r="B53" s="114" t="s">
        <v>138</v>
      </c>
      <c r="C53" s="114" t="s">
        <v>132</v>
      </c>
      <c r="D53" s="114" t="s">
        <v>132</v>
      </c>
      <c r="E53" s="114" t="s">
        <v>132</v>
      </c>
      <c r="F53" s="114" t="s">
        <v>132</v>
      </c>
      <c r="G53" s="114" t="s">
        <v>132</v>
      </c>
      <c r="H53" s="114" t="s">
        <v>132</v>
      </c>
      <c r="I53" s="114" t="s">
        <v>132</v>
      </c>
      <c r="J53" s="114" t="s">
        <v>140</v>
      </c>
      <c r="K53" s="115" t="s">
        <v>133</v>
      </c>
      <c r="L53" s="112" t="s">
        <v>133</v>
      </c>
      <c r="M53" s="116"/>
      <c r="N53" s="113"/>
      <c r="O53" s="116"/>
      <c r="P53" s="116"/>
      <c r="Q53" s="117"/>
      <c r="R53" s="116"/>
    </row>
    <row r="54" spans="1:18" collapsed="1" x14ac:dyDescent="0.25">
      <c r="A54" s="134"/>
      <c r="B54" s="134"/>
      <c r="C54" s="134"/>
      <c r="D54" s="134"/>
      <c r="E54" s="134"/>
      <c r="F54" s="134"/>
      <c r="G54" s="134"/>
      <c r="H54" s="134"/>
      <c r="I54" s="134"/>
      <c r="K54" s="90"/>
      <c r="L54" s="351" t="s">
        <v>45</v>
      </c>
      <c r="M54" s="352"/>
      <c r="N54" s="352"/>
      <c r="O54" s="353"/>
      <c r="P54" s="91" t="s">
        <v>46</v>
      </c>
      <c r="Q54" s="90"/>
      <c r="R54" s="91" t="s">
        <v>47</v>
      </c>
    </row>
    <row r="55" spans="1:18" x14ac:dyDescent="0.25">
      <c r="A55" s="135"/>
      <c r="B55" s="136"/>
      <c r="C55" s="137"/>
      <c r="D55" s="354">
        <v>0</v>
      </c>
      <c r="E55" s="355"/>
      <c r="F55" s="354">
        <v>1</v>
      </c>
      <c r="G55" s="355"/>
      <c r="H55" s="138"/>
      <c r="I55" s="139"/>
      <c r="J55" s="140" t="s">
        <v>9</v>
      </c>
      <c r="K55" s="92" t="s">
        <v>48</v>
      </c>
      <c r="L55" s="351" t="s">
        <v>49</v>
      </c>
      <c r="M55" s="352"/>
      <c r="N55" s="93"/>
      <c r="O55" s="91" t="s">
        <v>50</v>
      </c>
      <c r="P55" s="92" t="s">
        <v>51</v>
      </c>
      <c r="Q55" s="94"/>
      <c r="R55" s="92" t="s">
        <v>52</v>
      </c>
    </row>
    <row r="56" spans="1:18" ht="15" customHeight="1" x14ac:dyDescent="0.25">
      <c r="A56" s="141"/>
      <c r="B56" s="142"/>
      <c r="C56" s="143"/>
      <c r="D56" s="356" t="s">
        <v>10</v>
      </c>
      <c r="E56" s="357"/>
      <c r="F56" s="356" t="s">
        <v>11</v>
      </c>
      <c r="G56" s="357"/>
      <c r="H56" s="356" t="s">
        <v>12</v>
      </c>
      <c r="I56" s="358"/>
      <c r="J56" s="144" t="s">
        <v>13</v>
      </c>
      <c r="K56" s="95" t="s">
        <v>53</v>
      </c>
      <c r="L56" s="96" t="s">
        <v>179</v>
      </c>
      <c r="M56" s="97" t="s">
        <v>180</v>
      </c>
      <c r="N56" s="98" t="s">
        <v>54</v>
      </c>
      <c r="O56" s="98" t="s">
        <v>53</v>
      </c>
      <c r="P56" s="98" t="s">
        <v>53</v>
      </c>
      <c r="Q56" s="98" t="s">
        <v>55</v>
      </c>
      <c r="R56" s="98" t="s">
        <v>56</v>
      </c>
    </row>
    <row r="57" spans="1:18" ht="45" x14ac:dyDescent="0.25">
      <c r="A57" s="145" t="s">
        <v>14</v>
      </c>
      <c r="B57" s="146" t="s">
        <v>15</v>
      </c>
      <c r="C57" s="147" t="s">
        <v>16</v>
      </c>
      <c r="D57" s="148" t="s">
        <v>17</v>
      </c>
      <c r="E57" s="149" t="s">
        <v>18</v>
      </c>
      <c r="F57" s="148" t="s">
        <v>17</v>
      </c>
      <c r="G57" s="149" t="s">
        <v>18</v>
      </c>
      <c r="H57" s="150" t="s">
        <v>17</v>
      </c>
      <c r="I57" s="151" t="s">
        <v>18</v>
      </c>
      <c r="J57" s="147" t="s">
        <v>18</v>
      </c>
      <c r="K57" s="152" t="s">
        <v>57</v>
      </c>
      <c r="L57" s="99"/>
      <c r="M57" s="100"/>
      <c r="N57" s="99"/>
      <c r="O57" s="152" t="s">
        <v>57</v>
      </c>
      <c r="P57" s="99"/>
      <c r="Q57" s="99"/>
      <c r="R57" s="153" t="s">
        <v>57</v>
      </c>
    </row>
    <row r="58" spans="1:18" x14ac:dyDescent="0.25">
      <c r="A58" s="75" t="s">
        <v>195</v>
      </c>
      <c r="B58" s="154">
        <v>10940248.5</v>
      </c>
      <c r="C58" s="155">
        <f>+B58/B79</f>
        <v>0.1292265803021185</v>
      </c>
      <c r="D58" s="78">
        <v>0</v>
      </c>
      <c r="E58" s="156">
        <f>+D58*C51</f>
        <v>0</v>
      </c>
      <c r="F58" s="157">
        <v>0</v>
      </c>
      <c r="G58" s="158">
        <f>F58*C51</f>
        <v>0</v>
      </c>
      <c r="H58" s="159">
        <f>+D58+F58</f>
        <v>0</v>
      </c>
      <c r="I58" s="184">
        <f>+E58+G58</f>
        <v>0</v>
      </c>
      <c r="J58" s="185">
        <f t="shared" ref="J58:J78" si="12">H58*I$84</f>
        <v>0</v>
      </c>
      <c r="K58" s="102">
        <f t="shared" ref="K58:K64" si="13">(I$84-M$84)*H58</f>
        <v>0</v>
      </c>
      <c r="L58" s="84">
        <f>ROUND(J58*VLOOKUP(A58,'Actual Load'!$A$4:$B$37,2,FALSE)/VLOOKUP(A58,'Projected Zonal Load'!$A$4:$N$37,14,FALSE),0)</f>
        <v>0</v>
      </c>
      <c r="M58" s="102">
        <f t="shared" ref="M58:M78" si="14">IF(NOT(L$43=0),M$6*L58/L$43,0)</f>
        <v>0</v>
      </c>
      <c r="N58" s="84">
        <f>+J58</f>
        <v>0</v>
      </c>
      <c r="O58" s="102">
        <f t="shared" ref="O58:O63" si="15">+M58-N58</f>
        <v>0</v>
      </c>
      <c r="P58" s="118">
        <f t="shared" ref="P58:P78" si="16">+K58+O58</f>
        <v>0</v>
      </c>
      <c r="Q58" s="33">
        <f>+H58*Interest!$D$13</f>
        <v>0</v>
      </c>
      <c r="R58" s="119">
        <f t="shared" ref="R58:R63" si="17">+P58+Q58</f>
        <v>0</v>
      </c>
    </row>
    <row r="59" spans="1:18" x14ac:dyDescent="0.25">
      <c r="A59" s="76" t="s">
        <v>19</v>
      </c>
      <c r="B59" s="154">
        <v>571800</v>
      </c>
      <c r="C59" s="155">
        <f>+B59/B79</f>
        <v>6.7541206780404811E-3</v>
      </c>
      <c r="D59" s="78">
        <v>0</v>
      </c>
      <c r="E59" s="156">
        <f>+D59*C51</f>
        <v>0</v>
      </c>
      <c r="F59" s="157">
        <v>0</v>
      </c>
      <c r="G59" s="156">
        <f>F59*C51</f>
        <v>0</v>
      </c>
      <c r="H59" s="159">
        <f t="shared" ref="H59:H77" si="18">+D59+F59</f>
        <v>0</v>
      </c>
      <c r="I59" s="186">
        <f>+G59+E59</f>
        <v>0</v>
      </c>
      <c r="J59" s="185">
        <f t="shared" si="12"/>
        <v>0</v>
      </c>
      <c r="K59" s="102">
        <f t="shared" si="13"/>
        <v>0</v>
      </c>
      <c r="L59" s="84">
        <f>ROUND(J59*VLOOKUP(A59,'Actual Load'!$A$4:$B$37,2,FALSE)/VLOOKUP(A59,'Projected Zonal Load'!$A$4:$N$37,14,FALSE),0)</f>
        <v>0</v>
      </c>
      <c r="M59" s="102">
        <f t="shared" si="14"/>
        <v>0</v>
      </c>
      <c r="N59" s="84">
        <f t="shared" ref="N59:N78" si="19">+J59</f>
        <v>0</v>
      </c>
      <c r="O59" s="102">
        <f t="shared" si="15"/>
        <v>0</v>
      </c>
      <c r="P59" s="118">
        <f t="shared" si="16"/>
        <v>0</v>
      </c>
      <c r="Q59" s="33">
        <f>+H59*Interest!$D$13</f>
        <v>0</v>
      </c>
      <c r="R59" s="119">
        <f t="shared" si="17"/>
        <v>0</v>
      </c>
    </row>
    <row r="60" spans="1:18" x14ac:dyDescent="0.25">
      <c r="A60" s="76" t="s">
        <v>210</v>
      </c>
      <c r="B60" s="154">
        <v>9981000</v>
      </c>
      <c r="C60" s="155">
        <f>+B60/B79</f>
        <v>0.11789590501490389</v>
      </c>
      <c r="D60" s="78">
        <v>0</v>
      </c>
      <c r="E60" s="156">
        <f>+D60*C51</f>
        <v>0</v>
      </c>
      <c r="F60" s="157">
        <v>0</v>
      </c>
      <c r="G60" s="156">
        <f>F60*C51</f>
        <v>0</v>
      </c>
      <c r="H60" s="159">
        <f t="shared" si="18"/>
        <v>0</v>
      </c>
      <c r="I60" s="186">
        <f t="shared" ref="I60:I78" si="20">+G60+E60</f>
        <v>0</v>
      </c>
      <c r="J60" s="185">
        <f t="shared" si="12"/>
        <v>0</v>
      </c>
      <c r="K60" s="102">
        <f t="shared" si="13"/>
        <v>0</v>
      </c>
      <c r="L60" s="84">
        <f>ROUND(J60*VLOOKUP(A60,'Actual Load'!$A$4:$B$37,2,FALSE)/VLOOKUP(A60,'Projected Zonal Load'!$A$4:$N$37,14,FALSE),0)</f>
        <v>0</v>
      </c>
      <c r="M60" s="102">
        <f t="shared" si="14"/>
        <v>0</v>
      </c>
      <c r="N60" s="84">
        <f t="shared" si="19"/>
        <v>0</v>
      </c>
      <c r="O60" s="102">
        <f t="shared" si="15"/>
        <v>0</v>
      </c>
      <c r="P60" s="118">
        <f t="shared" si="16"/>
        <v>0</v>
      </c>
      <c r="Q60" s="33">
        <f>+H60*Interest!$D$13</f>
        <v>0</v>
      </c>
      <c r="R60" s="119">
        <f t="shared" si="17"/>
        <v>0</v>
      </c>
    </row>
    <row r="61" spans="1:18" x14ac:dyDescent="0.25">
      <c r="A61" s="76" t="s">
        <v>211</v>
      </c>
      <c r="B61" s="154">
        <v>1028167</v>
      </c>
      <c r="C61" s="155">
        <f>+B61/B79</f>
        <v>1.2144742908672346E-2</v>
      </c>
      <c r="D61" s="78">
        <v>0</v>
      </c>
      <c r="E61" s="156">
        <f>+D61*C51</f>
        <v>0</v>
      </c>
      <c r="F61" s="157">
        <v>0</v>
      </c>
      <c r="G61" s="156">
        <f>F61*C51</f>
        <v>0</v>
      </c>
      <c r="H61" s="159">
        <f t="shared" si="18"/>
        <v>0</v>
      </c>
      <c r="I61" s="186">
        <f t="shared" si="20"/>
        <v>0</v>
      </c>
      <c r="J61" s="185">
        <f t="shared" si="12"/>
        <v>0</v>
      </c>
      <c r="K61" s="102">
        <f t="shared" si="13"/>
        <v>0</v>
      </c>
      <c r="L61" s="84">
        <f>ROUND(J61*VLOOKUP(A61,'Actual Load'!$A$4:$B$37,2,FALSE)/VLOOKUP(A61,'Projected Zonal Load'!$A$4:$N$37,14,FALSE),0)</f>
        <v>0</v>
      </c>
      <c r="M61" s="102">
        <f t="shared" si="14"/>
        <v>0</v>
      </c>
      <c r="N61" s="84">
        <f t="shared" si="19"/>
        <v>0</v>
      </c>
      <c r="O61" s="102">
        <f t="shared" si="15"/>
        <v>0</v>
      </c>
      <c r="P61" s="118">
        <f t="shared" si="16"/>
        <v>0</v>
      </c>
      <c r="Q61" s="33">
        <f>+H61*Interest!$D$13</f>
        <v>0</v>
      </c>
      <c r="R61" s="119">
        <f t="shared" si="17"/>
        <v>0</v>
      </c>
    </row>
    <row r="62" spans="1:18" x14ac:dyDescent="0.25">
      <c r="A62" s="76" t="s">
        <v>20</v>
      </c>
      <c r="B62" s="154">
        <v>2574417</v>
      </c>
      <c r="C62" s="155">
        <f>+B62/B79</f>
        <v>3.040909949912372E-2</v>
      </c>
      <c r="D62" s="78">
        <v>0</v>
      </c>
      <c r="E62" s="156">
        <f>+D62*C51</f>
        <v>0</v>
      </c>
      <c r="F62" s="157">
        <v>0</v>
      </c>
      <c r="G62" s="156">
        <f>F62*C51</f>
        <v>0</v>
      </c>
      <c r="H62" s="159">
        <f t="shared" si="18"/>
        <v>0</v>
      </c>
      <c r="I62" s="186">
        <f t="shared" si="20"/>
        <v>0</v>
      </c>
      <c r="J62" s="185">
        <f t="shared" si="12"/>
        <v>0</v>
      </c>
      <c r="K62" s="102">
        <f t="shared" si="13"/>
        <v>0</v>
      </c>
      <c r="L62" s="84">
        <f>ROUND(J62*VLOOKUP(A62,'Actual Load'!$A$4:$B$37,2,FALSE)/VLOOKUP(A62,'Projected Zonal Load'!$A$4:$N$37,14,FALSE),0)</f>
        <v>0</v>
      </c>
      <c r="M62" s="102">
        <f t="shared" si="14"/>
        <v>0</v>
      </c>
      <c r="N62" s="84">
        <f t="shared" si="19"/>
        <v>0</v>
      </c>
      <c r="O62" s="102">
        <f t="shared" si="15"/>
        <v>0</v>
      </c>
      <c r="P62" s="118">
        <f t="shared" si="16"/>
        <v>0</v>
      </c>
      <c r="Q62" s="33">
        <f>+H62*Interest!$D$13</f>
        <v>0</v>
      </c>
      <c r="R62" s="119">
        <f t="shared" si="17"/>
        <v>0</v>
      </c>
    </row>
    <row r="63" spans="1:18" x14ac:dyDescent="0.25">
      <c r="A63" s="76" t="s">
        <v>21</v>
      </c>
      <c r="B63" s="154">
        <v>2860240</v>
      </c>
      <c r="C63" s="155">
        <f>+B63/B79</f>
        <v>3.3785250311574866E-2</v>
      </c>
      <c r="D63" s="78">
        <v>0</v>
      </c>
      <c r="E63" s="156">
        <f>+D63*C51</f>
        <v>0</v>
      </c>
      <c r="F63" s="157">
        <v>0</v>
      </c>
      <c r="G63" s="156">
        <f>F63*C51</f>
        <v>0</v>
      </c>
      <c r="H63" s="159">
        <f t="shared" si="18"/>
        <v>0</v>
      </c>
      <c r="I63" s="186">
        <f t="shared" si="20"/>
        <v>0</v>
      </c>
      <c r="J63" s="185">
        <f t="shared" si="12"/>
        <v>0</v>
      </c>
      <c r="K63" s="102">
        <f t="shared" si="13"/>
        <v>0</v>
      </c>
      <c r="L63" s="84">
        <f>ROUND(J63*VLOOKUP(A63,'Actual Load'!$A$4:$B$37,2,FALSE)/VLOOKUP(A63,'Projected Zonal Load'!$A$4:$N$37,14,FALSE),0)</f>
        <v>0</v>
      </c>
      <c r="M63" s="102">
        <f t="shared" si="14"/>
        <v>0</v>
      </c>
      <c r="N63" s="84">
        <f t="shared" si="19"/>
        <v>0</v>
      </c>
      <c r="O63" s="102">
        <f t="shared" si="15"/>
        <v>0</v>
      </c>
      <c r="P63" s="118">
        <f t="shared" si="16"/>
        <v>0</v>
      </c>
      <c r="Q63" s="33">
        <f>+H63*Interest!$D$13</f>
        <v>0</v>
      </c>
      <c r="R63" s="119">
        <f t="shared" si="17"/>
        <v>0</v>
      </c>
    </row>
    <row r="64" spans="1:18" x14ac:dyDescent="0.25">
      <c r="A64" s="76" t="s">
        <v>22</v>
      </c>
      <c r="B64" s="154">
        <v>7116500</v>
      </c>
      <c r="C64" s="155">
        <f>+B64/B79</f>
        <v>8.4060335441194622E-2</v>
      </c>
      <c r="D64" s="78">
        <v>0</v>
      </c>
      <c r="E64" s="156">
        <f>+D64*C51</f>
        <v>0</v>
      </c>
      <c r="F64" s="157">
        <v>0</v>
      </c>
      <c r="G64" s="156">
        <f>F64*C51</f>
        <v>0</v>
      </c>
      <c r="H64" s="159">
        <f t="shared" si="18"/>
        <v>0</v>
      </c>
      <c r="I64" s="186">
        <f t="shared" si="20"/>
        <v>0</v>
      </c>
      <c r="J64" s="185">
        <f t="shared" si="12"/>
        <v>0</v>
      </c>
      <c r="K64" s="102">
        <f t="shared" si="13"/>
        <v>0</v>
      </c>
      <c r="L64" s="84">
        <f>ROUND(J64*'Actual Load'!$B$17/'Projected Zonal Load'!$N$17,0)</f>
        <v>0</v>
      </c>
      <c r="M64" s="102">
        <f t="shared" si="14"/>
        <v>0</v>
      </c>
      <c r="N64" s="84">
        <f>+J64</f>
        <v>0</v>
      </c>
      <c r="O64" s="102">
        <f>+M64-N64</f>
        <v>0</v>
      </c>
      <c r="P64" s="118">
        <f t="shared" si="16"/>
        <v>0</v>
      </c>
      <c r="Q64" s="33">
        <f>+H64*Interest!$D$13</f>
        <v>0</v>
      </c>
      <c r="R64" s="119">
        <f>+P64+Q64</f>
        <v>0</v>
      </c>
    </row>
    <row r="65" spans="1:18" x14ac:dyDescent="0.25">
      <c r="A65" s="76" t="s">
        <v>23</v>
      </c>
      <c r="B65" s="154">
        <v>9342000</v>
      </c>
      <c r="C65" s="155">
        <f>+B65/B79</f>
        <v>0.11034801569474323</v>
      </c>
      <c r="D65" s="78">
        <v>0</v>
      </c>
      <c r="E65" s="156">
        <f>+D65*C51</f>
        <v>0</v>
      </c>
      <c r="F65" s="157">
        <v>0</v>
      </c>
      <c r="G65" s="156">
        <f>F65*C51</f>
        <v>0</v>
      </c>
      <c r="H65" s="159">
        <f t="shared" si="18"/>
        <v>0</v>
      </c>
      <c r="I65" s="186">
        <f t="shared" si="20"/>
        <v>0</v>
      </c>
      <c r="J65" s="185">
        <f t="shared" si="12"/>
        <v>0</v>
      </c>
      <c r="K65" s="102">
        <f t="shared" ref="K65:K74" si="21">(I$84-M$84)*H65</f>
        <v>0</v>
      </c>
      <c r="L65" s="84">
        <f>ROUND(J65*VLOOKUP(A65,'Actual Load'!$A$4:$B$37,2,FALSE)/VLOOKUP(A65,'Projected Zonal Load'!$A$4:$N$37,14,FALSE),0)</f>
        <v>0</v>
      </c>
      <c r="M65" s="102">
        <f t="shared" si="14"/>
        <v>0</v>
      </c>
      <c r="N65" s="84">
        <f t="shared" si="19"/>
        <v>0</v>
      </c>
      <c r="O65" s="102">
        <f>+M65-N65</f>
        <v>0</v>
      </c>
      <c r="P65" s="118">
        <f t="shared" si="16"/>
        <v>0</v>
      </c>
      <c r="Q65" s="33">
        <f>+H65*Interest!$D$13</f>
        <v>0</v>
      </c>
      <c r="R65" s="119">
        <f>+P65+Q65</f>
        <v>0</v>
      </c>
    </row>
    <row r="66" spans="1:18" x14ac:dyDescent="0.25">
      <c r="A66" s="76" t="s">
        <v>24</v>
      </c>
      <c r="B66" s="154">
        <v>2939201</v>
      </c>
      <c r="C66" s="155">
        <f>+B66/B79</f>
        <v>3.4717940278099442E-2</v>
      </c>
      <c r="D66" s="78">
        <v>0</v>
      </c>
      <c r="E66" s="156">
        <f>+D66*C51</f>
        <v>0</v>
      </c>
      <c r="F66" s="157">
        <v>4.3912283358846955E-3</v>
      </c>
      <c r="G66" s="156">
        <f>F66*C51</f>
        <v>0</v>
      </c>
      <c r="H66" s="159">
        <f t="shared" si="18"/>
        <v>4.3912283358846955E-3</v>
      </c>
      <c r="I66" s="186">
        <f t="shared" si="20"/>
        <v>0</v>
      </c>
      <c r="J66" s="185">
        <f t="shared" si="12"/>
        <v>9592.904421567202</v>
      </c>
      <c r="K66" s="102">
        <f>(I$84-M$84)*H66</f>
        <v>485.98053639634969</v>
      </c>
      <c r="L66" s="84">
        <f>ROUND(J66*VLOOKUP(A66,'Actual Load'!$A$4:$B$37,2,FALSE)/VLOOKUP(A66,'Projected Zonal Load'!$A$4:$N$37,14,FALSE),0)</f>
        <v>9434</v>
      </c>
      <c r="M66" s="102">
        <f t="shared" si="14"/>
        <v>9876.6696842235106</v>
      </c>
      <c r="N66" s="84">
        <f t="shared" si="19"/>
        <v>9592.904421567202</v>
      </c>
      <c r="O66" s="102">
        <f>+M66-N66</f>
        <v>283.76526265630855</v>
      </c>
      <c r="P66" s="118">
        <f>+K66+O66</f>
        <v>769.74579905265819</v>
      </c>
      <c r="Q66" s="33">
        <f>+H66*Interest!$D$13</f>
        <v>39.171364826269588</v>
      </c>
      <c r="R66" s="119">
        <f t="shared" ref="R66:R73" si="22">+P66+Q66</f>
        <v>808.91716387892779</v>
      </c>
    </row>
    <row r="67" spans="1:18" x14ac:dyDescent="0.25">
      <c r="A67" s="76" t="s">
        <v>25</v>
      </c>
      <c r="B67" s="154">
        <v>207000</v>
      </c>
      <c r="C67" s="155">
        <f>+B67/B79</f>
        <v>2.4450909065309194E-3</v>
      </c>
      <c r="D67" s="78">
        <v>0</v>
      </c>
      <c r="E67" s="156">
        <f>+D67*C51</f>
        <v>0</v>
      </c>
      <c r="F67" s="157">
        <v>0</v>
      </c>
      <c r="G67" s="156">
        <f>F67*C51</f>
        <v>0</v>
      </c>
      <c r="H67" s="159">
        <f t="shared" si="18"/>
        <v>0</v>
      </c>
      <c r="I67" s="186">
        <f t="shared" si="20"/>
        <v>0</v>
      </c>
      <c r="J67" s="185">
        <f t="shared" si="12"/>
        <v>0</v>
      </c>
      <c r="K67" s="102">
        <f t="shared" si="21"/>
        <v>0</v>
      </c>
      <c r="L67" s="84">
        <f>ROUND(J67*VLOOKUP(A67,'Actual Load'!$A$4:$B$37,2,FALSE)/VLOOKUP(A67,'Projected Zonal Load'!$A$4:$N$37,14,FALSE),0)</f>
        <v>0</v>
      </c>
      <c r="M67" s="102">
        <f t="shared" si="14"/>
        <v>0</v>
      </c>
      <c r="N67" s="84">
        <f t="shared" si="19"/>
        <v>0</v>
      </c>
      <c r="O67" s="102">
        <f t="shared" ref="O67:O78" si="23">+M67-N67</f>
        <v>0</v>
      </c>
      <c r="P67" s="118">
        <f t="shared" si="16"/>
        <v>0</v>
      </c>
      <c r="Q67" s="33">
        <f>+H67*Interest!$D$13</f>
        <v>0</v>
      </c>
      <c r="R67" s="119">
        <f t="shared" si="22"/>
        <v>0</v>
      </c>
    </row>
    <row r="68" spans="1:18" x14ac:dyDescent="0.25">
      <c r="A68" s="76" t="s">
        <v>26</v>
      </c>
      <c r="B68" s="154">
        <v>7020707</v>
      </c>
      <c r="C68" s="155">
        <f>+B68/B79</f>
        <v>8.2928825329072323E-2</v>
      </c>
      <c r="D68" s="78">
        <v>0</v>
      </c>
      <c r="E68" s="156">
        <f>+D68*C51</f>
        <v>0</v>
      </c>
      <c r="F68" s="157">
        <v>0</v>
      </c>
      <c r="G68" s="156">
        <f>F68*C51</f>
        <v>0</v>
      </c>
      <c r="H68" s="159">
        <f t="shared" si="18"/>
        <v>0</v>
      </c>
      <c r="I68" s="186">
        <f t="shared" si="20"/>
        <v>0</v>
      </c>
      <c r="J68" s="185">
        <f t="shared" si="12"/>
        <v>0</v>
      </c>
      <c r="K68" s="102">
        <f t="shared" si="21"/>
        <v>0</v>
      </c>
      <c r="L68" s="84">
        <f>ROUND(J68*VLOOKUP(A68,'Actual Load'!$A$4:$B$37,2,FALSE)/VLOOKUP(A68,'Projected Zonal Load'!$A$4:$N$37,14,FALSE),0)</f>
        <v>0</v>
      </c>
      <c r="M68" s="102">
        <f t="shared" si="14"/>
        <v>0</v>
      </c>
      <c r="N68" s="84">
        <f t="shared" si="19"/>
        <v>0</v>
      </c>
      <c r="O68" s="102">
        <f t="shared" si="23"/>
        <v>0</v>
      </c>
      <c r="P68" s="118">
        <f t="shared" si="16"/>
        <v>0</v>
      </c>
      <c r="Q68" s="33">
        <f>+H68*Interest!$D$13</f>
        <v>0</v>
      </c>
      <c r="R68" s="119">
        <f t="shared" si="22"/>
        <v>0</v>
      </c>
    </row>
    <row r="69" spans="1:18" x14ac:dyDescent="0.25">
      <c r="A69" s="76" t="s">
        <v>27</v>
      </c>
      <c r="B69" s="154">
        <v>6927361</v>
      </c>
      <c r="C69" s="155">
        <f>+B69/B79</f>
        <v>8.1826219262593897E-2</v>
      </c>
      <c r="D69" s="78">
        <v>0</v>
      </c>
      <c r="E69" s="156">
        <f>+D69*C51</f>
        <v>0</v>
      </c>
      <c r="F69" s="157">
        <v>6.7668398231625273E-4</v>
      </c>
      <c r="G69" s="156">
        <f>F69*C51</f>
        <v>0</v>
      </c>
      <c r="H69" s="159">
        <f t="shared" si="18"/>
        <v>6.7668398231625273E-4</v>
      </c>
      <c r="I69" s="186">
        <f t="shared" si="20"/>
        <v>0</v>
      </c>
      <c r="J69" s="185">
        <f t="shared" si="12"/>
        <v>1478.2571684825575</v>
      </c>
      <c r="K69" s="102">
        <f t="shared" si="21"/>
        <v>74.889124304809442</v>
      </c>
      <c r="L69" s="84">
        <f>ROUND(J69*VLOOKUP(A69,'Actual Load'!$A$4:$B$37,2,FALSE)/VLOOKUP(A69,'Projected Zonal Load'!$A$4:$N$37,14,FALSE),0)</f>
        <v>1387</v>
      </c>
      <c r="M69" s="102">
        <f t="shared" si="14"/>
        <v>1452.081921986221</v>
      </c>
      <c r="N69" s="84">
        <f t="shared" si="19"/>
        <v>1478.2571684825575</v>
      </c>
      <c r="O69" s="102">
        <f t="shared" si="23"/>
        <v>-26.175246496336513</v>
      </c>
      <c r="P69" s="118">
        <f t="shared" si="16"/>
        <v>48.71387780847293</v>
      </c>
      <c r="Q69" s="33">
        <f>+H69*Interest!$D$13</f>
        <v>6.036268924299204</v>
      </c>
      <c r="R69" s="119">
        <f t="shared" si="22"/>
        <v>54.750146732772137</v>
      </c>
    </row>
    <row r="70" spans="1:18" x14ac:dyDescent="0.25">
      <c r="A70" s="76" t="s">
        <v>28</v>
      </c>
      <c r="B70" s="154">
        <v>325000</v>
      </c>
      <c r="C70" s="155">
        <f>+B70/B79</f>
        <v>3.8389108435871924E-3</v>
      </c>
      <c r="D70" s="78">
        <v>0</v>
      </c>
      <c r="E70" s="156">
        <f>+D70*C51</f>
        <v>0</v>
      </c>
      <c r="F70" s="157">
        <v>0</v>
      </c>
      <c r="G70" s="156">
        <f>F70*C51</f>
        <v>0</v>
      </c>
      <c r="H70" s="159">
        <f t="shared" si="18"/>
        <v>0</v>
      </c>
      <c r="I70" s="186">
        <f t="shared" si="20"/>
        <v>0</v>
      </c>
      <c r="J70" s="185">
        <f t="shared" si="12"/>
        <v>0</v>
      </c>
      <c r="K70" s="102">
        <f t="shared" si="21"/>
        <v>0</v>
      </c>
      <c r="L70" s="84">
        <f>ROUND(J70*VLOOKUP(A70,'Actual Load'!$A$4:$B$37,2,FALSE)/VLOOKUP(A70,'Projected Zonal Load'!$A$4:$N$37,14,FALSE),0)</f>
        <v>0</v>
      </c>
      <c r="M70" s="102">
        <f t="shared" si="14"/>
        <v>0</v>
      </c>
      <c r="N70" s="84">
        <f t="shared" si="19"/>
        <v>0</v>
      </c>
      <c r="O70" s="102">
        <f t="shared" si="23"/>
        <v>0</v>
      </c>
      <c r="P70" s="118">
        <f t="shared" si="16"/>
        <v>0</v>
      </c>
      <c r="Q70" s="33">
        <f>+H70*Interest!$D$13</f>
        <v>0</v>
      </c>
      <c r="R70" s="119">
        <f t="shared" si="22"/>
        <v>0</v>
      </c>
    </row>
    <row r="71" spans="1:18" x14ac:dyDescent="0.25">
      <c r="A71" s="76" t="s">
        <v>29</v>
      </c>
      <c r="B71" s="154">
        <v>343000</v>
      </c>
      <c r="C71" s="155">
        <f>+B71/B79</f>
        <v>4.0515274441550982E-3</v>
      </c>
      <c r="D71" s="78">
        <v>0</v>
      </c>
      <c r="E71" s="156">
        <f>+D71*C51</f>
        <v>0</v>
      </c>
      <c r="F71" s="157">
        <v>0</v>
      </c>
      <c r="G71" s="156">
        <f>F71*C51</f>
        <v>0</v>
      </c>
      <c r="H71" s="159">
        <f t="shared" si="18"/>
        <v>0</v>
      </c>
      <c r="I71" s="186">
        <f t="shared" si="20"/>
        <v>0</v>
      </c>
      <c r="J71" s="185">
        <f t="shared" si="12"/>
        <v>0</v>
      </c>
      <c r="K71" s="102">
        <f t="shared" si="21"/>
        <v>0</v>
      </c>
      <c r="L71" s="84">
        <f>ROUND(J71*VLOOKUP(A71,'Actual Load'!$A$4:$B$37,2,FALSE)/VLOOKUP(A71,'Projected Zonal Load'!$A$4:$N$37,14,FALSE),0)</f>
        <v>0</v>
      </c>
      <c r="M71" s="102">
        <f t="shared" si="14"/>
        <v>0</v>
      </c>
      <c r="N71" s="84">
        <f t="shared" si="19"/>
        <v>0</v>
      </c>
      <c r="O71" s="102">
        <f t="shared" si="23"/>
        <v>0</v>
      </c>
      <c r="P71" s="118">
        <f t="shared" si="16"/>
        <v>0</v>
      </c>
      <c r="Q71" s="33">
        <f>+H71*Interest!$D$13</f>
        <v>0</v>
      </c>
      <c r="R71" s="119">
        <f t="shared" si="22"/>
        <v>0</v>
      </c>
    </row>
    <row r="72" spans="1:18" x14ac:dyDescent="0.25">
      <c r="A72" s="76" t="s">
        <v>30</v>
      </c>
      <c r="B72" s="154">
        <v>10436523.5</v>
      </c>
      <c r="C72" s="155">
        <f>+B72/B79</f>
        <v>0.12327656379539248</v>
      </c>
      <c r="D72" s="78">
        <v>0</v>
      </c>
      <c r="E72" s="156">
        <f>+D72*C51</f>
        <v>0</v>
      </c>
      <c r="F72" s="157">
        <v>4.435759923690847E-2</v>
      </c>
      <c r="G72" s="156">
        <f>F72*C51</f>
        <v>0</v>
      </c>
      <c r="H72" s="159">
        <f t="shared" si="18"/>
        <v>4.435759923690847E-2</v>
      </c>
      <c r="I72" s="186">
        <f t="shared" si="20"/>
        <v>0</v>
      </c>
      <c r="J72" s="185">
        <f t="shared" si="12"/>
        <v>96901.863738797489</v>
      </c>
      <c r="K72" s="102">
        <f t="shared" si="21"/>
        <v>4909.0888064840383</v>
      </c>
      <c r="L72" s="84">
        <f>ROUND(J72*VLOOKUP(A72,'Actual Load'!$A$4:$B$37,2,FALSE)/VLOOKUP(A72,'Projected Zonal Load'!$A$4:$N$37,14,FALSE),0)</f>
        <v>94021</v>
      </c>
      <c r="M72" s="102">
        <f t="shared" si="14"/>
        <v>98432.728469406269</v>
      </c>
      <c r="N72" s="84">
        <f t="shared" si="19"/>
        <v>96901.863738797489</v>
      </c>
      <c r="O72" s="102">
        <f t="shared" si="23"/>
        <v>1530.8647306087805</v>
      </c>
      <c r="P72" s="118">
        <f t="shared" si="16"/>
        <v>6439.9535370928188</v>
      </c>
      <c r="Q72" s="33">
        <f>+H72*Interest!$D$13</f>
        <v>395.6860289699186</v>
      </c>
      <c r="R72" s="119">
        <f t="shared" si="22"/>
        <v>6835.6395660627377</v>
      </c>
    </row>
    <row r="73" spans="1:18" x14ac:dyDescent="0.25">
      <c r="A73" s="76" t="s">
        <v>31</v>
      </c>
      <c r="B73" s="154">
        <v>7856545</v>
      </c>
      <c r="C73" s="155">
        <f>+B73/B79</f>
        <v>9.2801771672709962E-2</v>
      </c>
      <c r="D73" s="78">
        <v>0</v>
      </c>
      <c r="E73" s="156">
        <f>+D73*C51</f>
        <v>0</v>
      </c>
      <c r="F73" s="157">
        <v>0.32427599438443122</v>
      </c>
      <c r="G73" s="156">
        <f>F73*C51</f>
        <v>0</v>
      </c>
      <c r="H73" s="159">
        <f t="shared" si="18"/>
        <v>0.32427599438443122</v>
      </c>
      <c r="I73" s="186">
        <f t="shared" si="20"/>
        <v>0</v>
      </c>
      <c r="J73" s="185">
        <f t="shared" si="12"/>
        <v>708400.5618468466</v>
      </c>
      <c r="K73" s="102">
        <f t="shared" si="21"/>
        <v>35887.867730215796</v>
      </c>
      <c r="L73" s="84">
        <f>ROUND(J73*VLOOKUP(A73,'Actual Load'!$A$4:$B$37,2,FALSE)/VLOOKUP(A73,'Projected Zonal Load'!$A$4:$N$37,14,FALSE),0)</f>
        <v>676730</v>
      </c>
      <c r="M73" s="102">
        <f t="shared" si="14"/>
        <v>708484.06565662252</v>
      </c>
      <c r="N73" s="84">
        <f t="shared" si="19"/>
        <v>708400.5618468466</v>
      </c>
      <c r="O73" s="102">
        <f t="shared" si="23"/>
        <v>83.50380977592431</v>
      </c>
      <c r="P73" s="118">
        <f t="shared" si="16"/>
        <v>35971.37153999172</v>
      </c>
      <c r="Q73" s="33">
        <f>+H73*Interest!$D$13</f>
        <v>2892.6606199526582</v>
      </c>
      <c r="R73" s="119">
        <f t="shared" si="22"/>
        <v>38864.032159944378</v>
      </c>
    </row>
    <row r="74" spans="1:18" x14ac:dyDescent="0.25">
      <c r="A74" s="76" t="s">
        <v>32</v>
      </c>
      <c r="B74" s="154">
        <v>1680898</v>
      </c>
      <c r="C74" s="155">
        <f>+B74/B79</f>
        <v>1.9854823258966228E-2</v>
      </c>
      <c r="D74" s="78">
        <v>0</v>
      </c>
      <c r="E74" s="156">
        <f>+D74*C51</f>
        <v>0</v>
      </c>
      <c r="F74" s="157">
        <v>0.25530380434705791</v>
      </c>
      <c r="G74" s="156">
        <f>F74*C51</f>
        <v>0</v>
      </c>
      <c r="H74" s="159">
        <f t="shared" si="18"/>
        <v>0.25530380434705791</v>
      </c>
      <c r="I74" s="186">
        <f t="shared" si="20"/>
        <v>0</v>
      </c>
      <c r="J74" s="185">
        <f t="shared" si="12"/>
        <v>557726.63278517523</v>
      </c>
      <c r="K74" s="102">
        <f t="shared" si="21"/>
        <v>28254.663681845443</v>
      </c>
      <c r="L74" s="84">
        <f>ROUND(J74*VLOOKUP(A74,'Actual Load'!$A$4:$B$37,2,FALSE)/VLOOKUP(A74,'Projected Zonal Load'!$A$4:$N$37,14,FALSE),0)</f>
        <v>519247</v>
      </c>
      <c r="M74" s="102">
        <f t="shared" si="14"/>
        <v>543611.52252745442</v>
      </c>
      <c r="N74" s="84">
        <f t="shared" si="19"/>
        <v>557726.63278517523</v>
      </c>
      <c r="O74" s="102">
        <f t="shared" si="23"/>
        <v>-14115.110257720808</v>
      </c>
      <c r="P74" s="118">
        <f t="shared" si="16"/>
        <v>14139.553424124635</v>
      </c>
      <c r="Q74" s="33">
        <f>+H74*Interest!$D$13</f>
        <v>2277.4034271662049</v>
      </c>
      <c r="R74" s="119">
        <f>+P74+Q74</f>
        <v>16416.956851290841</v>
      </c>
    </row>
    <row r="75" spans="1:18" x14ac:dyDescent="0.25">
      <c r="A75" s="76" t="s">
        <v>33</v>
      </c>
      <c r="B75" s="154">
        <v>255700</v>
      </c>
      <c r="C75" s="155">
        <f>+B75/B79</f>
        <v>3.020336931400754E-3</v>
      </c>
      <c r="D75" s="78">
        <v>0</v>
      </c>
      <c r="E75" s="156">
        <f>+D75*C51</f>
        <v>0</v>
      </c>
      <c r="F75" s="157">
        <v>0</v>
      </c>
      <c r="G75" s="156">
        <f>F75*C51</f>
        <v>0</v>
      </c>
      <c r="H75" s="159">
        <f t="shared" si="18"/>
        <v>0</v>
      </c>
      <c r="I75" s="186">
        <f t="shared" si="20"/>
        <v>0</v>
      </c>
      <c r="J75" s="185">
        <f t="shared" si="12"/>
        <v>0</v>
      </c>
      <c r="K75" s="102">
        <f>(I$84-M$84)*H75</f>
        <v>0</v>
      </c>
      <c r="L75" s="84">
        <f>ROUND(J75*VLOOKUP(A75,'Actual Load'!$A$4:$B$37,2,FALSE)/VLOOKUP(A75,'Projected Zonal Load'!$A$4:$N$37,14,FALSE),0)</f>
        <v>0</v>
      </c>
      <c r="M75" s="102">
        <f t="shared" si="14"/>
        <v>0</v>
      </c>
      <c r="N75" s="84">
        <f t="shared" si="19"/>
        <v>0</v>
      </c>
      <c r="O75" s="102">
        <f t="shared" si="23"/>
        <v>0</v>
      </c>
      <c r="P75" s="118">
        <f>+K75+O75</f>
        <v>0</v>
      </c>
      <c r="Q75" s="33">
        <f>+H75*Interest!$D$13</f>
        <v>0</v>
      </c>
      <c r="R75" s="119">
        <f>+P75+Q75</f>
        <v>0</v>
      </c>
    </row>
    <row r="76" spans="1:18" x14ac:dyDescent="0.25">
      <c r="A76" s="76" t="s">
        <v>34</v>
      </c>
      <c r="B76" s="154">
        <v>999226</v>
      </c>
      <c r="C76" s="155">
        <f>+B76/B79</f>
        <v>1.1802890851059249E-2</v>
      </c>
      <c r="D76" s="78">
        <v>0</v>
      </c>
      <c r="E76" s="156">
        <f>+D76*C51</f>
        <v>0</v>
      </c>
      <c r="F76" s="157">
        <v>1.8360834628091245E-2</v>
      </c>
      <c r="G76" s="156">
        <f>F76*C51</f>
        <v>0</v>
      </c>
      <c r="H76" s="159">
        <f t="shared" si="18"/>
        <v>1.8360834628091245E-2</v>
      </c>
      <c r="I76" s="186">
        <f t="shared" si="20"/>
        <v>0</v>
      </c>
      <c r="J76" s="185">
        <f t="shared" si="12"/>
        <v>40110.355967630465</v>
      </c>
      <c r="K76" s="102">
        <f>(I$84-M$84)*H76</f>
        <v>2032.0073516392872</v>
      </c>
      <c r="L76" s="84">
        <f>ROUND(J76*VLOOKUP(A76,'Actual Load'!$A$4:$B$37,2,FALSE)/VLOOKUP(A76,'Projected Zonal Load'!$A$4:$N$37,14,FALSE),0)</f>
        <v>38914</v>
      </c>
      <c r="M76" s="102">
        <f t="shared" si="14"/>
        <v>40739.953793923436</v>
      </c>
      <c r="N76" s="84">
        <f t="shared" si="19"/>
        <v>40110.355967630465</v>
      </c>
      <c r="O76" s="102">
        <f t="shared" si="23"/>
        <v>629.59782629297115</v>
      </c>
      <c r="P76" s="118">
        <f>+K76+O76</f>
        <v>2661.6051779322584</v>
      </c>
      <c r="Q76" s="33">
        <f>+H76*Interest!$D$13</f>
        <v>163.78536863008875</v>
      </c>
      <c r="R76" s="119">
        <f>+P76+Q76</f>
        <v>2825.390546562347</v>
      </c>
    </row>
    <row r="77" spans="1:18" x14ac:dyDescent="0.25">
      <c r="A77" s="76" t="s">
        <v>35</v>
      </c>
      <c r="B77" s="154">
        <v>700616</v>
      </c>
      <c r="C77" s="155">
        <f>+B77/B79</f>
        <v>8.2756995679713358E-3</v>
      </c>
      <c r="D77" s="78">
        <v>0</v>
      </c>
      <c r="E77" s="156">
        <f>+D77*C51</f>
        <v>0</v>
      </c>
      <c r="F77" s="157">
        <v>0.35252617645165396</v>
      </c>
      <c r="G77" s="156">
        <f>F77*C51</f>
        <v>0</v>
      </c>
      <c r="H77" s="159">
        <f t="shared" si="18"/>
        <v>0.35252617645165396</v>
      </c>
      <c r="I77" s="186">
        <f t="shared" si="20"/>
        <v>0</v>
      </c>
      <c r="J77" s="185">
        <f t="shared" si="12"/>
        <v>770114.79661986965</v>
      </c>
      <c r="K77" s="102">
        <f>(I$84-M$84)*H77</f>
        <v>39014.336586806799</v>
      </c>
      <c r="L77" s="84">
        <f>ROUND(J77*VLOOKUP(A77,'Actual Load'!$A$4:$B$37,2,FALSE)/VLOOKUP(A77,'Projected Zonal Load'!$A$4:$N$37,14,FALSE),0)</f>
        <v>769212</v>
      </c>
      <c r="M77" s="102">
        <f t="shared" si="14"/>
        <v>805305.5799386194</v>
      </c>
      <c r="N77" s="84">
        <f t="shared" si="19"/>
        <v>770114.79661986965</v>
      </c>
      <c r="O77" s="102">
        <f>+M77-N77</f>
        <v>35190.783318749745</v>
      </c>
      <c r="P77" s="118">
        <f>+K77+O77</f>
        <v>74205.119905556552</v>
      </c>
      <c r="Q77" s="33">
        <f>+H77*Interest!$D$13</f>
        <v>3144.6625892241505</v>
      </c>
      <c r="R77" s="119">
        <f>+P77+Q77</f>
        <v>77349.782494780709</v>
      </c>
    </row>
    <row r="78" spans="1:18" x14ac:dyDescent="0.25">
      <c r="A78" s="166" t="s">
        <v>36</v>
      </c>
      <c r="B78" s="154">
        <v>553279</v>
      </c>
      <c r="C78" s="155">
        <f>+B78/B79</f>
        <v>6.5353500080894715E-3</v>
      </c>
      <c r="D78" s="78">
        <v>0</v>
      </c>
      <c r="E78" s="156">
        <f>+D78*C51</f>
        <v>0</v>
      </c>
      <c r="F78" s="157">
        <v>1.0767863365624218E-4</v>
      </c>
      <c r="G78" s="167">
        <f>F78*C51</f>
        <v>0</v>
      </c>
      <c r="H78" s="168">
        <f>+D78+F78</f>
        <v>1.0767863365624218E-4</v>
      </c>
      <c r="I78" s="187">
        <f t="shared" si="20"/>
        <v>0</v>
      </c>
      <c r="J78" s="185">
        <f t="shared" si="12"/>
        <v>235.23050087559912</v>
      </c>
      <c r="K78" s="102">
        <f>(I$84-M$84)*H78</f>
        <v>11.916875220323472</v>
      </c>
      <c r="L78" s="84">
        <f>ROUND(J78*VLOOKUP(A78,'Actual Load'!$A$4:$B$37,2,FALSE)/VLOOKUP(A78,'Projected Zonal Load'!$A$4:$N$37,14,FALSE),0)</f>
        <v>234</v>
      </c>
      <c r="M78" s="102">
        <f t="shared" si="14"/>
        <v>244.97993492774026</v>
      </c>
      <c r="N78" s="84">
        <f t="shared" si="19"/>
        <v>235.23050087559912</v>
      </c>
      <c r="O78" s="102">
        <f t="shared" si="23"/>
        <v>9.7494340521411402</v>
      </c>
      <c r="P78" s="118">
        <f t="shared" si="16"/>
        <v>21.666309272464613</v>
      </c>
      <c r="Q78" s="33">
        <f>+H78*Interest!$D$13</f>
        <v>0.96053284418723228</v>
      </c>
      <c r="R78" s="119">
        <f>+P78+Q78</f>
        <v>22.626842116651844</v>
      </c>
    </row>
    <row r="79" spans="1:18" x14ac:dyDescent="0.25">
      <c r="A79" s="170"/>
      <c r="B79" s="171">
        <v>84659429</v>
      </c>
      <c r="C79" s="172">
        <f t="shared" ref="C79:I79" si="24">SUM(C58:C78)</f>
        <v>1.0000000000000002</v>
      </c>
      <c r="D79" s="173">
        <f t="shared" si="24"/>
        <v>0</v>
      </c>
      <c r="E79" s="174">
        <f t="shared" si="24"/>
        <v>0</v>
      </c>
      <c r="F79" s="175">
        <f t="shared" si="24"/>
        <v>1</v>
      </c>
      <c r="G79" s="174">
        <f t="shared" si="24"/>
        <v>0</v>
      </c>
      <c r="H79" s="176">
        <f t="shared" si="24"/>
        <v>1</v>
      </c>
      <c r="I79" s="177">
        <f t="shared" si="24"/>
        <v>0</v>
      </c>
      <c r="J79" s="188">
        <f t="shared" ref="J79:R79" si="25">SUM(J58:J78)</f>
        <v>2184560.6030492447</v>
      </c>
      <c r="K79" s="120">
        <f t="shared" si="25"/>
        <v>110670.75069291286</v>
      </c>
      <c r="L79" s="107">
        <f t="shared" si="25"/>
        <v>2109179</v>
      </c>
      <c r="M79" s="108">
        <f t="shared" si="25"/>
        <v>2208147.5819271631</v>
      </c>
      <c r="N79" s="107">
        <f t="shared" si="25"/>
        <v>2184560.6030492447</v>
      </c>
      <c r="O79" s="108">
        <f t="shared" si="25"/>
        <v>23586.978877918726</v>
      </c>
      <c r="P79" s="107">
        <f t="shared" si="25"/>
        <v>134257.72957083158</v>
      </c>
      <c r="Q79" s="107">
        <f t="shared" si="25"/>
        <v>8920.3662005377773</v>
      </c>
      <c r="R79" s="121">
        <f t="shared" si="25"/>
        <v>143178.09577136935</v>
      </c>
    </row>
    <row r="80" spans="1:18" x14ac:dyDescent="0.25">
      <c r="H80" s="189"/>
      <c r="I80" s="190"/>
    </row>
    <row r="81" spans="1:18" x14ac:dyDescent="0.25">
      <c r="O81" s="122"/>
      <c r="P81" s="122"/>
      <c r="Q81" s="122"/>
      <c r="R81" s="122"/>
    </row>
    <row r="82" spans="1:18" x14ac:dyDescent="0.25">
      <c r="H82" s="123" t="s">
        <v>175</v>
      </c>
      <c r="I82" s="191">
        <v>2422122.9857142298</v>
      </c>
      <c r="K82" s="124"/>
      <c r="L82" s="123" t="s">
        <v>178</v>
      </c>
      <c r="M82" s="191">
        <v>2311452.2350213169</v>
      </c>
      <c r="O82" s="81"/>
      <c r="P82" s="81"/>
      <c r="Q82" s="81"/>
      <c r="R82" s="81"/>
    </row>
    <row r="83" spans="1:18" x14ac:dyDescent="0.25">
      <c r="H83" s="83" t="s">
        <v>177</v>
      </c>
      <c r="I83" s="191">
        <v>-237562.38266498499</v>
      </c>
      <c r="K83" s="124"/>
      <c r="L83" s="83" t="s">
        <v>177</v>
      </c>
      <c r="M83" s="191">
        <v>-237562.38266498499</v>
      </c>
      <c r="O83" s="81"/>
      <c r="P83" s="81"/>
      <c r="Q83" s="81"/>
      <c r="R83" s="81"/>
    </row>
    <row r="84" spans="1:18" x14ac:dyDescent="0.25">
      <c r="H84" s="125" t="s">
        <v>176</v>
      </c>
      <c r="I84" s="192">
        <f>SUM(I82:I83)</f>
        <v>2184560.6030492447</v>
      </c>
      <c r="J84" s="126" t="s">
        <v>203</v>
      </c>
      <c r="K84" s="124"/>
      <c r="L84" s="125" t="s">
        <v>176</v>
      </c>
      <c r="M84" s="192">
        <f>SUM(M82:M83)</f>
        <v>2073889.8523563319</v>
      </c>
      <c r="O84" s="74" t="s">
        <v>132</v>
      </c>
      <c r="P84" s="81"/>
      <c r="Q84" s="81"/>
      <c r="R84" s="81"/>
    </row>
    <row r="85" spans="1:18" x14ac:dyDescent="0.25">
      <c r="I85" s="193"/>
      <c r="L85" s="84"/>
      <c r="O85" s="81"/>
      <c r="P85" s="81"/>
      <c r="Q85" s="81"/>
      <c r="R85" s="81"/>
    </row>
    <row r="89" spans="1:18" x14ac:dyDescent="0.25">
      <c r="A89" s="359" t="s">
        <v>0</v>
      </c>
      <c r="B89" s="360"/>
      <c r="C89" s="360" t="s">
        <v>62</v>
      </c>
      <c r="D89" s="360"/>
      <c r="E89" s="360"/>
      <c r="F89" s="360"/>
      <c r="G89" s="360"/>
      <c r="H89" s="361"/>
      <c r="I89" s="178"/>
    </row>
    <row r="90" spans="1:18" hidden="1" outlineLevel="1" x14ac:dyDescent="0.25">
      <c r="A90" s="179" t="s">
        <v>134</v>
      </c>
      <c r="B90" s="180"/>
      <c r="C90" s="181" t="s">
        <v>136</v>
      </c>
      <c r="D90" s="182"/>
      <c r="E90" s="182"/>
      <c r="F90" s="182"/>
      <c r="G90" s="182"/>
      <c r="H90" s="183"/>
      <c r="I90" s="178"/>
    </row>
    <row r="91" spans="1:18" collapsed="1" x14ac:dyDescent="0.25">
      <c r="A91" s="362" t="s">
        <v>2</v>
      </c>
      <c r="B91" s="363"/>
      <c r="C91" s="381" t="s">
        <v>63</v>
      </c>
      <c r="D91" s="382"/>
      <c r="E91" s="382"/>
      <c r="F91" s="382"/>
      <c r="G91" s="382"/>
      <c r="H91" s="383"/>
      <c r="I91" s="178"/>
    </row>
    <row r="92" spans="1:18" x14ac:dyDescent="0.25">
      <c r="A92" s="362" t="s">
        <v>4</v>
      </c>
      <c r="B92" s="363"/>
      <c r="C92" s="381" t="s">
        <v>64</v>
      </c>
      <c r="D92" s="382"/>
      <c r="E92" s="382"/>
      <c r="F92" s="382"/>
      <c r="G92" s="382"/>
      <c r="H92" s="383"/>
      <c r="I92" s="178"/>
    </row>
    <row r="93" spans="1:18" x14ac:dyDescent="0.25">
      <c r="A93" s="362" t="s">
        <v>6</v>
      </c>
      <c r="B93" s="363"/>
      <c r="C93" s="375">
        <v>0</v>
      </c>
      <c r="D93" s="376"/>
      <c r="E93" s="376"/>
      <c r="F93" s="376"/>
      <c r="G93" s="376"/>
      <c r="H93" s="377"/>
      <c r="I93" s="178"/>
      <c r="M93" s="111"/>
      <c r="O93" s="111" t="s">
        <v>43</v>
      </c>
      <c r="P93" s="111" t="s">
        <v>39</v>
      </c>
      <c r="R93" s="111" t="s">
        <v>44</v>
      </c>
    </row>
    <row r="94" spans="1:18" x14ac:dyDescent="0.25">
      <c r="A94" s="370" t="s">
        <v>7</v>
      </c>
      <c r="B94" s="371"/>
      <c r="C94" s="372" t="s">
        <v>65</v>
      </c>
      <c r="D94" s="373"/>
      <c r="E94" s="373"/>
      <c r="F94" s="373"/>
      <c r="G94" s="373"/>
      <c r="H94" s="374"/>
      <c r="I94" s="178"/>
      <c r="K94" s="111" t="s">
        <v>41</v>
      </c>
      <c r="L94" s="112" t="s">
        <v>42</v>
      </c>
      <c r="M94" s="113" t="s">
        <v>182</v>
      </c>
      <c r="N94" s="113" t="s">
        <v>38</v>
      </c>
      <c r="O94" s="113" t="s">
        <v>183</v>
      </c>
      <c r="P94" s="113" t="s">
        <v>184</v>
      </c>
      <c r="Q94" s="113" t="s">
        <v>40</v>
      </c>
      <c r="R94" s="113" t="s">
        <v>185</v>
      </c>
    </row>
    <row r="95" spans="1:18" x14ac:dyDescent="0.25">
      <c r="A95" s="134"/>
      <c r="B95" s="134"/>
      <c r="C95" s="134"/>
      <c r="D95" s="134"/>
      <c r="E95" s="134"/>
      <c r="F95" s="134"/>
      <c r="G95" s="134"/>
      <c r="H95" s="134"/>
      <c r="I95" s="134"/>
      <c r="K95" s="90"/>
      <c r="L95" s="351" t="s">
        <v>45</v>
      </c>
      <c r="M95" s="352"/>
      <c r="N95" s="352"/>
      <c r="O95" s="353"/>
      <c r="P95" s="91" t="s">
        <v>46</v>
      </c>
      <c r="Q95" s="90"/>
      <c r="R95" s="91" t="s">
        <v>47</v>
      </c>
    </row>
    <row r="96" spans="1:18" x14ac:dyDescent="0.25">
      <c r="A96" s="135"/>
      <c r="B96" s="136"/>
      <c r="C96" s="137"/>
      <c r="D96" s="354">
        <v>0.2</v>
      </c>
      <c r="E96" s="355"/>
      <c r="F96" s="354">
        <v>0.8</v>
      </c>
      <c r="G96" s="355"/>
      <c r="H96" s="138"/>
      <c r="I96" s="139"/>
      <c r="J96" s="140" t="s">
        <v>9</v>
      </c>
      <c r="K96" s="92" t="s">
        <v>48</v>
      </c>
      <c r="L96" s="351" t="s">
        <v>49</v>
      </c>
      <c r="M96" s="352"/>
      <c r="N96" s="93"/>
      <c r="O96" s="91" t="s">
        <v>50</v>
      </c>
      <c r="P96" s="92" t="s">
        <v>51</v>
      </c>
      <c r="Q96" s="94"/>
      <c r="R96" s="92" t="s">
        <v>52</v>
      </c>
    </row>
    <row r="97" spans="1:18" x14ac:dyDescent="0.25">
      <c r="A97" s="141"/>
      <c r="B97" s="142"/>
      <c r="C97" s="143"/>
      <c r="D97" s="356" t="s">
        <v>10</v>
      </c>
      <c r="E97" s="357"/>
      <c r="F97" s="356" t="s">
        <v>11</v>
      </c>
      <c r="G97" s="357"/>
      <c r="H97" s="356" t="s">
        <v>12</v>
      </c>
      <c r="I97" s="358"/>
      <c r="J97" s="144" t="s">
        <v>13</v>
      </c>
      <c r="K97" s="95" t="s">
        <v>53</v>
      </c>
      <c r="L97" s="96" t="s">
        <v>179</v>
      </c>
      <c r="M97" s="97" t="s">
        <v>180</v>
      </c>
      <c r="N97" s="98" t="s">
        <v>54</v>
      </c>
      <c r="O97" s="98" t="s">
        <v>53</v>
      </c>
      <c r="P97" s="98" t="s">
        <v>53</v>
      </c>
      <c r="Q97" s="98" t="s">
        <v>55</v>
      </c>
      <c r="R97" s="98" t="s">
        <v>56</v>
      </c>
    </row>
    <row r="98" spans="1:18" ht="45" x14ac:dyDescent="0.25">
      <c r="A98" s="145" t="s">
        <v>14</v>
      </c>
      <c r="B98" s="146" t="s">
        <v>15</v>
      </c>
      <c r="C98" s="147" t="s">
        <v>16</v>
      </c>
      <c r="D98" s="148" t="s">
        <v>17</v>
      </c>
      <c r="E98" s="149" t="s">
        <v>18</v>
      </c>
      <c r="F98" s="148" t="s">
        <v>17</v>
      </c>
      <c r="G98" s="149" t="s">
        <v>18</v>
      </c>
      <c r="H98" s="150" t="s">
        <v>17</v>
      </c>
      <c r="I98" s="151" t="s">
        <v>18</v>
      </c>
      <c r="J98" s="147" t="s">
        <v>18</v>
      </c>
      <c r="K98" s="152" t="s">
        <v>57</v>
      </c>
      <c r="L98" s="99"/>
      <c r="M98" s="100"/>
      <c r="N98" s="99"/>
      <c r="O98" s="152" t="s">
        <v>57</v>
      </c>
      <c r="P98" s="100"/>
      <c r="Q98" s="100"/>
      <c r="R98" s="153" t="s">
        <v>57</v>
      </c>
    </row>
    <row r="99" spans="1:18" x14ac:dyDescent="0.25">
      <c r="A99" s="75" t="s">
        <v>195</v>
      </c>
      <c r="B99" s="194">
        <v>10863833</v>
      </c>
      <c r="C99" s="155">
        <v>0.12875612876564577</v>
      </c>
      <c r="D99" s="78">
        <v>0</v>
      </c>
      <c r="E99" s="156">
        <v>0</v>
      </c>
      <c r="F99" s="157">
        <v>0</v>
      </c>
      <c r="G99" s="158">
        <v>0</v>
      </c>
      <c r="H99" s="159">
        <v>0</v>
      </c>
      <c r="I99" s="184">
        <v>0</v>
      </c>
      <c r="J99" s="185">
        <f>H99*I$125</f>
        <v>0</v>
      </c>
      <c r="K99" s="102">
        <f t="shared" ref="K99:K119" si="26">(I$125-M$125)*H99</f>
        <v>0</v>
      </c>
      <c r="L99" s="84">
        <f>ROUND(J99*VLOOKUP(A99,'Actual Load'!$A$4:$B$37,2,FALSE)/VLOOKUP(A99,'Projected Zonal Load'!$A$4:$N$37,14,FALSE),0)</f>
        <v>0</v>
      </c>
      <c r="M99" s="102">
        <f>IF(NOT(L$43=0),M$6*L99/L$43,0)</f>
        <v>0</v>
      </c>
      <c r="N99" s="84">
        <f>+J99</f>
        <v>0</v>
      </c>
      <c r="O99" s="102">
        <f t="shared" ref="O99:O105" si="27">+M99-N99</f>
        <v>0</v>
      </c>
      <c r="P99" s="102">
        <f t="shared" ref="P99:P119" si="28">+K99+O99</f>
        <v>0</v>
      </c>
      <c r="Q99" s="49">
        <f>+H99*Interest!$D$14</f>
        <v>0</v>
      </c>
      <c r="R99" s="127">
        <f t="shared" ref="R99:R105" si="29">+P99+Q99</f>
        <v>0</v>
      </c>
    </row>
    <row r="100" spans="1:18" x14ac:dyDescent="0.25">
      <c r="A100" s="76" t="s">
        <v>19</v>
      </c>
      <c r="B100" s="194">
        <v>514617</v>
      </c>
      <c r="C100" s="155">
        <v>6.0991449994666092E-3</v>
      </c>
      <c r="D100" s="78">
        <v>0</v>
      </c>
      <c r="E100" s="156">
        <v>0</v>
      </c>
      <c r="F100" s="157">
        <v>0</v>
      </c>
      <c r="G100" s="156">
        <v>0</v>
      </c>
      <c r="H100" s="159">
        <v>0</v>
      </c>
      <c r="I100" s="186">
        <v>0</v>
      </c>
      <c r="J100" s="185">
        <f t="shared" ref="J100:J119" si="30">H100*I$125</f>
        <v>0</v>
      </c>
      <c r="K100" s="102">
        <f t="shared" si="26"/>
        <v>0</v>
      </c>
      <c r="L100" s="84">
        <f>ROUND(J100*VLOOKUP(A100,'Actual Load'!$A$4:$B$37,2,FALSE)/VLOOKUP(A100,'Projected Zonal Load'!$A$4:$N$37,14,FALSE),0)</f>
        <v>0</v>
      </c>
      <c r="M100" s="102">
        <f t="shared" ref="M100:M119" si="31">IF(NOT(L$43=0),M$6*L100/L$43,0)</f>
        <v>0</v>
      </c>
      <c r="N100" s="84">
        <f t="shared" ref="N100:N119" si="32">+J100</f>
        <v>0</v>
      </c>
      <c r="O100" s="102">
        <f t="shared" si="27"/>
        <v>0</v>
      </c>
      <c r="P100" s="102">
        <f t="shared" si="28"/>
        <v>0</v>
      </c>
      <c r="Q100" s="49">
        <f>+H100*Interest!$D$14</f>
        <v>0</v>
      </c>
      <c r="R100" s="127">
        <f t="shared" si="29"/>
        <v>0</v>
      </c>
    </row>
    <row r="101" spans="1:18" x14ac:dyDescent="0.25">
      <c r="A101" s="76" t="s">
        <v>210</v>
      </c>
      <c r="B101" s="194">
        <v>9749272</v>
      </c>
      <c r="C101" s="155">
        <v>0.11554655902785922</v>
      </c>
      <c r="D101" s="78">
        <v>0</v>
      </c>
      <c r="E101" s="156">
        <v>0</v>
      </c>
      <c r="F101" s="157">
        <v>0</v>
      </c>
      <c r="G101" s="156">
        <v>0</v>
      </c>
      <c r="H101" s="159">
        <v>0</v>
      </c>
      <c r="I101" s="186">
        <v>0</v>
      </c>
      <c r="J101" s="185">
        <f t="shared" si="30"/>
        <v>0</v>
      </c>
      <c r="K101" s="102">
        <f t="shared" si="26"/>
        <v>0</v>
      </c>
      <c r="L101" s="84">
        <f>ROUND(J101*VLOOKUP(A101,'Actual Load'!$A$4:$B$37,2,FALSE)/VLOOKUP(A101,'Projected Zonal Load'!$A$4:$N$37,14,FALSE),0)</f>
        <v>0</v>
      </c>
      <c r="M101" s="102">
        <f t="shared" si="31"/>
        <v>0</v>
      </c>
      <c r="N101" s="84">
        <f t="shared" si="32"/>
        <v>0</v>
      </c>
      <c r="O101" s="102">
        <f t="shared" si="27"/>
        <v>0</v>
      </c>
      <c r="P101" s="102">
        <f t="shared" si="28"/>
        <v>0</v>
      </c>
      <c r="Q101" s="49">
        <f>+H101*Interest!$D$14</f>
        <v>0</v>
      </c>
      <c r="R101" s="127">
        <f t="shared" si="29"/>
        <v>0</v>
      </c>
    </row>
    <row r="102" spans="1:18" x14ac:dyDescent="0.25">
      <c r="A102" s="76" t="s">
        <v>211</v>
      </c>
      <c r="B102" s="194">
        <v>1003167</v>
      </c>
      <c r="C102" s="155">
        <v>1.1889348761661429E-2</v>
      </c>
      <c r="D102" s="78">
        <v>0</v>
      </c>
      <c r="E102" s="156">
        <v>0</v>
      </c>
      <c r="F102" s="157">
        <v>0</v>
      </c>
      <c r="G102" s="156">
        <v>0</v>
      </c>
      <c r="H102" s="159">
        <v>0</v>
      </c>
      <c r="I102" s="186">
        <v>0</v>
      </c>
      <c r="J102" s="185">
        <f t="shared" si="30"/>
        <v>0</v>
      </c>
      <c r="K102" s="102">
        <f t="shared" si="26"/>
        <v>0</v>
      </c>
      <c r="L102" s="84">
        <f>ROUND(J102*VLOOKUP(A102,'Actual Load'!$A$4:$B$37,2,FALSE)/VLOOKUP(A102,'Projected Zonal Load'!$A$4:$N$37,14,FALSE),0)</f>
        <v>0</v>
      </c>
      <c r="M102" s="102">
        <f t="shared" si="31"/>
        <v>0</v>
      </c>
      <c r="N102" s="84">
        <f t="shared" si="32"/>
        <v>0</v>
      </c>
      <c r="O102" s="102">
        <f t="shared" si="27"/>
        <v>0</v>
      </c>
      <c r="P102" s="102">
        <f t="shared" si="28"/>
        <v>0</v>
      </c>
      <c r="Q102" s="49">
        <f>+H102*Interest!$D$14</f>
        <v>0</v>
      </c>
      <c r="R102" s="127">
        <f t="shared" si="29"/>
        <v>0</v>
      </c>
    </row>
    <row r="103" spans="1:18" x14ac:dyDescent="0.25">
      <c r="A103" s="76" t="s">
        <v>20</v>
      </c>
      <c r="B103" s="194">
        <v>2478000</v>
      </c>
      <c r="C103" s="155">
        <v>2.9368795256818677E-2</v>
      </c>
      <c r="D103" s="78">
        <v>0</v>
      </c>
      <c r="E103" s="156">
        <v>0</v>
      </c>
      <c r="F103" s="157">
        <v>0</v>
      </c>
      <c r="G103" s="156">
        <v>0</v>
      </c>
      <c r="H103" s="159">
        <v>0</v>
      </c>
      <c r="I103" s="186">
        <v>0</v>
      </c>
      <c r="J103" s="185">
        <f t="shared" si="30"/>
        <v>0</v>
      </c>
      <c r="K103" s="102">
        <f t="shared" si="26"/>
        <v>0</v>
      </c>
      <c r="L103" s="84">
        <f>ROUND(J103*VLOOKUP(A103,'Actual Load'!$A$4:$B$37,2,FALSE)/VLOOKUP(A103,'Projected Zonal Load'!$A$4:$N$37,14,FALSE),0)</f>
        <v>0</v>
      </c>
      <c r="M103" s="102">
        <f t="shared" si="31"/>
        <v>0</v>
      </c>
      <c r="N103" s="84">
        <f t="shared" si="32"/>
        <v>0</v>
      </c>
      <c r="O103" s="102">
        <f t="shared" si="27"/>
        <v>0</v>
      </c>
      <c r="P103" s="102">
        <f t="shared" si="28"/>
        <v>0</v>
      </c>
      <c r="Q103" s="49">
        <f>+H103*Interest!$D$14</f>
        <v>0</v>
      </c>
      <c r="R103" s="127">
        <f t="shared" si="29"/>
        <v>0</v>
      </c>
    </row>
    <row r="104" spans="1:18" x14ac:dyDescent="0.25">
      <c r="A104" s="76" t="s">
        <v>21</v>
      </c>
      <c r="B104" s="194">
        <v>2875067</v>
      </c>
      <c r="C104" s="155">
        <v>3.4074759512766707E-2</v>
      </c>
      <c r="D104" s="78">
        <v>0</v>
      </c>
      <c r="E104" s="156">
        <v>0</v>
      </c>
      <c r="F104" s="157">
        <v>0</v>
      </c>
      <c r="G104" s="156">
        <v>0</v>
      </c>
      <c r="H104" s="159">
        <v>0</v>
      </c>
      <c r="I104" s="186">
        <v>0</v>
      </c>
      <c r="J104" s="185">
        <f t="shared" si="30"/>
        <v>0</v>
      </c>
      <c r="K104" s="102">
        <f t="shared" si="26"/>
        <v>0</v>
      </c>
      <c r="L104" s="84">
        <f>ROUND(J104*VLOOKUP(A104,'Actual Load'!$A$4:$B$37,2,FALSE)/VLOOKUP(A104,'Projected Zonal Load'!$A$4:$N$37,14,FALSE),0)</f>
        <v>0</v>
      </c>
      <c r="M104" s="102">
        <f t="shared" si="31"/>
        <v>0</v>
      </c>
      <c r="N104" s="84">
        <f t="shared" si="32"/>
        <v>0</v>
      </c>
      <c r="O104" s="102">
        <f t="shared" si="27"/>
        <v>0</v>
      </c>
      <c r="P104" s="102">
        <f t="shared" si="28"/>
        <v>0</v>
      </c>
      <c r="Q104" s="49">
        <f>+H104*Interest!$D$14</f>
        <v>0</v>
      </c>
      <c r="R104" s="127">
        <f t="shared" si="29"/>
        <v>0</v>
      </c>
    </row>
    <row r="105" spans="1:18" x14ac:dyDescent="0.25">
      <c r="A105" s="76" t="s">
        <v>22</v>
      </c>
      <c r="B105" s="194">
        <v>7116500</v>
      </c>
      <c r="C105" s="155">
        <v>8.434343480433823E-2</v>
      </c>
      <c r="D105" s="78">
        <v>0</v>
      </c>
      <c r="E105" s="156">
        <v>0</v>
      </c>
      <c r="F105" s="157">
        <v>0</v>
      </c>
      <c r="G105" s="156">
        <v>0</v>
      </c>
      <c r="H105" s="159">
        <v>0</v>
      </c>
      <c r="I105" s="186">
        <v>0</v>
      </c>
      <c r="J105" s="185">
        <f t="shared" si="30"/>
        <v>0</v>
      </c>
      <c r="K105" s="102">
        <f t="shared" si="26"/>
        <v>0</v>
      </c>
      <c r="L105" s="84">
        <f>ROUND(J105*'Actual Load'!$B$17/'Projected Zonal Load'!$N$17,0)</f>
        <v>0</v>
      </c>
      <c r="M105" s="102">
        <f t="shared" si="31"/>
        <v>0</v>
      </c>
      <c r="N105" s="84">
        <f t="shared" si="32"/>
        <v>0</v>
      </c>
      <c r="O105" s="102">
        <f t="shared" si="27"/>
        <v>0</v>
      </c>
      <c r="P105" s="102">
        <f t="shared" si="28"/>
        <v>0</v>
      </c>
      <c r="Q105" s="49">
        <f>+H105*Interest!$D$14</f>
        <v>0</v>
      </c>
      <c r="R105" s="127">
        <f t="shared" si="29"/>
        <v>0</v>
      </c>
    </row>
    <row r="106" spans="1:18" x14ac:dyDescent="0.25">
      <c r="A106" s="76" t="s">
        <v>23</v>
      </c>
      <c r="B106" s="194">
        <v>9342000</v>
      </c>
      <c r="C106" s="155">
        <v>0.11071964700936242</v>
      </c>
      <c r="D106" s="78">
        <v>0</v>
      </c>
      <c r="E106" s="156">
        <v>0</v>
      </c>
      <c r="F106" s="157">
        <v>0</v>
      </c>
      <c r="G106" s="156">
        <v>0</v>
      </c>
      <c r="H106" s="159">
        <v>0</v>
      </c>
      <c r="I106" s="186">
        <v>0</v>
      </c>
      <c r="J106" s="185">
        <f t="shared" si="30"/>
        <v>0</v>
      </c>
      <c r="K106" s="102">
        <f t="shared" si="26"/>
        <v>0</v>
      </c>
      <c r="L106" s="84">
        <f>ROUND(J106*VLOOKUP(A106,'Actual Load'!$A$4:$B$37,2,FALSE)/VLOOKUP(A106,'Projected Zonal Load'!$A$4:$N$37,14,FALSE),0)</f>
        <v>0</v>
      </c>
      <c r="M106" s="102">
        <f t="shared" si="31"/>
        <v>0</v>
      </c>
      <c r="N106" s="84">
        <f t="shared" si="32"/>
        <v>0</v>
      </c>
      <c r="O106" s="102">
        <f>+M106-N106</f>
        <v>0</v>
      </c>
      <c r="P106" s="102">
        <f t="shared" si="28"/>
        <v>0</v>
      </c>
      <c r="Q106" s="49">
        <f>+H106*Interest!$D$14</f>
        <v>0</v>
      </c>
      <c r="R106" s="127">
        <f>+P106+Q106</f>
        <v>0</v>
      </c>
    </row>
    <row r="107" spans="1:18" x14ac:dyDescent="0.25">
      <c r="A107" s="76" t="s">
        <v>24</v>
      </c>
      <c r="B107" s="194">
        <v>2919752</v>
      </c>
      <c r="C107" s="155">
        <v>3.460435782432883E-2</v>
      </c>
      <c r="D107" s="78">
        <v>0</v>
      </c>
      <c r="E107" s="156">
        <v>0</v>
      </c>
      <c r="F107" s="157">
        <v>0</v>
      </c>
      <c r="G107" s="156">
        <v>0</v>
      </c>
      <c r="H107" s="159">
        <v>0</v>
      </c>
      <c r="I107" s="186">
        <v>0</v>
      </c>
      <c r="J107" s="185">
        <f t="shared" si="30"/>
        <v>0</v>
      </c>
      <c r="K107" s="102">
        <f t="shared" si="26"/>
        <v>0</v>
      </c>
      <c r="L107" s="84">
        <f>ROUND(J107*VLOOKUP(A107,'Actual Load'!$A$4:$B$37,2,FALSE)/VLOOKUP(A107,'Projected Zonal Load'!$A$4:$N$37,14,FALSE),0)</f>
        <v>0</v>
      </c>
      <c r="M107" s="102">
        <f t="shared" si="31"/>
        <v>0</v>
      </c>
      <c r="N107" s="84">
        <f t="shared" si="32"/>
        <v>0</v>
      </c>
      <c r="O107" s="102">
        <f t="shared" ref="O107:O119" si="33">+M107-N107</f>
        <v>0</v>
      </c>
      <c r="P107" s="102">
        <f t="shared" si="28"/>
        <v>0</v>
      </c>
      <c r="Q107" s="49">
        <f>+H107*Interest!$D$14</f>
        <v>0</v>
      </c>
      <c r="R107" s="127">
        <f t="shared" ref="R107:R119" si="34">+P107+Q107</f>
        <v>0</v>
      </c>
    </row>
    <row r="108" spans="1:18" x14ac:dyDescent="0.25">
      <c r="A108" s="76" t="s">
        <v>25</v>
      </c>
      <c r="B108" s="194">
        <v>233000</v>
      </c>
      <c r="C108" s="155">
        <v>2.7614726774974787E-3</v>
      </c>
      <c r="D108" s="78">
        <v>0</v>
      </c>
      <c r="E108" s="156">
        <v>0</v>
      </c>
      <c r="F108" s="157">
        <v>0</v>
      </c>
      <c r="G108" s="156">
        <v>0</v>
      </c>
      <c r="H108" s="159">
        <v>0</v>
      </c>
      <c r="I108" s="186">
        <v>0</v>
      </c>
      <c r="J108" s="185">
        <f t="shared" si="30"/>
        <v>0</v>
      </c>
      <c r="K108" s="102">
        <f t="shared" si="26"/>
        <v>0</v>
      </c>
      <c r="L108" s="84">
        <f>ROUND(J108*VLOOKUP(A108,'Actual Load'!$A$4:$B$37,2,FALSE)/VLOOKUP(A108,'Projected Zonal Load'!$A$4:$N$37,14,FALSE),0)</f>
        <v>0</v>
      </c>
      <c r="M108" s="102">
        <f t="shared" si="31"/>
        <v>0</v>
      </c>
      <c r="N108" s="84">
        <f t="shared" si="32"/>
        <v>0</v>
      </c>
      <c r="O108" s="102">
        <f t="shared" si="33"/>
        <v>0</v>
      </c>
      <c r="P108" s="102">
        <f t="shared" si="28"/>
        <v>0</v>
      </c>
      <c r="Q108" s="49">
        <f>+H108*Interest!$D$14</f>
        <v>0</v>
      </c>
      <c r="R108" s="127">
        <f t="shared" si="34"/>
        <v>0</v>
      </c>
    </row>
    <row r="109" spans="1:18" x14ac:dyDescent="0.25">
      <c r="A109" s="76" t="s">
        <v>26</v>
      </c>
      <c r="B109" s="194">
        <v>7175167</v>
      </c>
      <c r="C109" s="155">
        <v>8.503874518017833E-2</v>
      </c>
      <c r="D109" s="78">
        <v>0</v>
      </c>
      <c r="E109" s="156">
        <v>0</v>
      </c>
      <c r="F109" s="157">
        <v>0</v>
      </c>
      <c r="G109" s="156">
        <v>0</v>
      </c>
      <c r="H109" s="159">
        <v>0</v>
      </c>
      <c r="I109" s="186">
        <v>0</v>
      </c>
      <c r="J109" s="185">
        <f t="shared" si="30"/>
        <v>0</v>
      </c>
      <c r="K109" s="102">
        <f t="shared" si="26"/>
        <v>0</v>
      </c>
      <c r="L109" s="84">
        <f>ROUND(J109*VLOOKUP(A109,'Actual Load'!$A$4:$B$37,2,FALSE)/VLOOKUP(A109,'Projected Zonal Load'!$A$4:$N$37,14,FALSE),0)</f>
        <v>0</v>
      </c>
      <c r="M109" s="102">
        <f t="shared" si="31"/>
        <v>0</v>
      </c>
      <c r="N109" s="84">
        <f t="shared" si="32"/>
        <v>0</v>
      </c>
      <c r="O109" s="102">
        <f t="shared" si="33"/>
        <v>0</v>
      </c>
      <c r="P109" s="102">
        <f t="shared" si="28"/>
        <v>0</v>
      </c>
      <c r="Q109" s="49">
        <f>+H109*Interest!$D$14</f>
        <v>0</v>
      </c>
      <c r="R109" s="127">
        <f t="shared" si="34"/>
        <v>0</v>
      </c>
    </row>
    <row r="110" spans="1:18" x14ac:dyDescent="0.25">
      <c r="A110" s="76" t="s">
        <v>27</v>
      </c>
      <c r="B110" s="194">
        <v>7011667</v>
      </c>
      <c r="C110" s="155">
        <v>8.3100973580303494E-2</v>
      </c>
      <c r="D110" s="78">
        <v>0</v>
      </c>
      <c r="E110" s="156">
        <v>0</v>
      </c>
      <c r="F110" s="157">
        <v>0</v>
      </c>
      <c r="G110" s="156">
        <v>0</v>
      </c>
      <c r="H110" s="159">
        <v>0</v>
      </c>
      <c r="I110" s="186">
        <v>0</v>
      </c>
      <c r="J110" s="185">
        <f t="shared" si="30"/>
        <v>0</v>
      </c>
      <c r="K110" s="102">
        <f t="shared" si="26"/>
        <v>0</v>
      </c>
      <c r="L110" s="84">
        <f>ROUND(J110*VLOOKUP(A110,'Actual Load'!$A$4:$B$37,2,FALSE)/VLOOKUP(A110,'Projected Zonal Load'!$A$4:$N$37,14,FALSE),0)</f>
        <v>0</v>
      </c>
      <c r="M110" s="102">
        <f t="shared" si="31"/>
        <v>0</v>
      </c>
      <c r="N110" s="84">
        <f t="shared" si="32"/>
        <v>0</v>
      </c>
      <c r="O110" s="102">
        <f t="shared" si="33"/>
        <v>0</v>
      </c>
      <c r="P110" s="102">
        <f t="shared" si="28"/>
        <v>0</v>
      </c>
      <c r="Q110" s="49">
        <f>+H110*Interest!$D$14</f>
        <v>0</v>
      </c>
      <c r="R110" s="127">
        <f t="shared" si="34"/>
        <v>0</v>
      </c>
    </row>
    <row r="111" spans="1:18" x14ac:dyDescent="0.25">
      <c r="A111" s="76" t="s">
        <v>28</v>
      </c>
      <c r="B111" s="194">
        <v>347000</v>
      </c>
      <c r="C111" s="155">
        <v>4.1125794810799362E-3</v>
      </c>
      <c r="D111" s="78">
        <v>0</v>
      </c>
      <c r="E111" s="156">
        <v>0</v>
      </c>
      <c r="F111" s="157">
        <v>0</v>
      </c>
      <c r="G111" s="156">
        <v>0</v>
      </c>
      <c r="H111" s="159">
        <v>0</v>
      </c>
      <c r="I111" s="186">
        <v>0</v>
      </c>
      <c r="J111" s="185">
        <f t="shared" si="30"/>
        <v>0</v>
      </c>
      <c r="K111" s="102">
        <f t="shared" si="26"/>
        <v>0</v>
      </c>
      <c r="L111" s="84">
        <f>ROUND(J111*VLOOKUP(A111,'Actual Load'!$A$4:$B$37,2,FALSE)/VLOOKUP(A111,'Projected Zonal Load'!$A$4:$N$37,14,FALSE),0)</f>
        <v>0</v>
      </c>
      <c r="M111" s="102">
        <f t="shared" si="31"/>
        <v>0</v>
      </c>
      <c r="N111" s="84">
        <f t="shared" si="32"/>
        <v>0</v>
      </c>
      <c r="O111" s="102">
        <f t="shared" si="33"/>
        <v>0</v>
      </c>
      <c r="P111" s="102">
        <f t="shared" si="28"/>
        <v>0</v>
      </c>
      <c r="Q111" s="49">
        <f>+H111*Interest!$D$14</f>
        <v>0</v>
      </c>
      <c r="R111" s="127">
        <f t="shared" si="34"/>
        <v>0</v>
      </c>
    </row>
    <row r="112" spans="1:18" x14ac:dyDescent="0.25">
      <c r="A112" s="76" t="s">
        <v>29</v>
      </c>
      <c r="B112" s="194">
        <v>344800</v>
      </c>
      <c r="C112" s="155">
        <v>4.086505490133608E-3</v>
      </c>
      <c r="D112" s="78">
        <v>0</v>
      </c>
      <c r="E112" s="156">
        <v>0</v>
      </c>
      <c r="F112" s="157">
        <v>0</v>
      </c>
      <c r="G112" s="156">
        <v>0</v>
      </c>
      <c r="H112" s="159">
        <v>0</v>
      </c>
      <c r="I112" s="186">
        <v>0</v>
      </c>
      <c r="J112" s="185">
        <f t="shared" si="30"/>
        <v>0</v>
      </c>
      <c r="K112" s="102">
        <f t="shared" si="26"/>
        <v>0</v>
      </c>
      <c r="L112" s="84">
        <f>ROUND(J112*VLOOKUP(A112,'Actual Load'!$A$4:$B$37,2,FALSE)/VLOOKUP(A112,'Projected Zonal Load'!$A$4:$N$37,14,FALSE),0)</f>
        <v>0</v>
      </c>
      <c r="M112" s="102">
        <f t="shared" si="31"/>
        <v>0</v>
      </c>
      <c r="N112" s="84">
        <f t="shared" si="32"/>
        <v>0</v>
      </c>
      <c r="O112" s="102">
        <f t="shared" si="33"/>
        <v>0</v>
      </c>
      <c r="P112" s="102">
        <f t="shared" si="28"/>
        <v>0</v>
      </c>
      <c r="Q112" s="49">
        <f>+H112*Interest!$D$14</f>
        <v>0</v>
      </c>
      <c r="R112" s="127">
        <f t="shared" si="34"/>
        <v>0</v>
      </c>
    </row>
    <row r="113" spans="1:18" x14ac:dyDescent="0.25">
      <c r="A113" s="76" t="s">
        <v>30</v>
      </c>
      <c r="B113" s="194">
        <v>10204042</v>
      </c>
      <c r="C113" s="155">
        <v>0.12093640851088723</v>
      </c>
      <c r="D113" s="78">
        <v>0</v>
      </c>
      <c r="E113" s="156">
        <v>0</v>
      </c>
      <c r="F113" s="157">
        <v>0</v>
      </c>
      <c r="G113" s="156">
        <v>0</v>
      </c>
      <c r="H113" s="159">
        <v>0</v>
      </c>
      <c r="I113" s="186">
        <v>0</v>
      </c>
      <c r="J113" s="185">
        <f t="shared" si="30"/>
        <v>0</v>
      </c>
      <c r="K113" s="102">
        <f t="shared" si="26"/>
        <v>0</v>
      </c>
      <c r="L113" s="84">
        <f>ROUND(J113*VLOOKUP(A113,'Actual Load'!$A$4:$B$37,2,FALSE)/VLOOKUP(A113,'Projected Zonal Load'!$A$4:$N$37,14,FALSE),0)</f>
        <v>0</v>
      </c>
      <c r="M113" s="102">
        <f t="shared" si="31"/>
        <v>0</v>
      </c>
      <c r="N113" s="84">
        <f t="shared" si="32"/>
        <v>0</v>
      </c>
      <c r="O113" s="102">
        <f t="shared" si="33"/>
        <v>0</v>
      </c>
      <c r="P113" s="102">
        <f t="shared" si="28"/>
        <v>0</v>
      </c>
      <c r="Q113" s="49">
        <f>+H113*Interest!$D$14</f>
        <v>0</v>
      </c>
      <c r="R113" s="127">
        <f t="shared" si="34"/>
        <v>0</v>
      </c>
    </row>
    <row r="114" spans="1:18" x14ac:dyDescent="0.25">
      <c r="A114" s="76" t="s">
        <v>31</v>
      </c>
      <c r="B114" s="194">
        <v>7973985</v>
      </c>
      <c r="C114" s="155">
        <v>9.4506187589161933E-2</v>
      </c>
      <c r="D114" s="78">
        <v>0</v>
      </c>
      <c r="E114" s="156">
        <v>0</v>
      </c>
      <c r="F114" s="157">
        <v>0.12010032038886412</v>
      </c>
      <c r="G114" s="156">
        <v>0</v>
      </c>
      <c r="H114" s="159">
        <v>0.12010032038886412</v>
      </c>
      <c r="I114" s="186">
        <v>0</v>
      </c>
      <c r="J114" s="185">
        <f t="shared" si="30"/>
        <v>129776.42562179464</v>
      </c>
      <c r="K114" s="102">
        <f t="shared" si="26"/>
        <v>4192.1195084652009</v>
      </c>
      <c r="L114" s="84">
        <f>ROUND(J114*VLOOKUP(A114,'Actual Load'!$A$4:$B$37,2,FALSE)/VLOOKUP(A114,'Projected Zonal Load'!$A$4:$N$37,14,FALSE),0)</f>
        <v>123974</v>
      </c>
      <c r="M114" s="102">
        <f>IF(NOT(L$43=0),M$6*L114/L$43,0)</f>
        <v>129791.20706295586</v>
      </c>
      <c r="N114" s="84">
        <f t="shared" si="32"/>
        <v>129776.42562179464</v>
      </c>
      <c r="O114" s="102">
        <f t="shared" si="33"/>
        <v>14.781441161219846</v>
      </c>
      <c r="P114" s="102">
        <f t="shared" si="28"/>
        <v>4206.9009496264207</v>
      </c>
      <c r="Q114" s="49">
        <f>+H114*Interest!$D$14</f>
        <v>157.17135867984086</v>
      </c>
      <c r="R114" s="127">
        <f t="shared" si="34"/>
        <v>4364.0723083062612</v>
      </c>
    </row>
    <row r="115" spans="1:18" x14ac:dyDescent="0.25">
      <c r="A115" s="76" t="s">
        <v>32</v>
      </c>
      <c r="B115" s="194">
        <v>1689225</v>
      </c>
      <c r="C115" s="155">
        <v>2.0020380616505056E-2</v>
      </c>
      <c r="D115" s="78">
        <v>0</v>
      </c>
      <c r="E115" s="156">
        <v>0</v>
      </c>
      <c r="F115" s="157">
        <v>0.76342606698478377</v>
      </c>
      <c r="G115" s="156">
        <v>0</v>
      </c>
      <c r="H115" s="159">
        <v>0.76342606698478377</v>
      </c>
      <c r="I115" s="186">
        <v>0</v>
      </c>
      <c r="J115" s="185">
        <f t="shared" si="30"/>
        <v>824932.90508304385</v>
      </c>
      <c r="K115" s="102">
        <f t="shared" si="26"/>
        <v>26647.500175815658</v>
      </c>
      <c r="L115" s="84">
        <f>ROUND(J115*VLOOKUP(A115,'Actual Load'!$A$4:$B$37,2,FALSE)/VLOOKUP(A115,'Projected Zonal Load'!$A$4:$N$37,14,FALSE),0)</f>
        <v>768017</v>
      </c>
      <c r="M115" s="102">
        <f t="shared" si="31"/>
        <v>804054.50719400984</v>
      </c>
      <c r="N115" s="84">
        <f t="shared" si="32"/>
        <v>824932.90508304385</v>
      </c>
      <c r="O115" s="102">
        <f t="shared" si="33"/>
        <v>-20878.397889034008</v>
      </c>
      <c r="P115" s="102">
        <f t="shared" si="28"/>
        <v>5769.10228678165</v>
      </c>
      <c r="Q115" s="49">
        <f>+H115*Interest!$D$14</f>
        <v>999.07070864676234</v>
      </c>
      <c r="R115" s="127">
        <f t="shared" si="34"/>
        <v>6768.1729954284128</v>
      </c>
    </row>
    <row r="116" spans="1:18" x14ac:dyDescent="0.25">
      <c r="A116" s="76" t="s">
        <v>33</v>
      </c>
      <c r="B116" s="194">
        <v>253610</v>
      </c>
      <c r="C116" s="155">
        <v>3.005738565408307E-3</v>
      </c>
      <c r="D116" s="78">
        <v>0</v>
      </c>
      <c r="E116" s="156">
        <v>0</v>
      </c>
      <c r="F116" s="157">
        <v>0</v>
      </c>
      <c r="G116" s="156">
        <v>0</v>
      </c>
      <c r="H116" s="159">
        <v>0</v>
      </c>
      <c r="I116" s="186">
        <v>0</v>
      </c>
      <c r="J116" s="185">
        <f t="shared" si="30"/>
        <v>0</v>
      </c>
      <c r="K116" s="102">
        <f t="shared" si="26"/>
        <v>0</v>
      </c>
      <c r="L116" s="84">
        <f>ROUND(J116*VLOOKUP(A116,'Actual Load'!$A$4:$B$37,2,FALSE)/VLOOKUP(A116,'Projected Zonal Load'!$A$4:$N$37,14,FALSE),0)</f>
        <v>0</v>
      </c>
      <c r="M116" s="102">
        <f t="shared" si="31"/>
        <v>0</v>
      </c>
      <c r="N116" s="84">
        <f t="shared" si="32"/>
        <v>0</v>
      </c>
      <c r="O116" s="102">
        <f t="shared" si="33"/>
        <v>0</v>
      </c>
      <c r="P116" s="102">
        <f t="shared" si="28"/>
        <v>0</v>
      </c>
      <c r="Q116" s="49">
        <f>+H116*Interest!$D$14</f>
        <v>0</v>
      </c>
      <c r="R116" s="127">
        <f t="shared" si="34"/>
        <v>0</v>
      </c>
    </row>
    <row r="117" spans="1:18" x14ac:dyDescent="0.25">
      <c r="A117" s="76" t="s">
        <v>34</v>
      </c>
      <c r="B117" s="194">
        <v>993648</v>
      </c>
      <c r="C117" s="155">
        <v>1.1776531343562295E-2</v>
      </c>
      <c r="D117" s="78">
        <v>0</v>
      </c>
      <c r="E117" s="156">
        <v>0</v>
      </c>
      <c r="F117" s="157">
        <v>2.9468168544088706E-3</v>
      </c>
      <c r="G117" s="156">
        <v>0</v>
      </c>
      <c r="H117" s="159">
        <v>2.9468168544088706E-3</v>
      </c>
      <c r="I117" s="186">
        <v>0</v>
      </c>
      <c r="J117" s="185">
        <f t="shared" si="30"/>
        <v>3184.2326239348058</v>
      </c>
      <c r="K117" s="102">
        <f t="shared" si="26"/>
        <v>102.85907966975674</v>
      </c>
      <c r="L117" s="84">
        <f>ROUND(J117*VLOOKUP(A117,'Actual Load'!$A$4:$B$37,2,FALSE)/VLOOKUP(A117,'Projected Zonal Load'!$A$4:$N$37,14,FALSE),0)</f>
        <v>3089</v>
      </c>
      <c r="M117" s="102">
        <f t="shared" si="31"/>
        <v>3233.9445256059389</v>
      </c>
      <c r="N117" s="84">
        <f t="shared" si="32"/>
        <v>3184.2326239348058</v>
      </c>
      <c r="O117" s="102">
        <f t="shared" si="33"/>
        <v>49.711901671133091</v>
      </c>
      <c r="P117" s="102">
        <f>+K117+O117</f>
        <v>152.57098134088983</v>
      </c>
      <c r="Q117" s="49">
        <f>+H117*Interest!$D$14</f>
        <v>3.8564027746843665</v>
      </c>
      <c r="R117" s="127">
        <f t="shared" si="34"/>
        <v>156.4273841155742</v>
      </c>
    </row>
    <row r="118" spans="1:18" x14ac:dyDescent="0.25">
      <c r="A118" s="76" t="s">
        <v>35</v>
      </c>
      <c r="B118" s="194">
        <v>709020</v>
      </c>
      <c r="C118" s="155">
        <v>8.4031732094388932E-3</v>
      </c>
      <c r="D118" s="78">
        <v>0</v>
      </c>
      <c r="E118" s="156">
        <v>0</v>
      </c>
      <c r="F118" s="157">
        <v>0.1135267957719433</v>
      </c>
      <c r="G118" s="156">
        <v>0</v>
      </c>
      <c r="H118" s="159">
        <v>0.1135267957719433</v>
      </c>
      <c r="I118" s="186">
        <v>0</v>
      </c>
      <c r="J118" s="185">
        <f t="shared" si="30"/>
        <v>122673.29279285041</v>
      </c>
      <c r="K118" s="102">
        <f t="shared" si="26"/>
        <v>3962.6696560689279</v>
      </c>
      <c r="L118" s="84">
        <f>ROUND(J118*VLOOKUP(A118,'Actual Load'!$A$4:$B$37,2,FALSE)/VLOOKUP(A118,'Projected Zonal Load'!$A$4:$N$37,14,FALSE),0)</f>
        <v>122529</v>
      </c>
      <c r="M118" s="102">
        <f t="shared" si="31"/>
        <v>128278.40361863712</v>
      </c>
      <c r="N118" s="84">
        <f t="shared" si="32"/>
        <v>122673.29279285041</v>
      </c>
      <c r="O118" s="102">
        <f t="shared" si="33"/>
        <v>5605.1108257867163</v>
      </c>
      <c r="P118" s="118">
        <f>+K118+O118</f>
        <v>9567.7804818556433</v>
      </c>
      <c r="Q118" s="49">
        <f>+H118*Interest!$D$14</f>
        <v>148.56880215033621</v>
      </c>
      <c r="R118" s="127">
        <f t="shared" si="34"/>
        <v>9716.3492840059789</v>
      </c>
    </row>
    <row r="119" spans="1:18" x14ac:dyDescent="0.25">
      <c r="A119" s="166" t="s">
        <v>36</v>
      </c>
      <c r="B119" s="194">
        <v>577897</v>
      </c>
      <c r="C119" s="155">
        <v>6.8491277935955382E-3</v>
      </c>
      <c r="D119" s="78">
        <v>0</v>
      </c>
      <c r="E119" s="156">
        <v>0</v>
      </c>
      <c r="F119" s="157">
        <v>0</v>
      </c>
      <c r="G119" s="167">
        <v>0</v>
      </c>
      <c r="H119" s="168">
        <v>0</v>
      </c>
      <c r="I119" s="187">
        <v>0</v>
      </c>
      <c r="J119" s="185">
        <f t="shared" si="30"/>
        <v>0</v>
      </c>
      <c r="K119" s="102">
        <f t="shared" si="26"/>
        <v>0</v>
      </c>
      <c r="L119" s="84">
        <f>ROUND(J119*VLOOKUP(A119,'Actual Load'!$A$4:$B$37,2,FALSE)/VLOOKUP(A119,'Projected Zonal Load'!$A$4:$N$37,14,FALSE),0)</f>
        <v>0</v>
      </c>
      <c r="M119" s="102">
        <f t="shared" si="31"/>
        <v>0</v>
      </c>
      <c r="N119" s="84">
        <f t="shared" si="32"/>
        <v>0</v>
      </c>
      <c r="O119" s="102">
        <f t="shared" si="33"/>
        <v>0</v>
      </c>
      <c r="P119" s="102">
        <f t="shared" si="28"/>
        <v>0</v>
      </c>
      <c r="Q119" s="49">
        <f>+H119*Interest!$D$14</f>
        <v>0</v>
      </c>
      <c r="R119" s="127">
        <f t="shared" si="34"/>
        <v>0</v>
      </c>
    </row>
    <row r="120" spans="1:18" x14ac:dyDescent="0.25">
      <c r="A120" s="170"/>
      <c r="B120" s="171">
        <v>84375269</v>
      </c>
      <c r="C120" s="172">
        <v>1</v>
      </c>
      <c r="D120" s="173">
        <v>0</v>
      </c>
      <c r="E120" s="174">
        <v>0</v>
      </c>
      <c r="F120" s="175">
        <v>1</v>
      </c>
      <c r="G120" s="174">
        <v>0</v>
      </c>
      <c r="H120" s="176">
        <v>1</v>
      </c>
      <c r="I120" s="177">
        <v>0</v>
      </c>
      <c r="J120" s="188">
        <f>SUM(J99:J119)</f>
        <v>1080566.8561216239</v>
      </c>
      <c r="K120" s="120">
        <f>SUM(K99:K119)</f>
        <v>34905.148420019541</v>
      </c>
      <c r="L120" s="107">
        <f t="shared" ref="L120:R120" si="35">SUM(L99:L119)</f>
        <v>1017609</v>
      </c>
      <c r="M120" s="108">
        <f t="shared" si="35"/>
        <v>1065358.0624012086</v>
      </c>
      <c r="N120" s="107">
        <f t="shared" si="35"/>
        <v>1080566.8561216239</v>
      </c>
      <c r="O120" s="108">
        <f t="shared" si="35"/>
        <v>-15208.793720414938</v>
      </c>
      <c r="P120" s="108">
        <f>SUM(P99:P119)</f>
        <v>19696.354699604606</v>
      </c>
      <c r="Q120" s="108">
        <f t="shared" si="35"/>
        <v>1308.6672722516239</v>
      </c>
      <c r="R120" s="128">
        <f t="shared" si="35"/>
        <v>21005.021971856229</v>
      </c>
    </row>
    <row r="121" spans="1:18" x14ac:dyDescent="0.25">
      <c r="H121" s="189"/>
      <c r="I121" s="190"/>
    </row>
    <row r="123" spans="1:18" x14ac:dyDescent="0.25">
      <c r="H123" s="123" t="s">
        <v>175</v>
      </c>
      <c r="I123" s="191">
        <v>1031927.502542836</v>
      </c>
      <c r="K123" s="124"/>
      <c r="L123" s="123" t="s">
        <v>178</v>
      </c>
      <c r="M123" s="191">
        <v>997022.35412281647</v>
      </c>
      <c r="O123" s="124"/>
      <c r="P123" s="124"/>
      <c r="Q123" s="124"/>
      <c r="R123" s="124"/>
    </row>
    <row r="124" spans="1:18" x14ac:dyDescent="0.25">
      <c r="H124" s="83" t="s">
        <v>177</v>
      </c>
      <c r="I124" s="191">
        <v>48639.353578787603</v>
      </c>
      <c r="K124" s="124"/>
      <c r="L124" s="83" t="s">
        <v>177</v>
      </c>
      <c r="M124" s="191">
        <v>48639.353578787603</v>
      </c>
      <c r="O124" s="124"/>
      <c r="P124" s="124"/>
      <c r="Q124" s="124"/>
      <c r="R124" s="124"/>
    </row>
    <row r="125" spans="1:18" x14ac:dyDescent="0.25">
      <c r="G125" s="124"/>
      <c r="H125" s="125" t="s">
        <v>176</v>
      </c>
      <c r="I125" s="192">
        <f>SUM(I123:I124)</f>
        <v>1080566.8561216237</v>
      </c>
      <c r="J125" s="126" t="s">
        <v>132</v>
      </c>
      <c r="K125" s="129"/>
      <c r="L125" s="125" t="s">
        <v>176</v>
      </c>
      <c r="M125" s="192">
        <f>SUM(M123:M124)</f>
        <v>1045661.7077016041</v>
      </c>
      <c r="O125" s="129" t="s">
        <v>132</v>
      </c>
      <c r="P125" s="124"/>
      <c r="Q125" s="124"/>
      <c r="R125" s="124"/>
    </row>
    <row r="126" spans="1:18" x14ac:dyDescent="0.25">
      <c r="I126" s="195"/>
    </row>
    <row r="128" spans="1:18" x14ac:dyDescent="0.25">
      <c r="A128" s="359" t="s">
        <v>0</v>
      </c>
      <c r="B128" s="360"/>
      <c r="C128" s="360" t="s">
        <v>66</v>
      </c>
      <c r="D128" s="360"/>
      <c r="E128" s="360"/>
      <c r="F128" s="360"/>
      <c r="G128" s="360"/>
      <c r="H128" s="361"/>
      <c r="I128" s="178"/>
    </row>
    <row r="129" spans="1:18" hidden="1" outlineLevel="1" x14ac:dyDescent="0.25">
      <c r="A129" s="179" t="s">
        <v>134</v>
      </c>
      <c r="B129" s="180"/>
      <c r="C129" s="196" t="s">
        <v>139</v>
      </c>
      <c r="D129" s="180"/>
      <c r="E129" s="180"/>
      <c r="F129" s="180"/>
      <c r="G129" s="180"/>
      <c r="H129" s="197"/>
      <c r="I129" s="178"/>
    </row>
    <row r="130" spans="1:18" collapsed="1" x14ac:dyDescent="0.25">
      <c r="A130" s="362" t="s">
        <v>2</v>
      </c>
      <c r="B130" s="363"/>
      <c r="C130" s="409" t="s">
        <v>67</v>
      </c>
      <c r="D130" s="409"/>
      <c r="E130" s="409"/>
      <c r="F130" s="409"/>
      <c r="G130" s="409"/>
      <c r="H130" s="410"/>
      <c r="I130" s="178"/>
    </row>
    <row r="131" spans="1:18" x14ac:dyDescent="0.25">
      <c r="A131" s="362" t="s">
        <v>4</v>
      </c>
      <c r="B131" s="363"/>
      <c r="C131" s="402" t="s">
        <v>68</v>
      </c>
      <c r="D131" s="402"/>
      <c r="E131" s="402"/>
      <c r="F131" s="402"/>
      <c r="G131" s="402"/>
      <c r="H131" s="403"/>
      <c r="I131" s="178"/>
    </row>
    <row r="132" spans="1:18" x14ac:dyDescent="0.25">
      <c r="A132" s="362" t="s">
        <v>6</v>
      </c>
      <c r="B132" s="363"/>
      <c r="C132" s="375">
        <v>0</v>
      </c>
      <c r="D132" s="376"/>
      <c r="E132" s="376"/>
      <c r="F132" s="376"/>
      <c r="G132" s="376"/>
      <c r="H132" s="377"/>
      <c r="I132" s="178"/>
      <c r="M132" s="111"/>
      <c r="O132" s="111" t="s">
        <v>43</v>
      </c>
      <c r="P132" s="111" t="s">
        <v>39</v>
      </c>
      <c r="R132" s="111" t="s">
        <v>44</v>
      </c>
    </row>
    <row r="133" spans="1:18" x14ac:dyDescent="0.25">
      <c r="A133" s="370" t="s">
        <v>7</v>
      </c>
      <c r="B133" s="371"/>
      <c r="C133" s="407" t="s">
        <v>8</v>
      </c>
      <c r="D133" s="407"/>
      <c r="E133" s="407"/>
      <c r="F133" s="407"/>
      <c r="G133" s="407"/>
      <c r="H133" s="408"/>
      <c r="I133" s="178"/>
      <c r="K133" s="111" t="s">
        <v>41</v>
      </c>
      <c r="L133" s="112" t="s">
        <v>42</v>
      </c>
      <c r="M133" s="113" t="s">
        <v>182</v>
      </c>
      <c r="N133" s="113" t="s">
        <v>38</v>
      </c>
      <c r="O133" s="113" t="s">
        <v>183</v>
      </c>
      <c r="P133" s="113" t="s">
        <v>184</v>
      </c>
      <c r="Q133" s="113" t="s">
        <v>40</v>
      </c>
      <c r="R133" s="113" t="s">
        <v>185</v>
      </c>
    </row>
    <row r="134" spans="1:18" x14ac:dyDescent="0.25">
      <c r="A134" s="134"/>
      <c r="B134" s="134"/>
      <c r="C134" s="134"/>
      <c r="D134" s="134"/>
      <c r="E134" s="134"/>
      <c r="F134" s="134"/>
      <c r="G134" s="134"/>
      <c r="H134" s="134"/>
      <c r="I134" s="134"/>
      <c r="K134" s="90"/>
      <c r="L134" s="351" t="s">
        <v>45</v>
      </c>
      <c r="M134" s="352"/>
      <c r="N134" s="352"/>
      <c r="O134" s="353"/>
      <c r="P134" s="91" t="s">
        <v>46</v>
      </c>
      <c r="Q134" s="90"/>
      <c r="R134" s="91" t="s">
        <v>47</v>
      </c>
    </row>
    <row r="135" spans="1:18" x14ac:dyDescent="0.25">
      <c r="A135" s="135"/>
      <c r="B135" s="136"/>
      <c r="C135" s="137"/>
      <c r="D135" s="354">
        <v>0</v>
      </c>
      <c r="E135" s="355"/>
      <c r="F135" s="354">
        <v>1</v>
      </c>
      <c r="G135" s="355"/>
      <c r="H135" s="138"/>
      <c r="I135" s="139"/>
      <c r="J135" s="140" t="s">
        <v>9</v>
      </c>
      <c r="K135" s="92" t="s">
        <v>48</v>
      </c>
      <c r="L135" s="351" t="s">
        <v>49</v>
      </c>
      <c r="M135" s="352"/>
      <c r="N135" s="93"/>
      <c r="O135" s="91" t="s">
        <v>50</v>
      </c>
      <c r="P135" s="92" t="s">
        <v>51</v>
      </c>
      <c r="Q135" s="94"/>
      <c r="R135" s="92" t="s">
        <v>52</v>
      </c>
    </row>
    <row r="136" spans="1:18" x14ac:dyDescent="0.25">
      <c r="A136" s="141"/>
      <c r="B136" s="142"/>
      <c r="C136" s="143"/>
      <c r="D136" s="356" t="s">
        <v>10</v>
      </c>
      <c r="E136" s="357"/>
      <c r="F136" s="356" t="s">
        <v>11</v>
      </c>
      <c r="G136" s="357"/>
      <c r="H136" s="356" t="s">
        <v>12</v>
      </c>
      <c r="I136" s="358"/>
      <c r="J136" s="144" t="s">
        <v>13</v>
      </c>
      <c r="K136" s="95" t="s">
        <v>53</v>
      </c>
      <c r="L136" s="96" t="s">
        <v>179</v>
      </c>
      <c r="M136" s="97" t="s">
        <v>180</v>
      </c>
      <c r="N136" s="98" t="s">
        <v>54</v>
      </c>
      <c r="O136" s="98" t="s">
        <v>53</v>
      </c>
      <c r="P136" s="98" t="s">
        <v>53</v>
      </c>
      <c r="Q136" s="98" t="s">
        <v>55</v>
      </c>
      <c r="R136" s="98" t="s">
        <v>56</v>
      </c>
    </row>
    <row r="137" spans="1:18" ht="45" x14ac:dyDescent="0.25">
      <c r="A137" s="145" t="s">
        <v>14</v>
      </c>
      <c r="B137" s="146" t="s">
        <v>15</v>
      </c>
      <c r="C137" s="147" t="s">
        <v>16</v>
      </c>
      <c r="D137" s="148" t="s">
        <v>17</v>
      </c>
      <c r="E137" s="149" t="s">
        <v>18</v>
      </c>
      <c r="F137" s="148" t="s">
        <v>17</v>
      </c>
      <c r="G137" s="149" t="s">
        <v>18</v>
      </c>
      <c r="H137" s="150" t="s">
        <v>17</v>
      </c>
      <c r="I137" s="151" t="s">
        <v>18</v>
      </c>
      <c r="J137" s="147" t="s">
        <v>18</v>
      </c>
      <c r="K137" s="152" t="s">
        <v>57</v>
      </c>
      <c r="L137" s="99"/>
      <c r="M137" s="100"/>
      <c r="N137" s="99"/>
      <c r="O137" s="152" t="s">
        <v>57</v>
      </c>
      <c r="P137" s="100"/>
      <c r="Q137" s="100"/>
      <c r="R137" s="153" t="s">
        <v>57</v>
      </c>
    </row>
    <row r="138" spans="1:18" x14ac:dyDescent="0.25">
      <c r="A138" s="75" t="s">
        <v>195</v>
      </c>
      <c r="B138" s="198">
        <v>11479167</v>
      </c>
      <c r="C138" s="155">
        <v>0.13130846252941786</v>
      </c>
      <c r="D138" s="78">
        <v>0</v>
      </c>
      <c r="E138" s="156">
        <v>0</v>
      </c>
      <c r="F138" s="157">
        <v>0</v>
      </c>
      <c r="G138" s="158">
        <v>0</v>
      </c>
      <c r="H138" s="159">
        <v>0</v>
      </c>
      <c r="I138" s="184">
        <v>0</v>
      </c>
      <c r="J138" s="185">
        <f>H138*I$166</f>
        <v>0</v>
      </c>
      <c r="K138" s="102">
        <f t="shared" ref="K138:K160" si="36">(I$166-M$166)*H138</f>
        <v>0</v>
      </c>
      <c r="L138" s="84">
        <f>ROUND(J138*VLOOKUP(A138,'Actual Load'!$A$4:$B$37,2,FALSE)/VLOOKUP(A138,'Projected Zonal Load'!$A$4:$N$37,14,FALSE),0)</f>
        <v>0</v>
      </c>
      <c r="M138" s="102">
        <f t="shared" ref="M138:M160" si="37">IF(NOT(L$43=0),M$6*L138/L$43,0)</f>
        <v>0</v>
      </c>
      <c r="N138" s="84">
        <f>+J138</f>
        <v>0</v>
      </c>
      <c r="O138" s="102">
        <f t="shared" ref="O138:O144" si="38">+M138-N138</f>
        <v>0</v>
      </c>
      <c r="P138" s="102">
        <f t="shared" ref="P138:P160" si="39">+K138+O138</f>
        <v>0</v>
      </c>
      <c r="Q138" s="49">
        <f>H138*Interest!$D$19</f>
        <v>0</v>
      </c>
      <c r="R138" s="127">
        <f t="shared" ref="R138:R144" si="40">+P138+Q138</f>
        <v>0</v>
      </c>
    </row>
    <row r="139" spans="1:18" x14ac:dyDescent="0.25">
      <c r="A139" s="76" t="s">
        <v>19</v>
      </c>
      <c r="B139" s="198">
        <v>552209</v>
      </c>
      <c r="C139" s="155">
        <v>6.3166355873128521E-3</v>
      </c>
      <c r="D139" s="78">
        <v>0</v>
      </c>
      <c r="E139" s="156">
        <v>0</v>
      </c>
      <c r="F139" s="157">
        <v>0</v>
      </c>
      <c r="G139" s="156">
        <v>0</v>
      </c>
      <c r="H139" s="159">
        <v>0</v>
      </c>
      <c r="I139" s="186">
        <v>0</v>
      </c>
      <c r="J139" s="185">
        <f t="shared" ref="J139:J160" si="41">H139*I$166</f>
        <v>0</v>
      </c>
      <c r="K139" s="102">
        <f t="shared" si="36"/>
        <v>0</v>
      </c>
      <c r="L139" s="84">
        <f>ROUND(J139*VLOOKUP(A139,'Actual Load'!$A$4:$B$37,2,FALSE)/VLOOKUP(A139,'Projected Zonal Load'!$A$4:$N$37,14,FALSE),0)</f>
        <v>0</v>
      </c>
      <c r="M139" s="102">
        <f t="shared" si="37"/>
        <v>0</v>
      </c>
      <c r="N139" s="84">
        <f t="shared" ref="N139:N158" si="42">+J139</f>
        <v>0</v>
      </c>
      <c r="O139" s="102">
        <f t="shared" si="38"/>
        <v>0</v>
      </c>
      <c r="P139" s="102">
        <f t="shared" si="39"/>
        <v>0</v>
      </c>
      <c r="Q139" s="49">
        <f>H139*Interest!$D$19</f>
        <v>0</v>
      </c>
      <c r="R139" s="127">
        <f t="shared" si="40"/>
        <v>0</v>
      </c>
    </row>
    <row r="140" spans="1:18" x14ac:dyDescent="0.25">
      <c r="A140" s="76" t="s">
        <v>210</v>
      </c>
      <c r="B140" s="198">
        <v>10468870</v>
      </c>
      <c r="C140" s="155">
        <v>0.11975182729899711</v>
      </c>
      <c r="D140" s="78">
        <v>0</v>
      </c>
      <c r="E140" s="156">
        <v>0</v>
      </c>
      <c r="F140" s="157">
        <v>0</v>
      </c>
      <c r="G140" s="156">
        <v>0</v>
      </c>
      <c r="H140" s="159">
        <v>0</v>
      </c>
      <c r="I140" s="186">
        <v>0</v>
      </c>
      <c r="J140" s="185">
        <f t="shared" si="41"/>
        <v>0</v>
      </c>
      <c r="K140" s="102">
        <f t="shared" si="36"/>
        <v>0</v>
      </c>
      <c r="L140" s="84">
        <f>ROUND(J140*VLOOKUP(A140,'Actual Load'!$A$4:$B$37,2,FALSE)/VLOOKUP(A140,'Projected Zonal Load'!$A$4:$N$37,14,FALSE),0)</f>
        <v>0</v>
      </c>
      <c r="M140" s="102">
        <f t="shared" si="37"/>
        <v>0</v>
      </c>
      <c r="N140" s="84">
        <f t="shared" si="42"/>
        <v>0</v>
      </c>
      <c r="O140" s="102">
        <f t="shared" si="38"/>
        <v>0</v>
      </c>
      <c r="P140" s="102">
        <f t="shared" si="39"/>
        <v>0</v>
      </c>
      <c r="Q140" s="49">
        <f>H140*Interest!$D$19</f>
        <v>0</v>
      </c>
      <c r="R140" s="127">
        <f t="shared" si="40"/>
        <v>0</v>
      </c>
    </row>
    <row r="141" spans="1:18" x14ac:dyDescent="0.25">
      <c r="A141" s="76" t="s">
        <v>211</v>
      </c>
      <c r="B141" s="198">
        <v>1032750</v>
      </c>
      <c r="C141" s="155">
        <v>1.1813471715957813E-2</v>
      </c>
      <c r="D141" s="78">
        <v>0</v>
      </c>
      <c r="E141" s="156">
        <v>0</v>
      </c>
      <c r="F141" s="157">
        <v>0</v>
      </c>
      <c r="G141" s="156">
        <v>0</v>
      </c>
      <c r="H141" s="159">
        <v>0</v>
      </c>
      <c r="I141" s="186">
        <v>0</v>
      </c>
      <c r="J141" s="185">
        <f t="shared" si="41"/>
        <v>0</v>
      </c>
      <c r="K141" s="102">
        <f t="shared" si="36"/>
        <v>0</v>
      </c>
      <c r="L141" s="84">
        <f>ROUND(J141*VLOOKUP(A141,'Actual Load'!$A$4:$B$37,2,FALSE)/VLOOKUP(A141,'Projected Zonal Load'!$A$4:$N$37,14,FALSE),0)</f>
        <v>0</v>
      </c>
      <c r="M141" s="102">
        <f t="shared" si="37"/>
        <v>0</v>
      </c>
      <c r="N141" s="84">
        <f t="shared" si="42"/>
        <v>0</v>
      </c>
      <c r="O141" s="102">
        <f t="shared" si="38"/>
        <v>0</v>
      </c>
      <c r="P141" s="102">
        <f t="shared" si="39"/>
        <v>0</v>
      </c>
      <c r="Q141" s="49">
        <f>H141*Interest!$D$19</f>
        <v>0</v>
      </c>
      <c r="R141" s="127">
        <f t="shared" si="40"/>
        <v>0</v>
      </c>
    </row>
    <row r="142" spans="1:18" x14ac:dyDescent="0.25">
      <c r="A142" s="76" t="s">
        <v>20</v>
      </c>
      <c r="B142" s="198">
        <v>2589500</v>
      </c>
      <c r="C142" s="155">
        <v>2.9620900516555561E-2</v>
      </c>
      <c r="D142" s="78">
        <v>0</v>
      </c>
      <c r="E142" s="156">
        <v>0</v>
      </c>
      <c r="F142" s="157">
        <v>0</v>
      </c>
      <c r="G142" s="156">
        <v>0</v>
      </c>
      <c r="H142" s="159">
        <v>0</v>
      </c>
      <c r="I142" s="186">
        <v>0</v>
      </c>
      <c r="J142" s="185">
        <f t="shared" si="41"/>
        <v>0</v>
      </c>
      <c r="K142" s="102">
        <f t="shared" si="36"/>
        <v>0</v>
      </c>
      <c r="L142" s="84">
        <f>ROUND(J142*VLOOKUP(A142,'Actual Load'!$A$4:$B$37,2,FALSE)/VLOOKUP(A142,'Projected Zonal Load'!$A$4:$N$37,14,FALSE),0)</f>
        <v>0</v>
      </c>
      <c r="M142" s="102">
        <f t="shared" si="37"/>
        <v>0</v>
      </c>
      <c r="N142" s="84">
        <f t="shared" si="42"/>
        <v>0</v>
      </c>
      <c r="O142" s="102">
        <f t="shared" si="38"/>
        <v>0</v>
      </c>
      <c r="P142" s="102">
        <f t="shared" si="39"/>
        <v>0</v>
      </c>
      <c r="Q142" s="49">
        <f>H142*Interest!$D$19</f>
        <v>0</v>
      </c>
      <c r="R142" s="127">
        <f t="shared" si="40"/>
        <v>0</v>
      </c>
    </row>
    <row r="143" spans="1:18" x14ac:dyDescent="0.25">
      <c r="A143" s="76" t="s">
        <v>21</v>
      </c>
      <c r="B143" s="198">
        <v>2986010</v>
      </c>
      <c r="C143" s="155">
        <v>3.4156518691423082E-2</v>
      </c>
      <c r="D143" s="78">
        <v>0</v>
      </c>
      <c r="E143" s="156">
        <v>0</v>
      </c>
      <c r="F143" s="157">
        <v>0</v>
      </c>
      <c r="G143" s="156">
        <v>0</v>
      </c>
      <c r="H143" s="159">
        <v>0</v>
      </c>
      <c r="I143" s="186">
        <v>0</v>
      </c>
      <c r="J143" s="185">
        <f t="shared" si="41"/>
        <v>0</v>
      </c>
      <c r="K143" s="102">
        <f t="shared" si="36"/>
        <v>0</v>
      </c>
      <c r="L143" s="84">
        <f>ROUND(J143*VLOOKUP(A143,'Actual Load'!$A$4:$B$37,2,FALSE)/VLOOKUP(A143,'Projected Zonal Load'!$A$4:$N$37,14,FALSE),0)</f>
        <v>0</v>
      </c>
      <c r="M143" s="102">
        <f t="shared" si="37"/>
        <v>0</v>
      </c>
      <c r="N143" s="84">
        <f t="shared" si="42"/>
        <v>0</v>
      </c>
      <c r="O143" s="102">
        <f t="shared" si="38"/>
        <v>0</v>
      </c>
      <c r="P143" s="102">
        <f t="shared" si="39"/>
        <v>0</v>
      </c>
      <c r="Q143" s="49">
        <f>H143*Interest!$D$19</f>
        <v>0</v>
      </c>
      <c r="R143" s="127">
        <f t="shared" si="40"/>
        <v>0</v>
      </c>
    </row>
    <row r="144" spans="1:18" x14ac:dyDescent="0.25">
      <c r="A144" s="76" t="s">
        <v>22</v>
      </c>
      <c r="B144" s="198">
        <v>6997000</v>
      </c>
      <c r="C144" s="155">
        <v>8.003762923898021E-2</v>
      </c>
      <c r="D144" s="78">
        <v>0</v>
      </c>
      <c r="E144" s="156">
        <v>0</v>
      </c>
      <c r="F144" s="157">
        <v>0</v>
      </c>
      <c r="G144" s="156">
        <v>0</v>
      </c>
      <c r="H144" s="159">
        <v>0</v>
      </c>
      <c r="I144" s="186">
        <v>0</v>
      </c>
      <c r="J144" s="185">
        <f t="shared" si="41"/>
        <v>0</v>
      </c>
      <c r="K144" s="102">
        <f t="shared" si="36"/>
        <v>0</v>
      </c>
      <c r="L144" s="84">
        <f>ROUND(J144*'Actual Load'!$B$17/'Projected Zonal Load'!$N$17,0)</f>
        <v>0</v>
      </c>
      <c r="M144" s="102">
        <f t="shared" si="37"/>
        <v>0</v>
      </c>
      <c r="N144" s="84">
        <f t="shared" si="42"/>
        <v>0</v>
      </c>
      <c r="O144" s="102">
        <f t="shared" si="38"/>
        <v>0</v>
      </c>
      <c r="P144" s="102">
        <f t="shared" si="39"/>
        <v>0</v>
      </c>
      <c r="Q144" s="49">
        <f>H144*Interest!$D$19</f>
        <v>0</v>
      </c>
      <c r="R144" s="127">
        <f t="shared" si="40"/>
        <v>0</v>
      </c>
    </row>
    <row r="145" spans="1:18" x14ac:dyDescent="0.25">
      <c r="A145" s="76" t="s">
        <v>23</v>
      </c>
      <c r="B145" s="198">
        <v>9283000</v>
      </c>
      <c r="C145" s="155">
        <v>0.10618683896319184</v>
      </c>
      <c r="D145" s="78">
        <v>0</v>
      </c>
      <c r="E145" s="156">
        <v>0</v>
      </c>
      <c r="F145" s="157">
        <v>0</v>
      </c>
      <c r="G145" s="156">
        <v>0</v>
      </c>
      <c r="H145" s="159">
        <v>0</v>
      </c>
      <c r="I145" s="186">
        <v>0</v>
      </c>
      <c r="J145" s="185">
        <f t="shared" si="41"/>
        <v>0</v>
      </c>
      <c r="K145" s="102">
        <f t="shared" si="36"/>
        <v>0</v>
      </c>
      <c r="L145" s="84">
        <f>ROUND(J145*VLOOKUP(A145,'Actual Load'!$A$4:$B$37,2,FALSE)/VLOOKUP(A145,'Projected Zonal Load'!$A$4:$N$37,14,FALSE),0)</f>
        <v>0</v>
      </c>
      <c r="M145" s="102">
        <f t="shared" si="37"/>
        <v>0</v>
      </c>
      <c r="N145" s="84">
        <f t="shared" si="42"/>
        <v>0</v>
      </c>
      <c r="O145" s="102">
        <f>+M145-N145</f>
        <v>0</v>
      </c>
      <c r="P145" s="102">
        <f t="shared" si="39"/>
        <v>0</v>
      </c>
      <c r="Q145" s="49">
        <f>H145*Interest!$D$19</f>
        <v>0</v>
      </c>
      <c r="R145" s="127">
        <f>+P145+Q145</f>
        <v>0</v>
      </c>
    </row>
    <row r="146" spans="1:18" x14ac:dyDescent="0.25">
      <c r="A146" s="76" t="s">
        <v>24</v>
      </c>
      <c r="B146" s="198">
        <v>2800184</v>
      </c>
      <c r="C146" s="155">
        <v>3.2030883063159148E-2</v>
      </c>
      <c r="D146" s="78">
        <v>0</v>
      </c>
      <c r="E146" s="156">
        <v>0</v>
      </c>
      <c r="F146" s="157">
        <v>0</v>
      </c>
      <c r="G146" s="156">
        <v>0</v>
      </c>
      <c r="H146" s="159">
        <v>0</v>
      </c>
      <c r="I146" s="186">
        <v>0</v>
      </c>
      <c r="J146" s="185">
        <f t="shared" si="41"/>
        <v>0</v>
      </c>
      <c r="K146" s="102">
        <f t="shared" si="36"/>
        <v>0</v>
      </c>
      <c r="L146" s="84">
        <f>ROUND(J146*VLOOKUP(A146,'Actual Load'!$A$4:$B$37,2,FALSE)/VLOOKUP(A146,'Projected Zonal Load'!$A$4:$N$37,14,FALSE),0)</f>
        <v>0</v>
      </c>
      <c r="M146" s="102">
        <f t="shared" si="37"/>
        <v>0</v>
      </c>
      <c r="N146" s="84">
        <f t="shared" si="42"/>
        <v>0</v>
      </c>
      <c r="O146" s="102">
        <f t="shared" ref="O146:O158" si="43">+M146-N146</f>
        <v>0</v>
      </c>
      <c r="P146" s="102">
        <f t="shared" si="39"/>
        <v>0</v>
      </c>
      <c r="Q146" s="49">
        <f>H146*Interest!$D$19</f>
        <v>0</v>
      </c>
      <c r="R146" s="127">
        <f t="shared" ref="R146:R158" si="44">+P146+Q146</f>
        <v>0</v>
      </c>
    </row>
    <row r="147" spans="1:18" x14ac:dyDescent="0.25">
      <c r="A147" s="76" t="s">
        <v>25</v>
      </c>
      <c r="B147" s="198">
        <v>234000</v>
      </c>
      <c r="C147" s="155">
        <v>2.6766907591712691E-3</v>
      </c>
      <c r="D147" s="78">
        <v>0</v>
      </c>
      <c r="E147" s="156">
        <v>0</v>
      </c>
      <c r="F147" s="157">
        <v>0</v>
      </c>
      <c r="G147" s="156">
        <v>0</v>
      </c>
      <c r="H147" s="159">
        <v>0</v>
      </c>
      <c r="I147" s="186">
        <v>0</v>
      </c>
      <c r="J147" s="185">
        <f t="shared" si="41"/>
        <v>0</v>
      </c>
      <c r="K147" s="102">
        <f t="shared" si="36"/>
        <v>0</v>
      </c>
      <c r="L147" s="84">
        <f>ROUND(J147*VLOOKUP(A147,'Actual Load'!$A$4:$B$37,2,FALSE)/VLOOKUP(A147,'Projected Zonal Load'!$A$4:$N$37,14,FALSE),0)</f>
        <v>0</v>
      </c>
      <c r="M147" s="102">
        <f t="shared" si="37"/>
        <v>0</v>
      </c>
      <c r="N147" s="84">
        <f t="shared" si="42"/>
        <v>0</v>
      </c>
      <c r="O147" s="102">
        <f t="shared" si="43"/>
        <v>0</v>
      </c>
      <c r="P147" s="102">
        <f t="shared" si="39"/>
        <v>0</v>
      </c>
      <c r="Q147" s="49">
        <f>H147*Interest!$D$19</f>
        <v>0</v>
      </c>
      <c r="R147" s="127">
        <f t="shared" si="44"/>
        <v>0</v>
      </c>
    </row>
    <row r="148" spans="1:18" x14ac:dyDescent="0.25">
      <c r="A148" s="76" t="s">
        <v>27</v>
      </c>
      <c r="B148" s="198">
        <v>7060375</v>
      </c>
      <c r="C148" s="155">
        <v>8.0762566319589099E-2</v>
      </c>
      <c r="D148" s="78">
        <v>0</v>
      </c>
      <c r="E148" s="156">
        <v>0</v>
      </c>
      <c r="F148" s="157">
        <v>0</v>
      </c>
      <c r="G148" s="156">
        <v>0</v>
      </c>
      <c r="H148" s="159">
        <v>0</v>
      </c>
      <c r="I148" s="186">
        <v>0</v>
      </c>
      <c r="J148" s="185">
        <f t="shared" si="41"/>
        <v>0</v>
      </c>
      <c r="K148" s="102">
        <f t="shared" si="36"/>
        <v>0</v>
      </c>
      <c r="L148" s="84">
        <f>ROUND(J148*VLOOKUP(A148,'Actual Load'!$A$4:$B$37,2,FALSE)/VLOOKUP(A148,'Projected Zonal Load'!$A$4:$N$37,14,FALSE),0)</f>
        <v>0</v>
      </c>
      <c r="M148" s="102">
        <f t="shared" si="37"/>
        <v>0</v>
      </c>
      <c r="N148" s="84">
        <f t="shared" si="42"/>
        <v>0</v>
      </c>
      <c r="O148" s="102">
        <f t="shared" si="43"/>
        <v>0</v>
      </c>
      <c r="P148" s="102">
        <f t="shared" si="39"/>
        <v>0</v>
      </c>
      <c r="Q148" s="49">
        <f>H148*Interest!$D$19</f>
        <v>0</v>
      </c>
      <c r="R148" s="127">
        <f t="shared" si="44"/>
        <v>0</v>
      </c>
    </row>
    <row r="149" spans="1:18" x14ac:dyDescent="0.25">
      <c r="A149" s="76" t="s">
        <v>26</v>
      </c>
      <c r="B149" s="198">
        <v>7069072</v>
      </c>
      <c r="C149" s="155">
        <v>8.0862049992804969E-2</v>
      </c>
      <c r="D149" s="78">
        <v>0</v>
      </c>
      <c r="E149" s="156">
        <v>0</v>
      </c>
      <c r="F149" s="157">
        <v>0</v>
      </c>
      <c r="G149" s="156">
        <v>0</v>
      </c>
      <c r="H149" s="159">
        <v>0</v>
      </c>
      <c r="I149" s="186">
        <v>0</v>
      </c>
      <c r="J149" s="185">
        <f t="shared" si="41"/>
        <v>0</v>
      </c>
      <c r="K149" s="102">
        <f t="shared" si="36"/>
        <v>0</v>
      </c>
      <c r="L149" s="84">
        <f>ROUND(J149*VLOOKUP(A149,'Actual Load'!$A$4:$B$37,2,FALSE)/VLOOKUP(A149,'Projected Zonal Load'!$A$4:$N$37,14,FALSE),0)</f>
        <v>0</v>
      </c>
      <c r="M149" s="102">
        <f t="shared" si="37"/>
        <v>0</v>
      </c>
      <c r="N149" s="84">
        <f t="shared" si="42"/>
        <v>0</v>
      </c>
      <c r="O149" s="102">
        <f t="shared" si="43"/>
        <v>0</v>
      </c>
      <c r="P149" s="102">
        <f t="shared" si="39"/>
        <v>0</v>
      </c>
      <c r="Q149" s="49">
        <f>H149*Interest!$D$19</f>
        <v>0</v>
      </c>
      <c r="R149" s="127">
        <f t="shared" si="44"/>
        <v>0</v>
      </c>
    </row>
    <row r="150" spans="1:18" x14ac:dyDescent="0.25">
      <c r="A150" s="76" t="s">
        <v>69</v>
      </c>
      <c r="B150" s="198">
        <v>483692</v>
      </c>
      <c r="C150" s="155">
        <v>5.5328799430985872E-3</v>
      </c>
      <c r="D150" s="78">
        <v>0</v>
      </c>
      <c r="E150" s="156">
        <v>0</v>
      </c>
      <c r="F150" s="157">
        <v>0</v>
      </c>
      <c r="G150" s="156">
        <v>0</v>
      </c>
      <c r="H150" s="159">
        <v>0</v>
      </c>
      <c r="I150" s="186">
        <v>0</v>
      </c>
      <c r="J150" s="185">
        <f t="shared" si="41"/>
        <v>0</v>
      </c>
      <c r="K150" s="102">
        <f t="shared" si="36"/>
        <v>0</v>
      </c>
      <c r="L150" s="84">
        <f>ROUND(J150*'Actual Load'!$B$18/'Projected Zonal Load'!$N$18,0)</f>
        <v>0</v>
      </c>
      <c r="M150" s="102">
        <f t="shared" si="37"/>
        <v>0</v>
      </c>
      <c r="N150" s="84">
        <f t="shared" si="42"/>
        <v>0</v>
      </c>
      <c r="O150" s="102">
        <f t="shared" si="43"/>
        <v>0</v>
      </c>
      <c r="P150" s="102">
        <f t="shared" si="39"/>
        <v>0</v>
      </c>
      <c r="Q150" s="49">
        <f>H150*Interest!$D$19</f>
        <v>0</v>
      </c>
      <c r="R150" s="127">
        <f t="shared" si="44"/>
        <v>0</v>
      </c>
    </row>
    <row r="151" spans="1:18" x14ac:dyDescent="0.25">
      <c r="A151" s="76" t="s">
        <v>70</v>
      </c>
      <c r="B151" s="198">
        <v>125500</v>
      </c>
      <c r="C151" s="155">
        <v>1.435575599470061E-3</v>
      </c>
      <c r="D151" s="78">
        <v>0</v>
      </c>
      <c r="E151" s="156">
        <v>0</v>
      </c>
      <c r="F151" s="157">
        <v>0</v>
      </c>
      <c r="G151" s="156">
        <v>0</v>
      </c>
      <c r="H151" s="159">
        <v>0</v>
      </c>
      <c r="I151" s="186">
        <v>0</v>
      </c>
      <c r="J151" s="185">
        <f t="shared" si="41"/>
        <v>0</v>
      </c>
      <c r="K151" s="102">
        <f t="shared" si="36"/>
        <v>0</v>
      </c>
      <c r="L151" s="84">
        <f>ROUND(J151*'Actual Load'!$B$17/'Projected Zonal Load'!$N$17,0)</f>
        <v>0</v>
      </c>
      <c r="M151" s="102">
        <f t="shared" si="37"/>
        <v>0</v>
      </c>
      <c r="N151" s="84">
        <f t="shared" si="42"/>
        <v>0</v>
      </c>
      <c r="O151" s="102">
        <f t="shared" si="43"/>
        <v>0</v>
      </c>
      <c r="P151" s="102">
        <f t="shared" si="39"/>
        <v>0</v>
      </c>
      <c r="Q151" s="49">
        <f>H151*Interest!$D$19</f>
        <v>0</v>
      </c>
      <c r="R151" s="127">
        <f t="shared" si="44"/>
        <v>0</v>
      </c>
    </row>
    <row r="152" spans="1:18" x14ac:dyDescent="0.25">
      <c r="A152" s="76" t="s">
        <v>28</v>
      </c>
      <c r="B152" s="198">
        <v>349000</v>
      </c>
      <c r="C152" s="155">
        <v>3.992158439960568E-3</v>
      </c>
      <c r="D152" s="78">
        <v>0</v>
      </c>
      <c r="E152" s="156">
        <v>0</v>
      </c>
      <c r="F152" s="157">
        <v>0</v>
      </c>
      <c r="G152" s="156">
        <v>0</v>
      </c>
      <c r="H152" s="159">
        <v>0</v>
      </c>
      <c r="I152" s="186">
        <v>0</v>
      </c>
      <c r="J152" s="185">
        <f t="shared" si="41"/>
        <v>0</v>
      </c>
      <c r="K152" s="102">
        <f t="shared" si="36"/>
        <v>0</v>
      </c>
      <c r="L152" s="84">
        <f>ROUND(J152*VLOOKUP(A152,'Actual Load'!$A$4:$B$37,2,FALSE)/VLOOKUP(A152,'Projected Zonal Load'!$A$4:$N$37,14,FALSE),0)</f>
        <v>0</v>
      </c>
      <c r="M152" s="102">
        <f t="shared" si="37"/>
        <v>0</v>
      </c>
      <c r="N152" s="84">
        <f t="shared" si="42"/>
        <v>0</v>
      </c>
      <c r="O152" s="102">
        <f t="shared" si="43"/>
        <v>0</v>
      </c>
      <c r="P152" s="102">
        <f t="shared" si="39"/>
        <v>0</v>
      </c>
      <c r="Q152" s="49">
        <f>H152*Interest!$D$19</f>
        <v>0</v>
      </c>
      <c r="R152" s="127">
        <f t="shared" si="44"/>
        <v>0</v>
      </c>
    </row>
    <row r="153" spans="1:18" x14ac:dyDescent="0.25">
      <c r="A153" s="76" t="s">
        <v>29</v>
      </c>
      <c r="B153" s="198">
        <v>369700</v>
      </c>
      <c r="C153" s="155">
        <v>4.2289426225026417E-3</v>
      </c>
      <c r="D153" s="78">
        <v>0</v>
      </c>
      <c r="E153" s="156">
        <v>0</v>
      </c>
      <c r="F153" s="157">
        <v>0</v>
      </c>
      <c r="G153" s="156">
        <v>0</v>
      </c>
      <c r="H153" s="159">
        <v>0</v>
      </c>
      <c r="I153" s="186">
        <v>0</v>
      </c>
      <c r="J153" s="185">
        <f t="shared" si="41"/>
        <v>0</v>
      </c>
      <c r="K153" s="102">
        <f t="shared" si="36"/>
        <v>0</v>
      </c>
      <c r="L153" s="84">
        <f>ROUND(J153*VLOOKUP(A153,'Actual Load'!$A$4:$B$37,2,FALSE)/VLOOKUP(A153,'Projected Zonal Load'!$A$4:$N$37,14,FALSE),0)</f>
        <v>0</v>
      </c>
      <c r="M153" s="102">
        <f t="shared" si="37"/>
        <v>0</v>
      </c>
      <c r="N153" s="84">
        <f t="shared" si="42"/>
        <v>0</v>
      </c>
      <c r="O153" s="102">
        <f t="shared" si="43"/>
        <v>0</v>
      </c>
      <c r="P153" s="102">
        <f t="shared" si="39"/>
        <v>0</v>
      </c>
      <c r="Q153" s="49">
        <f>H153*Interest!$D$19</f>
        <v>0</v>
      </c>
      <c r="R153" s="127">
        <f t="shared" si="44"/>
        <v>0</v>
      </c>
    </row>
    <row r="154" spans="1:18" x14ac:dyDescent="0.25">
      <c r="A154" s="76" t="s">
        <v>30</v>
      </c>
      <c r="B154" s="198">
        <v>10701139</v>
      </c>
      <c r="C154" s="155">
        <v>0.12240871740986015</v>
      </c>
      <c r="D154" s="78">
        <v>0</v>
      </c>
      <c r="E154" s="156">
        <v>0</v>
      </c>
      <c r="F154" s="157">
        <v>0</v>
      </c>
      <c r="G154" s="156">
        <v>0</v>
      </c>
      <c r="H154" s="159">
        <v>0</v>
      </c>
      <c r="I154" s="186">
        <v>0</v>
      </c>
      <c r="J154" s="185">
        <f t="shared" si="41"/>
        <v>0</v>
      </c>
      <c r="K154" s="102">
        <f t="shared" si="36"/>
        <v>0</v>
      </c>
      <c r="L154" s="84">
        <f>ROUND(J154*VLOOKUP(A154,'Actual Load'!$A$4:$B$37,2,FALSE)/VLOOKUP(A154,'Projected Zonal Load'!$A$4:$N$37,14,FALSE),0)</f>
        <v>0</v>
      </c>
      <c r="M154" s="102">
        <f t="shared" si="37"/>
        <v>0</v>
      </c>
      <c r="N154" s="84">
        <f t="shared" si="42"/>
        <v>0</v>
      </c>
      <c r="O154" s="102">
        <f t="shared" si="43"/>
        <v>0</v>
      </c>
      <c r="P154" s="102">
        <f t="shared" si="39"/>
        <v>0</v>
      </c>
      <c r="Q154" s="49">
        <f>H154*Interest!$D$19</f>
        <v>0</v>
      </c>
      <c r="R154" s="127">
        <f t="shared" si="44"/>
        <v>0</v>
      </c>
    </row>
    <row r="155" spans="1:18" x14ac:dyDescent="0.25">
      <c r="A155" s="76" t="s">
        <v>31</v>
      </c>
      <c r="B155" s="198">
        <v>8491257</v>
      </c>
      <c r="C155" s="155">
        <v>9.7130210024138255E-2</v>
      </c>
      <c r="D155" s="78">
        <v>0</v>
      </c>
      <c r="E155" s="156">
        <v>0</v>
      </c>
      <c r="F155" s="157">
        <v>1.2969790113386148E-2</v>
      </c>
      <c r="G155" s="156">
        <v>0</v>
      </c>
      <c r="H155" s="159">
        <v>1.2969790113386148E-2</v>
      </c>
      <c r="I155" s="186">
        <v>0</v>
      </c>
      <c r="J155" s="185">
        <f t="shared" si="41"/>
        <v>5071.3539469614116</v>
      </c>
      <c r="K155" s="102">
        <f t="shared" si="36"/>
        <v>545.76243882899007</v>
      </c>
      <c r="L155" s="84">
        <f>ROUND(J155*VLOOKUP(A155,'Actual Load'!$A$4:$B$37,2,FALSE)/VLOOKUP(A155,'Projected Zonal Load'!$A$4:$N$37,14,FALSE),0)</f>
        <v>4845</v>
      </c>
      <c r="M155" s="102">
        <f t="shared" si="37"/>
        <v>5072.340960362827</v>
      </c>
      <c r="N155" s="84">
        <f t="shared" si="42"/>
        <v>5071.3539469614116</v>
      </c>
      <c r="O155" s="102">
        <f t="shared" si="43"/>
        <v>0.9870134014154246</v>
      </c>
      <c r="P155" s="102">
        <f t="shared" si="39"/>
        <v>546.7494522304055</v>
      </c>
      <c r="Q155" s="49">
        <f>H155*Interest!$D$19</f>
        <v>41.469222476945411</v>
      </c>
      <c r="R155" s="127">
        <f t="shared" si="44"/>
        <v>588.21867470735094</v>
      </c>
    </row>
    <row r="156" spans="1:18" x14ac:dyDescent="0.25">
      <c r="A156" s="76" t="s">
        <v>32</v>
      </c>
      <c r="B156" s="198">
        <v>1726630</v>
      </c>
      <c r="C156" s="155">
        <v>1.9750660536358496E-2</v>
      </c>
      <c r="D156" s="78">
        <v>0</v>
      </c>
      <c r="E156" s="156">
        <v>0</v>
      </c>
      <c r="F156" s="157">
        <v>9.7370426209735623E-4</v>
      </c>
      <c r="G156" s="156">
        <v>0</v>
      </c>
      <c r="H156" s="159">
        <v>9.7370426209735623E-4</v>
      </c>
      <c r="I156" s="186">
        <v>0</v>
      </c>
      <c r="J156" s="185">
        <f t="shared" si="41"/>
        <v>380.73082984311804</v>
      </c>
      <c r="K156" s="102">
        <f t="shared" si="36"/>
        <v>40.973000190031193</v>
      </c>
      <c r="L156" s="84">
        <f>ROUND(J156*VLOOKUP(A156,'Actual Load'!$A$4:$B$37,2,FALSE)/VLOOKUP(A156,'Projected Zonal Load'!$A$4:$N$37,14,FALSE),0)</f>
        <v>354</v>
      </c>
      <c r="M156" s="102">
        <f t="shared" si="37"/>
        <v>370.61067078811988</v>
      </c>
      <c r="N156" s="84">
        <f t="shared" si="42"/>
        <v>380.73082984311804</v>
      </c>
      <c r="O156" s="102">
        <f t="shared" si="43"/>
        <v>-10.120159054998169</v>
      </c>
      <c r="P156" s="102">
        <f t="shared" si="39"/>
        <v>30.852841135033024</v>
      </c>
      <c r="Q156" s="49">
        <f>H156*Interest!$D$19</f>
        <v>3.1132931465089961</v>
      </c>
      <c r="R156" s="127">
        <f t="shared" si="44"/>
        <v>33.966134281542018</v>
      </c>
    </row>
    <row r="157" spans="1:18" x14ac:dyDescent="0.25">
      <c r="A157" s="76" t="s">
        <v>33</v>
      </c>
      <c r="B157" s="198">
        <v>260430</v>
      </c>
      <c r="C157" s="155">
        <v>2.9790195487648446E-3</v>
      </c>
      <c r="D157" s="78">
        <v>0</v>
      </c>
      <c r="E157" s="156">
        <v>0</v>
      </c>
      <c r="F157" s="157">
        <v>0</v>
      </c>
      <c r="G157" s="156">
        <v>0</v>
      </c>
      <c r="H157" s="159">
        <v>0</v>
      </c>
      <c r="I157" s="186">
        <v>0</v>
      </c>
      <c r="J157" s="185">
        <f t="shared" si="41"/>
        <v>0</v>
      </c>
      <c r="K157" s="102">
        <f t="shared" si="36"/>
        <v>0</v>
      </c>
      <c r="L157" s="84">
        <f>ROUND(J157*VLOOKUP(A157,'Actual Load'!$A$4:$B$37,2,FALSE)/VLOOKUP(A157,'Projected Zonal Load'!$A$4:$N$37,14,FALSE),0)</f>
        <v>0</v>
      </c>
      <c r="M157" s="102">
        <f t="shared" si="37"/>
        <v>0</v>
      </c>
      <c r="N157" s="84">
        <f t="shared" si="42"/>
        <v>0</v>
      </c>
      <c r="O157" s="102">
        <f t="shared" si="43"/>
        <v>0</v>
      </c>
      <c r="P157" s="102">
        <f t="shared" si="39"/>
        <v>0</v>
      </c>
      <c r="Q157" s="49">
        <f>H157*Interest!$D$19</f>
        <v>0</v>
      </c>
      <c r="R157" s="127">
        <f t="shared" si="44"/>
        <v>0</v>
      </c>
    </row>
    <row r="158" spans="1:18" x14ac:dyDescent="0.25">
      <c r="A158" s="76" t="s">
        <v>34</v>
      </c>
      <c r="B158" s="198">
        <v>1010330</v>
      </c>
      <c r="C158" s="155">
        <v>1.155701271245089E-2</v>
      </c>
      <c r="D158" s="78">
        <v>0</v>
      </c>
      <c r="E158" s="156">
        <v>0</v>
      </c>
      <c r="F158" s="157">
        <v>0.98605650562451663</v>
      </c>
      <c r="G158" s="156">
        <v>0</v>
      </c>
      <c r="H158" s="159">
        <v>0.98605650562451663</v>
      </c>
      <c r="I158" s="186">
        <v>0</v>
      </c>
      <c r="J158" s="185">
        <f t="shared" si="41"/>
        <v>385560.71517030156</v>
      </c>
      <c r="K158" s="102">
        <f t="shared" si="36"/>
        <v>41492.776569869049</v>
      </c>
      <c r="L158" s="84">
        <f>ROUND(J158*VLOOKUP(A158,'Actual Load'!$A$4:$B$37,2,FALSE)/VLOOKUP(A158,'Projected Zonal Load'!$A$4:$N$37,14,FALSE),0)</f>
        <v>374061</v>
      </c>
      <c r="M158" s="102">
        <f t="shared" si="37"/>
        <v>391612.98905557883</v>
      </c>
      <c r="N158" s="84">
        <f t="shared" si="42"/>
        <v>385560.71517030156</v>
      </c>
      <c r="O158" s="102">
        <f t="shared" si="43"/>
        <v>6052.2738852772745</v>
      </c>
      <c r="P158" s="102">
        <f t="shared" si="39"/>
        <v>47545.050455146324</v>
      </c>
      <c r="Q158" s="49">
        <f>H158*Interest!$D$19</f>
        <v>3152.7878438355583</v>
      </c>
      <c r="R158" s="127">
        <f t="shared" si="44"/>
        <v>50697.838298981878</v>
      </c>
    </row>
    <row r="159" spans="1:18" x14ac:dyDescent="0.25">
      <c r="A159" s="76" t="s">
        <v>35</v>
      </c>
      <c r="B159" s="198">
        <v>744197</v>
      </c>
      <c r="C159" s="155">
        <v>8.5127574055682952E-3</v>
      </c>
      <c r="D159" s="78">
        <v>0</v>
      </c>
      <c r="E159" s="156">
        <v>0</v>
      </c>
      <c r="F159" s="157">
        <v>0</v>
      </c>
      <c r="G159" s="156">
        <v>0</v>
      </c>
      <c r="H159" s="159">
        <v>0</v>
      </c>
      <c r="I159" s="186">
        <v>0</v>
      </c>
      <c r="J159" s="185">
        <f t="shared" si="41"/>
        <v>0</v>
      </c>
      <c r="K159" s="102">
        <f t="shared" si="36"/>
        <v>0</v>
      </c>
      <c r="L159" s="84">
        <f>ROUND(J159*VLOOKUP(A159,'Actual Load'!$A$4:$B$37,2,FALSE)/VLOOKUP(A159,'Projected Zonal Load'!$A$4:$N$37,14,FALSE),0)</f>
        <v>0</v>
      </c>
      <c r="M159" s="102">
        <f t="shared" si="37"/>
        <v>0</v>
      </c>
      <c r="N159" s="84">
        <f>+J159</f>
        <v>0</v>
      </c>
      <c r="O159" s="102">
        <f>+M159-N159</f>
        <v>0</v>
      </c>
      <c r="P159" s="102">
        <f t="shared" si="39"/>
        <v>0</v>
      </c>
      <c r="Q159" s="49">
        <f>H159*Interest!$D$19</f>
        <v>0</v>
      </c>
      <c r="R159" s="127">
        <f>+P159+Q159</f>
        <v>0</v>
      </c>
    </row>
    <row r="160" spans="1:18" x14ac:dyDescent="0.25">
      <c r="A160" s="166" t="s">
        <v>36</v>
      </c>
      <c r="B160" s="198">
        <v>607368</v>
      </c>
      <c r="C160" s="155">
        <v>6.9475910812663907E-3</v>
      </c>
      <c r="D160" s="78">
        <v>0</v>
      </c>
      <c r="E160" s="156">
        <v>0</v>
      </c>
      <c r="F160" s="157">
        <v>0</v>
      </c>
      <c r="G160" s="167">
        <v>0</v>
      </c>
      <c r="H160" s="168">
        <v>0</v>
      </c>
      <c r="I160" s="187">
        <v>0</v>
      </c>
      <c r="J160" s="185">
        <f t="shared" si="41"/>
        <v>0</v>
      </c>
      <c r="K160" s="102">
        <f t="shared" si="36"/>
        <v>0</v>
      </c>
      <c r="L160" s="84">
        <f>ROUND(J160*VLOOKUP(A160,'Actual Load'!$A$4:$B$37,2,FALSE)/VLOOKUP(A160,'Projected Zonal Load'!$A$4:$N$37,14,FALSE),0)</f>
        <v>0</v>
      </c>
      <c r="M160" s="102">
        <f t="shared" si="37"/>
        <v>0</v>
      </c>
      <c r="N160" s="84">
        <f>+J160</f>
        <v>0</v>
      </c>
      <c r="O160" s="102">
        <f>+M160-N160</f>
        <v>0</v>
      </c>
      <c r="P160" s="102">
        <f t="shared" si="39"/>
        <v>0</v>
      </c>
      <c r="Q160" s="49">
        <f>H160*Interest!$D$19</f>
        <v>0</v>
      </c>
      <c r="R160" s="127">
        <f>+P160+Q160</f>
        <v>0</v>
      </c>
    </row>
    <row r="161" spans="1:19" x14ac:dyDescent="0.25">
      <c r="A161" s="170"/>
      <c r="B161" s="171">
        <v>87421380</v>
      </c>
      <c r="C161" s="172">
        <v>1.0000000000000002</v>
      </c>
      <c r="D161" s="173">
        <v>0</v>
      </c>
      <c r="E161" s="174">
        <v>0</v>
      </c>
      <c r="F161" s="175">
        <v>1.0000000000000002</v>
      </c>
      <c r="G161" s="174">
        <v>0</v>
      </c>
      <c r="H161" s="176">
        <v>1.0000000000000002</v>
      </c>
      <c r="I161" s="177">
        <v>0</v>
      </c>
      <c r="J161" s="188">
        <f>SUM(J138:J160)</f>
        <v>391012.7999471061</v>
      </c>
      <c r="K161" s="120">
        <f>SUM(K138:K160)</f>
        <v>42079.512008888072</v>
      </c>
      <c r="L161" s="120">
        <f t="shared" ref="L161:R161" si="45">SUM(L138:L160)</f>
        <v>379260</v>
      </c>
      <c r="M161" s="120">
        <f t="shared" si="45"/>
        <v>397055.94068672979</v>
      </c>
      <c r="N161" s="106">
        <f t="shared" si="45"/>
        <v>391012.7999471061</v>
      </c>
      <c r="O161" s="120">
        <f t="shared" si="45"/>
        <v>6043.1407396236918</v>
      </c>
      <c r="P161" s="120">
        <f t="shared" si="45"/>
        <v>48122.652748511762</v>
      </c>
      <c r="Q161" s="120">
        <f t="shared" si="45"/>
        <v>3197.3703594590129</v>
      </c>
      <c r="R161" s="130">
        <f t="shared" si="45"/>
        <v>51320.023107970774</v>
      </c>
    </row>
    <row r="162" spans="1:19" x14ac:dyDescent="0.25">
      <c r="H162" s="189"/>
      <c r="I162" s="190"/>
      <c r="O162" s="81"/>
      <c r="P162" s="81"/>
      <c r="Q162" s="81"/>
      <c r="R162" s="81"/>
      <c r="S162" s="81"/>
    </row>
    <row r="163" spans="1:19" x14ac:dyDescent="0.25">
      <c r="A163" s="199"/>
      <c r="O163" s="81"/>
      <c r="P163" s="81"/>
      <c r="Q163" s="81"/>
      <c r="R163" s="81"/>
      <c r="S163" s="81"/>
    </row>
    <row r="164" spans="1:19" x14ac:dyDescent="0.25">
      <c r="H164" s="123" t="s">
        <v>175</v>
      </c>
      <c r="I164" s="191">
        <v>351345.04750403925</v>
      </c>
      <c r="K164" s="124"/>
      <c r="L164" s="123" t="s">
        <v>178</v>
      </c>
      <c r="M164" s="191">
        <v>309265.53549515118</v>
      </c>
      <c r="O164" s="81"/>
      <c r="P164" s="81"/>
      <c r="Q164" s="81"/>
      <c r="R164" s="81"/>
      <c r="S164" s="81"/>
    </row>
    <row r="165" spans="1:19" x14ac:dyDescent="0.25">
      <c r="H165" s="83" t="s">
        <v>177</v>
      </c>
      <c r="I165" s="191">
        <v>39667.752443066798</v>
      </c>
      <c r="K165" s="124"/>
      <c r="L165" s="83" t="s">
        <v>177</v>
      </c>
      <c r="M165" s="191">
        <v>39667.752443066798</v>
      </c>
      <c r="O165" s="81"/>
      <c r="P165" s="81"/>
      <c r="Q165" s="81"/>
      <c r="R165" s="81"/>
      <c r="S165" s="81"/>
    </row>
    <row r="166" spans="1:19" x14ac:dyDescent="0.25">
      <c r="G166" s="124"/>
      <c r="H166" s="125" t="s">
        <v>176</v>
      </c>
      <c r="I166" s="192">
        <f>SUM(I164:I165)</f>
        <v>391012.79994710605</v>
      </c>
      <c r="J166" s="126" t="s">
        <v>132</v>
      </c>
      <c r="K166" s="129"/>
      <c r="L166" s="125" t="s">
        <v>176</v>
      </c>
      <c r="M166" s="192">
        <f>SUM(M164:M165)</f>
        <v>348933.28793821798</v>
      </c>
      <c r="O166" s="82" t="s">
        <v>132</v>
      </c>
    </row>
    <row r="170" spans="1:19" ht="15.75" customHeight="1" x14ac:dyDescent="0.25">
      <c r="A170" s="359" t="s">
        <v>0</v>
      </c>
      <c r="B170" s="360"/>
      <c r="C170" s="360" t="s">
        <v>71</v>
      </c>
      <c r="D170" s="360"/>
      <c r="E170" s="360"/>
      <c r="F170" s="360"/>
      <c r="G170" s="360"/>
      <c r="H170" s="361"/>
      <c r="I170" s="178"/>
    </row>
    <row r="171" spans="1:19" ht="15.75" hidden="1" customHeight="1" outlineLevel="1" x14ac:dyDescent="0.25">
      <c r="A171" s="179" t="s">
        <v>134</v>
      </c>
      <c r="B171" s="180"/>
      <c r="C171" s="196" t="s">
        <v>139</v>
      </c>
      <c r="D171" s="180"/>
      <c r="E171" s="180"/>
      <c r="F171" s="180"/>
      <c r="G171" s="180"/>
      <c r="H171" s="197"/>
      <c r="I171" s="178"/>
    </row>
    <row r="172" spans="1:19" ht="15.75" customHeight="1" collapsed="1" x14ac:dyDescent="0.25">
      <c r="A172" s="362" t="s">
        <v>2</v>
      </c>
      <c r="B172" s="363"/>
      <c r="C172" s="400" t="s">
        <v>72</v>
      </c>
      <c r="D172" s="400"/>
      <c r="E172" s="400"/>
      <c r="F172" s="400"/>
      <c r="G172" s="400"/>
      <c r="H172" s="401"/>
      <c r="I172" s="178"/>
    </row>
    <row r="173" spans="1:19" ht="15.75" customHeight="1" x14ac:dyDescent="0.25">
      <c r="A173" s="362" t="s">
        <v>4</v>
      </c>
      <c r="B173" s="363"/>
      <c r="C173" s="402" t="s">
        <v>73</v>
      </c>
      <c r="D173" s="402"/>
      <c r="E173" s="402"/>
      <c r="F173" s="402"/>
      <c r="G173" s="402"/>
      <c r="H173" s="403"/>
      <c r="I173" s="178"/>
    </row>
    <row r="174" spans="1:19" x14ac:dyDescent="0.25">
      <c r="A174" s="362" t="s">
        <v>6</v>
      </c>
      <c r="B174" s="363"/>
      <c r="C174" s="404">
        <v>0</v>
      </c>
      <c r="D174" s="405"/>
      <c r="E174" s="405"/>
      <c r="F174" s="405"/>
      <c r="G174" s="405"/>
      <c r="H174" s="406"/>
      <c r="I174" s="178"/>
      <c r="M174" s="111"/>
      <c r="O174" s="111" t="s">
        <v>43</v>
      </c>
      <c r="P174" s="111" t="s">
        <v>39</v>
      </c>
      <c r="R174" s="111" t="s">
        <v>44</v>
      </c>
    </row>
    <row r="175" spans="1:19" ht="15.75" customHeight="1" x14ac:dyDescent="0.25">
      <c r="A175" s="370" t="s">
        <v>7</v>
      </c>
      <c r="B175" s="371"/>
      <c r="C175" s="407" t="s">
        <v>74</v>
      </c>
      <c r="D175" s="407"/>
      <c r="E175" s="407"/>
      <c r="F175" s="407"/>
      <c r="G175" s="407"/>
      <c r="H175" s="408"/>
      <c r="I175" s="178"/>
      <c r="K175" s="111" t="s">
        <v>41</v>
      </c>
      <c r="L175" s="112" t="s">
        <v>42</v>
      </c>
      <c r="M175" s="113" t="s">
        <v>182</v>
      </c>
      <c r="N175" s="113" t="s">
        <v>38</v>
      </c>
      <c r="O175" s="113" t="s">
        <v>183</v>
      </c>
      <c r="P175" s="113" t="s">
        <v>184</v>
      </c>
      <c r="Q175" s="113" t="s">
        <v>40</v>
      </c>
      <c r="R175" s="113" t="s">
        <v>185</v>
      </c>
    </row>
    <row r="176" spans="1:19" x14ac:dyDescent="0.25">
      <c r="A176" s="134"/>
      <c r="B176" s="134"/>
      <c r="C176" s="134"/>
      <c r="D176" s="134"/>
      <c r="E176" s="134"/>
      <c r="F176" s="134"/>
      <c r="G176" s="134"/>
      <c r="H176" s="134"/>
      <c r="I176" s="134"/>
      <c r="K176" s="90"/>
      <c r="L176" s="351" t="s">
        <v>45</v>
      </c>
      <c r="M176" s="352"/>
      <c r="N176" s="352"/>
      <c r="O176" s="353"/>
      <c r="P176" s="91" t="s">
        <v>46</v>
      </c>
      <c r="Q176" s="90"/>
      <c r="R176" s="91" t="s">
        <v>47</v>
      </c>
    </row>
    <row r="177" spans="1:18" x14ac:dyDescent="0.25">
      <c r="A177" s="135"/>
      <c r="B177" s="136"/>
      <c r="C177" s="137"/>
      <c r="D177" s="354">
        <v>0.2</v>
      </c>
      <c r="E177" s="355"/>
      <c r="F177" s="354">
        <v>0.8</v>
      </c>
      <c r="G177" s="355"/>
      <c r="H177" s="138"/>
      <c r="I177" s="139"/>
      <c r="J177" s="140" t="s">
        <v>9</v>
      </c>
      <c r="K177" s="92" t="s">
        <v>48</v>
      </c>
      <c r="L177" s="351" t="s">
        <v>49</v>
      </c>
      <c r="M177" s="352"/>
      <c r="N177" s="93"/>
      <c r="O177" s="91" t="s">
        <v>50</v>
      </c>
      <c r="P177" s="92" t="s">
        <v>51</v>
      </c>
      <c r="Q177" s="94"/>
      <c r="R177" s="92" t="s">
        <v>52</v>
      </c>
    </row>
    <row r="178" spans="1:18" ht="15" customHeight="1" x14ac:dyDescent="0.25">
      <c r="A178" s="141"/>
      <c r="B178" s="142"/>
      <c r="C178" s="143"/>
      <c r="D178" s="356" t="s">
        <v>10</v>
      </c>
      <c r="E178" s="357"/>
      <c r="F178" s="356" t="s">
        <v>11</v>
      </c>
      <c r="G178" s="357"/>
      <c r="H178" s="356" t="s">
        <v>12</v>
      </c>
      <c r="I178" s="358"/>
      <c r="J178" s="144" t="s">
        <v>13</v>
      </c>
      <c r="K178" s="95" t="s">
        <v>53</v>
      </c>
      <c r="L178" s="96" t="s">
        <v>179</v>
      </c>
      <c r="M178" s="97" t="s">
        <v>180</v>
      </c>
      <c r="N178" s="98" t="s">
        <v>54</v>
      </c>
      <c r="O178" s="98" t="s">
        <v>53</v>
      </c>
      <c r="P178" s="98" t="s">
        <v>53</v>
      </c>
      <c r="Q178" s="98" t="s">
        <v>55</v>
      </c>
      <c r="R178" s="98" t="s">
        <v>56</v>
      </c>
    </row>
    <row r="179" spans="1:18" ht="45" x14ac:dyDescent="0.25">
      <c r="A179" s="145" t="s">
        <v>14</v>
      </c>
      <c r="B179" s="146" t="s">
        <v>15</v>
      </c>
      <c r="C179" s="147" t="s">
        <v>16</v>
      </c>
      <c r="D179" s="148" t="s">
        <v>17</v>
      </c>
      <c r="E179" s="149" t="s">
        <v>18</v>
      </c>
      <c r="F179" s="148" t="s">
        <v>17</v>
      </c>
      <c r="G179" s="149" t="s">
        <v>18</v>
      </c>
      <c r="H179" s="150" t="s">
        <v>17</v>
      </c>
      <c r="I179" s="151" t="s">
        <v>18</v>
      </c>
      <c r="J179" s="147" t="s">
        <v>18</v>
      </c>
      <c r="K179" s="152" t="s">
        <v>57</v>
      </c>
      <c r="L179" s="99"/>
      <c r="M179" s="99"/>
      <c r="N179" s="99"/>
      <c r="O179" s="152" t="s">
        <v>57</v>
      </c>
      <c r="P179" s="100"/>
      <c r="Q179" s="100"/>
      <c r="R179" s="153" t="s">
        <v>57</v>
      </c>
    </row>
    <row r="180" spans="1:18" x14ac:dyDescent="0.25">
      <c r="A180" s="75" t="s">
        <v>195</v>
      </c>
      <c r="B180" s="194">
        <v>11479167</v>
      </c>
      <c r="C180" s="155">
        <v>0.13130846252941786</v>
      </c>
      <c r="D180" s="78">
        <v>0</v>
      </c>
      <c r="E180" s="156">
        <v>0</v>
      </c>
      <c r="F180" s="157">
        <v>0</v>
      </c>
      <c r="G180" s="158">
        <v>0</v>
      </c>
      <c r="H180" s="200">
        <v>2.5488081999999999E-2</v>
      </c>
      <c r="I180" s="201">
        <v>0</v>
      </c>
      <c r="J180" s="202">
        <f>H180*I$209</f>
        <v>601279.48442290165</v>
      </c>
      <c r="K180" s="118">
        <f>(I$209-M$209)*H180</f>
        <v>53469.437904340768</v>
      </c>
      <c r="L180" s="84">
        <f>ROUND(J180*VLOOKUP(A180,'Actual Load'!$A$4:$B$37,2,FALSE)/VLOOKUP(A180,'Projected Zonal Load'!$A$4:$N$37,14,FALSE),0)</f>
        <v>601279</v>
      </c>
      <c r="M180" s="118">
        <f t="shared" ref="M180:M203" si="46">IF(NOT(L$43=0),M$6*L180/L$43,0)</f>
        <v>629492.69356160995</v>
      </c>
      <c r="N180" s="84">
        <f>+J180</f>
        <v>601279.48442290165</v>
      </c>
      <c r="O180" s="102">
        <f t="shared" ref="O180:O187" si="47">+M180-N180</f>
        <v>28213.209138708306</v>
      </c>
      <c r="P180" s="102">
        <f t="shared" ref="P180:P203" si="48">+K180+O180</f>
        <v>81682.647043049074</v>
      </c>
      <c r="Q180" s="49">
        <f>+H180*Interest!$D$15</f>
        <v>3980.7132573658</v>
      </c>
      <c r="R180" s="127">
        <f t="shared" ref="R180:R187" si="49">+P180+Q180</f>
        <v>85663.360300414875</v>
      </c>
    </row>
    <row r="181" spans="1:18" x14ac:dyDescent="0.25">
      <c r="A181" s="76" t="s">
        <v>19</v>
      </c>
      <c r="B181" s="194">
        <v>552209</v>
      </c>
      <c r="C181" s="155">
        <v>6.3166355873128521E-3</v>
      </c>
      <c r="D181" s="78">
        <v>0</v>
      </c>
      <c r="E181" s="156">
        <v>0</v>
      </c>
      <c r="F181" s="157">
        <v>0</v>
      </c>
      <c r="G181" s="156">
        <v>0</v>
      </c>
      <c r="H181" s="200">
        <v>1.2261119999999999E-3</v>
      </c>
      <c r="I181" s="203">
        <v>0</v>
      </c>
      <c r="J181" s="202">
        <f>H181*I$209</f>
        <v>28924.733968006411</v>
      </c>
      <c r="K181" s="118">
        <f>(I$209-M$209)*H181</f>
        <v>2572.1637056788763</v>
      </c>
      <c r="L181" s="84">
        <f>ROUND(J181*VLOOKUP(A181,'Actual Load'!$A$4:$B$37,2,FALSE)/VLOOKUP(A181,'Projected Zonal Load'!$A$4:$N$37,14,FALSE),0)</f>
        <v>27947</v>
      </c>
      <c r="M181" s="118">
        <f t="shared" si="46"/>
        <v>29258.351459083577</v>
      </c>
      <c r="N181" s="84">
        <f t="shared" ref="N181:N201" si="50">+J181</f>
        <v>28924.733968006411</v>
      </c>
      <c r="O181" s="102">
        <f t="shared" si="47"/>
        <v>333.61749107716605</v>
      </c>
      <c r="P181" s="102">
        <f t="shared" si="48"/>
        <v>2905.7811967560424</v>
      </c>
      <c r="Q181" s="49">
        <f>+H181*Interest!$D$15</f>
        <v>191.49343184847316</v>
      </c>
      <c r="R181" s="127">
        <f t="shared" si="49"/>
        <v>3097.2746286045158</v>
      </c>
    </row>
    <row r="182" spans="1:18" x14ac:dyDescent="0.25">
      <c r="A182" s="204" t="s">
        <v>207</v>
      </c>
      <c r="B182" s="194"/>
      <c r="C182" s="155"/>
      <c r="D182" s="78"/>
      <c r="E182" s="156"/>
      <c r="F182" s="157"/>
      <c r="G182" s="156"/>
      <c r="H182" s="200"/>
      <c r="I182" s="203"/>
      <c r="J182" s="205">
        <f>(+H183*(0.35+0.071))*I209</f>
        <v>230859.60243370509</v>
      </c>
      <c r="K182" s="131">
        <f>(I$209-M$209)*(H183*(0.35+0.071))</f>
        <v>20529.443456394158</v>
      </c>
      <c r="L182" s="84">
        <f>ROUND(J182*VLOOKUP(A182,'Actual Load'!$A$4:$B$37,2,FALSE)/VLOOKUP(A182,'Projected Zonal Load'!$A$4:$N$37,14,FALSE),0)</f>
        <v>230860</v>
      </c>
      <c r="M182" s="118">
        <f>IF(NOT(L$43=0),M$6*L182/L$43,0)</f>
        <v>241692.59733939366</v>
      </c>
      <c r="N182" s="84">
        <f>+J182</f>
        <v>230859.60243370509</v>
      </c>
      <c r="O182" s="102">
        <f>+M182-N182</f>
        <v>10832.994905688567</v>
      </c>
      <c r="P182" s="102">
        <f>+K182+O182</f>
        <v>31362.438362082725</v>
      </c>
      <c r="Q182" s="33">
        <f>(H183*(0.35+0.071))*Interest!$D$15</f>
        <v>1528.3838943550113</v>
      </c>
      <c r="R182" s="127">
        <f>+P182+Q182</f>
        <v>32890.822256437736</v>
      </c>
    </row>
    <row r="183" spans="1:18" x14ac:dyDescent="0.25">
      <c r="A183" s="204" t="s">
        <v>210</v>
      </c>
      <c r="B183" s="194">
        <v>10468870</v>
      </c>
      <c r="C183" s="155">
        <v>0.11975182729899711</v>
      </c>
      <c r="D183" s="78">
        <v>0</v>
      </c>
      <c r="E183" s="156">
        <v>0</v>
      </c>
      <c r="F183" s="157">
        <v>0</v>
      </c>
      <c r="G183" s="156">
        <v>0</v>
      </c>
      <c r="H183" s="200">
        <v>2.3244843000000001E-2</v>
      </c>
      <c r="I183" s="203">
        <v>0</v>
      </c>
      <c r="J183" s="205">
        <f>(+H183*0.579)*I209</f>
        <v>317500.49835894356</v>
      </c>
      <c r="K183" s="131">
        <f>(I$209-M$209)*(H183*0.579)</f>
        <v>28234.080192998143</v>
      </c>
      <c r="L183" s="84">
        <f>ROUND(J183*VLOOKUP(A183,'Actual Load'!$A$4:$B$37,2,FALSE)/VLOOKUP(A183,'Projected Zonal Load'!$A$4:$N$37,14,FALSE),0)</f>
        <v>318490</v>
      </c>
      <c r="M183" s="118">
        <f t="shared" si="46"/>
        <v>333434.44220143586</v>
      </c>
      <c r="N183" s="84">
        <f t="shared" si="50"/>
        <v>317500.49835894356</v>
      </c>
      <c r="O183" s="102">
        <f t="shared" si="47"/>
        <v>15933.943842492299</v>
      </c>
      <c r="P183" s="102">
        <f t="shared" si="48"/>
        <v>44168.024035490438</v>
      </c>
      <c r="Q183" s="33">
        <f>(H183*0.579)*Interest!$D$15</f>
        <v>2101.9816504312389</v>
      </c>
      <c r="R183" s="127">
        <f t="shared" si="49"/>
        <v>46270.005685921678</v>
      </c>
    </row>
    <row r="184" spans="1:18" x14ac:dyDescent="0.25">
      <c r="A184" s="76" t="s">
        <v>211</v>
      </c>
      <c r="B184" s="194">
        <v>1032750</v>
      </c>
      <c r="C184" s="155">
        <v>1.1813471715957813E-2</v>
      </c>
      <c r="D184" s="78">
        <v>0</v>
      </c>
      <c r="E184" s="156">
        <v>0</v>
      </c>
      <c r="F184" s="157">
        <v>0</v>
      </c>
      <c r="G184" s="156">
        <v>0</v>
      </c>
      <c r="H184" s="200">
        <v>2.2930939999999999E-3</v>
      </c>
      <c r="I184" s="203">
        <v>0</v>
      </c>
      <c r="J184" s="202">
        <f t="shared" ref="J184:J203" si="51">H184*I$209</f>
        <v>54095.493652807971</v>
      </c>
      <c r="K184" s="118">
        <f t="shared" ref="K184:K203" si="52">(I$209-M$209)*H184</f>
        <v>4810.5011291872179</v>
      </c>
      <c r="L184" s="84">
        <f>ROUND(J184*VLOOKUP(A184,'Actual Load'!$A$4:$B$37,2,FALSE)/VLOOKUP(A184,'Projected Zonal Load'!$A$4:$N$37,14,FALSE),0)</f>
        <v>53299</v>
      </c>
      <c r="M184" s="118">
        <f t="shared" si="46"/>
        <v>55799.938255186447</v>
      </c>
      <c r="N184" s="84">
        <f t="shared" si="50"/>
        <v>54095.493652807971</v>
      </c>
      <c r="O184" s="102">
        <f t="shared" si="47"/>
        <v>1704.4446023784767</v>
      </c>
      <c r="P184" s="102">
        <f t="shared" si="48"/>
        <v>6514.9457315656946</v>
      </c>
      <c r="Q184" s="49">
        <f>+H184*Interest!$D$15</f>
        <v>358.13403637770671</v>
      </c>
      <c r="R184" s="127">
        <f t="shared" si="49"/>
        <v>6873.0797679434017</v>
      </c>
    </row>
    <row r="185" spans="1:18" x14ac:dyDescent="0.25">
      <c r="A185" s="76" t="s">
        <v>20</v>
      </c>
      <c r="B185" s="194">
        <v>2589500</v>
      </c>
      <c r="C185" s="155">
        <v>2.9620900516555561E-2</v>
      </c>
      <c r="D185" s="78">
        <v>0</v>
      </c>
      <c r="E185" s="156">
        <v>0</v>
      </c>
      <c r="F185" s="157">
        <v>0</v>
      </c>
      <c r="G185" s="156">
        <v>0</v>
      </c>
      <c r="H185" s="200">
        <v>5.749667E-3</v>
      </c>
      <c r="I185" s="203">
        <v>0</v>
      </c>
      <c r="J185" s="202">
        <f t="shared" si="51"/>
        <v>135638.17039522124</v>
      </c>
      <c r="K185" s="118">
        <f t="shared" si="52"/>
        <v>12061.773130953412</v>
      </c>
      <c r="L185" s="84">
        <f>ROUND(J185*VLOOKUP(A185,'Actual Load'!$A$4:$B$37,2,FALSE)/VLOOKUP(A185,'Projected Zonal Load'!$A$4:$N$37,14,FALSE),0)</f>
        <v>128893</v>
      </c>
      <c r="M185" s="118">
        <f t="shared" si="46"/>
        <v>134941.02031043259</v>
      </c>
      <c r="N185" s="84">
        <f t="shared" si="50"/>
        <v>135638.17039522124</v>
      </c>
      <c r="O185" s="102">
        <f t="shared" si="47"/>
        <v>-697.15008478864911</v>
      </c>
      <c r="P185" s="102">
        <f t="shared" si="48"/>
        <v>11364.623046164763</v>
      </c>
      <c r="Q185" s="49">
        <f>+H185*Interest!$D$15</f>
        <v>897.979520480931</v>
      </c>
      <c r="R185" s="127">
        <f t="shared" si="49"/>
        <v>12262.602566645694</v>
      </c>
    </row>
    <row r="186" spans="1:18" x14ac:dyDescent="0.25">
      <c r="A186" s="76" t="s">
        <v>21</v>
      </c>
      <c r="B186" s="194">
        <v>2986010</v>
      </c>
      <c r="C186" s="155">
        <v>3.4156518691423082E-2</v>
      </c>
      <c r="D186" s="78">
        <v>0</v>
      </c>
      <c r="E186" s="156">
        <v>0</v>
      </c>
      <c r="F186" s="157">
        <v>0</v>
      </c>
      <c r="G186" s="156">
        <v>0</v>
      </c>
      <c r="H186" s="200">
        <v>6.6300689999999997E-3</v>
      </c>
      <c r="I186" s="203">
        <v>0</v>
      </c>
      <c r="J186" s="202">
        <f t="shared" si="51"/>
        <v>156407.39346366914</v>
      </c>
      <c r="K186" s="118">
        <f t="shared" si="52"/>
        <v>13908.699081280212</v>
      </c>
      <c r="L186" s="84">
        <f>ROUND(J186*VLOOKUP(A186,'Actual Load'!$A$4:$B$37,2,FALSE)/VLOOKUP(A186,'Projected Zonal Load'!$A$4:$N$37,14,FALSE),0)</f>
        <v>149823</v>
      </c>
      <c r="M186" s="118">
        <f t="shared" si="46"/>
        <v>156853.11449008045</v>
      </c>
      <c r="N186" s="84">
        <f t="shared" si="50"/>
        <v>156407.39346366914</v>
      </c>
      <c r="O186" s="102">
        <f t="shared" si="47"/>
        <v>445.72102641130914</v>
      </c>
      <c r="P186" s="102">
        <f t="shared" si="48"/>
        <v>14354.420107691521</v>
      </c>
      <c r="Q186" s="49">
        <f>+H186*Interest!$D$15</f>
        <v>1035.4801732649014</v>
      </c>
      <c r="R186" s="127">
        <f t="shared" si="49"/>
        <v>15389.900280956423</v>
      </c>
    </row>
    <row r="187" spans="1:18" x14ac:dyDescent="0.25">
      <c r="A187" s="76" t="s">
        <v>22</v>
      </c>
      <c r="B187" s="194">
        <v>6997000</v>
      </c>
      <c r="C187" s="155">
        <v>8.003762923898021E-2</v>
      </c>
      <c r="D187" s="78">
        <v>0</v>
      </c>
      <c r="E187" s="156">
        <v>0</v>
      </c>
      <c r="F187" s="157">
        <v>0</v>
      </c>
      <c r="G187" s="156">
        <v>0</v>
      </c>
      <c r="H187" s="200">
        <v>1.553598E-2</v>
      </c>
      <c r="I187" s="203">
        <v>0</v>
      </c>
      <c r="J187" s="202">
        <f t="shared" si="51"/>
        <v>366503.29532071151</v>
      </c>
      <c r="K187" s="118">
        <f t="shared" si="52"/>
        <v>32591.707680989104</v>
      </c>
      <c r="L187" s="84">
        <f>ROUND(J187*'Actual Load'!$B$17/'Projected Zonal Load'!$N$17,0)</f>
        <v>357091</v>
      </c>
      <c r="M187" s="118">
        <f t="shared" si="46"/>
        <v>373846.70915932348</v>
      </c>
      <c r="N187" s="84">
        <f t="shared" si="50"/>
        <v>366503.29532071151</v>
      </c>
      <c r="O187" s="102">
        <f t="shared" si="47"/>
        <v>7343.4138386119739</v>
      </c>
      <c r="P187" s="102">
        <f t="shared" si="48"/>
        <v>39935.121519601074</v>
      </c>
      <c r="Q187" s="49">
        <f>+H187*Interest!$D$15</f>
        <v>2426.3999759640574</v>
      </c>
      <c r="R187" s="127">
        <f t="shared" si="49"/>
        <v>42361.521495565132</v>
      </c>
    </row>
    <row r="188" spans="1:18" x14ac:dyDescent="0.25">
      <c r="A188" s="76" t="s">
        <v>23</v>
      </c>
      <c r="B188" s="194">
        <v>9283000</v>
      </c>
      <c r="C188" s="155">
        <v>0.10618683896319184</v>
      </c>
      <c r="D188" s="78">
        <v>0</v>
      </c>
      <c r="E188" s="156">
        <v>0</v>
      </c>
      <c r="F188" s="157">
        <v>0</v>
      </c>
      <c r="G188" s="156">
        <v>0</v>
      </c>
      <c r="H188" s="200">
        <v>2.0611763000000002E-2</v>
      </c>
      <c r="I188" s="203">
        <v>0</v>
      </c>
      <c r="J188" s="202">
        <f t="shared" si="51"/>
        <v>486244.12891040772</v>
      </c>
      <c r="K188" s="118">
        <f t="shared" si="52"/>
        <v>43239.792693208095</v>
      </c>
      <c r="L188" s="84">
        <f>ROUND(J188*VLOOKUP(A188,'Actual Load'!$A$4:$B$37,2,FALSE)/VLOOKUP(A188,'Projected Zonal Load'!$A$4:$N$37,14,FALSE),0)</f>
        <v>464397</v>
      </c>
      <c r="M188" s="118">
        <f t="shared" si="46"/>
        <v>486187.80701127264</v>
      </c>
      <c r="N188" s="84">
        <f t="shared" si="50"/>
        <v>486244.12891040772</v>
      </c>
      <c r="O188" s="102">
        <f>+M188-N188</f>
        <v>-56.321899135073181</v>
      </c>
      <c r="P188" s="102">
        <f t="shared" si="48"/>
        <v>43183.470794073022</v>
      </c>
      <c r="Q188" s="49">
        <f>+H188*Interest!$D$15</f>
        <v>3219.1327002079593</v>
      </c>
      <c r="R188" s="127">
        <f>+P188+Q188</f>
        <v>46402.603494280978</v>
      </c>
    </row>
    <row r="189" spans="1:18" x14ac:dyDescent="0.25">
      <c r="A189" s="76" t="s">
        <v>24</v>
      </c>
      <c r="B189" s="194">
        <v>2800184</v>
      </c>
      <c r="C189" s="155">
        <v>3.2030883063159148E-2</v>
      </c>
      <c r="D189" s="78">
        <v>0</v>
      </c>
      <c r="E189" s="156">
        <v>0</v>
      </c>
      <c r="F189" s="157">
        <v>0</v>
      </c>
      <c r="G189" s="156">
        <v>0</v>
      </c>
      <c r="H189" s="200">
        <v>1.1657959000000001E-2</v>
      </c>
      <c r="I189" s="203">
        <v>0</v>
      </c>
      <c r="J189" s="202">
        <f t="shared" si="51"/>
        <v>275018.40181396651</v>
      </c>
      <c r="K189" s="118">
        <f t="shared" si="52"/>
        <v>24456.313144388452</v>
      </c>
      <c r="L189" s="84">
        <f>ROUND(J189*VLOOKUP(A189,'Actual Load'!$A$4:$B$37,2,FALSE)/VLOOKUP(A189,'Projected Zonal Load'!$A$4:$N$37,14,FALSE),0)</f>
        <v>270471</v>
      </c>
      <c r="M189" s="118">
        <f t="shared" si="46"/>
        <v>283162.25632410613</v>
      </c>
      <c r="N189" s="84">
        <f t="shared" si="50"/>
        <v>275018.40181396651</v>
      </c>
      <c r="O189" s="102">
        <f t="shared" ref="O189:O201" si="53">+M189-N189</f>
        <v>8143.8545101396157</v>
      </c>
      <c r="P189" s="102">
        <f t="shared" si="48"/>
        <v>32600.167654528068</v>
      </c>
      <c r="Q189" s="49">
        <f>+H189*Interest!$D$15</f>
        <v>1820.7329976860146</v>
      </c>
      <c r="R189" s="127">
        <f t="shared" ref="R189:R201" si="54">+P189+Q189</f>
        <v>34420.900652214084</v>
      </c>
    </row>
    <row r="190" spans="1:18" x14ac:dyDescent="0.25">
      <c r="A190" s="76" t="s">
        <v>25</v>
      </c>
      <c r="B190" s="194">
        <v>234000</v>
      </c>
      <c r="C190" s="155">
        <v>2.6766907591712691E-3</v>
      </c>
      <c r="D190" s="78">
        <v>0</v>
      </c>
      <c r="E190" s="156">
        <v>0</v>
      </c>
      <c r="F190" s="157">
        <v>0</v>
      </c>
      <c r="G190" s="156">
        <v>0</v>
      </c>
      <c r="H190" s="200">
        <v>5.1956699999999997E-4</v>
      </c>
      <c r="I190" s="203">
        <v>0</v>
      </c>
      <c r="J190" s="202">
        <f t="shared" si="51"/>
        <v>12256.904143793705</v>
      </c>
      <c r="K190" s="118">
        <f t="shared" si="52"/>
        <v>1089.9586498366029</v>
      </c>
      <c r="L190" s="84">
        <f>ROUND(J190*VLOOKUP(A190,'Actual Load'!$A$4:$B$37,2,FALSE)/VLOOKUP(A190,'Projected Zonal Load'!$A$4:$N$37,14,FALSE),0)</f>
        <v>12058</v>
      </c>
      <c r="M190" s="118">
        <f t="shared" si="46"/>
        <v>12623.795108370479</v>
      </c>
      <c r="N190" s="84">
        <f t="shared" si="50"/>
        <v>12256.904143793705</v>
      </c>
      <c r="O190" s="102">
        <f t="shared" si="53"/>
        <v>366.89096457677442</v>
      </c>
      <c r="P190" s="102">
        <f t="shared" si="48"/>
        <v>1456.8496144133774</v>
      </c>
      <c r="Q190" s="49">
        <f>+H190*Interest!$D$15</f>
        <v>81.145660351758778</v>
      </c>
      <c r="R190" s="127">
        <f t="shared" si="54"/>
        <v>1537.9952747651362</v>
      </c>
    </row>
    <row r="191" spans="1:18" x14ac:dyDescent="0.25">
      <c r="A191" s="76" t="s">
        <v>27</v>
      </c>
      <c r="B191" s="194">
        <v>7060375</v>
      </c>
      <c r="C191" s="155">
        <v>8.0762566319589099E-2</v>
      </c>
      <c r="D191" s="78">
        <v>0</v>
      </c>
      <c r="E191" s="156">
        <v>0</v>
      </c>
      <c r="F191" s="157">
        <v>0</v>
      </c>
      <c r="G191" s="156">
        <v>0</v>
      </c>
      <c r="H191" s="200">
        <v>1.5676696E-2</v>
      </c>
      <c r="I191" s="203">
        <v>0</v>
      </c>
      <c r="J191" s="202">
        <f t="shared" si="51"/>
        <v>369822.87205190898</v>
      </c>
      <c r="K191" s="118">
        <f t="shared" si="52"/>
        <v>32886.904684206027</v>
      </c>
      <c r="L191" s="84">
        <f>ROUND(J191*VLOOKUP(A191,'Actual Load'!$A$4:$B$37,2,FALSE)/VLOOKUP(A191,'Projected Zonal Load'!$A$4:$N$37,14,FALSE),0)</f>
        <v>346900</v>
      </c>
      <c r="M191" s="118">
        <f t="shared" si="46"/>
        <v>363177.51891638077</v>
      </c>
      <c r="N191" s="84">
        <f t="shared" si="50"/>
        <v>369822.87205190898</v>
      </c>
      <c r="O191" s="102">
        <f t="shared" si="53"/>
        <v>-6645.3531355282175</v>
      </c>
      <c r="P191" s="102">
        <f t="shared" si="48"/>
        <v>26241.551548677809</v>
      </c>
      <c r="Q191" s="49">
        <f>+H191*Interest!$D$15</f>
        <v>2448.3769158814466</v>
      </c>
      <c r="R191" s="127">
        <f t="shared" si="54"/>
        <v>28689.928464559256</v>
      </c>
    </row>
    <row r="192" spans="1:18" x14ac:dyDescent="0.25">
      <c r="A192" s="76" t="s">
        <v>26</v>
      </c>
      <c r="B192" s="194">
        <v>7069072</v>
      </c>
      <c r="C192" s="155">
        <v>8.0862049992804969E-2</v>
      </c>
      <c r="D192" s="78">
        <v>0</v>
      </c>
      <c r="E192" s="156">
        <v>0</v>
      </c>
      <c r="F192" s="157">
        <v>0</v>
      </c>
      <c r="G192" s="156">
        <v>0</v>
      </c>
      <c r="H192" s="200">
        <v>1.5696008000000001E-2</v>
      </c>
      <c r="I192" s="203">
        <v>0</v>
      </c>
      <c r="J192" s="202">
        <f t="shared" si="51"/>
        <v>370278.45397459646</v>
      </c>
      <c r="K192" s="118">
        <f t="shared" si="52"/>
        <v>32927.417806566853</v>
      </c>
      <c r="L192" s="84">
        <f>ROUND(J192*VLOOKUP(A192,'Actual Load'!$A$4:$B$37,2,FALSE)/VLOOKUP(A192,'Projected Zonal Load'!$A$4:$N$37,14,FALSE),0)</f>
        <v>361254</v>
      </c>
      <c r="M192" s="118">
        <f t="shared" si="46"/>
        <v>378205.0487708798</v>
      </c>
      <c r="N192" s="84">
        <f t="shared" si="50"/>
        <v>370278.45397459646</v>
      </c>
      <c r="O192" s="102">
        <f t="shared" si="53"/>
        <v>7926.5947962833452</v>
      </c>
      <c r="P192" s="102">
        <f t="shared" si="48"/>
        <v>40854.012602850198</v>
      </c>
      <c r="Q192" s="49">
        <f>+H192*Interest!$D$15</f>
        <v>2451.3930523810959</v>
      </c>
      <c r="R192" s="127">
        <f t="shared" si="54"/>
        <v>43305.405655231298</v>
      </c>
    </row>
    <row r="193" spans="1:19" x14ac:dyDescent="0.25">
      <c r="A193" s="76" t="s">
        <v>69</v>
      </c>
      <c r="B193" s="194">
        <v>483692</v>
      </c>
      <c r="C193" s="155">
        <v>5.5328799430985872E-3</v>
      </c>
      <c r="D193" s="78">
        <v>0</v>
      </c>
      <c r="E193" s="156">
        <v>0</v>
      </c>
      <c r="F193" s="157">
        <v>0</v>
      </c>
      <c r="G193" s="156">
        <v>0</v>
      </c>
      <c r="H193" s="200">
        <v>1.07398E-3</v>
      </c>
      <c r="I193" s="203">
        <v>0</v>
      </c>
      <c r="J193" s="202">
        <f t="shared" si="51"/>
        <v>25335.846796181366</v>
      </c>
      <c r="K193" s="118">
        <f t="shared" si="52"/>
        <v>2253.0179760291066</v>
      </c>
      <c r="L193" s="84">
        <f>ROUND(J193*'Actual Load'!$B$18/'Projected Zonal Load'!$N$18,0)</f>
        <v>24728</v>
      </c>
      <c r="M193" s="118">
        <f t="shared" si="46"/>
        <v>25888.306969628895</v>
      </c>
      <c r="N193" s="84">
        <f t="shared" si="50"/>
        <v>25335.846796181366</v>
      </c>
      <c r="O193" s="102">
        <f t="shared" si="53"/>
        <v>552.46017344752909</v>
      </c>
      <c r="P193" s="102">
        <f t="shared" si="48"/>
        <v>2805.4781494766357</v>
      </c>
      <c r="Q193" s="49">
        <f>+H193*Interest!$D$15</f>
        <v>167.7335479439262</v>
      </c>
      <c r="R193" s="127">
        <f t="shared" si="54"/>
        <v>2973.2116974205619</v>
      </c>
    </row>
    <row r="194" spans="1:19" s="81" customFormat="1" x14ac:dyDescent="0.25">
      <c r="A194" s="76" t="s">
        <v>70</v>
      </c>
      <c r="B194" s="154">
        <v>125500</v>
      </c>
      <c r="C194" s="206">
        <v>1.435575599470061E-3</v>
      </c>
      <c r="D194" s="207">
        <v>0</v>
      </c>
      <c r="E194" s="208">
        <v>0</v>
      </c>
      <c r="F194" s="209">
        <v>0</v>
      </c>
      <c r="G194" s="208">
        <v>0</v>
      </c>
      <c r="H194" s="200">
        <v>2.7865700000000003E-4</v>
      </c>
      <c r="I194" s="203">
        <v>0</v>
      </c>
      <c r="J194" s="202">
        <f t="shared" si="51"/>
        <v>6573.6895106831707</v>
      </c>
      <c r="K194" s="118">
        <f t="shared" si="52"/>
        <v>584.57255269776238</v>
      </c>
      <c r="L194" s="84">
        <f>ROUND(J194*'Actual Load'!$B$17/'Projected Zonal Load'!$N$17,0)</f>
        <v>6405</v>
      </c>
      <c r="M194" s="118">
        <f>IF(NOT(L$43=0),M$6*L194/L$43,0)</f>
        <v>6705.5405265477621</v>
      </c>
      <c r="N194" s="84">
        <f t="shared" si="50"/>
        <v>6573.6895106831707</v>
      </c>
      <c r="O194" s="118">
        <f t="shared" si="53"/>
        <v>131.85101586459132</v>
      </c>
      <c r="P194" s="118">
        <f t="shared" si="48"/>
        <v>716.42356856235369</v>
      </c>
      <c r="Q194" s="49">
        <f>+H194*Interest!$D$15</f>
        <v>43.520482010289435</v>
      </c>
      <c r="R194" s="119">
        <f t="shared" si="54"/>
        <v>759.94405057264316</v>
      </c>
    </row>
    <row r="195" spans="1:19" x14ac:dyDescent="0.25">
      <c r="A195" s="76" t="s">
        <v>28</v>
      </c>
      <c r="B195" s="194">
        <v>349000</v>
      </c>
      <c r="C195" s="155">
        <v>3.992158439960568E-3</v>
      </c>
      <c r="D195" s="78">
        <v>0</v>
      </c>
      <c r="E195" s="156">
        <v>0</v>
      </c>
      <c r="F195" s="157">
        <v>0</v>
      </c>
      <c r="G195" s="156">
        <v>0</v>
      </c>
      <c r="H195" s="200">
        <v>7.74912E-4</v>
      </c>
      <c r="I195" s="203">
        <v>0</v>
      </c>
      <c r="J195" s="202">
        <f t="shared" si="51"/>
        <v>18280.649278871573</v>
      </c>
      <c r="K195" s="118">
        <f t="shared" si="52"/>
        <v>1625.6267955089172</v>
      </c>
      <c r="L195" s="84">
        <f>ROUND(J195*VLOOKUP(A195,'Actual Load'!$A$4:$B$37,2,FALSE)/VLOOKUP(A195,'Projected Zonal Load'!$A$4:$N$37,14,FALSE),0)</f>
        <v>18363</v>
      </c>
      <c r="M195" s="118">
        <f t="shared" si="46"/>
        <v>19224.64335503459</v>
      </c>
      <c r="N195" s="84">
        <f t="shared" si="50"/>
        <v>18280.649278871573</v>
      </c>
      <c r="O195" s="102">
        <f t="shared" si="53"/>
        <v>943.99407616301687</v>
      </c>
      <c r="P195" s="102">
        <f t="shared" si="48"/>
        <v>2569.6208716719339</v>
      </c>
      <c r="Q195" s="49">
        <f>+H195*Interest!$D$15</f>
        <v>121.02528827755054</v>
      </c>
      <c r="R195" s="127">
        <f t="shared" si="54"/>
        <v>2690.6461599494842</v>
      </c>
    </row>
    <row r="196" spans="1:19" x14ac:dyDescent="0.25">
      <c r="A196" s="76" t="s">
        <v>29</v>
      </c>
      <c r="B196" s="194">
        <v>369700</v>
      </c>
      <c r="C196" s="155">
        <v>4.2289426225026417E-3</v>
      </c>
      <c r="D196" s="78">
        <v>0</v>
      </c>
      <c r="E196" s="156">
        <v>0</v>
      </c>
      <c r="F196" s="157">
        <v>0</v>
      </c>
      <c r="G196" s="156">
        <v>0</v>
      </c>
      <c r="H196" s="200">
        <v>8.2087299999999996E-4</v>
      </c>
      <c r="I196" s="203">
        <v>0</v>
      </c>
      <c r="J196" s="202">
        <f t="shared" si="51"/>
        <v>19364.897453511039</v>
      </c>
      <c r="K196" s="118">
        <f t="shared" si="52"/>
        <v>1722.044754126651</v>
      </c>
      <c r="L196" s="84">
        <f>ROUND(J196*VLOOKUP(A196,'Actual Load'!$A$4:$B$37,2,FALSE)/VLOOKUP(A196,'Projected Zonal Load'!$A$4:$N$37,14,FALSE),0)</f>
        <v>19233</v>
      </c>
      <c r="M196" s="118">
        <f t="shared" si="46"/>
        <v>20135.466190022344</v>
      </c>
      <c r="N196" s="84">
        <f t="shared" si="50"/>
        <v>19364.897453511039</v>
      </c>
      <c r="O196" s="102">
        <f t="shared" si="53"/>
        <v>770.56873651130445</v>
      </c>
      <c r="P196" s="102">
        <f t="shared" si="48"/>
        <v>2492.6134906379557</v>
      </c>
      <c r="Q196" s="49">
        <f>+H196*Interest!$D$15</f>
        <v>128.20344950685723</v>
      </c>
      <c r="R196" s="127">
        <f t="shared" si="54"/>
        <v>2620.8169401448131</v>
      </c>
    </row>
    <row r="197" spans="1:19" x14ac:dyDescent="0.25">
      <c r="A197" s="76" t="s">
        <v>30</v>
      </c>
      <c r="B197" s="194">
        <v>10701139</v>
      </c>
      <c r="C197" s="155">
        <v>0.12240871740986015</v>
      </c>
      <c r="D197" s="78">
        <v>0</v>
      </c>
      <c r="E197" s="156">
        <v>0</v>
      </c>
      <c r="F197" s="157">
        <v>0</v>
      </c>
      <c r="G197" s="156">
        <v>0</v>
      </c>
      <c r="H197" s="200">
        <v>3.0205915999999999E-2</v>
      </c>
      <c r="I197" s="203">
        <v>0</v>
      </c>
      <c r="J197" s="202">
        <f t="shared" si="51"/>
        <v>712576.08159772377</v>
      </c>
      <c r="K197" s="118">
        <f t="shared" si="52"/>
        <v>63366.609927955091</v>
      </c>
      <c r="L197" s="84">
        <f>ROUND(J197*VLOOKUP(A197,'Actual Load'!$A$4:$B$37,2,FALSE)/VLOOKUP(A197,'Projected Zonal Load'!$A$4:$N$37,14,FALSE),0)</f>
        <v>691393</v>
      </c>
      <c r="M197" s="118">
        <f t="shared" si="46"/>
        <v>723835.09465596208</v>
      </c>
      <c r="N197" s="84">
        <f t="shared" si="50"/>
        <v>712576.08159772377</v>
      </c>
      <c r="O197" s="102">
        <f t="shared" si="53"/>
        <v>11259.013058238314</v>
      </c>
      <c r="P197" s="102">
        <f t="shared" si="48"/>
        <v>74625.622986193397</v>
      </c>
      <c r="Q197" s="49">
        <f>+H197*Interest!$D$15</f>
        <v>4717.5417229149589</v>
      </c>
      <c r="R197" s="127">
        <f t="shared" si="54"/>
        <v>79343.164709108358</v>
      </c>
    </row>
    <row r="198" spans="1:19" x14ac:dyDescent="0.25">
      <c r="A198" s="76" t="s">
        <v>31</v>
      </c>
      <c r="B198" s="194">
        <v>8491257</v>
      </c>
      <c r="C198" s="155">
        <v>9.7130210024138255E-2</v>
      </c>
      <c r="D198" s="78">
        <v>0</v>
      </c>
      <c r="E198" s="156">
        <v>0</v>
      </c>
      <c r="F198" s="157">
        <v>0</v>
      </c>
      <c r="G198" s="156">
        <v>0</v>
      </c>
      <c r="H198" s="200">
        <v>0.49475347800000002</v>
      </c>
      <c r="I198" s="203">
        <v>0</v>
      </c>
      <c r="J198" s="202">
        <f t="shared" si="51"/>
        <v>11671537.943430873</v>
      </c>
      <c r="K198" s="118">
        <f t="shared" si="52"/>
        <v>1037904.3181781049</v>
      </c>
      <c r="L198" s="84">
        <f>ROUND(J198*VLOOKUP(A198,'Actual Load'!$A$4:$B$37,2,FALSE)/VLOOKUP(A198,'Projected Zonal Load'!$A$4:$N$37,14,FALSE),0)</f>
        <v>11149731</v>
      </c>
      <c r="M198" s="118">
        <f t="shared" si="46"/>
        <v>11672907.584794052</v>
      </c>
      <c r="N198" s="84">
        <f t="shared" si="50"/>
        <v>11671537.943430873</v>
      </c>
      <c r="O198" s="102">
        <f t="shared" si="53"/>
        <v>1369.6413631793112</v>
      </c>
      <c r="P198" s="102">
        <f t="shared" si="48"/>
        <v>1039273.9595412842</v>
      </c>
      <c r="Q198" s="49">
        <f>+H198*Interest!$D$15</f>
        <v>77270.299467901859</v>
      </c>
      <c r="R198" s="127">
        <f t="shared" si="54"/>
        <v>1116544.2590091862</v>
      </c>
    </row>
    <row r="199" spans="1:19" x14ac:dyDescent="0.25">
      <c r="A199" s="76" t="s">
        <v>32</v>
      </c>
      <c r="B199" s="194">
        <v>1726630</v>
      </c>
      <c r="C199" s="155">
        <v>1.9750660536358496E-2</v>
      </c>
      <c r="D199" s="78">
        <v>0</v>
      </c>
      <c r="E199" s="156">
        <v>0</v>
      </c>
      <c r="F199" s="157">
        <v>0</v>
      </c>
      <c r="G199" s="156">
        <v>0</v>
      </c>
      <c r="H199" s="200">
        <v>9.7935486000000002E-2</v>
      </c>
      <c r="I199" s="203">
        <v>0</v>
      </c>
      <c r="J199" s="202">
        <f t="shared" si="51"/>
        <v>2310358.1716657341</v>
      </c>
      <c r="K199" s="118">
        <f t="shared" si="52"/>
        <v>205451.13544865538</v>
      </c>
      <c r="L199" s="84">
        <f>ROUND(J199*VLOOKUP(A199,'Actual Load'!$A$4:$B$37,2,FALSE)/VLOOKUP(A199,'Projected Zonal Load'!$A$4:$N$37,14,FALSE),0)</f>
        <v>2150956</v>
      </c>
      <c r="M199" s="118">
        <f t="shared" si="46"/>
        <v>2251884.8756941557</v>
      </c>
      <c r="N199" s="84">
        <f t="shared" si="50"/>
        <v>2310358.1716657341</v>
      </c>
      <c r="O199" s="102">
        <f t="shared" si="53"/>
        <v>-58473.295971578453</v>
      </c>
      <c r="P199" s="102">
        <f t="shared" si="48"/>
        <v>146977.83947707692</v>
      </c>
      <c r="Q199" s="49">
        <f>+H199*Interest!$D$15</f>
        <v>15295.505071223592</v>
      </c>
      <c r="R199" s="127">
        <f t="shared" si="54"/>
        <v>162273.34454830052</v>
      </c>
    </row>
    <row r="200" spans="1:19" x14ac:dyDescent="0.25">
      <c r="A200" s="76" t="s">
        <v>33</v>
      </c>
      <c r="B200" s="194">
        <v>260430</v>
      </c>
      <c r="C200" s="155">
        <v>2.9790195487648446E-3</v>
      </c>
      <c r="D200" s="78">
        <v>0</v>
      </c>
      <c r="E200" s="156">
        <v>0</v>
      </c>
      <c r="F200" s="157">
        <v>0</v>
      </c>
      <c r="G200" s="156">
        <v>0</v>
      </c>
      <c r="H200" s="200">
        <v>5.7825300000000004E-4</v>
      </c>
      <c r="I200" s="203">
        <v>0</v>
      </c>
      <c r="J200" s="202">
        <f t="shared" si="51"/>
        <v>13641.342871778119</v>
      </c>
      <c r="K200" s="118">
        <f t="shared" si="52"/>
        <v>1213.0713827936825</v>
      </c>
      <c r="L200" s="84">
        <f>ROUND(J200*VLOOKUP(A200,'Actual Load'!$A$4:$B$37,2,FALSE)/VLOOKUP(A200,'Projected Zonal Load'!$A$4:$N$37,14,FALSE),0)</f>
        <v>13028</v>
      </c>
      <c r="M200" s="118">
        <f t="shared" si="46"/>
        <v>13639.310223241881</v>
      </c>
      <c r="N200" s="84">
        <f t="shared" si="50"/>
        <v>13641.342871778119</v>
      </c>
      <c r="O200" s="102">
        <f t="shared" si="53"/>
        <v>-2.0326485362384119</v>
      </c>
      <c r="P200" s="102">
        <f t="shared" si="48"/>
        <v>1211.038734257444</v>
      </c>
      <c r="Q200" s="49">
        <f>+H200*Interest!$D$15</f>
        <v>90.311204397865097</v>
      </c>
      <c r="R200" s="127">
        <f t="shared" si="54"/>
        <v>1301.3499386553092</v>
      </c>
    </row>
    <row r="201" spans="1:19" x14ac:dyDescent="0.25">
      <c r="A201" s="76" t="s">
        <v>34</v>
      </c>
      <c r="B201" s="194">
        <v>1010330</v>
      </c>
      <c r="C201" s="155">
        <v>1.155701271245089E-2</v>
      </c>
      <c r="D201" s="78">
        <v>0</v>
      </c>
      <c r="E201" s="156">
        <v>0</v>
      </c>
      <c r="F201" s="157">
        <v>0</v>
      </c>
      <c r="G201" s="156">
        <v>0</v>
      </c>
      <c r="H201" s="200">
        <v>3.2541869000000001E-2</v>
      </c>
      <c r="I201" s="203">
        <v>0</v>
      </c>
      <c r="J201" s="202">
        <f t="shared" si="51"/>
        <v>767682.64534293348</v>
      </c>
      <c r="K201" s="118">
        <f t="shared" si="52"/>
        <v>68267.021574502622</v>
      </c>
      <c r="L201" s="84">
        <f>ROUND(J201*VLOOKUP(A201,'Actual Load'!$A$4:$B$37,2,FALSE)/VLOOKUP(A201,'Projected Zonal Load'!$A$4:$N$37,14,FALSE),0)</f>
        <v>744786</v>
      </c>
      <c r="M201" s="118">
        <f t="shared" si="46"/>
        <v>779733.44365423918</v>
      </c>
      <c r="N201" s="84">
        <f t="shared" si="50"/>
        <v>767682.64534293348</v>
      </c>
      <c r="O201" s="102">
        <f t="shared" si="53"/>
        <v>12050.798311305698</v>
      </c>
      <c r="P201" s="102">
        <f t="shared" si="48"/>
        <v>80317.81988580832</v>
      </c>
      <c r="Q201" s="49">
        <f>+H201*Interest!$D$15</f>
        <v>5082.3694520349218</v>
      </c>
      <c r="R201" s="127">
        <f t="shared" si="54"/>
        <v>85400.189337843243</v>
      </c>
    </row>
    <row r="202" spans="1:19" x14ac:dyDescent="0.25">
      <c r="A202" s="76" t="s">
        <v>35</v>
      </c>
      <c r="B202" s="194">
        <v>744197</v>
      </c>
      <c r="C202" s="155">
        <v>8.5127574055682952E-3</v>
      </c>
      <c r="D202" s="78">
        <v>0</v>
      </c>
      <c r="E202" s="156">
        <v>0</v>
      </c>
      <c r="F202" s="157">
        <v>0</v>
      </c>
      <c r="G202" s="156">
        <v>0</v>
      </c>
      <c r="H202" s="200">
        <v>0.18369840200000001</v>
      </c>
      <c r="I202" s="203">
        <v>0</v>
      </c>
      <c r="J202" s="202">
        <f t="shared" si="51"/>
        <v>4333557.9524528729</v>
      </c>
      <c r="K202" s="118">
        <f t="shared" si="52"/>
        <v>385366.3959047852</v>
      </c>
      <c r="L202" s="84">
        <f>ROUND(J202*VLOOKUP(A202,'Actual Load'!$A$4:$B$37,2,FALSE)/VLOOKUP(A202,'Projected Zonal Load'!$A$4:$N$37,14,FALSE),0)</f>
        <v>4328475</v>
      </c>
      <c r="M202" s="118">
        <f t="shared" si="46"/>
        <v>4531579.1616938058</v>
      </c>
      <c r="N202" s="84">
        <f>+J202</f>
        <v>4333557.9524528729</v>
      </c>
      <c r="O202" s="102">
        <f>+M202-N202</f>
        <v>198021.20924093295</v>
      </c>
      <c r="P202" s="102">
        <f t="shared" si="48"/>
        <v>583387.6051457182</v>
      </c>
      <c r="Q202" s="49">
        <f>+H202*Interest!$D$15</f>
        <v>28689.905509497039</v>
      </c>
      <c r="R202" s="127">
        <f>+P202+Q202</f>
        <v>612077.51065521524</v>
      </c>
    </row>
    <row r="203" spans="1:19" x14ac:dyDescent="0.25">
      <c r="A203" s="166" t="s">
        <v>36</v>
      </c>
      <c r="B203" s="194">
        <v>607368</v>
      </c>
      <c r="C203" s="155">
        <v>6.9475910812663907E-3</v>
      </c>
      <c r="D203" s="78">
        <v>0</v>
      </c>
      <c r="E203" s="156">
        <v>0</v>
      </c>
      <c r="F203" s="157">
        <v>0</v>
      </c>
      <c r="G203" s="167">
        <v>0</v>
      </c>
      <c r="H203" s="210">
        <v>1.3008333E-2</v>
      </c>
      <c r="I203" s="211">
        <v>0</v>
      </c>
      <c r="J203" s="202">
        <f t="shared" si="51"/>
        <v>306874.55256309273</v>
      </c>
      <c r="K203" s="118">
        <f t="shared" si="52"/>
        <v>27289.156303816308</v>
      </c>
      <c r="L203" s="84">
        <f>ROUND(J203*VLOOKUP(A203,'Actual Load'!$A$4:$B$37,2,FALSE)/VLOOKUP(A203,'Projected Zonal Load'!$A$4:$N$37,14,FALSE),0)</f>
        <v>304886</v>
      </c>
      <c r="M203" s="118">
        <f t="shared" si="46"/>
        <v>319192.10444606416</v>
      </c>
      <c r="N203" s="84">
        <f>+J203</f>
        <v>306874.55256309273</v>
      </c>
      <c r="O203" s="102">
        <f>+M203-N203</f>
        <v>12317.551882971427</v>
      </c>
      <c r="P203" s="102">
        <f t="shared" si="48"/>
        <v>39606.708186787735</v>
      </c>
      <c r="Q203" s="49">
        <f>+H203*Interest!$D$15</f>
        <v>2031.6335936666021</v>
      </c>
      <c r="R203" s="127">
        <f>+P203+Q203</f>
        <v>41638.341780454335</v>
      </c>
    </row>
    <row r="204" spans="1:19" x14ac:dyDescent="0.25">
      <c r="A204" s="170"/>
      <c r="B204" s="171">
        <v>87421380</v>
      </c>
      <c r="C204" s="172">
        <v>1.0000000000000002</v>
      </c>
      <c r="D204" s="173">
        <v>0</v>
      </c>
      <c r="E204" s="174">
        <v>0</v>
      </c>
      <c r="F204" s="175">
        <v>0</v>
      </c>
      <c r="G204" s="174">
        <v>0</v>
      </c>
      <c r="H204" s="176">
        <v>1</v>
      </c>
      <c r="I204" s="177">
        <v>0</v>
      </c>
      <c r="J204" s="212">
        <f>SUM(J180:J203)</f>
        <v>23590613.205874898</v>
      </c>
      <c r="K204" s="106">
        <f>SUM(K180:K203)</f>
        <v>2097821.1640590033</v>
      </c>
      <c r="L204" s="106">
        <f t="shared" ref="L204:R204" si="55">SUM(L180:L203)</f>
        <v>22774746</v>
      </c>
      <c r="M204" s="106">
        <f t="shared" si="55"/>
        <v>23843400.825110313</v>
      </c>
      <c r="N204" s="106">
        <f t="shared" si="55"/>
        <v>23590613.205874898</v>
      </c>
      <c r="O204" s="120">
        <f t="shared" si="55"/>
        <v>252787.61923541533</v>
      </c>
      <c r="P204" s="120">
        <f t="shared" si="55"/>
        <v>2350608.7832944188</v>
      </c>
      <c r="Q204" s="120">
        <f t="shared" si="55"/>
        <v>156179.39605597185</v>
      </c>
      <c r="R204" s="130">
        <f t="shared" si="55"/>
        <v>2506788.179350391</v>
      </c>
    </row>
    <row r="205" spans="1:19" x14ac:dyDescent="0.25">
      <c r="A205" s="199" t="s">
        <v>198</v>
      </c>
      <c r="H205" s="213"/>
      <c r="I205" s="214"/>
      <c r="J205" s="81"/>
      <c r="K205" s="81"/>
      <c r="M205" s="81"/>
      <c r="O205" s="81"/>
      <c r="P205" s="81"/>
      <c r="Q205" s="81"/>
      <c r="R205" s="81"/>
      <c r="S205" s="81"/>
    </row>
    <row r="206" spans="1:19" x14ac:dyDescent="0.25">
      <c r="A206" s="199" t="s">
        <v>132</v>
      </c>
      <c r="H206" s="81"/>
      <c r="I206" s="81"/>
      <c r="J206" s="81"/>
      <c r="K206" s="81"/>
      <c r="M206" s="81"/>
      <c r="O206" s="81"/>
      <c r="P206" s="81"/>
      <c r="Q206" s="81"/>
      <c r="R206" s="81"/>
      <c r="S206" s="81"/>
    </row>
    <row r="207" spans="1:19" x14ac:dyDescent="0.25">
      <c r="H207" s="132" t="s">
        <v>175</v>
      </c>
      <c r="I207" s="191">
        <v>25626021.229465507</v>
      </c>
      <c r="J207" s="81"/>
      <c r="K207" s="81"/>
      <c r="L207" s="132" t="s">
        <v>178</v>
      </c>
      <c r="M207" s="191">
        <v>23528200.063308682</v>
      </c>
      <c r="O207" s="81"/>
      <c r="P207" s="81"/>
      <c r="Q207" s="81"/>
      <c r="R207" s="81"/>
      <c r="S207" s="81"/>
    </row>
    <row r="208" spans="1:19" x14ac:dyDescent="0.25">
      <c r="H208" s="80" t="s">
        <v>177</v>
      </c>
      <c r="I208" s="191">
        <v>-2035408</v>
      </c>
      <c r="J208" s="81"/>
      <c r="K208" s="81"/>
      <c r="L208" s="80" t="s">
        <v>177</v>
      </c>
      <c r="M208" s="191">
        <v>-2035408</v>
      </c>
      <c r="O208" s="81"/>
      <c r="P208" s="81"/>
      <c r="Q208" s="81"/>
      <c r="R208" s="81"/>
      <c r="S208" s="81"/>
    </row>
    <row r="209" spans="1:18" x14ac:dyDescent="0.25">
      <c r="G209" s="124"/>
      <c r="H209" s="80" t="s">
        <v>176</v>
      </c>
      <c r="I209" s="215">
        <f>SUM(I207:I208)</f>
        <v>23590613.229465507</v>
      </c>
      <c r="J209" s="133" t="s">
        <v>132</v>
      </c>
      <c r="K209" s="74"/>
      <c r="L209" s="80" t="s">
        <v>176</v>
      </c>
      <c r="M209" s="215">
        <f>SUM(M207:M208)</f>
        <v>21492792.063308682</v>
      </c>
      <c r="O209" s="82"/>
    </row>
    <row r="210" spans="1:18" x14ac:dyDescent="0.25">
      <c r="H210" s="81"/>
      <c r="I210" s="216"/>
      <c r="J210" s="81"/>
      <c r="K210" s="81"/>
      <c r="M210" s="81"/>
    </row>
    <row r="211" spans="1:18" x14ac:dyDescent="0.25">
      <c r="H211" s="81"/>
      <c r="I211" s="81"/>
      <c r="J211" s="81"/>
      <c r="K211" s="81"/>
      <c r="L211" s="74"/>
      <c r="M211" s="81"/>
    </row>
    <row r="212" spans="1:18" x14ac:dyDescent="0.25">
      <c r="A212" s="394" t="s">
        <v>0</v>
      </c>
      <c r="B212" s="395"/>
      <c r="C212" s="396" t="s">
        <v>75</v>
      </c>
      <c r="D212" s="397"/>
      <c r="E212" s="397"/>
      <c r="F212" s="397"/>
      <c r="G212" s="397"/>
      <c r="H212" s="398"/>
      <c r="I212" s="178"/>
    </row>
    <row r="213" spans="1:18" hidden="1" outlineLevel="1" x14ac:dyDescent="0.25">
      <c r="A213" s="217" t="s">
        <v>134</v>
      </c>
      <c r="B213" s="218"/>
      <c r="C213" s="181" t="s">
        <v>141</v>
      </c>
      <c r="D213" s="182"/>
      <c r="E213" s="182"/>
      <c r="F213" s="182"/>
      <c r="G213" s="182"/>
      <c r="H213" s="183"/>
      <c r="I213" s="178"/>
    </row>
    <row r="214" spans="1:18" collapsed="1" x14ac:dyDescent="0.25">
      <c r="A214" s="384" t="s">
        <v>2</v>
      </c>
      <c r="B214" s="385"/>
      <c r="C214" s="399" t="s">
        <v>199</v>
      </c>
      <c r="D214" s="399"/>
      <c r="E214" s="399"/>
      <c r="F214" s="399"/>
      <c r="G214" s="399"/>
      <c r="H214" s="399"/>
      <c r="I214" s="178"/>
    </row>
    <row r="215" spans="1:18" x14ac:dyDescent="0.25">
      <c r="A215" s="384" t="s">
        <v>4</v>
      </c>
      <c r="B215" s="385"/>
      <c r="C215" s="386"/>
      <c r="D215" s="387"/>
      <c r="E215" s="387"/>
      <c r="F215" s="387"/>
      <c r="G215" s="387"/>
      <c r="H215" s="388"/>
      <c r="I215" s="178"/>
    </row>
    <row r="216" spans="1:18" x14ac:dyDescent="0.25">
      <c r="A216" s="384" t="s">
        <v>6</v>
      </c>
      <c r="B216" s="385"/>
      <c r="C216" s="375">
        <v>0</v>
      </c>
      <c r="D216" s="376"/>
      <c r="E216" s="376"/>
      <c r="F216" s="376"/>
      <c r="G216" s="376"/>
      <c r="H216" s="377"/>
      <c r="I216" s="178"/>
      <c r="M216" s="111"/>
      <c r="O216" s="111" t="s">
        <v>43</v>
      </c>
      <c r="P216" s="111" t="s">
        <v>39</v>
      </c>
      <c r="R216" s="111" t="s">
        <v>44</v>
      </c>
    </row>
    <row r="217" spans="1:18" x14ac:dyDescent="0.25">
      <c r="A217" s="389" t="s">
        <v>7</v>
      </c>
      <c r="B217" s="390"/>
      <c r="C217" s="391" t="s">
        <v>34</v>
      </c>
      <c r="D217" s="392"/>
      <c r="E217" s="392"/>
      <c r="F217" s="392"/>
      <c r="G217" s="392"/>
      <c r="H217" s="393"/>
      <c r="I217" s="178"/>
      <c r="K217" s="111" t="s">
        <v>41</v>
      </c>
      <c r="L217" s="112" t="s">
        <v>42</v>
      </c>
      <c r="M217" s="113" t="s">
        <v>182</v>
      </c>
      <c r="N217" s="113" t="s">
        <v>38</v>
      </c>
      <c r="O217" s="113" t="s">
        <v>183</v>
      </c>
      <c r="P217" s="113" t="s">
        <v>184</v>
      </c>
      <c r="Q217" s="113" t="s">
        <v>40</v>
      </c>
      <c r="R217" s="113" t="s">
        <v>185</v>
      </c>
    </row>
    <row r="218" spans="1:18" x14ac:dyDescent="0.25">
      <c r="A218" s="134"/>
      <c r="B218" s="134"/>
      <c r="C218" s="134"/>
      <c r="D218" s="134"/>
      <c r="E218" s="134"/>
      <c r="F218" s="134"/>
      <c r="G218" s="134"/>
      <c r="H218" s="134"/>
      <c r="I218" s="134"/>
      <c r="K218" s="90"/>
      <c r="L218" s="351" t="s">
        <v>45</v>
      </c>
      <c r="M218" s="352"/>
      <c r="N218" s="352"/>
      <c r="O218" s="353"/>
      <c r="P218" s="91" t="s">
        <v>46</v>
      </c>
      <c r="Q218" s="90"/>
      <c r="R218" s="91" t="s">
        <v>47</v>
      </c>
    </row>
    <row r="219" spans="1:18" x14ac:dyDescent="0.25">
      <c r="A219" s="135"/>
      <c r="B219" s="136"/>
      <c r="C219" s="137"/>
      <c r="D219" s="354">
        <v>0.2</v>
      </c>
      <c r="E219" s="355"/>
      <c r="F219" s="354">
        <v>0.8</v>
      </c>
      <c r="G219" s="355"/>
      <c r="H219" s="138"/>
      <c r="I219" s="139"/>
      <c r="J219" s="140" t="s">
        <v>9</v>
      </c>
      <c r="K219" s="92" t="s">
        <v>48</v>
      </c>
      <c r="L219" s="351" t="s">
        <v>49</v>
      </c>
      <c r="M219" s="352"/>
      <c r="N219" s="93"/>
      <c r="O219" s="91" t="s">
        <v>50</v>
      </c>
      <c r="P219" s="92" t="s">
        <v>51</v>
      </c>
      <c r="Q219" s="94"/>
      <c r="R219" s="92" t="s">
        <v>52</v>
      </c>
    </row>
    <row r="220" spans="1:18" x14ac:dyDescent="0.25">
      <c r="A220" s="141"/>
      <c r="B220" s="142"/>
      <c r="C220" s="143"/>
      <c r="D220" s="356" t="s">
        <v>10</v>
      </c>
      <c r="E220" s="357"/>
      <c r="F220" s="356" t="s">
        <v>11</v>
      </c>
      <c r="G220" s="357"/>
      <c r="H220" s="356" t="s">
        <v>12</v>
      </c>
      <c r="I220" s="357"/>
      <c r="J220" s="144" t="s">
        <v>13</v>
      </c>
      <c r="K220" s="95" t="s">
        <v>53</v>
      </c>
      <c r="L220" s="96" t="s">
        <v>179</v>
      </c>
      <c r="M220" s="97" t="s">
        <v>180</v>
      </c>
      <c r="N220" s="98" t="s">
        <v>54</v>
      </c>
      <c r="O220" s="98" t="s">
        <v>53</v>
      </c>
      <c r="P220" s="98" t="s">
        <v>53</v>
      </c>
      <c r="Q220" s="98" t="s">
        <v>55</v>
      </c>
      <c r="R220" s="98" t="s">
        <v>56</v>
      </c>
    </row>
    <row r="221" spans="1:18" ht="45" x14ac:dyDescent="0.25">
      <c r="A221" s="145" t="s">
        <v>14</v>
      </c>
      <c r="B221" s="146" t="s">
        <v>15</v>
      </c>
      <c r="C221" s="147" t="s">
        <v>16</v>
      </c>
      <c r="D221" s="148" t="s">
        <v>17</v>
      </c>
      <c r="E221" s="149" t="s">
        <v>18</v>
      </c>
      <c r="F221" s="148" t="s">
        <v>17</v>
      </c>
      <c r="G221" s="149" t="s">
        <v>18</v>
      </c>
      <c r="H221" s="150" t="s">
        <v>17</v>
      </c>
      <c r="I221" s="151" t="s">
        <v>18</v>
      </c>
      <c r="J221" s="147" t="s">
        <v>18</v>
      </c>
      <c r="K221" s="152" t="s">
        <v>57</v>
      </c>
      <c r="L221" s="99"/>
      <c r="M221" s="100"/>
      <c r="N221" s="99"/>
      <c r="O221" s="152" t="s">
        <v>57</v>
      </c>
      <c r="P221" s="100"/>
      <c r="Q221" s="100"/>
      <c r="R221" s="153" t="s">
        <v>57</v>
      </c>
    </row>
    <row r="222" spans="1:18" x14ac:dyDescent="0.25">
      <c r="A222" s="75" t="s">
        <v>195</v>
      </c>
      <c r="B222" s="194"/>
      <c r="C222" s="155"/>
      <c r="D222" s="78">
        <v>0</v>
      </c>
      <c r="E222" s="156">
        <v>0</v>
      </c>
      <c r="F222" s="157">
        <v>0</v>
      </c>
      <c r="G222" s="158">
        <v>0</v>
      </c>
      <c r="H222" s="78">
        <v>0</v>
      </c>
      <c r="I222" s="184">
        <v>0</v>
      </c>
      <c r="J222" s="185">
        <f>H222*I$250</f>
        <v>0</v>
      </c>
      <c r="K222" s="102">
        <f t="shared" ref="K222:K244" si="56">(I$250-M$250)*H222</f>
        <v>0</v>
      </c>
      <c r="L222" s="84">
        <f>ROUND(J222*VLOOKUP(A222,'Actual Load'!$A$4:$B$37,2,FALSE)/VLOOKUP(A222,'Projected Zonal Load'!$A$4:$N$37,14,FALSE),0)</f>
        <v>0</v>
      </c>
      <c r="M222" s="102">
        <f t="shared" ref="M222:M244" si="57">IF(NOT(L$43=0),M$6*L222/L$43,0)</f>
        <v>0</v>
      </c>
      <c r="N222" s="84">
        <f>+J222</f>
        <v>0</v>
      </c>
      <c r="O222" s="102">
        <f t="shared" ref="O222:O228" si="58">+M222-N222</f>
        <v>0</v>
      </c>
      <c r="P222" s="102">
        <f t="shared" ref="P222:P244" si="59">+K222+O222</f>
        <v>0</v>
      </c>
      <c r="Q222" s="49">
        <f>+H222*Interest!$D$20</f>
        <v>0</v>
      </c>
      <c r="R222" s="127">
        <f t="shared" ref="R222:R228" si="60">+P222+Q222</f>
        <v>0</v>
      </c>
    </row>
    <row r="223" spans="1:18" x14ac:dyDescent="0.25">
      <c r="A223" s="76" t="s">
        <v>19</v>
      </c>
      <c r="B223" s="194"/>
      <c r="C223" s="155"/>
      <c r="D223" s="78">
        <v>0</v>
      </c>
      <c r="E223" s="156">
        <v>0</v>
      </c>
      <c r="F223" s="157">
        <v>0</v>
      </c>
      <c r="G223" s="156">
        <v>0</v>
      </c>
      <c r="H223" s="78">
        <v>0</v>
      </c>
      <c r="I223" s="186">
        <v>0</v>
      </c>
      <c r="J223" s="185">
        <f t="shared" ref="J223:J244" si="61">H223*I$250</f>
        <v>0</v>
      </c>
      <c r="K223" s="102">
        <f t="shared" si="56"/>
        <v>0</v>
      </c>
      <c r="L223" s="84">
        <f>ROUND(J223*VLOOKUP(A223,'Actual Load'!$A$4:$B$37,2,FALSE)/VLOOKUP(A223,'Projected Zonal Load'!$A$4:$N$37,14,FALSE),0)</f>
        <v>0</v>
      </c>
      <c r="M223" s="102">
        <f t="shared" si="57"/>
        <v>0</v>
      </c>
      <c r="N223" s="84">
        <f t="shared" ref="N223:N240" si="62">+J223</f>
        <v>0</v>
      </c>
      <c r="O223" s="102">
        <f t="shared" si="58"/>
        <v>0</v>
      </c>
      <c r="P223" s="102">
        <f t="shared" si="59"/>
        <v>0</v>
      </c>
      <c r="Q223" s="49">
        <f>+H223*Interest!$D$20</f>
        <v>0</v>
      </c>
      <c r="R223" s="127">
        <f t="shared" si="60"/>
        <v>0</v>
      </c>
    </row>
    <row r="224" spans="1:18" x14ac:dyDescent="0.25">
      <c r="A224" s="76" t="s">
        <v>210</v>
      </c>
      <c r="B224" s="194"/>
      <c r="C224" s="155"/>
      <c r="D224" s="78">
        <v>0</v>
      </c>
      <c r="E224" s="156">
        <v>0</v>
      </c>
      <c r="F224" s="157">
        <v>0</v>
      </c>
      <c r="G224" s="156">
        <v>0</v>
      </c>
      <c r="H224" s="78">
        <v>0</v>
      </c>
      <c r="I224" s="186">
        <v>0</v>
      </c>
      <c r="J224" s="185">
        <f t="shared" si="61"/>
        <v>0</v>
      </c>
      <c r="K224" s="102">
        <f t="shared" si="56"/>
        <v>0</v>
      </c>
      <c r="L224" s="84">
        <f>ROUND(J224*VLOOKUP(A224,'Actual Load'!$A$4:$B$37,2,FALSE)/VLOOKUP(A224,'Projected Zonal Load'!$A$4:$N$37,14,FALSE),0)</f>
        <v>0</v>
      </c>
      <c r="M224" s="102">
        <f t="shared" si="57"/>
        <v>0</v>
      </c>
      <c r="N224" s="84">
        <f t="shared" si="62"/>
        <v>0</v>
      </c>
      <c r="O224" s="102">
        <f t="shared" si="58"/>
        <v>0</v>
      </c>
      <c r="P224" s="102">
        <f t="shared" si="59"/>
        <v>0</v>
      </c>
      <c r="Q224" s="49">
        <f>+H224*Interest!$D$20</f>
        <v>0</v>
      </c>
      <c r="R224" s="127">
        <f t="shared" si="60"/>
        <v>0</v>
      </c>
    </row>
    <row r="225" spans="1:18" x14ac:dyDescent="0.25">
      <c r="A225" s="76" t="s">
        <v>211</v>
      </c>
      <c r="B225" s="194"/>
      <c r="C225" s="155"/>
      <c r="D225" s="78">
        <v>0</v>
      </c>
      <c r="E225" s="156">
        <v>0</v>
      </c>
      <c r="F225" s="157">
        <v>0</v>
      </c>
      <c r="G225" s="156">
        <v>0</v>
      </c>
      <c r="H225" s="78">
        <v>0</v>
      </c>
      <c r="I225" s="186">
        <v>0</v>
      </c>
      <c r="J225" s="185">
        <f t="shared" si="61"/>
        <v>0</v>
      </c>
      <c r="K225" s="102">
        <f t="shared" si="56"/>
        <v>0</v>
      </c>
      <c r="L225" s="84">
        <f>ROUND(J225*VLOOKUP(A225,'Actual Load'!$A$4:$B$37,2,FALSE)/VLOOKUP(A225,'Projected Zonal Load'!$A$4:$N$37,14,FALSE),0)</f>
        <v>0</v>
      </c>
      <c r="M225" s="102">
        <f t="shared" si="57"/>
        <v>0</v>
      </c>
      <c r="N225" s="84">
        <f t="shared" si="62"/>
        <v>0</v>
      </c>
      <c r="O225" s="102">
        <f t="shared" si="58"/>
        <v>0</v>
      </c>
      <c r="P225" s="102">
        <f t="shared" si="59"/>
        <v>0</v>
      </c>
      <c r="Q225" s="49">
        <f>+H225*Interest!$D$20</f>
        <v>0</v>
      </c>
      <c r="R225" s="127">
        <f t="shared" si="60"/>
        <v>0</v>
      </c>
    </row>
    <row r="226" spans="1:18" x14ac:dyDescent="0.25">
      <c r="A226" s="76" t="s">
        <v>20</v>
      </c>
      <c r="B226" s="194"/>
      <c r="C226" s="155"/>
      <c r="D226" s="78">
        <v>0</v>
      </c>
      <c r="E226" s="156">
        <v>0</v>
      </c>
      <c r="F226" s="157">
        <v>0</v>
      </c>
      <c r="G226" s="156">
        <v>0</v>
      </c>
      <c r="H226" s="78">
        <v>0</v>
      </c>
      <c r="I226" s="186">
        <v>0</v>
      </c>
      <c r="J226" s="185">
        <f t="shared" si="61"/>
        <v>0</v>
      </c>
      <c r="K226" s="102">
        <f t="shared" si="56"/>
        <v>0</v>
      </c>
      <c r="L226" s="84">
        <f>ROUND(J226*VLOOKUP(A226,'Actual Load'!$A$4:$B$37,2,FALSE)/VLOOKUP(A226,'Projected Zonal Load'!$A$4:$N$37,14,FALSE),0)</f>
        <v>0</v>
      </c>
      <c r="M226" s="102">
        <f t="shared" si="57"/>
        <v>0</v>
      </c>
      <c r="N226" s="84">
        <f t="shared" si="62"/>
        <v>0</v>
      </c>
      <c r="O226" s="102">
        <f t="shared" si="58"/>
        <v>0</v>
      </c>
      <c r="P226" s="102">
        <f t="shared" si="59"/>
        <v>0</v>
      </c>
      <c r="Q226" s="49">
        <f>+H226*Interest!$D$20</f>
        <v>0</v>
      </c>
      <c r="R226" s="127">
        <f t="shared" si="60"/>
        <v>0</v>
      </c>
    </row>
    <row r="227" spans="1:18" x14ac:dyDescent="0.25">
      <c r="A227" s="76" t="s">
        <v>21</v>
      </c>
      <c r="B227" s="194"/>
      <c r="C227" s="155"/>
      <c r="D227" s="78">
        <v>0</v>
      </c>
      <c r="E227" s="156">
        <v>0</v>
      </c>
      <c r="F227" s="157">
        <v>0</v>
      </c>
      <c r="G227" s="156">
        <v>0</v>
      </c>
      <c r="H227" s="78">
        <v>0</v>
      </c>
      <c r="I227" s="186">
        <v>0</v>
      </c>
      <c r="J227" s="185">
        <f t="shared" si="61"/>
        <v>0</v>
      </c>
      <c r="K227" s="102">
        <f t="shared" si="56"/>
        <v>0</v>
      </c>
      <c r="L227" s="84">
        <f>ROUND(J227*VLOOKUP(A227,'Actual Load'!$A$4:$B$37,2,FALSE)/VLOOKUP(A227,'Projected Zonal Load'!$A$4:$N$37,14,FALSE),0)</f>
        <v>0</v>
      </c>
      <c r="M227" s="102">
        <f t="shared" si="57"/>
        <v>0</v>
      </c>
      <c r="N227" s="84">
        <f t="shared" si="62"/>
        <v>0</v>
      </c>
      <c r="O227" s="102">
        <f t="shared" si="58"/>
        <v>0</v>
      </c>
      <c r="P227" s="102">
        <f t="shared" si="59"/>
        <v>0</v>
      </c>
      <c r="Q227" s="49">
        <f>+H227*Interest!$D$20</f>
        <v>0</v>
      </c>
      <c r="R227" s="127">
        <f t="shared" si="60"/>
        <v>0</v>
      </c>
    </row>
    <row r="228" spans="1:18" x14ac:dyDescent="0.25">
      <c r="A228" s="76" t="s">
        <v>22</v>
      </c>
      <c r="B228" s="194"/>
      <c r="C228" s="155"/>
      <c r="D228" s="78">
        <v>0</v>
      </c>
      <c r="E228" s="156">
        <v>0</v>
      </c>
      <c r="F228" s="157">
        <v>0</v>
      </c>
      <c r="G228" s="156">
        <v>0</v>
      </c>
      <c r="H228" s="78">
        <v>0</v>
      </c>
      <c r="I228" s="186">
        <v>0</v>
      </c>
      <c r="J228" s="185">
        <f t="shared" si="61"/>
        <v>0</v>
      </c>
      <c r="K228" s="102">
        <f t="shared" si="56"/>
        <v>0</v>
      </c>
      <c r="L228" s="84">
        <f>ROUND(J228*'Actual Load'!$B$17/'Projected Zonal Load'!$N$17,0)</f>
        <v>0</v>
      </c>
      <c r="M228" s="102">
        <f t="shared" si="57"/>
        <v>0</v>
      </c>
      <c r="N228" s="84">
        <f t="shared" si="62"/>
        <v>0</v>
      </c>
      <c r="O228" s="102">
        <f t="shared" si="58"/>
        <v>0</v>
      </c>
      <c r="P228" s="102">
        <f t="shared" si="59"/>
        <v>0</v>
      </c>
      <c r="Q228" s="49">
        <f>+H228*Interest!$D$20</f>
        <v>0</v>
      </c>
      <c r="R228" s="127">
        <f t="shared" si="60"/>
        <v>0</v>
      </c>
    </row>
    <row r="229" spans="1:18" x14ac:dyDescent="0.25">
      <c r="A229" s="76" t="s">
        <v>23</v>
      </c>
      <c r="B229" s="194"/>
      <c r="C229" s="155"/>
      <c r="D229" s="78">
        <v>0</v>
      </c>
      <c r="E229" s="156">
        <v>0</v>
      </c>
      <c r="F229" s="157">
        <v>0</v>
      </c>
      <c r="G229" s="156">
        <v>0</v>
      </c>
      <c r="H229" s="78">
        <v>0</v>
      </c>
      <c r="I229" s="186">
        <v>0</v>
      </c>
      <c r="J229" s="185">
        <f t="shared" si="61"/>
        <v>0</v>
      </c>
      <c r="K229" s="102">
        <f t="shared" si="56"/>
        <v>0</v>
      </c>
      <c r="L229" s="84">
        <f>ROUND(J229*VLOOKUP(A229,'Actual Load'!$A$4:$B$37,2,FALSE)/VLOOKUP(A229,'Projected Zonal Load'!$A$4:$N$37,14,FALSE),0)</f>
        <v>0</v>
      </c>
      <c r="M229" s="102">
        <f t="shared" si="57"/>
        <v>0</v>
      </c>
      <c r="N229" s="84">
        <f t="shared" si="62"/>
        <v>0</v>
      </c>
      <c r="O229" s="102">
        <f>+M229-N229</f>
        <v>0</v>
      </c>
      <c r="P229" s="102">
        <f t="shared" si="59"/>
        <v>0</v>
      </c>
      <c r="Q229" s="49">
        <f>+H229*Interest!$D$20</f>
        <v>0</v>
      </c>
      <c r="R229" s="127">
        <f>+P229+Q229</f>
        <v>0</v>
      </c>
    </row>
    <row r="230" spans="1:18" x14ac:dyDescent="0.25">
      <c r="A230" s="76" t="s">
        <v>24</v>
      </c>
      <c r="B230" s="194"/>
      <c r="C230" s="155"/>
      <c r="D230" s="78">
        <v>0</v>
      </c>
      <c r="E230" s="156">
        <v>0</v>
      </c>
      <c r="F230" s="157">
        <v>0</v>
      </c>
      <c r="G230" s="156">
        <v>0</v>
      </c>
      <c r="H230" s="78">
        <v>0.25957258882115819</v>
      </c>
      <c r="I230" s="186">
        <v>0</v>
      </c>
      <c r="J230" s="185">
        <f t="shared" si="61"/>
        <v>197939.18286935115</v>
      </c>
      <c r="K230" s="102">
        <f t="shared" si="56"/>
        <v>6491.0753580738628</v>
      </c>
      <c r="L230" s="84">
        <f>ROUND(J230*VLOOKUP(A230,'Actual Load'!$A$4:$B$37,2,FALSE)/VLOOKUP(A230,'Projected Zonal Load'!$A$4:$N$37,14,FALSE),0)</f>
        <v>194666</v>
      </c>
      <c r="M230" s="102">
        <f t="shared" si="57"/>
        <v>203800.27355830549</v>
      </c>
      <c r="N230" s="84">
        <f t="shared" si="62"/>
        <v>197939.18286935115</v>
      </c>
      <c r="O230" s="102">
        <f t="shared" ref="O230:O240" si="63">+M230-N230</f>
        <v>5861.0906889543403</v>
      </c>
      <c r="P230" s="102">
        <f t="shared" si="59"/>
        <v>12352.166047028204</v>
      </c>
      <c r="Q230" s="49">
        <f>+H230*Interest!$D$20</f>
        <v>610.78321405929455</v>
      </c>
      <c r="R230" s="127">
        <f t="shared" ref="R230:R240" si="64">+P230+Q230</f>
        <v>12962.949261087499</v>
      </c>
    </row>
    <row r="231" spans="1:18" x14ac:dyDescent="0.25">
      <c r="A231" s="76" t="s">
        <v>25</v>
      </c>
      <c r="B231" s="194"/>
      <c r="C231" s="155"/>
      <c r="D231" s="78">
        <v>0</v>
      </c>
      <c r="E231" s="156">
        <v>0</v>
      </c>
      <c r="F231" s="157">
        <v>0</v>
      </c>
      <c r="G231" s="156">
        <v>0</v>
      </c>
      <c r="H231" s="78">
        <v>0</v>
      </c>
      <c r="I231" s="186">
        <v>0</v>
      </c>
      <c r="J231" s="185">
        <f t="shared" si="61"/>
        <v>0</v>
      </c>
      <c r="K231" s="102">
        <f t="shared" si="56"/>
        <v>0</v>
      </c>
      <c r="L231" s="84">
        <f>ROUND(J231*VLOOKUP(A231,'Actual Load'!$A$4:$B$37,2,FALSE)/VLOOKUP(A231,'Projected Zonal Load'!$A$4:$N$37,14,FALSE),0)</f>
        <v>0</v>
      </c>
      <c r="M231" s="102">
        <f t="shared" si="57"/>
        <v>0</v>
      </c>
      <c r="N231" s="84">
        <f t="shared" si="62"/>
        <v>0</v>
      </c>
      <c r="O231" s="102">
        <f t="shared" si="63"/>
        <v>0</v>
      </c>
      <c r="P231" s="102">
        <f t="shared" si="59"/>
        <v>0</v>
      </c>
      <c r="Q231" s="49">
        <f>+H231*Interest!$D$20</f>
        <v>0</v>
      </c>
      <c r="R231" s="127">
        <f t="shared" si="64"/>
        <v>0</v>
      </c>
    </row>
    <row r="232" spans="1:18" x14ac:dyDescent="0.25">
      <c r="A232" s="76" t="s">
        <v>27</v>
      </c>
      <c r="B232" s="194"/>
      <c r="C232" s="155"/>
      <c r="D232" s="78">
        <v>0</v>
      </c>
      <c r="E232" s="156">
        <v>0</v>
      </c>
      <c r="F232" s="157">
        <v>0</v>
      </c>
      <c r="G232" s="156">
        <v>0</v>
      </c>
      <c r="H232" s="78">
        <v>0</v>
      </c>
      <c r="I232" s="186">
        <v>0</v>
      </c>
      <c r="J232" s="185">
        <f t="shared" si="61"/>
        <v>0</v>
      </c>
      <c r="K232" s="102">
        <f t="shared" si="56"/>
        <v>0</v>
      </c>
      <c r="L232" s="84">
        <f>ROUND(J232*VLOOKUP(A232,'Actual Load'!$A$4:$B$37,2,FALSE)/VLOOKUP(A232,'Projected Zonal Load'!$A$4:$N$37,14,FALSE),0)</f>
        <v>0</v>
      </c>
      <c r="M232" s="102">
        <f t="shared" si="57"/>
        <v>0</v>
      </c>
      <c r="N232" s="84">
        <f t="shared" si="62"/>
        <v>0</v>
      </c>
      <c r="O232" s="102">
        <f t="shared" si="63"/>
        <v>0</v>
      </c>
      <c r="P232" s="102">
        <f t="shared" si="59"/>
        <v>0</v>
      </c>
      <c r="Q232" s="49">
        <f>+H232*Interest!$D$20</f>
        <v>0</v>
      </c>
      <c r="R232" s="127">
        <f t="shared" si="64"/>
        <v>0</v>
      </c>
    </row>
    <row r="233" spans="1:18" x14ac:dyDescent="0.25">
      <c r="A233" s="76" t="s">
        <v>26</v>
      </c>
      <c r="B233" s="194"/>
      <c r="C233" s="155"/>
      <c r="D233" s="78">
        <v>0</v>
      </c>
      <c r="E233" s="156">
        <v>0</v>
      </c>
      <c r="F233" s="157">
        <v>0</v>
      </c>
      <c r="G233" s="156">
        <v>0</v>
      </c>
      <c r="H233" s="78">
        <v>0</v>
      </c>
      <c r="I233" s="186">
        <v>0</v>
      </c>
      <c r="J233" s="185">
        <f t="shared" si="61"/>
        <v>0</v>
      </c>
      <c r="K233" s="102">
        <f t="shared" si="56"/>
        <v>0</v>
      </c>
      <c r="L233" s="84">
        <f>ROUND(J233*VLOOKUP(A233,'Actual Load'!$A$4:$B$37,2,FALSE)/VLOOKUP(A233,'Projected Zonal Load'!$A$4:$N$37,14,FALSE),0)</f>
        <v>0</v>
      </c>
      <c r="M233" s="102">
        <f t="shared" si="57"/>
        <v>0</v>
      </c>
      <c r="N233" s="84">
        <f t="shared" si="62"/>
        <v>0</v>
      </c>
      <c r="O233" s="102">
        <f t="shared" si="63"/>
        <v>0</v>
      </c>
      <c r="P233" s="102">
        <f t="shared" si="59"/>
        <v>0</v>
      </c>
      <c r="Q233" s="49">
        <f>+H233*Interest!$D$20</f>
        <v>0</v>
      </c>
      <c r="R233" s="127">
        <f t="shared" si="64"/>
        <v>0</v>
      </c>
    </row>
    <row r="234" spans="1:18" x14ac:dyDescent="0.25">
      <c r="A234" s="76" t="s">
        <v>69</v>
      </c>
      <c r="B234" s="194"/>
      <c r="C234" s="155"/>
      <c r="D234" s="78">
        <v>0</v>
      </c>
      <c r="E234" s="156">
        <v>0</v>
      </c>
      <c r="F234" s="157">
        <v>0</v>
      </c>
      <c r="G234" s="156">
        <v>0</v>
      </c>
      <c r="H234" s="78">
        <v>0</v>
      </c>
      <c r="I234" s="186">
        <v>0</v>
      </c>
      <c r="J234" s="185">
        <f t="shared" si="61"/>
        <v>0</v>
      </c>
      <c r="K234" s="102">
        <f t="shared" si="56"/>
        <v>0</v>
      </c>
      <c r="L234" s="84">
        <f>ROUND(J234*'Actual Load'!$B$18/'Projected Zonal Load'!$N$18,0)</f>
        <v>0</v>
      </c>
      <c r="M234" s="102">
        <f t="shared" si="57"/>
        <v>0</v>
      </c>
      <c r="N234" s="84">
        <f t="shared" si="62"/>
        <v>0</v>
      </c>
      <c r="O234" s="102">
        <f t="shared" si="63"/>
        <v>0</v>
      </c>
      <c r="P234" s="102">
        <f t="shared" si="59"/>
        <v>0</v>
      </c>
      <c r="Q234" s="49">
        <f>+H234*Interest!$D$20</f>
        <v>0</v>
      </c>
      <c r="R234" s="127">
        <f t="shared" si="64"/>
        <v>0</v>
      </c>
    </row>
    <row r="235" spans="1:18" x14ac:dyDescent="0.25">
      <c r="A235" s="76" t="s">
        <v>70</v>
      </c>
      <c r="B235" s="194"/>
      <c r="C235" s="155"/>
      <c r="D235" s="78">
        <v>0</v>
      </c>
      <c r="E235" s="156">
        <v>0</v>
      </c>
      <c r="F235" s="157">
        <v>0</v>
      </c>
      <c r="G235" s="156">
        <v>0</v>
      </c>
      <c r="H235" s="78">
        <v>0</v>
      </c>
      <c r="I235" s="186">
        <v>0</v>
      </c>
      <c r="J235" s="185">
        <f t="shared" si="61"/>
        <v>0</v>
      </c>
      <c r="K235" s="102">
        <f t="shared" si="56"/>
        <v>0</v>
      </c>
      <c r="L235" s="84">
        <f>ROUND(J235*'Actual Load'!$B$17/'Projected Zonal Load'!$N$17,0)</f>
        <v>0</v>
      </c>
      <c r="M235" s="102">
        <f t="shared" si="57"/>
        <v>0</v>
      </c>
      <c r="N235" s="84">
        <f t="shared" si="62"/>
        <v>0</v>
      </c>
      <c r="O235" s="102">
        <f t="shared" si="63"/>
        <v>0</v>
      </c>
      <c r="P235" s="102">
        <f t="shared" si="59"/>
        <v>0</v>
      </c>
      <c r="Q235" s="49">
        <f>+H235*Interest!$D$20</f>
        <v>0</v>
      </c>
      <c r="R235" s="127">
        <f t="shared" si="64"/>
        <v>0</v>
      </c>
    </row>
    <row r="236" spans="1:18" x14ac:dyDescent="0.25">
      <c r="A236" s="76" t="s">
        <v>28</v>
      </c>
      <c r="B236" s="194"/>
      <c r="C236" s="155"/>
      <c r="D236" s="78">
        <v>0</v>
      </c>
      <c r="E236" s="156">
        <v>0</v>
      </c>
      <c r="F236" s="157">
        <v>0</v>
      </c>
      <c r="G236" s="156">
        <v>0</v>
      </c>
      <c r="H236" s="78">
        <v>0</v>
      </c>
      <c r="I236" s="186">
        <v>0</v>
      </c>
      <c r="J236" s="185">
        <f t="shared" si="61"/>
        <v>0</v>
      </c>
      <c r="K236" s="102">
        <f t="shared" si="56"/>
        <v>0</v>
      </c>
      <c r="L236" s="84">
        <f>ROUND(J236*VLOOKUP(A236,'Actual Load'!$A$4:$B$37,2,FALSE)/VLOOKUP(A236,'Projected Zonal Load'!$A$4:$N$37,14,FALSE),0)</f>
        <v>0</v>
      </c>
      <c r="M236" s="102">
        <f t="shared" si="57"/>
        <v>0</v>
      </c>
      <c r="N236" s="84">
        <f t="shared" si="62"/>
        <v>0</v>
      </c>
      <c r="O236" s="102">
        <f t="shared" si="63"/>
        <v>0</v>
      </c>
      <c r="P236" s="102">
        <f t="shared" si="59"/>
        <v>0</v>
      </c>
      <c r="Q236" s="49">
        <f>+H236*Interest!$D$20</f>
        <v>0</v>
      </c>
      <c r="R236" s="127">
        <f t="shared" si="64"/>
        <v>0</v>
      </c>
    </row>
    <row r="237" spans="1:18" x14ac:dyDescent="0.25">
      <c r="A237" s="76" t="s">
        <v>29</v>
      </c>
      <c r="B237" s="194"/>
      <c r="C237" s="155"/>
      <c r="D237" s="78">
        <v>0</v>
      </c>
      <c r="E237" s="156">
        <v>0</v>
      </c>
      <c r="F237" s="157">
        <v>0</v>
      </c>
      <c r="G237" s="156">
        <v>0</v>
      </c>
      <c r="H237" s="78">
        <v>0</v>
      </c>
      <c r="I237" s="186">
        <v>0</v>
      </c>
      <c r="J237" s="185">
        <f t="shared" si="61"/>
        <v>0</v>
      </c>
      <c r="K237" s="102">
        <f t="shared" si="56"/>
        <v>0</v>
      </c>
      <c r="L237" s="84">
        <f>ROUND(J237*VLOOKUP(A237,'Actual Load'!$A$4:$B$37,2,FALSE)/VLOOKUP(A237,'Projected Zonal Load'!$A$4:$N$37,14,FALSE),0)</f>
        <v>0</v>
      </c>
      <c r="M237" s="102">
        <f t="shared" si="57"/>
        <v>0</v>
      </c>
      <c r="N237" s="84">
        <f t="shared" si="62"/>
        <v>0</v>
      </c>
      <c r="O237" s="102">
        <f t="shared" si="63"/>
        <v>0</v>
      </c>
      <c r="P237" s="102">
        <f t="shared" si="59"/>
        <v>0</v>
      </c>
      <c r="Q237" s="49">
        <f>+H237*Interest!$D$20</f>
        <v>0</v>
      </c>
      <c r="R237" s="127">
        <f t="shared" si="64"/>
        <v>0</v>
      </c>
    </row>
    <row r="238" spans="1:18" x14ac:dyDescent="0.25">
      <c r="A238" s="76" t="s">
        <v>30</v>
      </c>
      <c r="B238" s="194"/>
      <c r="C238" s="155"/>
      <c r="D238" s="78">
        <v>0</v>
      </c>
      <c r="E238" s="156">
        <v>0</v>
      </c>
      <c r="F238" s="157">
        <v>0</v>
      </c>
      <c r="G238" s="156">
        <v>0</v>
      </c>
      <c r="H238" s="78">
        <v>0</v>
      </c>
      <c r="I238" s="186">
        <v>0</v>
      </c>
      <c r="J238" s="185">
        <f t="shared" si="61"/>
        <v>0</v>
      </c>
      <c r="K238" s="102">
        <f t="shared" si="56"/>
        <v>0</v>
      </c>
      <c r="L238" s="84">
        <f>ROUND(J238*VLOOKUP(A238,'Actual Load'!$A$4:$B$37,2,FALSE)/VLOOKUP(A238,'Projected Zonal Load'!$A$4:$N$37,14,FALSE),0)</f>
        <v>0</v>
      </c>
      <c r="M238" s="102">
        <f t="shared" si="57"/>
        <v>0</v>
      </c>
      <c r="N238" s="84">
        <f t="shared" si="62"/>
        <v>0</v>
      </c>
      <c r="O238" s="102">
        <f t="shared" si="63"/>
        <v>0</v>
      </c>
      <c r="P238" s="102">
        <f t="shared" si="59"/>
        <v>0</v>
      </c>
      <c r="Q238" s="49">
        <f>+H238*Interest!$D$20</f>
        <v>0</v>
      </c>
      <c r="R238" s="127">
        <f t="shared" si="64"/>
        <v>0</v>
      </c>
    </row>
    <row r="239" spans="1:18" x14ac:dyDescent="0.25">
      <c r="A239" s="76" t="s">
        <v>31</v>
      </c>
      <c r="B239" s="194"/>
      <c r="C239" s="155"/>
      <c r="D239" s="78">
        <v>0</v>
      </c>
      <c r="E239" s="156">
        <v>0</v>
      </c>
      <c r="F239" s="157">
        <v>0</v>
      </c>
      <c r="G239" s="156">
        <v>0</v>
      </c>
      <c r="H239" s="78">
        <v>0.36331520044556437</v>
      </c>
      <c r="I239" s="186">
        <v>0</v>
      </c>
      <c r="J239" s="185">
        <f t="shared" si="61"/>
        <v>277048.95276811172</v>
      </c>
      <c r="K239" s="102">
        <f t="shared" si="56"/>
        <v>9085.3443175030643</v>
      </c>
      <c r="L239" s="84">
        <f>ROUND(J239*VLOOKUP(A239,'Actual Load'!$A$4:$B$37,2,FALSE)/VLOOKUP(A239,'Projected Zonal Load'!$A$4:$N$37,14,FALSE),0)</f>
        <v>264663</v>
      </c>
      <c r="M239" s="102">
        <f t="shared" si="57"/>
        <v>277081.72870846378</v>
      </c>
      <c r="N239" s="84">
        <f t="shared" si="62"/>
        <v>277048.95276811172</v>
      </c>
      <c r="O239" s="102">
        <f t="shared" si="63"/>
        <v>32.775940352061298</v>
      </c>
      <c r="P239" s="102">
        <f t="shared" si="59"/>
        <v>9118.1202578551256</v>
      </c>
      <c r="Q239" s="49">
        <f>+H239*Interest!$D$20</f>
        <v>854.89314126935528</v>
      </c>
      <c r="R239" s="127">
        <f t="shared" si="64"/>
        <v>9973.0133991244802</v>
      </c>
    </row>
    <row r="240" spans="1:18" x14ac:dyDescent="0.25">
      <c r="A240" s="76" t="s">
        <v>32</v>
      </c>
      <c r="B240" s="194"/>
      <c r="C240" s="155"/>
      <c r="D240" s="78">
        <v>0</v>
      </c>
      <c r="E240" s="156">
        <v>0</v>
      </c>
      <c r="F240" s="157">
        <v>0</v>
      </c>
      <c r="G240" s="156">
        <v>0</v>
      </c>
      <c r="H240" s="78">
        <v>0</v>
      </c>
      <c r="I240" s="186">
        <v>0</v>
      </c>
      <c r="J240" s="185">
        <f t="shared" si="61"/>
        <v>0</v>
      </c>
      <c r="K240" s="102">
        <f t="shared" si="56"/>
        <v>0</v>
      </c>
      <c r="L240" s="84">
        <f>ROUND(J240*VLOOKUP(A240,'Actual Load'!$A$4:$B$37,2,FALSE)/VLOOKUP(A240,'Projected Zonal Load'!$A$4:$N$37,14,FALSE),0)</f>
        <v>0</v>
      </c>
      <c r="M240" s="102">
        <f t="shared" si="57"/>
        <v>0</v>
      </c>
      <c r="N240" s="84">
        <f t="shared" si="62"/>
        <v>0</v>
      </c>
      <c r="O240" s="102">
        <f t="shared" si="63"/>
        <v>0</v>
      </c>
      <c r="P240" s="102">
        <f t="shared" si="59"/>
        <v>0</v>
      </c>
      <c r="Q240" s="49">
        <f>+H240*Interest!$D$20</f>
        <v>0</v>
      </c>
      <c r="R240" s="127">
        <f t="shared" si="64"/>
        <v>0</v>
      </c>
    </row>
    <row r="241" spans="1:18" x14ac:dyDescent="0.25">
      <c r="A241" s="76" t="s">
        <v>33</v>
      </c>
      <c r="B241" s="194"/>
      <c r="C241" s="155"/>
      <c r="D241" s="78">
        <v>0</v>
      </c>
      <c r="E241" s="156">
        <v>0</v>
      </c>
      <c r="F241" s="157">
        <v>0</v>
      </c>
      <c r="G241" s="156">
        <v>0</v>
      </c>
      <c r="H241" s="78">
        <v>0</v>
      </c>
      <c r="I241" s="186">
        <v>0</v>
      </c>
      <c r="J241" s="185">
        <f t="shared" si="61"/>
        <v>0</v>
      </c>
      <c r="K241" s="102">
        <f t="shared" si="56"/>
        <v>0</v>
      </c>
      <c r="L241" s="84">
        <f>ROUND(J241*VLOOKUP(A241,'Actual Load'!$A$4:$B$37,2,FALSE)/VLOOKUP(A241,'Projected Zonal Load'!$A$4:$N$37,14,FALSE),0)</f>
        <v>0</v>
      </c>
      <c r="M241" s="102">
        <f t="shared" si="57"/>
        <v>0</v>
      </c>
      <c r="N241" s="84">
        <f>+J241</f>
        <v>0</v>
      </c>
      <c r="O241" s="102">
        <f>+M241-N241</f>
        <v>0</v>
      </c>
      <c r="P241" s="102">
        <f t="shared" si="59"/>
        <v>0</v>
      </c>
      <c r="Q241" s="49">
        <f>+H241*Interest!$D$20</f>
        <v>0</v>
      </c>
      <c r="R241" s="127">
        <f>+P241+Q241</f>
        <v>0</v>
      </c>
    </row>
    <row r="242" spans="1:18" x14ac:dyDescent="0.25">
      <c r="A242" s="76" t="s">
        <v>34</v>
      </c>
      <c r="B242" s="194"/>
      <c r="C242" s="155"/>
      <c r="D242" s="78">
        <v>0</v>
      </c>
      <c r="E242" s="156">
        <v>0</v>
      </c>
      <c r="F242" s="157">
        <v>0</v>
      </c>
      <c r="G242" s="156">
        <v>0</v>
      </c>
      <c r="H242" s="78">
        <v>0.3771122107332775</v>
      </c>
      <c r="I242" s="186">
        <v>0</v>
      </c>
      <c r="J242" s="185">
        <f t="shared" si="61"/>
        <v>287569.97486367496</v>
      </c>
      <c r="K242" s="102">
        <f t="shared" si="56"/>
        <v>9430.3631575138261</v>
      </c>
      <c r="L242" s="84">
        <f>ROUND(J242*VLOOKUP(A242,'Actual Load'!$A$4:$B$37,2,FALSE)/VLOOKUP(A242,'Projected Zonal Load'!$A$4:$N$37,14,FALSE),0)</f>
        <v>278993</v>
      </c>
      <c r="M242" s="102">
        <f t="shared" si="57"/>
        <v>292084.13241579075</v>
      </c>
      <c r="N242" s="84">
        <f>+J242</f>
        <v>287569.97486367496</v>
      </c>
      <c r="O242" s="102">
        <f>+M242-N242</f>
        <v>4514.1575521157938</v>
      </c>
      <c r="P242" s="102">
        <f t="shared" si="59"/>
        <v>13944.52070962962</v>
      </c>
      <c r="Q242" s="49">
        <f>+H242*Interest!$D$20</f>
        <v>887.35798020404206</v>
      </c>
      <c r="R242" s="127">
        <f>+P242+Q242</f>
        <v>14831.878689833662</v>
      </c>
    </row>
    <row r="243" spans="1:18" x14ac:dyDescent="0.25">
      <c r="A243" s="76" t="s">
        <v>35</v>
      </c>
      <c r="B243" s="194"/>
      <c r="C243" s="155"/>
      <c r="D243" s="78">
        <v>0</v>
      </c>
      <c r="E243" s="156">
        <v>0</v>
      </c>
      <c r="F243" s="157">
        <v>0</v>
      </c>
      <c r="G243" s="156">
        <v>0</v>
      </c>
      <c r="H243" s="78">
        <v>0</v>
      </c>
      <c r="I243" s="186">
        <v>0</v>
      </c>
      <c r="J243" s="185">
        <f t="shared" si="61"/>
        <v>0</v>
      </c>
      <c r="K243" s="102">
        <f t="shared" si="56"/>
        <v>0</v>
      </c>
      <c r="L243" s="84">
        <f>ROUND(J243*VLOOKUP(A243,'Actual Load'!$A$4:$B$37,2,FALSE)/VLOOKUP(A243,'Projected Zonal Load'!$A$4:$N$37,14,FALSE),0)</f>
        <v>0</v>
      </c>
      <c r="M243" s="102">
        <f t="shared" si="57"/>
        <v>0</v>
      </c>
      <c r="N243" s="84">
        <f>+J243</f>
        <v>0</v>
      </c>
      <c r="O243" s="102">
        <f>+M243-N243</f>
        <v>0</v>
      </c>
      <c r="P243" s="102">
        <f t="shared" si="59"/>
        <v>0</v>
      </c>
      <c r="Q243" s="49">
        <f>+H243*Interest!$D$20</f>
        <v>0</v>
      </c>
      <c r="R243" s="127">
        <f>+P243+Q243</f>
        <v>0</v>
      </c>
    </row>
    <row r="244" spans="1:18" x14ac:dyDescent="0.25">
      <c r="A244" s="166" t="s">
        <v>36</v>
      </c>
      <c r="B244" s="194"/>
      <c r="C244" s="155"/>
      <c r="D244" s="78">
        <v>0</v>
      </c>
      <c r="E244" s="156">
        <v>0</v>
      </c>
      <c r="F244" s="157">
        <v>0</v>
      </c>
      <c r="G244" s="167">
        <v>0</v>
      </c>
      <c r="H244" s="219">
        <v>0</v>
      </c>
      <c r="I244" s="187">
        <v>0</v>
      </c>
      <c r="J244" s="185">
        <f t="shared" si="61"/>
        <v>0</v>
      </c>
      <c r="K244" s="102">
        <f t="shared" si="56"/>
        <v>0</v>
      </c>
      <c r="L244" s="84">
        <f>ROUND(J244*VLOOKUP(A244,'Actual Load'!$A$4:$B$37,2,FALSE)/VLOOKUP(A244,'Projected Zonal Load'!$A$4:$N$37,14,FALSE),0)</f>
        <v>0</v>
      </c>
      <c r="M244" s="102">
        <f t="shared" si="57"/>
        <v>0</v>
      </c>
      <c r="N244" s="84">
        <f>+J244</f>
        <v>0</v>
      </c>
      <c r="O244" s="102">
        <f>+M244-N244</f>
        <v>0</v>
      </c>
      <c r="P244" s="102">
        <f t="shared" si="59"/>
        <v>0</v>
      </c>
      <c r="Q244" s="49">
        <f>+H244*Interest!$D$20</f>
        <v>0</v>
      </c>
      <c r="R244" s="127">
        <f>+P244+Q244</f>
        <v>0</v>
      </c>
    </row>
    <row r="245" spans="1:18" x14ac:dyDescent="0.25">
      <c r="A245" s="170"/>
      <c r="B245" s="171"/>
      <c r="C245" s="172"/>
      <c r="D245" s="173">
        <v>0</v>
      </c>
      <c r="E245" s="174">
        <v>0</v>
      </c>
      <c r="F245" s="175">
        <v>0</v>
      </c>
      <c r="G245" s="174">
        <v>0</v>
      </c>
      <c r="H245" s="176">
        <v>1</v>
      </c>
      <c r="I245" s="220">
        <v>0</v>
      </c>
      <c r="J245" s="188">
        <f>SUM(J222:J244)</f>
        <v>762558.11050113779</v>
      </c>
      <c r="K245" s="120">
        <f t="shared" ref="K245:R245" si="65">SUM(K222:K244)</f>
        <v>25006.782833090751</v>
      </c>
      <c r="L245" s="107">
        <f t="shared" si="65"/>
        <v>738322</v>
      </c>
      <c r="M245" s="108">
        <f t="shared" si="65"/>
        <v>772966.13468256011</v>
      </c>
      <c r="N245" s="107">
        <f t="shared" si="65"/>
        <v>762558.11050113779</v>
      </c>
      <c r="O245" s="108">
        <f t="shared" si="65"/>
        <v>10408.024181422195</v>
      </c>
      <c r="P245" s="108">
        <f t="shared" si="65"/>
        <v>35414.807014512953</v>
      </c>
      <c r="Q245" s="108">
        <f t="shared" si="65"/>
        <v>2353.0343355326918</v>
      </c>
      <c r="R245" s="128">
        <f t="shared" si="65"/>
        <v>37767.841350045637</v>
      </c>
    </row>
    <row r="246" spans="1:18" x14ac:dyDescent="0.25">
      <c r="H246" s="189"/>
      <c r="I246" s="190"/>
    </row>
    <row r="247" spans="1:18" x14ac:dyDescent="0.25">
      <c r="O247" s="81"/>
      <c r="P247" s="81"/>
      <c r="Q247" s="81"/>
      <c r="R247" s="81"/>
    </row>
    <row r="248" spans="1:18" x14ac:dyDescent="0.25">
      <c r="H248" s="123" t="s">
        <v>175</v>
      </c>
      <c r="I248" s="191">
        <v>756928.42601323151</v>
      </c>
      <c r="K248" s="124"/>
      <c r="L248" s="123" t="s">
        <v>178</v>
      </c>
      <c r="M248" s="191">
        <v>731921.64318014076</v>
      </c>
      <c r="O248" s="81"/>
      <c r="P248" s="81"/>
      <c r="Q248" s="81"/>
      <c r="R248" s="81"/>
    </row>
    <row r="249" spans="1:18" x14ac:dyDescent="0.25">
      <c r="H249" s="83" t="s">
        <v>177</v>
      </c>
      <c r="I249" s="191">
        <v>5629.6844879063301</v>
      </c>
      <c r="K249" s="124"/>
      <c r="L249" s="83" t="s">
        <v>177</v>
      </c>
      <c r="M249" s="191">
        <v>5629.6844879063301</v>
      </c>
      <c r="O249" s="81"/>
      <c r="P249" s="81"/>
      <c r="Q249" s="81"/>
      <c r="R249" s="81"/>
    </row>
    <row r="250" spans="1:18" x14ac:dyDescent="0.25">
      <c r="G250" s="124"/>
      <c r="H250" s="125" t="s">
        <v>176</v>
      </c>
      <c r="I250" s="192">
        <f>SUM(I248:I249)</f>
        <v>762558.11050113779</v>
      </c>
      <c r="J250" s="126" t="s">
        <v>132</v>
      </c>
      <c r="K250" s="129"/>
      <c r="L250" s="125" t="s">
        <v>176</v>
      </c>
      <c r="M250" s="192">
        <f>SUM(M248:M249)</f>
        <v>737551.32766804704</v>
      </c>
      <c r="O250" s="74" t="s">
        <v>132</v>
      </c>
      <c r="P250" s="81"/>
      <c r="Q250" s="81"/>
      <c r="R250" s="81"/>
    </row>
    <row r="251" spans="1:18" x14ac:dyDescent="0.25">
      <c r="I251" s="193"/>
      <c r="O251" s="81"/>
      <c r="P251" s="81"/>
      <c r="Q251" s="81"/>
      <c r="R251" s="81"/>
    </row>
    <row r="255" spans="1:18" x14ac:dyDescent="0.25">
      <c r="A255" s="359" t="s">
        <v>0</v>
      </c>
      <c r="B255" s="360"/>
      <c r="C255" s="360" t="s">
        <v>76</v>
      </c>
      <c r="D255" s="360"/>
      <c r="E255" s="360"/>
      <c r="F255" s="360"/>
      <c r="G255" s="360"/>
      <c r="H255" s="361"/>
      <c r="I255" s="178"/>
    </row>
    <row r="256" spans="1:18" hidden="1" outlineLevel="1" x14ac:dyDescent="0.25">
      <c r="A256" s="179" t="s">
        <v>134</v>
      </c>
      <c r="B256" s="180"/>
      <c r="C256" s="181" t="s">
        <v>135</v>
      </c>
      <c r="D256" s="182"/>
      <c r="E256" s="182"/>
      <c r="F256" s="182"/>
      <c r="G256" s="182"/>
      <c r="H256" s="183"/>
      <c r="I256" s="178"/>
    </row>
    <row r="257" spans="1:18" collapsed="1" x14ac:dyDescent="0.25">
      <c r="A257" s="362" t="s">
        <v>2</v>
      </c>
      <c r="B257" s="363"/>
      <c r="C257" s="381" t="s">
        <v>77</v>
      </c>
      <c r="D257" s="382"/>
      <c r="E257" s="382"/>
      <c r="F257" s="382"/>
      <c r="G257" s="382"/>
      <c r="H257" s="383"/>
      <c r="I257" s="178"/>
    </row>
    <row r="258" spans="1:18" x14ac:dyDescent="0.25">
      <c r="A258" s="362" t="s">
        <v>4</v>
      </c>
      <c r="B258" s="363"/>
      <c r="C258" s="381" t="s">
        <v>5</v>
      </c>
      <c r="D258" s="382"/>
      <c r="E258" s="382"/>
      <c r="F258" s="382"/>
      <c r="G258" s="382"/>
      <c r="H258" s="383"/>
      <c r="I258" s="178"/>
    </row>
    <row r="259" spans="1:18" x14ac:dyDescent="0.25">
      <c r="A259" s="362" t="s">
        <v>6</v>
      </c>
      <c r="B259" s="363"/>
      <c r="C259" s="375">
        <v>0</v>
      </c>
      <c r="D259" s="376"/>
      <c r="E259" s="376"/>
      <c r="F259" s="376"/>
      <c r="G259" s="376"/>
      <c r="H259" s="377"/>
      <c r="I259" s="178"/>
      <c r="M259" s="111"/>
      <c r="O259" s="111" t="s">
        <v>43</v>
      </c>
      <c r="P259" s="111" t="s">
        <v>39</v>
      </c>
      <c r="R259" s="111" t="s">
        <v>44</v>
      </c>
    </row>
    <row r="260" spans="1:18" x14ac:dyDescent="0.25">
      <c r="A260" s="370" t="s">
        <v>7</v>
      </c>
      <c r="B260" s="371"/>
      <c r="C260" s="372" t="s">
        <v>8</v>
      </c>
      <c r="D260" s="373"/>
      <c r="E260" s="373"/>
      <c r="F260" s="373"/>
      <c r="G260" s="373"/>
      <c r="H260" s="374"/>
      <c r="I260" s="178"/>
      <c r="K260" s="111" t="s">
        <v>41</v>
      </c>
      <c r="L260" s="112" t="s">
        <v>42</v>
      </c>
      <c r="M260" s="113" t="s">
        <v>182</v>
      </c>
      <c r="N260" s="113" t="s">
        <v>38</v>
      </c>
      <c r="O260" s="113" t="s">
        <v>183</v>
      </c>
      <c r="P260" s="113" t="s">
        <v>184</v>
      </c>
      <c r="Q260" s="113" t="s">
        <v>40</v>
      </c>
      <c r="R260" s="113" t="s">
        <v>185</v>
      </c>
    </row>
    <row r="261" spans="1:18" x14ac:dyDescent="0.25">
      <c r="A261" s="134"/>
      <c r="B261" s="134"/>
      <c r="C261" s="134"/>
      <c r="D261" s="134"/>
      <c r="E261" s="134"/>
      <c r="F261" s="134"/>
      <c r="G261" s="134"/>
      <c r="H261" s="134"/>
      <c r="I261" s="134"/>
      <c r="K261" s="90"/>
      <c r="L261" s="351" t="s">
        <v>45</v>
      </c>
      <c r="M261" s="352"/>
      <c r="N261" s="352"/>
      <c r="O261" s="353"/>
      <c r="P261" s="91" t="s">
        <v>46</v>
      </c>
      <c r="Q261" s="90"/>
      <c r="R261" s="91" t="s">
        <v>47</v>
      </c>
    </row>
    <row r="262" spans="1:18" x14ac:dyDescent="0.25">
      <c r="A262" s="135"/>
      <c r="B262" s="136"/>
      <c r="C262" s="137"/>
      <c r="D262" s="354">
        <v>0</v>
      </c>
      <c r="E262" s="355"/>
      <c r="F262" s="354">
        <v>1</v>
      </c>
      <c r="G262" s="355"/>
      <c r="H262" s="138"/>
      <c r="I262" s="139"/>
      <c r="J262" s="140" t="s">
        <v>9</v>
      </c>
      <c r="K262" s="92" t="s">
        <v>48</v>
      </c>
      <c r="L262" s="351" t="s">
        <v>49</v>
      </c>
      <c r="M262" s="352"/>
      <c r="N262" s="93"/>
      <c r="O262" s="91" t="s">
        <v>50</v>
      </c>
      <c r="P262" s="92" t="s">
        <v>51</v>
      </c>
      <c r="Q262" s="94"/>
      <c r="R262" s="92" t="s">
        <v>52</v>
      </c>
    </row>
    <row r="263" spans="1:18" x14ac:dyDescent="0.25">
      <c r="A263" s="141"/>
      <c r="B263" s="142"/>
      <c r="C263" s="143"/>
      <c r="D263" s="356" t="s">
        <v>10</v>
      </c>
      <c r="E263" s="357"/>
      <c r="F263" s="356" t="s">
        <v>11</v>
      </c>
      <c r="G263" s="357"/>
      <c r="H263" s="356" t="s">
        <v>12</v>
      </c>
      <c r="I263" s="358"/>
      <c r="J263" s="144" t="s">
        <v>13</v>
      </c>
      <c r="K263" s="95" t="s">
        <v>53</v>
      </c>
      <c r="L263" s="96" t="s">
        <v>179</v>
      </c>
      <c r="M263" s="97" t="s">
        <v>180</v>
      </c>
      <c r="N263" s="98" t="s">
        <v>54</v>
      </c>
      <c r="O263" s="98" t="s">
        <v>53</v>
      </c>
      <c r="P263" s="98" t="s">
        <v>53</v>
      </c>
      <c r="Q263" s="98" t="s">
        <v>55</v>
      </c>
      <c r="R263" s="98" t="s">
        <v>56</v>
      </c>
    </row>
    <row r="264" spans="1:18" ht="45" x14ac:dyDescent="0.25">
      <c r="A264" s="145" t="s">
        <v>14</v>
      </c>
      <c r="B264" s="146" t="s">
        <v>15</v>
      </c>
      <c r="C264" s="147" t="s">
        <v>16</v>
      </c>
      <c r="D264" s="148" t="s">
        <v>17</v>
      </c>
      <c r="E264" s="149" t="s">
        <v>18</v>
      </c>
      <c r="F264" s="148" t="s">
        <v>17</v>
      </c>
      <c r="G264" s="149" t="s">
        <v>18</v>
      </c>
      <c r="H264" s="150" t="s">
        <v>17</v>
      </c>
      <c r="I264" s="151" t="s">
        <v>18</v>
      </c>
      <c r="J264" s="147" t="s">
        <v>18</v>
      </c>
      <c r="K264" s="152" t="s">
        <v>57</v>
      </c>
      <c r="L264" s="99"/>
      <c r="M264" s="100"/>
      <c r="N264" s="99"/>
      <c r="O264" s="152" t="s">
        <v>57</v>
      </c>
      <c r="P264" s="100"/>
      <c r="Q264" s="100"/>
      <c r="R264" s="153" t="s">
        <v>57</v>
      </c>
    </row>
    <row r="265" spans="1:18" x14ac:dyDescent="0.25">
      <c r="A265" s="75" t="s">
        <v>195</v>
      </c>
      <c r="B265" s="194">
        <v>10940248.5</v>
      </c>
      <c r="C265" s="155">
        <v>0.1292265803021185</v>
      </c>
      <c r="D265" s="78">
        <v>0</v>
      </c>
      <c r="E265" s="156">
        <v>0</v>
      </c>
      <c r="F265" s="157">
        <v>0</v>
      </c>
      <c r="G265" s="158">
        <v>0</v>
      </c>
      <c r="H265" s="159">
        <v>0</v>
      </c>
      <c r="I265" s="184">
        <v>0</v>
      </c>
      <c r="J265" s="185">
        <f>H265*I$291</f>
        <v>0</v>
      </c>
      <c r="K265" s="102">
        <f t="shared" ref="K265:K285" si="66">(I$291-M$291)*H265</f>
        <v>0</v>
      </c>
      <c r="L265" s="84">
        <f>ROUND(J265*VLOOKUP(A265,'Actual Load'!$A$4:$B$37,2,FALSE)/VLOOKUP(A265,'Projected Zonal Load'!$A$4:$N$37,14,FALSE),0)</f>
        <v>0</v>
      </c>
      <c r="M265" s="102">
        <f t="shared" ref="M265:M285" si="67">IF(NOT(L$43=0),M$6*L265/L$43,0)</f>
        <v>0</v>
      </c>
      <c r="N265" s="84">
        <f>+J265</f>
        <v>0</v>
      </c>
      <c r="O265" s="102">
        <f t="shared" ref="O265:O271" si="68">+M265-N265</f>
        <v>0</v>
      </c>
      <c r="P265" s="102">
        <f t="shared" ref="P265:P285" si="69">+K265+O265</f>
        <v>0</v>
      </c>
      <c r="Q265" s="49">
        <f>+H265*Interest!$D$16</f>
        <v>0</v>
      </c>
      <c r="R265" s="127">
        <f t="shared" ref="R265:R271" si="70">+P265+Q265</f>
        <v>0</v>
      </c>
    </row>
    <row r="266" spans="1:18" x14ac:dyDescent="0.25">
      <c r="A266" s="76" t="s">
        <v>19</v>
      </c>
      <c r="B266" s="194">
        <v>571800</v>
      </c>
      <c r="C266" s="155">
        <v>6.7541206780404811E-3</v>
      </c>
      <c r="D266" s="78">
        <v>0</v>
      </c>
      <c r="E266" s="156">
        <v>0</v>
      </c>
      <c r="F266" s="157">
        <v>0</v>
      </c>
      <c r="G266" s="156">
        <v>0</v>
      </c>
      <c r="H266" s="159">
        <v>0</v>
      </c>
      <c r="I266" s="186">
        <v>0</v>
      </c>
      <c r="J266" s="185">
        <f t="shared" ref="J266:J285" si="71">H266*I$291</f>
        <v>0</v>
      </c>
      <c r="K266" s="102">
        <f t="shared" si="66"/>
        <v>0</v>
      </c>
      <c r="L266" s="84">
        <f>ROUND(J266*VLOOKUP(A266,'Actual Load'!$A$4:$B$37,2,FALSE)/VLOOKUP(A266,'Projected Zonal Load'!$A$4:$N$37,14,FALSE),0)</f>
        <v>0</v>
      </c>
      <c r="M266" s="102">
        <f t="shared" si="67"/>
        <v>0</v>
      </c>
      <c r="N266" s="84">
        <f t="shared" ref="N266:N285" si="72">+J266</f>
        <v>0</v>
      </c>
      <c r="O266" s="102">
        <f t="shared" si="68"/>
        <v>0</v>
      </c>
      <c r="P266" s="102">
        <f t="shared" si="69"/>
        <v>0</v>
      </c>
      <c r="Q266" s="49">
        <f>+H266*Interest!$D$16</f>
        <v>0</v>
      </c>
      <c r="R266" s="127">
        <f t="shared" si="70"/>
        <v>0</v>
      </c>
    </row>
    <row r="267" spans="1:18" x14ac:dyDescent="0.25">
      <c r="A267" s="76" t="s">
        <v>210</v>
      </c>
      <c r="B267" s="194">
        <v>9981000</v>
      </c>
      <c r="C267" s="155">
        <v>0.11789590501490389</v>
      </c>
      <c r="D267" s="78">
        <v>0</v>
      </c>
      <c r="E267" s="156">
        <v>0</v>
      </c>
      <c r="F267" s="157">
        <v>0</v>
      </c>
      <c r="G267" s="156">
        <v>0</v>
      </c>
      <c r="H267" s="159">
        <v>0</v>
      </c>
      <c r="I267" s="186">
        <v>0</v>
      </c>
      <c r="J267" s="185">
        <f t="shared" si="71"/>
        <v>0</v>
      </c>
      <c r="K267" s="102">
        <f t="shared" si="66"/>
        <v>0</v>
      </c>
      <c r="L267" s="84">
        <f>ROUND(J267*VLOOKUP(A267,'Actual Load'!$A$4:$B$37,2,FALSE)/VLOOKUP(A267,'Projected Zonal Load'!$A$4:$N$37,14,FALSE),0)</f>
        <v>0</v>
      </c>
      <c r="M267" s="102">
        <f t="shared" si="67"/>
        <v>0</v>
      </c>
      <c r="N267" s="84">
        <f t="shared" si="72"/>
        <v>0</v>
      </c>
      <c r="O267" s="102">
        <f t="shared" si="68"/>
        <v>0</v>
      </c>
      <c r="P267" s="102">
        <f t="shared" si="69"/>
        <v>0</v>
      </c>
      <c r="Q267" s="49">
        <f>+H267*Interest!$D$16</f>
        <v>0</v>
      </c>
      <c r="R267" s="127">
        <f t="shared" si="70"/>
        <v>0</v>
      </c>
    </row>
    <row r="268" spans="1:18" x14ac:dyDescent="0.25">
      <c r="A268" s="76" t="s">
        <v>211</v>
      </c>
      <c r="B268" s="194">
        <v>1028167</v>
      </c>
      <c r="C268" s="155">
        <v>1.2144742908672346E-2</v>
      </c>
      <c r="D268" s="78">
        <v>0</v>
      </c>
      <c r="E268" s="156">
        <v>0</v>
      </c>
      <c r="F268" s="157">
        <v>0</v>
      </c>
      <c r="G268" s="156">
        <v>0</v>
      </c>
      <c r="H268" s="159">
        <v>0</v>
      </c>
      <c r="I268" s="186">
        <v>0</v>
      </c>
      <c r="J268" s="185">
        <f t="shared" si="71"/>
        <v>0</v>
      </c>
      <c r="K268" s="102">
        <f t="shared" si="66"/>
        <v>0</v>
      </c>
      <c r="L268" s="84">
        <f>ROUND(J268*VLOOKUP(A268,'Actual Load'!$A$4:$B$37,2,FALSE)/VLOOKUP(A268,'Projected Zonal Load'!$A$4:$N$37,14,FALSE),0)</f>
        <v>0</v>
      </c>
      <c r="M268" s="102">
        <f t="shared" si="67"/>
        <v>0</v>
      </c>
      <c r="N268" s="84">
        <f t="shared" si="72"/>
        <v>0</v>
      </c>
      <c r="O268" s="102">
        <f t="shared" si="68"/>
        <v>0</v>
      </c>
      <c r="P268" s="102">
        <f t="shared" si="69"/>
        <v>0</v>
      </c>
      <c r="Q268" s="49">
        <f>+H268*Interest!$D$16</f>
        <v>0</v>
      </c>
      <c r="R268" s="127">
        <f t="shared" si="70"/>
        <v>0</v>
      </c>
    </row>
    <row r="269" spans="1:18" x14ac:dyDescent="0.25">
      <c r="A269" s="76" t="s">
        <v>20</v>
      </c>
      <c r="B269" s="194">
        <v>2574417</v>
      </c>
      <c r="C269" s="155">
        <v>3.040909949912372E-2</v>
      </c>
      <c r="D269" s="78">
        <v>0</v>
      </c>
      <c r="E269" s="156">
        <v>0</v>
      </c>
      <c r="F269" s="157">
        <v>0</v>
      </c>
      <c r="G269" s="156">
        <v>0</v>
      </c>
      <c r="H269" s="159">
        <v>0</v>
      </c>
      <c r="I269" s="186">
        <v>0</v>
      </c>
      <c r="J269" s="185">
        <f t="shared" si="71"/>
        <v>0</v>
      </c>
      <c r="K269" s="102">
        <f t="shared" si="66"/>
        <v>0</v>
      </c>
      <c r="L269" s="84">
        <f>ROUND(J269*VLOOKUP(A269,'Actual Load'!$A$4:$B$37,2,FALSE)/VLOOKUP(A269,'Projected Zonal Load'!$A$4:$N$37,14,FALSE),0)</f>
        <v>0</v>
      </c>
      <c r="M269" s="102">
        <f t="shared" si="67"/>
        <v>0</v>
      </c>
      <c r="N269" s="84">
        <f t="shared" si="72"/>
        <v>0</v>
      </c>
      <c r="O269" s="102">
        <f t="shared" si="68"/>
        <v>0</v>
      </c>
      <c r="P269" s="102">
        <f t="shared" si="69"/>
        <v>0</v>
      </c>
      <c r="Q269" s="49">
        <f>+H269*Interest!$D$16</f>
        <v>0</v>
      </c>
      <c r="R269" s="127">
        <f t="shared" si="70"/>
        <v>0</v>
      </c>
    </row>
    <row r="270" spans="1:18" x14ac:dyDescent="0.25">
      <c r="A270" s="76" t="s">
        <v>21</v>
      </c>
      <c r="B270" s="194">
        <v>2860240</v>
      </c>
      <c r="C270" s="155">
        <v>3.3785250311574866E-2</v>
      </c>
      <c r="D270" s="78">
        <v>0</v>
      </c>
      <c r="E270" s="156">
        <v>0</v>
      </c>
      <c r="F270" s="157">
        <v>0</v>
      </c>
      <c r="G270" s="156">
        <v>0</v>
      </c>
      <c r="H270" s="159">
        <v>0</v>
      </c>
      <c r="I270" s="186">
        <v>0</v>
      </c>
      <c r="J270" s="185">
        <f t="shared" si="71"/>
        <v>0</v>
      </c>
      <c r="K270" s="102">
        <f t="shared" si="66"/>
        <v>0</v>
      </c>
      <c r="L270" s="84">
        <f>ROUND(J270*VLOOKUP(A270,'Actual Load'!$A$4:$B$37,2,FALSE)/VLOOKUP(A270,'Projected Zonal Load'!$A$4:$N$37,14,FALSE),0)</f>
        <v>0</v>
      </c>
      <c r="M270" s="102">
        <f t="shared" si="67"/>
        <v>0</v>
      </c>
      <c r="N270" s="84">
        <f t="shared" si="72"/>
        <v>0</v>
      </c>
      <c r="O270" s="102">
        <f t="shared" si="68"/>
        <v>0</v>
      </c>
      <c r="P270" s="102">
        <f t="shared" si="69"/>
        <v>0</v>
      </c>
      <c r="Q270" s="49">
        <f>+H270*Interest!$D$16</f>
        <v>0</v>
      </c>
      <c r="R270" s="127">
        <f t="shared" si="70"/>
        <v>0</v>
      </c>
    </row>
    <row r="271" spans="1:18" x14ac:dyDescent="0.25">
      <c r="A271" s="76" t="s">
        <v>22</v>
      </c>
      <c r="B271" s="194">
        <v>7116500</v>
      </c>
      <c r="C271" s="155">
        <v>8.4060335441194622E-2</v>
      </c>
      <c r="D271" s="78">
        <v>0</v>
      </c>
      <c r="E271" s="156">
        <v>0</v>
      </c>
      <c r="F271" s="157">
        <v>0</v>
      </c>
      <c r="G271" s="156">
        <v>0</v>
      </c>
      <c r="H271" s="159">
        <v>0</v>
      </c>
      <c r="I271" s="186">
        <v>0</v>
      </c>
      <c r="J271" s="185">
        <f t="shared" si="71"/>
        <v>0</v>
      </c>
      <c r="K271" s="102">
        <f t="shared" si="66"/>
        <v>0</v>
      </c>
      <c r="L271" s="84">
        <f>ROUND(J271*'Actual Load'!$B$17/'Projected Zonal Load'!$N$17,0)</f>
        <v>0</v>
      </c>
      <c r="M271" s="102">
        <f t="shared" si="67"/>
        <v>0</v>
      </c>
      <c r="N271" s="84">
        <f t="shared" si="72"/>
        <v>0</v>
      </c>
      <c r="O271" s="102">
        <f t="shared" si="68"/>
        <v>0</v>
      </c>
      <c r="P271" s="102">
        <f t="shared" si="69"/>
        <v>0</v>
      </c>
      <c r="Q271" s="49">
        <f>+H271*Interest!$D$16</f>
        <v>0</v>
      </c>
      <c r="R271" s="127">
        <f t="shared" si="70"/>
        <v>0</v>
      </c>
    </row>
    <row r="272" spans="1:18" x14ac:dyDescent="0.25">
      <c r="A272" s="76" t="s">
        <v>23</v>
      </c>
      <c r="B272" s="194">
        <v>9342000</v>
      </c>
      <c r="C272" s="155">
        <v>0.11034801569474323</v>
      </c>
      <c r="D272" s="78">
        <v>0</v>
      </c>
      <c r="E272" s="156">
        <v>0</v>
      </c>
      <c r="F272" s="157">
        <v>0</v>
      </c>
      <c r="G272" s="156">
        <v>0</v>
      </c>
      <c r="H272" s="159">
        <v>0</v>
      </c>
      <c r="I272" s="186">
        <v>0</v>
      </c>
      <c r="J272" s="185">
        <f t="shared" si="71"/>
        <v>0</v>
      </c>
      <c r="K272" s="102">
        <f t="shared" si="66"/>
        <v>0</v>
      </c>
      <c r="L272" s="84">
        <f>ROUND(J272*VLOOKUP(A272,'Actual Load'!$A$4:$B$37,2,FALSE)/VLOOKUP(A272,'Projected Zonal Load'!$A$4:$N$37,14,FALSE),0)</f>
        <v>0</v>
      </c>
      <c r="M272" s="102">
        <f t="shared" si="67"/>
        <v>0</v>
      </c>
      <c r="N272" s="84">
        <f t="shared" si="72"/>
        <v>0</v>
      </c>
      <c r="O272" s="102">
        <f>+M272-N272</f>
        <v>0</v>
      </c>
      <c r="P272" s="102">
        <f t="shared" si="69"/>
        <v>0</v>
      </c>
      <c r="Q272" s="49">
        <f>+H272*Interest!$D$16</f>
        <v>0</v>
      </c>
      <c r="R272" s="127">
        <f>+P272+Q272</f>
        <v>0</v>
      </c>
    </row>
    <row r="273" spans="1:18" x14ac:dyDescent="0.25">
      <c r="A273" s="76" t="s">
        <v>24</v>
      </c>
      <c r="B273" s="194">
        <v>2939201</v>
      </c>
      <c r="C273" s="155">
        <v>3.4717940278099442E-2</v>
      </c>
      <c r="D273" s="78">
        <v>0</v>
      </c>
      <c r="E273" s="156">
        <v>0</v>
      </c>
      <c r="F273" s="157">
        <v>0</v>
      </c>
      <c r="G273" s="156">
        <v>0</v>
      </c>
      <c r="H273" s="159">
        <v>0</v>
      </c>
      <c r="I273" s="186">
        <v>0</v>
      </c>
      <c r="J273" s="185">
        <f t="shared" si="71"/>
        <v>0</v>
      </c>
      <c r="K273" s="102">
        <f t="shared" si="66"/>
        <v>0</v>
      </c>
      <c r="L273" s="84">
        <f>ROUND(J273*VLOOKUP(A273,'Actual Load'!$A$4:$B$37,2,FALSE)/VLOOKUP(A273,'Projected Zonal Load'!$A$4:$N$37,14,FALSE),0)</f>
        <v>0</v>
      </c>
      <c r="M273" s="102">
        <f t="shared" si="67"/>
        <v>0</v>
      </c>
      <c r="N273" s="84">
        <f t="shared" si="72"/>
        <v>0</v>
      </c>
      <c r="O273" s="102">
        <f t="shared" ref="O273:O285" si="73">+M273-N273</f>
        <v>0</v>
      </c>
      <c r="P273" s="102">
        <f t="shared" si="69"/>
        <v>0</v>
      </c>
      <c r="Q273" s="49">
        <f>+H273*Interest!$D$16</f>
        <v>0</v>
      </c>
      <c r="R273" s="127">
        <f t="shared" ref="R273:R285" si="74">+P273+Q273</f>
        <v>0</v>
      </c>
    </row>
    <row r="274" spans="1:18" x14ac:dyDescent="0.25">
      <c r="A274" s="76" t="s">
        <v>25</v>
      </c>
      <c r="B274" s="194">
        <v>207000</v>
      </c>
      <c r="C274" s="155">
        <v>2.4450909065309194E-3</v>
      </c>
      <c r="D274" s="78">
        <v>0</v>
      </c>
      <c r="E274" s="156">
        <v>0</v>
      </c>
      <c r="F274" s="157">
        <v>0</v>
      </c>
      <c r="G274" s="156">
        <v>0</v>
      </c>
      <c r="H274" s="159">
        <v>0</v>
      </c>
      <c r="I274" s="186">
        <v>0</v>
      </c>
      <c r="J274" s="185">
        <f t="shared" si="71"/>
        <v>0</v>
      </c>
      <c r="K274" s="102">
        <f t="shared" si="66"/>
        <v>0</v>
      </c>
      <c r="L274" s="84">
        <f>ROUND(J274*VLOOKUP(A274,'Actual Load'!$A$4:$B$37,2,FALSE)/VLOOKUP(A274,'Projected Zonal Load'!$A$4:$N$37,14,FALSE),0)</f>
        <v>0</v>
      </c>
      <c r="M274" s="102">
        <f t="shared" si="67"/>
        <v>0</v>
      </c>
      <c r="N274" s="84">
        <f t="shared" si="72"/>
        <v>0</v>
      </c>
      <c r="O274" s="102">
        <f t="shared" si="73"/>
        <v>0</v>
      </c>
      <c r="P274" s="102">
        <f t="shared" si="69"/>
        <v>0</v>
      </c>
      <c r="Q274" s="49">
        <f>+H274*Interest!$D$16</f>
        <v>0</v>
      </c>
      <c r="R274" s="127">
        <f t="shared" si="74"/>
        <v>0</v>
      </c>
    </row>
    <row r="275" spans="1:18" x14ac:dyDescent="0.25">
      <c r="A275" s="76" t="s">
        <v>26</v>
      </c>
      <c r="B275" s="194">
        <v>7020707</v>
      </c>
      <c r="C275" s="155">
        <v>8.2928825329072323E-2</v>
      </c>
      <c r="D275" s="78">
        <v>0</v>
      </c>
      <c r="E275" s="156">
        <v>0</v>
      </c>
      <c r="F275" s="157">
        <v>0</v>
      </c>
      <c r="G275" s="156">
        <v>0</v>
      </c>
      <c r="H275" s="159">
        <v>0</v>
      </c>
      <c r="I275" s="186">
        <v>0</v>
      </c>
      <c r="J275" s="185">
        <f t="shared" si="71"/>
        <v>0</v>
      </c>
      <c r="K275" s="102">
        <f t="shared" si="66"/>
        <v>0</v>
      </c>
      <c r="L275" s="84">
        <f>ROUND(J275*VLOOKUP(A275,'Actual Load'!$A$4:$B$37,2,FALSE)/VLOOKUP(A275,'Projected Zonal Load'!$A$4:$N$37,14,FALSE),0)</f>
        <v>0</v>
      </c>
      <c r="M275" s="102">
        <f t="shared" si="67"/>
        <v>0</v>
      </c>
      <c r="N275" s="84">
        <f t="shared" si="72"/>
        <v>0</v>
      </c>
      <c r="O275" s="102">
        <f t="shared" si="73"/>
        <v>0</v>
      </c>
      <c r="P275" s="102">
        <f t="shared" si="69"/>
        <v>0</v>
      </c>
      <c r="Q275" s="49">
        <f>+H275*Interest!$D$16</f>
        <v>0</v>
      </c>
      <c r="R275" s="127">
        <f t="shared" si="74"/>
        <v>0</v>
      </c>
    </row>
    <row r="276" spans="1:18" x14ac:dyDescent="0.25">
      <c r="A276" s="76" t="s">
        <v>27</v>
      </c>
      <c r="B276" s="194">
        <v>6927361</v>
      </c>
      <c r="C276" s="155">
        <v>8.1826219262593897E-2</v>
      </c>
      <c r="D276" s="78">
        <v>0</v>
      </c>
      <c r="E276" s="156">
        <v>0</v>
      </c>
      <c r="F276" s="157">
        <v>0</v>
      </c>
      <c r="G276" s="156">
        <v>0</v>
      </c>
      <c r="H276" s="159">
        <v>0</v>
      </c>
      <c r="I276" s="186">
        <v>0</v>
      </c>
      <c r="J276" s="185">
        <f t="shared" si="71"/>
        <v>0</v>
      </c>
      <c r="K276" s="102">
        <f t="shared" si="66"/>
        <v>0</v>
      </c>
      <c r="L276" s="84">
        <f>ROUND(J276*VLOOKUP(A276,'Actual Load'!$A$4:$B$37,2,FALSE)/VLOOKUP(A276,'Projected Zonal Load'!$A$4:$N$37,14,FALSE),0)</f>
        <v>0</v>
      </c>
      <c r="M276" s="102">
        <f t="shared" si="67"/>
        <v>0</v>
      </c>
      <c r="N276" s="84">
        <f t="shared" si="72"/>
        <v>0</v>
      </c>
      <c r="O276" s="102">
        <f t="shared" si="73"/>
        <v>0</v>
      </c>
      <c r="P276" s="102">
        <f t="shared" si="69"/>
        <v>0</v>
      </c>
      <c r="Q276" s="49">
        <f>+H276*Interest!$D$16</f>
        <v>0</v>
      </c>
      <c r="R276" s="127">
        <f t="shared" si="74"/>
        <v>0</v>
      </c>
    </row>
    <row r="277" spans="1:18" x14ac:dyDescent="0.25">
      <c r="A277" s="76" t="s">
        <v>28</v>
      </c>
      <c r="B277" s="194">
        <v>325000</v>
      </c>
      <c r="C277" s="155">
        <v>3.8389108435871924E-3</v>
      </c>
      <c r="D277" s="78">
        <v>0</v>
      </c>
      <c r="E277" s="156">
        <v>0</v>
      </c>
      <c r="F277" s="157">
        <v>0</v>
      </c>
      <c r="G277" s="156">
        <v>0</v>
      </c>
      <c r="H277" s="159">
        <v>0</v>
      </c>
      <c r="I277" s="186">
        <v>0</v>
      </c>
      <c r="J277" s="185">
        <f t="shared" si="71"/>
        <v>0</v>
      </c>
      <c r="K277" s="102">
        <f t="shared" si="66"/>
        <v>0</v>
      </c>
      <c r="L277" s="84">
        <f>ROUND(J277*VLOOKUP(A277,'Actual Load'!$A$4:$B$37,2,FALSE)/VLOOKUP(A277,'Projected Zonal Load'!$A$4:$N$37,14,FALSE),0)</f>
        <v>0</v>
      </c>
      <c r="M277" s="102">
        <f t="shared" si="67"/>
        <v>0</v>
      </c>
      <c r="N277" s="84">
        <f t="shared" si="72"/>
        <v>0</v>
      </c>
      <c r="O277" s="102">
        <f t="shared" si="73"/>
        <v>0</v>
      </c>
      <c r="P277" s="102">
        <f t="shared" si="69"/>
        <v>0</v>
      </c>
      <c r="Q277" s="49">
        <f>+H277*Interest!$D$16</f>
        <v>0</v>
      </c>
      <c r="R277" s="127">
        <f t="shared" si="74"/>
        <v>0</v>
      </c>
    </row>
    <row r="278" spans="1:18" x14ac:dyDescent="0.25">
      <c r="A278" s="76" t="s">
        <v>29</v>
      </c>
      <c r="B278" s="194">
        <v>343000</v>
      </c>
      <c r="C278" s="155">
        <v>4.0515274441550982E-3</v>
      </c>
      <c r="D278" s="78">
        <v>0</v>
      </c>
      <c r="E278" s="156">
        <v>0</v>
      </c>
      <c r="F278" s="157">
        <v>0</v>
      </c>
      <c r="G278" s="156">
        <v>0</v>
      </c>
      <c r="H278" s="159">
        <v>0</v>
      </c>
      <c r="I278" s="186">
        <v>0</v>
      </c>
      <c r="J278" s="185">
        <f t="shared" si="71"/>
        <v>0</v>
      </c>
      <c r="K278" s="102">
        <f t="shared" si="66"/>
        <v>0</v>
      </c>
      <c r="L278" s="84">
        <f>ROUND(J278*VLOOKUP(A278,'Actual Load'!$A$4:$B$37,2,FALSE)/VLOOKUP(A278,'Projected Zonal Load'!$A$4:$N$37,14,FALSE),0)</f>
        <v>0</v>
      </c>
      <c r="M278" s="102">
        <f t="shared" si="67"/>
        <v>0</v>
      </c>
      <c r="N278" s="84">
        <f t="shared" si="72"/>
        <v>0</v>
      </c>
      <c r="O278" s="102">
        <f t="shared" si="73"/>
        <v>0</v>
      </c>
      <c r="P278" s="102">
        <f t="shared" si="69"/>
        <v>0</v>
      </c>
      <c r="Q278" s="49">
        <f>+H278*Interest!$D$16</f>
        <v>0</v>
      </c>
      <c r="R278" s="127">
        <f t="shared" si="74"/>
        <v>0</v>
      </c>
    </row>
    <row r="279" spans="1:18" x14ac:dyDescent="0.25">
      <c r="A279" s="76" t="s">
        <v>30</v>
      </c>
      <c r="B279" s="194">
        <v>10436523.5</v>
      </c>
      <c r="C279" s="155">
        <v>0.12327656379539248</v>
      </c>
      <c r="D279" s="78">
        <v>0</v>
      </c>
      <c r="E279" s="156">
        <v>0</v>
      </c>
      <c r="F279" s="157">
        <v>0</v>
      </c>
      <c r="G279" s="156">
        <v>0</v>
      </c>
      <c r="H279" s="159">
        <v>0</v>
      </c>
      <c r="I279" s="186">
        <v>0</v>
      </c>
      <c r="J279" s="185">
        <f t="shared" si="71"/>
        <v>0</v>
      </c>
      <c r="K279" s="102">
        <f t="shared" si="66"/>
        <v>0</v>
      </c>
      <c r="L279" s="84">
        <f>ROUND(J279*VLOOKUP(A279,'Actual Load'!$A$4:$B$37,2,FALSE)/VLOOKUP(A279,'Projected Zonal Load'!$A$4:$N$37,14,FALSE),0)</f>
        <v>0</v>
      </c>
      <c r="M279" s="102">
        <f t="shared" si="67"/>
        <v>0</v>
      </c>
      <c r="N279" s="84">
        <f t="shared" si="72"/>
        <v>0</v>
      </c>
      <c r="O279" s="102">
        <f t="shared" si="73"/>
        <v>0</v>
      </c>
      <c r="P279" s="102">
        <f t="shared" si="69"/>
        <v>0</v>
      </c>
      <c r="Q279" s="49">
        <f>+H279*Interest!$D$16</f>
        <v>0</v>
      </c>
      <c r="R279" s="127">
        <f t="shared" si="74"/>
        <v>0</v>
      </c>
    </row>
    <row r="280" spans="1:18" x14ac:dyDescent="0.25">
      <c r="A280" s="76" t="s">
        <v>31</v>
      </c>
      <c r="B280" s="194">
        <v>7856545</v>
      </c>
      <c r="C280" s="155">
        <v>9.2801771672709962E-2</v>
      </c>
      <c r="D280" s="78">
        <v>0</v>
      </c>
      <c r="E280" s="156">
        <v>0</v>
      </c>
      <c r="F280" s="157">
        <v>0</v>
      </c>
      <c r="G280" s="156">
        <v>0</v>
      </c>
      <c r="H280" s="159">
        <v>0</v>
      </c>
      <c r="I280" s="186">
        <v>0</v>
      </c>
      <c r="J280" s="185">
        <f t="shared" si="71"/>
        <v>0</v>
      </c>
      <c r="K280" s="102">
        <f t="shared" si="66"/>
        <v>0</v>
      </c>
      <c r="L280" s="84">
        <f>ROUND(J280*VLOOKUP(A280,'Actual Load'!$A$4:$B$37,2,FALSE)/VLOOKUP(A280,'Projected Zonal Load'!$A$4:$N$37,14,FALSE),0)</f>
        <v>0</v>
      </c>
      <c r="M280" s="102">
        <f t="shared" si="67"/>
        <v>0</v>
      </c>
      <c r="N280" s="84">
        <f t="shared" si="72"/>
        <v>0</v>
      </c>
      <c r="O280" s="102">
        <f t="shared" si="73"/>
        <v>0</v>
      </c>
      <c r="P280" s="102">
        <f t="shared" si="69"/>
        <v>0</v>
      </c>
      <c r="Q280" s="49">
        <f>+H280*Interest!$D$16</f>
        <v>0</v>
      </c>
      <c r="R280" s="127">
        <f t="shared" si="74"/>
        <v>0</v>
      </c>
    </row>
    <row r="281" spans="1:18" x14ac:dyDescent="0.25">
      <c r="A281" s="76" t="s">
        <v>32</v>
      </c>
      <c r="B281" s="194">
        <v>1680898</v>
      </c>
      <c r="C281" s="155">
        <v>1.9854823258966228E-2</v>
      </c>
      <c r="D281" s="78">
        <v>0</v>
      </c>
      <c r="E281" s="156">
        <v>0</v>
      </c>
      <c r="F281" s="157">
        <v>0</v>
      </c>
      <c r="G281" s="156">
        <v>0</v>
      </c>
      <c r="H281" s="159">
        <v>0</v>
      </c>
      <c r="I281" s="186">
        <v>0</v>
      </c>
      <c r="J281" s="185">
        <f t="shared" si="71"/>
        <v>0</v>
      </c>
      <c r="K281" s="102">
        <f t="shared" si="66"/>
        <v>0</v>
      </c>
      <c r="L281" s="84">
        <f>ROUND(J281*VLOOKUP(A281,'Actual Load'!$A$4:$B$37,2,FALSE)/VLOOKUP(A281,'Projected Zonal Load'!$A$4:$N$37,14,FALSE),0)</f>
        <v>0</v>
      </c>
      <c r="M281" s="102">
        <f t="shared" si="67"/>
        <v>0</v>
      </c>
      <c r="N281" s="84">
        <f t="shared" si="72"/>
        <v>0</v>
      </c>
      <c r="O281" s="102">
        <f t="shared" si="73"/>
        <v>0</v>
      </c>
      <c r="P281" s="102">
        <f t="shared" si="69"/>
        <v>0</v>
      </c>
      <c r="Q281" s="49">
        <f>+H281*Interest!$D$16</f>
        <v>0</v>
      </c>
      <c r="R281" s="127">
        <f t="shared" si="74"/>
        <v>0</v>
      </c>
    </row>
    <row r="282" spans="1:18" x14ac:dyDescent="0.25">
      <c r="A282" s="76" t="s">
        <v>33</v>
      </c>
      <c r="B282" s="194">
        <v>255700</v>
      </c>
      <c r="C282" s="155">
        <v>3.020336931400754E-3</v>
      </c>
      <c r="D282" s="78">
        <v>0</v>
      </c>
      <c r="E282" s="156">
        <v>0</v>
      </c>
      <c r="F282" s="157">
        <v>0</v>
      </c>
      <c r="G282" s="156">
        <v>0</v>
      </c>
      <c r="H282" s="159">
        <v>0</v>
      </c>
      <c r="I282" s="186">
        <v>0</v>
      </c>
      <c r="J282" s="185">
        <f t="shared" si="71"/>
        <v>0</v>
      </c>
      <c r="K282" s="102">
        <f t="shared" si="66"/>
        <v>0</v>
      </c>
      <c r="L282" s="84">
        <f>ROUND(J282*VLOOKUP(A282,'Actual Load'!$A$4:$B$37,2,FALSE)/VLOOKUP(A282,'Projected Zonal Load'!$A$4:$N$37,14,FALSE),0)</f>
        <v>0</v>
      </c>
      <c r="M282" s="102">
        <f t="shared" si="67"/>
        <v>0</v>
      </c>
      <c r="N282" s="84">
        <f t="shared" si="72"/>
        <v>0</v>
      </c>
      <c r="O282" s="102">
        <f t="shared" si="73"/>
        <v>0</v>
      </c>
      <c r="P282" s="102">
        <f t="shared" si="69"/>
        <v>0</v>
      </c>
      <c r="Q282" s="49">
        <f>+H282*Interest!$D$16</f>
        <v>0</v>
      </c>
      <c r="R282" s="127">
        <f t="shared" si="74"/>
        <v>0</v>
      </c>
    </row>
    <row r="283" spans="1:18" x14ac:dyDescent="0.25">
      <c r="A283" s="76" t="s">
        <v>34</v>
      </c>
      <c r="B283" s="194">
        <v>999226</v>
      </c>
      <c r="C283" s="155">
        <v>1.1802890851059249E-2</v>
      </c>
      <c r="D283" s="78">
        <v>0</v>
      </c>
      <c r="E283" s="156">
        <v>0</v>
      </c>
      <c r="F283" s="157">
        <v>1</v>
      </c>
      <c r="G283" s="156">
        <v>0</v>
      </c>
      <c r="H283" s="159">
        <v>1</v>
      </c>
      <c r="I283" s="186">
        <v>0</v>
      </c>
      <c r="J283" s="185">
        <f t="shared" si="71"/>
        <v>5477.2814819582127</v>
      </c>
      <c r="K283" s="102">
        <f t="shared" si="66"/>
        <v>194.08110460445732</v>
      </c>
      <c r="L283" s="84">
        <f>ROUND(J283*VLOOKUP(A283,'Actual Load'!$A$4:$B$37,2,FALSE)/VLOOKUP(A283,'Projected Zonal Load'!$A$4:$N$37,14,FALSE),0)</f>
        <v>5314</v>
      </c>
      <c r="M283" s="102">
        <f t="shared" si="67"/>
        <v>5563.347753017144</v>
      </c>
      <c r="N283" s="84">
        <f t="shared" si="72"/>
        <v>5477.2814819582127</v>
      </c>
      <c r="O283" s="102">
        <f t="shared" si="73"/>
        <v>86.066271058931306</v>
      </c>
      <c r="P283" s="102">
        <f t="shared" si="69"/>
        <v>280.14737566338863</v>
      </c>
      <c r="Q283" s="49">
        <f>+H283*Interest!$D$16</f>
        <v>18.613581423024304</v>
      </c>
      <c r="R283" s="127">
        <f t="shared" si="74"/>
        <v>298.76095708641293</v>
      </c>
    </row>
    <row r="284" spans="1:18" x14ac:dyDescent="0.25">
      <c r="A284" s="76" t="s">
        <v>35</v>
      </c>
      <c r="B284" s="194">
        <v>700616</v>
      </c>
      <c r="C284" s="155">
        <v>8.2756995679713358E-3</v>
      </c>
      <c r="D284" s="78">
        <v>0</v>
      </c>
      <c r="E284" s="156">
        <v>0</v>
      </c>
      <c r="F284" s="157">
        <v>0</v>
      </c>
      <c r="G284" s="156">
        <v>0</v>
      </c>
      <c r="H284" s="159">
        <v>0</v>
      </c>
      <c r="I284" s="186">
        <v>0</v>
      </c>
      <c r="J284" s="185">
        <f t="shared" si="71"/>
        <v>0</v>
      </c>
      <c r="K284" s="102">
        <f t="shared" si="66"/>
        <v>0</v>
      </c>
      <c r="L284" s="84">
        <f>ROUND(J284*VLOOKUP(A284,'Actual Load'!$A$4:$B$37,2,FALSE)/VLOOKUP(A284,'Projected Zonal Load'!$A$4:$N$37,14,FALSE),0)</f>
        <v>0</v>
      </c>
      <c r="M284" s="102">
        <f t="shared" si="67"/>
        <v>0</v>
      </c>
      <c r="N284" s="84">
        <f t="shared" si="72"/>
        <v>0</v>
      </c>
      <c r="O284" s="102">
        <f t="shared" si="73"/>
        <v>0</v>
      </c>
      <c r="P284" s="102">
        <f t="shared" si="69"/>
        <v>0</v>
      </c>
      <c r="Q284" s="49">
        <f>+H284*Interest!$D$16</f>
        <v>0</v>
      </c>
      <c r="R284" s="127">
        <f t="shared" si="74"/>
        <v>0</v>
      </c>
    </row>
    <row r="285" spans="1:18" x14ac:dyDescent="0.25">
      <c r="A285" s="166" t="s">
        <v>36</v>
      </c>
      <c r="B285" s="194">
        <v>553279</v>
      </c>
      <c r="C285" s="155">
        <v>6.5353500080894715E-3</v>
      </c>
      <c r="D285" s="78">
        <v>0</v>
      </c>
      <c r="E285" s="156">
        <v>0</v>
      </c>
      <c r="F285" s="157">
        <v>0</v>
      </c>
      <c r="G285" s="167">
        <v>0</v>
      </c>
      <c r="H285" s="168">
        <v>0</v>
      </c>
      <c r="I285" s="187">
        <v>0</v>
      </c>
      <c r="J285" s="185">
        <f t="shared" si="71"/>
        <v>0</v>
      </c>
      <c r="K285" s="102">
        <f t="shared" si="66"/>
        <v>0</v>
      </c>
      <c r="L285" s="84">
        <f>ROUND(J285*VLOOKUP(A285,'Actual Load'!$A$4:$B$37,2,FALSE)/VLOOKUP(A285,'Projected Zonal Load'!$A$4:$N$37,14,FALSE),0)</f>
        <v>0</v>
      </c>
      <c r="M285" s="102">
        <f t="shared" si="67"/>
        <v>0</v>
      </c>
      <c r="N285" s="84">
        <f t="shared" si="72"/>
        <v>0</v>
      </c>
      <c r="O285" s="102">
        <f t="shared" si="73"/>
        <v>0</v>
      </c>
      <c r="P285" s="102">
        <f t="shared" si="69"/>
        <v>0</v>
      </c>
      <c r="Q285" s="49">
        <f>+H285*Interest!$D$16</f>
        <v>0</v>
      </c>
      <c r="R285" s="127">
        <f t="shared" si="74"/>
        <v>0</v>
      </c>
    </row>
    <row r="286" spans="1:18" x14ac:dyDescent="0.25">
      <c r="A286" s="170"/>
      <c r="B286" s="171">
        <v>84659429</v>
      </c>
      <c r="C286" s="172">
        <v>1.0000000000000002</v>
      </c>
      <c r="D286" s="173">
        <v>0</v>
      </c>
      <c r="E286" s="174">
        <v>0</v>
      </c>
      <c r="F286" s="175">
        <v>1</v>
      </c>
      <c r="G286" s="174">
        <v>0</v>
      </c>
      <c r="H286" s="176">
        <v>1</v>
      </c>
      <c r="I286" s="177">
        <v>0</v>
      </c>
      <c r="J286" s="188">
        <f>SUM(J265:J285)</f>
        <v>5477.2814819582127</v>
      </c>
      <c r="K286" s="120">
        <f>SUM(K265:K285)</f>
        <v>194.08110460445732</v>
      </c>
      <c r="L286" s="107">
        <f t="shared" ref="L286:R286" si="75">SUM(L265:L285)</f>
        <v>5314</v>
      </c>
      <c r="M286" s="108">
        <f t="shared" si="75"/>
        <v>5563.347753017144</v>
      </c>
      <c r="N286" s="107">
        <f t="shared" si="75"/>
        <v>5477.2814819582127</v>
      </c>
      <c r="O286" s="108">
        <f t="shared" si="75"/>
        <v>86.066271058931306</v>
      </c>
      <c r="P286" s="108">
        <f t="shared" si="75"/>
        <v>280.14737566338863</v>
      </c>
      <c r="Q286" s="108">
        <f t="shared" si="75"/>
        <v>18.613581423024304</v>
      </c>
      <c r="R286" s="128">
        <f t="shared" si="75"/>
        <v>298.76095708641293</v>
      </c>
    </row>
    <row r="287" spans="1:18" x14ac:dyDescent="0.25">
      <c r="H287" s="189"/>
      <c r="I287" s="190"/>
    </row>
    <row r="288" spans="1:18" x14ac:dyDescent="0.25">
      <c r="A288" s="199" t="s">
        <v>37</v>
      </c>
      <c r="O288" s="81"/>
      <c r="P288" s="81"/>
      <c r="Q288" s="81"/>
      <c r="R288" s="81"/>
    </row>
    <row r="289" spans="1:18" x14ac:dyDescent="0.25">
      <c r="H289" s="123" t="s">
        <v>175</v>
      </c>
      <c r="I289" s="191">
        <v>5640.6819812044023</v>
      </c>
      <c r="K289" s="124"/>
      <c r="L289" s="123" t="s">
        <v>178</v>
      </c>
      <c r="M289" s="191">
        <v>5446.600876599945</v>
      </c>
      <c r="O289" s="81"/>
      <c r="P289" s="81"/>
      <c r="Q289" s="81"/>
      <c r="R289" s="81"/>
    </row>
    <row r="290" spans="1:18" x14ac:dyDescent="0.25">
      <c r="H290" s="83" t="s">
        <v>177</v>
      </c>
      <c r="I290" s="191">
        <v>-163.40049924619001</v>
      </c>
      <c r="K290" s="124"/>
      <c r="L290" s="83" t="s">
        <v>177</v>
      </c>
      <c r="M290" s="191">
        <v>-163.40049924619001</v>
      </c>
      <c r="O290" s="81"/>
      <c r="P290" s="81"/>
      <c r="Q290" s="81"/>
      <c r="R290" s="81"/>
    </row>
    <row r="291" spans="1:18" x14ac:dyDescent="0.25">
      <c r="G291" s="124"/>
      <c r="H291" s="125" t="s">
        <v>176</v>
      </c>
      <c r="I291" s="192">
        <f>SUM(I289:I290)</f>
        <v>5477.2814819582127</v>
      </c>
      <c r="J291" s="126" t="s">
        <v>132</v>
      </c>
      <c r="K291" s="129"/>
      <c r="L291" s="125" t="s">
        <v>176</v>
      </c>
      <c r="M291" s="192">
        <f>SUM(M289:M290)</f>
        <v>5283.2003773537554</v>
      </c>
      <c r="O291" s="74" t="s">
        <v>132</v>
      </c>
      <c r="P291" s="81"/>
      <c r="Q291" s="81"/>
      <c r="R291" s="81"/>
    </row>
    <row r="292" spans="1:18" x14ac:dyDescent="0.25">
      <c r="O292" s="81"/>
      <c r="P292" s="81"/>
      <c r="Q292" s="81"/>
      <c r="R292" s="81"/>
    </row>
    <row r="295" spans="1:18" x14ac:dyDescent="0.25">
      <c r="A295" s="359" t="s">
        <v>0</v>
      </c>
      <c r="B295" s="360"/>
      <c r="C295" s="360" t="s">
        <v>1</v>
      </c>
      <c r="D295" s="360"/>
      <c r="E295" s="360"/>
      <c r="F295" s="360"/>
      <c r="G295" s="360"/>
      <c r="H295" s="361"/>
      <c r="I295" s="178"/>
    </row>
    <row r="296" spans="1:18" hidden="1" outlineLevel="1" x14ac:dyDescent="0.25">
      <c r="A296" s="179" t="s">
        <v>137</v>
      </c>
      <c r="B296" s="180"/>
      <c r="C296" s="181" t="s">
        <v>135</v>
      </c>
      <c r="D296" s="182"/>
      <c r="E296" s="182"/>
      <c r="F296" s="182"/>
      <c r="G296" s="182"/>
      <c r="H296" s="183"/>
      <c r="I296" s="178"/>
    </row>
    <row r="297" spans="1:18" collapsed="1" x14ac:dyDescent="0.25">
      <c r="A297" s="362" t="s">
        <v>2</v>
      </c>
      <c r="B297" s="363"/>
      <c r="C297" s="381" t="s">
        <v>3</v>
      </c>
      <c r="D297" s="382"/>
      <c r="E297" s="382"/>
      <c r="F297" s="382"/>
      <c r="G297" s="382"/>
      <c r="H297" s="383"/>
      <c r="I297" s="178"/>
    </row>
    <row r="298" spans="1:18" x14ac:dyDescent="0.25">
      <c r="A298" s="362" t="s">
        <v>4</v>
      </c>
      <c r="B298" s="363"/>
      <c r="C298" s="381" t="s">
        <v>5</v>
      </c>
      <c r="D298" s="382"/>
      <c r="E298" s="382"/>
      <c r="F298" s="382"/>
      <c r="G298" s="382"/>
      <c r="H298" s="383"/>
      <c r="I298" s="178"/>
    </row>
    <row r="299" spans="1:18" x14ac:dyDescent="0.25">
      <c r="A299" s="362" t="s">
        <v>6</v>
      </c>
      <c r="B299" s="363"/>
      <c r="C299" s="375">
        <v>0</v>
      </c>
      <c r="D299" s="376"/>
      <c r="E299" s="376"/>
      <c r="F299" s="376"/>
      <c r="G299" s="376"/>
      <c r="H299" s="377"/>
      <c r="I299" s="178"/>
      <c r="M299" s="111"/>
      <c r="O299" s="111" t="s">
        <v>43</v>
      </c>
      <c r="P299" s="111" t="s">
        <v>39</v>
      </c>
      <c r="R299" s="111" t="s">
        <v>44</v>
      </c>
    </row>
    <row r="300" spans="1:18" x14ac:dyDescent="0.25">
      <c r="A300" s="370" t="s">
        <v>7</v>
      </c>
      <c r="B300" s="371"/>
      <c r="C300" s="372" t="s">
        <v>8</v>
      </c>
      <c r="D300" s="373"/>
      <c r="E300" s="373"/>
      <c r="F300" s="373"/>
      <c r="G300" s="373"/>
      <c r="H300" s="374"/>
      <c r="I300" s="178"/>
      <c r="K300" s="111" t="s">
        <v>41</v>
      </c>
      <c r="L300" s="112" t="s">
        <v>42</v>
      </c>
      <c r="M300" s="113" t="s">
        <v>182</v>
      </c>
      <c r="N300" s="113" t="s">
        <v>38</v>
      </c>
      <c r="O300" s="113" t="s">
        <v>183</v>
      </c>
      <c r="P300" s="113" t="s">
        <v>184</v>
      </c>
      <c r="Q300" s="113" t="s">
        <v>40</v>
      </c>
      <c r="R300" s="113" t="s">
        <v>185</v>
      </c>
    </row>
    <row r="301" spans="1:18" x14ac:dyDescent="0.25">
      <c r="A301" s="134"/>
      <c r="B301" s="134"/>
      <c r="C301" s="134"/>
      <c r="D301" s="134"/>
      <c r="E301" s="134"/>
      <c r="F301" s="134"/>
      <c r="G301" s="134"/>
      <c r="H301" s="134"/>
      <c r="I301" s="134"/>
      <c r="K301" s="90"/>
      <c r="L301" s="351" t="s">
        <v>45</v>
      </c>
      <c r="M301" s="352"/>
      <c r="N301" s="352"/>
      <c r="O301" s="353"/>
      <c r="P301" s="91" t="s">
        <v>46</v>
      </c>
      <c r="Q301" s="90"/>
      <c r="R301" s="91" t="s">
        <v>47</v>
      </c>
    </row>
    <row r="302" spans="1:18" x14ac:dyDescent="0.25">
      <c r="A302" s="135"/>
      <c r="B302" s="136"/>
      <c r="C302" s="137"/>
      <c r="D302" s="354">
        <v>0</v>
      </c>
      <c r="E302" s="355"/>
      <c r="F302" s="354">
        <v>1</v>
      </c>
      <c r="G302" s="355"/>
      <c r="H302" s="138"/>
      <c r="I302" s="139"/>
      <c r="J302" s="140" t="s">
        <v>9</v>
      </c>
      <c r="K302" s="92" t="s">
        <v>48</v>
      </c>
      <c r="L302" s="351" t="s">
        <v>49</v>
      </c>
      <c r="M302" s="352"/>
      <c r="N302" s="93"/>
      <c r="O302" s="91" t="s">
        <v>50</v>
      </c>
      <c r="P302" s="92" t="s">
        <v>51</v>
      </c>
      <c r="Q302" s="94"/>
      <c r="R302" s="92" t="s">
        <v>52</v>
      </c>
    </row>
    <row r="303" spans="1:18" x14ac:dyDescent="0.25">
      <c r="A303" s="141"/>
      <c r="B303" s="142"/>
      <c r="C303" s="143"/>
      <c r="D303" s="356" t="s">
        <v>10</v>
      </c>
      <c r="E303" s="357"/>
      <c r="F303" s="356" t="s">
        <v>11</v>
      </c>
      <c r="G303" s="357"/>
      <c r="H303" s="356" t="s">
        <v>12</v>
      </c>
      <c r="I303" s="358"/>
      <c r="J303" s="144" t="s">
        <v>13</v>
      </c>
      <c r="K303" s="95" t="s">
        <v>53</v>
      </c>
      <c r="L303" s="96" t="s">
        <v>179</v>
      </c>
      <c r="M303" s="97" t="s">
        <v>180</v>
      </c>
      <c r="N303" s="98" t="s">
        <v>54</v>
      </c>
      <c r="O303" s="98" t="s">
        <v>53</v>
      </c>
      <c r="P303" s="98" t="s">
        <v>53</v>
      </c>
      <c r="Q303" s="98" t="s">
        <v>55</v>
      </c>
      <c r="R303" s="98" t="s">
        <v>56</v>
      </c>
    </row>
    <row r="304" spans="1:18" ht="45" x14ac:dyDescent="0.25">
      <c r="A304" s="145" t="s">
        <v>14</v>
      </c>
      <c r="B304" s="146" t="s">
        <v>15</v>
      </c>
      <c r="C304" s="147" t="s">
        <v>16</v>
      </c>
      <c r="D304" s="148" t="s">
        <v>17</v>
      </c>
      <c r="E304" s="149" t="s">
        <v>18</v>
      </c>
      <c r="F304" s="148" t="s">
        <v>17</v>
      </c>
      <c r="G304" s="149" t="s">
        <v>18</v>
      </c>
      <c r="H304" s="150" t="s">
        <v>17</v>
      </c>
      <c r="I304" s="151" t="s">
        <v>18</v>
      </c>
      <c r="J304" s="147" t="s">
        <v>18</v>
      </c>
      <c r="K304" s="152" t="s">
        <v>57</v>
      </c>
      <c r="L304" s="99"/>
      <c r="M304" s="100"/>
      <c r="N304" s="99"/>
      <c r="O304" s="152" t="s">
        <v>57</v>
      </c>
      <c r="P304" s="100"/>
      <c r="Q304" s="100"/>
      <c r="R304" s="153" t="s">
        <v>57</v>
      </c>
    </row>
    <row r="305" spans="1:18" x14ac:dyDescent="0.25">
      <c r="A305" s="75" t="s">
        <v>195</v>
      </c>
      <c r="B305" s="194">
        <v>10940248.5</v>
      </c>
      <c r="C305" s="155">
        <v>0.1292265803021185</v>
      </c>
      <c r="D305" s="78">
        <v>0</v>
      </c>
      <c r="E305" s="156">
        <v>0</v>
      </c>
      <c r="F305" s="157">
        <v>0</v>
      </c>
      <c r="G305" s="158">
        <v>0</v>
      </c>
      <c r="H305" s="159">
        <v>0</v>
      </c>
      <c r="I305" s="184">
        <v>0</v>
      </c>
      <c r="J305" s="185">
        <f>H305*I$331</f>
        <v>0</v>
      </c>
      <c r="K305" s="102">
        <f t="shared" ref="K305:K325" si="76">(I$331-M$331)*H305</f>
        <v>0</v>
      </c>
      <c r="L305" s="84">
        <f>ROUND(J305*VLOOKUP(A305,'Actual Load'!$A$4:$B$37,2,FALSE)/VLOOKUP(A305,'Projected Zonal Load'!$A$4:$N$37,14,FALSE),0)</f>
        <v>0</v>
      </c>
      <c r="M305" s="102">
        <f t="shared" ref="M305:M325" si="77">IF(NOT(L$43=0),M$6*L305/L$43,0)</f>
        <v>0</v>
      </c>
      <c r="N305" s="84">
        <f>+J305</f>
        <v>0</v>
      </c>
      <c r="O305" s="102">
        <f t="shared" ref="O305:O311" si="78">+M305-N305</f>
        <v>0</v>
      </c>
      <c r="P305" s="102">
        <f t="shared" ref="P305:P325" si="79">+K305+O305</f>
        <v>0</v>
      </c>
      <c r="Q305" s="49">
        <f>+H305*Interest!$D$17</f>
        <v>0</v>
      </c>
      <c r="R305" s="127">
        <f t="shared" ref="R305:R311" si="80">+P305+Q305</f>
        <v>0</v>
      </c>
    </row>
    <row r="306" spans="1:18" x14ac:dyDescent="0.25">
      <c r="A306" s="76" t="s">
        <v>19</v>
      </c>
      <c r="B306" s="194">
        <v>571800</v>
      </c>
      <c r="C306" s="155">
        <v>6.7541206780404811E-3</v>
      </c>
      <c r="D306" s="78">
        <v>0</v>
      </c>
      <c r="E306" s="156">
        <v>0</v>
      </c>
      <c r="F306" s="157">
        <v>0</v>
      </c>
      <c r="G306" s="156">
        <v>0</v>
      </c>
      <c r="H306" s="159">
        <v>0</v>
      </c>
      <c r="I306" s="186">
        <v>0</v>
      </c>
      <c r="J306" s="185">
        <f t="shared" ref="J306:J325" si="81">H306*I$331</f>
        <v>0</v>
      </c>
      <c r="K306" s="102">
        <f t="shared" si="76"/>
        <v>0</v>
      </c>
      <c r="L306" s="84">
        <f>ROUND(J306*VLOOKUP(A306,'Actual Load'!$A$4:$B$37,2,FALSE)/VLOOKUP(A306,'Projected Zonal Load'!$A$4:$N$37,14,FALSE),0)</f>
        <v>0</v>
      </c>
      <c r="M306" s="102">
        <f t="shared" si="77"/>
        <v>0</v>
      </c>
      <c r="N306" s="84">
        <f t="shared" ref="N306:N325" si="82">+J306</f>
        <v>0</v>
      </c>
      <c r="O306" s="102">
        <f t="shared" si="78"/>
        <v>0</v>
      </c>
      <c r="P306" s="102">
        <f t="shared" si="79"/>
        <v>0</v>
      </c>
      <c r="Q306" s="49">
        <f>+H306*Interest!$D$17</f>
        <v>0</v>
      </c>
      <c r="R306" s="127">
        <f t="shared" si="80"/>
        <v>0</v>
      </c>
    </row>
    <row r="307" spans="1:18" x14ac:dyDescent="0.25">
      <c r="A307" s="76" t="s">
        <v>210</v>
      </c>
      <c r="B307" s="194">
        <v>9981000</v>
      </c>
      <c r="C307" s="155">
        <v>0.11789590501490389</v>
      </c>
      <c r="D307" s="78">
        <v>0</v>
      </c>
      <c r="E307" s="156">
        <v>0</v>
      </c>
      <c r="F307" s="157">
        <v>0</v>
      </c>
      <c r="G307" s="156">
        <v>0</v>
      </c>
      <c r="H307" s="159">
        <v>0</v>
      </c>
      <c r="I307" s="186">
        <v>0</v>
      </c>
      <c r="J307" s="185">
        <f t="shared" si="81"/>
        <v>0</v>
      </c>
      <c r="K307" s="102">
        <f t="shared" si="76"/>
        <v>0</v>
      </c>
      <c r="L307" s="84">
        <f>ROUND(J307*VLOOKUP(A307,'Actual Load'!$A$4:$B$37,2,FALSE)/VLOOKUP(A307,'Projected Zonal Load'!$A$4:$N$37,14,FALSE),0)</f>
        <v>0</v>
      </c>
      <c r="M307" s="102">
        <f t="shared" si="77"/>
        <v>0</v>
      </c>
      <c r="N307" s="84">
        <f t="shared" si="82"/>
        <v>0</v>
      </c>
      <c r="O307" s="102">
        <f t="shared" si="78"/>
        <v>0</v>
      </c>
      <c r="P307" s="102">
        <f t="shared" si="79"/>
        <v>0</v>
      </c>
      <c r="Q307" s="49">
        <f>+H307*Interest!$D$17</f>
        <v>0</v>
      </c>
      <c r="R307" s="127">
        <f t="shared" si="80"/>
        <v>0</v>
      </c>
    </row>
    <row r="308" spans="1:18" x14ac:dyDescent="0.25">
      <c r="A308" s="76" t="s">
        <v>211</v>
      </c>
      <c r="B308" s="194">
        <v>1028167</v>
      </c>
      <c r="C308" s="155">
        <v>1.2144742908672346E-2</v>
      </c>
      <c r="D308" s="78">
        <v>0</v>
      </c>
      <c r="E308" s="156">
        <v>0</v>
      </c>
      <c r="F308" s="157">
        <v>0</v>
      </c>
      <c r="G308" s="156">
        <v>0</v>
      </c>
      <c r="H308" s="159">
        <v>0</v>
      </c>
      <c r="I308" s="186">
        <v>0</v>
      </c>
      <c r="J308" s="185">
        <f t="shared" si="81"/>
        <v>0</v>
      </c>
      <c r="K308" s="102">
        <f t="shared" si="76"/>
        <v>0</v>
      </c>
      <c r="L308" s="84">
        <f>ROUND(J308*VLOOKUP(A308,'Actual Load'!$A$4:$B$37,2,FALSE)/VLOOKUP(A308,'Projected Zonal Load'!$A$4:$N$37,14,FALSE),0)</f>
        <v>0</v>
      </c>
      <c r="M308" s="102">
        <f t="shared" si="77"/>
        <v>0</v>
      </c>
      <c r="N308" s="84">
        <f t="shared" si="82"/>
        <v>0</v>
      </c>
      <c r="O308" s="102">
        <f t="shared" si="78"/>
        <v>0</v>
      </c>
      <c r="P308" s="102">
        <f t="shared" si="79"/>
        <v>0</v>
      </c>
      <c r="Q308" s="49">
        <f>+H308*Interest!$D$17</f>
        <v>0</v>
      </c>
      <c r="R308" s="127">
        <f t="shared" si="80"/>
        <v>0</v>
      </c>
    </row>
    <row r="309" spans="1:18" x14ac:dyDescent="0.25">
      <c r="A309" s="76" t="s">
        <v>20</v>
      </c>
      <c r="B309" s="194">
        <v>2574417</v>
      </c>
      <c r="C309" s="155">
        <v>3.040909949912372E-2</v>
      </c>
      <c r="D309" s="78">
        <v>0</v>
      </c>
      <c r="E309" s="156">
        <v>0</v>
      </c>
      <c r="F309" s="157">
        <v>0</v>
      </c>
      <c r="G309" s="156">
        <v>0</v>
      </c>
      <c r="H309" s="159">
        <v>0</v>
      </c>
      <c r="I309" s="186">
        <v>0</v>
      </c>
      <c r="J309" s="185">
        <f t="shared" si="81"/>
        <v>0</v>
      </c>
      <c r="K309" s="102">
        <f t="shared" si="76"/>
        <v>0</v>
      </c>
      <c r="L309" s="84">
        <f>ROUND(J309*VLOOKUP(A309,'Actual Load'!$A$4:$B$37,2,FALSE)/VLOOKUP(A309,'Projected Zonal Load'!$A$4:$N$37,14,FALSE),0)</f>
        <v>0</v>
      </c>
      <c r="M309" s="102">
        <f t="shared" si="77"/>
        <v>0</v>
      </c>
      <c r="N309" s="84">
        <f t="shared" si="82"/>
        <v>0</v>
      </c>
      <c r="O309" s="102">
        <f t="shared" si="78"/>
        <v>0</v>
      </c>
      <c r="P309" s="102">
        <f t="shared" si="79"/>
        <v>0</v>
      </c>
      <c r="Q309" s="49">
        <f>+H309*Interest!$D$17</f>
        <v>0</v>
      </c>
      <c r="R309" s="127">
        <f t="shared" si="80"/>
        <v>0</v>
      </c>
    </row>
    <row r="310" spans="1:18" x14ac:dyDescent="0.25">
      <c r="A310" s="76" t="s">
        <v>21</v>
      </c>
      <c r="B310" s="194">
        <v>2860240</v>
      </c>
      <c r="C310" s="155">
        <v>3.3785250311574866E-2</v>
      </c>
      <c r="D310" s="78">
        <v>0</v>
      </c>
      <c r="E310" s="156">
        <v>0</v>
      </c>
      <c r="F310" s="157">
        <v>0</v>
      </c>
      <c r="G310" s="156">
        <v>0</v>
      </c>
      <c r="H310" s="159">
        <v>0</v>
      </c>
      <c r="I310" s="186">
        <v>0</v>
      </c>
      <c r="J310" s="185">
        <f t="shared" si="81"/>
        <v>0</v>
      </c>
      <c r="K310" s="102">
        <f t="shared" si="76"/>
        <v>0</v>
      </c>
      <c r="L310" s="84">
        <f>ROUND(J310*VLOOKUP(A310,'Actual Load'!$A$4:$B$37,2,FALSE)/VLOOKUP(A310,'Projected Zonal Load'!$A$4:$N$37,14,FALSE),0)</f>
        <v>0</v>
      </c>
      <c r="M310" s="102">
        <f t="shared" si="77"/>
        <v>0</v>
      </c>
      <c r="N310" s="84">
        <f t="shared" si="82"/>
        <v>0</v>
      </c>
      <c r="O310" s="102">
        <f t="shared" si="78"/>
        <v>0</v>
      </c>
      <c r="P310" s="102">
        <f t="shared" si="79"/>
        <v>0</v>
      </c>
      <c r="Q310" s="49">
        <f>+H310*Interest!$D$17</f>
        <v>0</v>
      </c>
      <c r="R310" s="127">
        <f t="shared" si="80"/>
        <v>0</v>
      </c>
    </row>
    <row r="311" spans="1:18" x14ac:dyDescent="0.25">
      <c r="A311" s="76" t="s">
        <v>22</v>
      </c>
      <c r="B311" s="194">
        <v>7116500</v>
      </c>
      <c r="C311" s="155">
        <v>8.4060335441194622E-2</v>
      </c>
      <c r="D311" s="78">
        <v>0</v>
      </c>
      <c r="E311" s="156">
        <v>0</v>
      </c>
      <c r="F311" s="157">
        <v>0</v>
      </c>
      <c r="G311" s="156">
        <v>0</v>
      </c>
      <c r="H311" s="159">
        <v>0</v>
      </c>
      <c r="I311" s="186">
        <v>0</v>
      </c>
      <c r="J311" s="185">
        <f t="shared" si="81"/>
        <v>0</v>
      </c>
      <c r="K311" s="102">
        <f t="shared" si="76"/>
        <v>0</v>
      </c>
      <c r="L311" s="84">
        <f>ROUND(J311*'Actual Load'!$B$17/'Projected Zonal Load'!$N$17,0)</f>
        <v>0</v>
      </c>
      <c r="M311" s="102">
        <f t="shared" si="77"/>
        <v>0</v>
      </c>
      <c r="N311" s="84">
        <f t="shared" si="82"/>
        <v>0</v>
      </c>
      <c r="O311" s="102">
        <f t="shared" si="78"/>
        <v>0</v>
      </c>
      <c r="P311" s="102">
        <f t="shared" si="79"/>
        <v>0</v>
      </c>
      <c r="Q311" s="49">
        <f>+H311*Interest!$D$17</f>
        <v>0</v>
      </c>
      <c r="R311" s="127">
        <f t="shared" si="80"/>
        <v>0</v>
      </c>
    </row>
    <row r="312" spans="1:18" x14ac:dyDescent="0.25">
      <c r="A312" s="76" t="s">
        <v>23</v>
      </c>
      <c r="B312" s="194">
        <v>9342000</v>
      </c>
      <c r="C312" s="155">
        <v>0.11034801569474323</v>
      </c>
      <c r="D312" s="78">
        <v>0</v>
      </c>
      <c r="E312" s="156">
        <v>0</v>
      </c>
      <c r="F312" s="157">
        <v>0</v>
      </c>
      <c r="G312" s="156">
        <v>0</v>
      </c>
      <c r="H312" s="159">
        <v>0</v>
      </c>
      <c r="I312" s="186">
        <v>0</v>
      </c>
      <c r="J312" s="185">
        <f t="shared" si="81"/>
        <v>0</v>
      </c>
      <c r="K312" s="102">
        <f t="shared" si="76"/>
        <v>0</v>
      </c>
      <c r="L312" s="84">
        <f>ROUND(J312*VLOOKUP(A312,'Actual Load'!$A$4:$B$37,2,FALSE)/VLOOKUP(A312,'Projected Zonal Load'!$A$4:$N$37,14,FALSE),0)</f>
        <v>0</v>
      </c>
      <c r="M312" s="102">
        <f t="shared" si="77"/>
        <v>0</v>
      </c>
      <c r="N312" s="84">
        <f t="shared" si="82"/>
        <v>0</v>
      </c>
      <c r="O312" s="102">
        <f>+M312-N312</f>
        <v>0</v>
      </c>
      <c r="P312" s="102">
        <f t="shared" si="79"/>
        <v>0</v>
      </c>
      <c r="Q312" s="49">
        <f>+H312*Interest!$D$17</f>
        <v>0</v>
      </c>
      <c r="R312" s="127">
        <f>+P312+Q312</f>
        <v>0</v>
      </c>
    </row>
    <row r="313" spans="1:18" x14ac:dyDescent="0.25">
      <c r="A313" s="76" t="s">
        <v>24</v>
      </c>
      <c r="B313" s="194">
        <v>2939201</v>
      </c>
      <c r="C313" s="155">
        <v>3.4717940278099442E-2</v>
      </c>
      <c r="D313" s="78">
        <v>0</v>
      </c>
      <c r="E313" s="156">
        <v>0</v>
      </c>
      <c r="F313" s="157">
        <v>0</v>
      </c>
      <c r="G313" s="156">
        <v>0</v>
      </c>
      <c r="H313" s="159">
        <v>0</v>
      </c>
      <c r="I313" s="186">
        <v>0</v>
      </c>
      <c r="J313" s="185">
        <f t="shared" si="81"/>
        <v>0</v>
      </c>
      <c r="K313" s="102">
        <f t="shared" si="76"/>
        <v>0</v>
      </c>
      <c r="L313" s="84">
        <f>ROUND(J313*VLOOKUP(A313,'Actual Load'!$A$4:$B$37,2,FALSE)/VLOOKUP(A313,'Projected Zonal Load'!$A$4:$N$37,14,FALSE),0)</f>
        <v>0</v>
      </c>
      <c r="M313" s="102">
        <f t="shared" si="77"/>
        <v>0</v>
      </c>
      <c r="N313" s="84">
        <f t="shared" si="82"/>
        <v>0</v>
      </c>
      <c r="O313" s="102">
        <f t="shared" ref="O313:O325" si="83">+M313-N313</f>
        <v>0</v>
      </c>
      <c r="P313" s="102">
        <f t="shared" si="79"/>
        <v>0</v>
      </c>
      <c r="Q313" s="49">
        <f>+H313*Interest!$D$17</f>
        <v>0</v>
      </c>
      <c r="R313" s="127">
        <f t="shared" ref="R313:R325" si="84">+P313+Q313</f>
        <v>0</v>
      </c>
    </row>
    <row r="314" spans="1:18" x14ac:dyDescent="0.25">
      <c r="A314" s="76" t="s">
        <v>25</v>
      </c>
      <c r="B314" s="194">
        <v>207000</v>
      </c>
      <c r="C314" s="155">
        <v>2.4450909065309194E-3</v>
      </c>
      <c r="D314" s="78">
        <v>0</v>
      </c>
      <c r="E314" s="156">
        <v>0</v>
      </c>
      <c r="F314" s="157">
        <v>0</v>
      </c>
      <c r="G314" s="156">
        <v>0</v>
      </c>
      <c r="H314" s="159">
        <v>0</v>
      </c>
      <c r="I314" s="186">
        <v>0</v>
      </c>
      <c r="J314" s="185">
        <f t="shared" si="81"/>
        <v>0</v>
      </c>
      <c r="K314" s="102">
        <f t="shared" si="76"/>
        <v>0</v>
      </c>
      <c r="L314" s="84">
        <f>ROUND(J314*VLOOKUP(A314,'Actual Load'!$A$4:$B$37,2,FALSE)/VLOOKUP(A314,'Projected Zonal Load'!$A$4:$N$37,14,FALSE),0)</f>
        <v>0</v>
      </c>
      <c r="M314" s="102">
        <f t="shared" si="77"/>
        <v>0</v>
      </c>
      <c r="N314" s="84">
        <f t="shared" si="82"/>
        <v>0</v>
      </c>
      <c r="O314" s="102">
        <f t="shared" si="83"/>
        <v>0</v>
      </c>
      <c r="P314" s="102">
        <f t="shared" si="79"/>
        <v>0</v>
      </c>
      <c r="Q314" s="49">
        <f>+H314*Interest!$D$17</f>
        <v>0</v>
      </c>
      <c r="R314" s="127">
        <f t="shared" si="84"/>
        <v>0</v>
      </c>
    </row>
    <row r="315" spans="1:18" x14ac:dyDescent="0.25">
      <c r="A315" s="76" t="s">
        <v>26</v>
      </c>
      <c r="B315" s="194">
        <v>7020707</v>
      </c>
      <c r="C315" s="155">
        <v>8.2928825329072323E-2</v>
      </c>
      <c r="D315" s="78">
        <v>0</v>
      </c>
      <c r="E315" s="156">
        <v>0</v>
      </c>
      <c r="F315" s="157">
        <v>0</v>
      </c>
      <c r="G315" s="156">
        <v>0</v>
      </c>
      <c r="H315" s="159">
        <v>0</v>
      </c>
      <c r="I315" s="186">
        <v>0</v>
      </c>
      <c r="J315" s="185">
        <f t="shared" si="81"/>
        <v>0</v>
      </c>
      <c r="K315" s="102">
        <f t="shared" si="76"/>
        <v>0</v>
      </c>
      <c r="L315" s="84">
        <f>ROUND(J315*VLOOKUP(A315,'Actual Load'!$A$4:$B$37,2,FALSE)/VLOOKUP(A315,'Projected Zonal Load'!$A$4:$N$37,14,FALSE),0)</f>
        <v>0</v>
      </c>
      <c r="M315" s="102">
        <f t="shared" si="77"/>
        <v>0</v>
      </c>
      <c r="N315" s="84">
        <f t="shared" si="82"/>
        <v>0</v>
      </c>
      <c r="O315" s="102">
        <f t="shared" si="83"/>
        <v>0</v>
      </c>
      <c r="P315" s="102">
        <f t="shared" si="79"/>
        <v>0</v>
      </c>
      <c r="Q315" s="49">
        <f>+H315*Interest!$D$17</f>
        <v>0</v>
      </c>
      <c r="R315" s="127">
        <f t="shared" si="84"/>
        <v>0</v>
      </c>
    </row>
    <row r="316" spans="1:18" x14ac:dyDescent="0.25">
      <c r="A316" s="76" t="s">
        <v>27</v>
      </c>
      <c r="B316" s="194">
        <v>6927361</v>
      </c>
      <c r="C316" s="155">
        <v>8.1826219262593897E-2</v>
      </c>
      <c r="D316" s="78">
        <v>0</v>
      </c>
      <c r="E316" s="156">
        <v>0</v>
      </c>
      <c r="F316" s="157">
        <v>0</v>
      </c>
      <c r="G316" s="156">
        <v>0</v>
      </c>
      <c r="H316" s="159">
        <v>0</v>
      </c>
      <c r="I316" s="186">
        <v>0</v>
      </c>
      <c r="J316" s="185">
        <f t="shared" si="81"/>
        <v>0</v>
      </c>
      <c r="K316" s="102">
        <f t="shared" si="76"/>
        <v>0</v>
      </c>
      <c r="L316" s="84">
        <f>ROUND(J316*VLOOKUP(A316,'Actual Load'!$A$4:$B$37,2,FALSE)/VLOOKUP(A316,'Projected Zonal Load'!$A$4:$N$37,14,FALSE),0)</f>
        <v>0</v>
      </c>
      <c r="M316" s="102">
        <f t="shared" si="77"/>
        <v>0</v>
      </c>
      <c r="N316" s="84">
        <f t="shared" si="82"/>
        <v>0</v>
      </c>
      <c r="O316" s="102">
        <f t="shared" si="83"/>
        <v>0</v>
      </c>
      <c r="P316" s="102">
        <f t="shared" si="79"/>
        <v>0</v>
      </c>
      <c r="Q316" s="49">
        <f>+H316*Interest!$D$17</f>
        <v>0</v>
      </c>
      <c r="R316" s="127">
        <f t="shared" si="84"/>
        <v>0</v>
      </c>
    </row>
    <row r="317" spans="1:18" x14ac:dyDescent="0.25">
      <c r="A317" s="76" t="s">
        <v>28</v>
      </c>
      <c r="B317" s="194">
        <v>325000</v>
      </c>
      <c r="C317" s="155">
        <v>3.8389108435871924E-3</v>
      </c>
      <c r="D317" s="78">
        <v>0</v>
      </c>
      <c r="E317" s="156">
        <v>0</v>
      </c>
      <c r="F317" s="157">
        <v>0</v>
      </c>
      <c r="G317" s="156">
        <v>0</v>
      </c>
      <c r="H317" s="159">
        <v>0</v>
      </c>
      <c r="I317" s="186">
        <v>0</v>
      </c>
      <c r="J317" s="185">
        <f t="shared" si="81"/>
        <v>0</v>
      </c>
      <c r="K317" s="102">
        <f t="shared" si="76"/>
        <v>0</v>
      </c>
      <c r="L317" s="84">
        <f>ROUND(J317*VLOOKUP(A317,'Actual Load'!$A$4:$B$37,2,FALSE)/VLOOKUP(A317,'Projected Zonal Load'!$A$4:$N$37,14,FALSE),0)</f>
        <v>0</v>
      </c>
      <c r="M317" s="102">
        <f t="shared" si="77"/>
        <v>0</v>
      </c>
      <c r="N317" s="84">
        <f t="shared" si="82"/>
        <v>0</v>
      </c>
      <c r="O317" s="102">
        <f t="shared" si="83"/>
        <v>0</v>
      </c>
      <c r="P317" s="102">
        <f t="shared" si="79"/>
        <v>0</v>
      </c>
      <c r="Q317" s="49">
        <f>+H317*Interest!$D$17</f>
        <v>0</v>
      </c>
      <c r="R317" s="127">
        <f t="shared" si="84"/>
        <v>0</v>
      </c>
    </row>
    <row r="318" spans="1:18" x14ac:dyDescent="0.25">
      <c r="A318" s="76" t="s">
        <v>29</v>
      </c>
      <c r="B318" s="194">
        <v>343000</v>
      </c>
      <c r="C318" s="155">
        <v>4.0515274441550982E-3</v>
      </c>
      <c r="D318" s="78">
        <v>0</v>
      </c>
      <c r="E318" s="156">
        <v>0</v>
      </c>
      <c r="F318" s="157">
        <v>0</v>
      </c>
      <c r="G318" s="156">
        <v>0</v>
      </c>
      <c r="H318" s="159">
        <v>0</v>
      </c>
      <c r="I318" s="186">
        <v>0</v>
      </c>
      <c r="J318" s="185">
        <f t="shared" si="81"/>
        <v>0</v>
      </c>
      <c r="K318" s="102">
        <f t="shared" si="76"/>
        <v>0</v>
      </c>
      <c r="L318" s="84">
        <f>ROUND(J318*VLOOKUP(A318,'Actual Load'!$A$4:$B$37,2,FALSE)/VLOOKUP(A318,'Projected Zonal Load'!$A$4:$N$37,14,FALSE),0)</f>
        <v>0</v>
      </c>
      <c r="M318" s="102">
        <f t="shared" si="77"/>
        <v>0</v>
      </c>
      <c r="N318" s="84">
        <f t="shared" si="82"/>
        <v>0</v>
      </c>
      <c r="O318" s="102">
        <f t="shared" si="83"/>
        <v>0</v>
      </c>
      <c r="P318" s="102">
        <f t="shared" si="79"/>
        <v>0</v>
      </c>
      <c r="Q318" s="49">
        <f>+H318*Interest!$D$17</f>
        <v>0</v>
      </c>
      <c r="R318" s="127">
        <f t="shared" si="84"/>
        <v>0</v>
      </c>
    </row>
    <row r="319" spans="1:18" x14ac:dyDescent="0.25">
      <c r="A319" s="76" t="s">
        <v>30</v>
      </c>
      <c r="B319" s="194">
        <v>10436523.5</v>
      </c>
      <c r="C319" s="155">
        <v>0.12327656379539248</v>
      </c>
      <c r="D319" s="78">
        <v>0</v>
      </c>
      <c r="E319" s="156">
        <v>0</v>
      </c>
      <c r="F319" s="157">
        <v>0</v>
      </c>
      <c r="G319" s="156">
        <v>0</v>
      </c>
      <c r="H319" s="159">
        <v>0</v>
      </c>
      <c r="I319" s="186">
        <v>0</v>
      </c>
      <c r="J319" s="185">
        <f t="shared" si="81"/>
        <v>0</v>
      </c>
      <c r="K319" s="102">
        <f t="shared" si="76"/>
        <v>0</v>
      </c>
      <c r="L319" s="84">
        <f>ROUND(J319*VLOOKUP(A319,'Actual Load'!$A$4:$B$37,2,FALSE)/VLOOKUP(A319,'Projected Zonal Load'!$A$4:$N$37,14,FALSE),0)</f>
        <v>0</v>
      </c>
      <c r="M319" s="102">
        <f t="shared" si="77"/>
        <v>0</v>
      </c>
      <c r="N319" s="84">
        <f t="shared" si="82"/>
        <v>0</v>
      </c>
      <c r="O319" s="102">
        <f t="shared" si="83"/>
        <v>0</v>
      </c>
      <c r="P319" s="102">
        <f t="shared" si="79"/>
        <v>0</v>
      </c>
      <c r="Q319" s="49">
        <f>+H319*Interest!$D$17</f>
        <v>0</v>
      </c>
      <c r="R319" s="127">
        <f t="shared" si="84"/>
        <v>0</v>
      </c>
    </row>
    <row r="320" spans="1:18" x14ac:dyDescent="0.25">
      <c r="A320" s="76" t="s">
        <v>31</v>
      </c>
      <c r="B320" s="194">
        <v>7856545</v>
      </c>
      <c r="C320" s="155">
        <v>9.2801771672709962E-2</v>
      </c>
      <c r="D320" s="78">
        <v>0</v>
      </c>
      <c r="E320" s="156">
        <v>0</v>
      </c>
      <c r="F320" s="157">
        <v>0</v>
      </c>
      <c r="G320" s="156">
        <v>0</v>
      </c>
      <c r="H320" s="159">
        <v>0</v>
      </c>
      <c r="I320" s="186">
        <v>0</v>
      </c>
      <c r="J320" s="185">
        <f t="shared" si="81"/>
        <v>0</v>
      </c>
      <c r="K320" s="102">
        <f t="shared" si="76"/>
        <v>0</v>
      </c>
      <c r="L320" s="84">
        <f>ROUND(J320*VLOOKUP(A320,'Actual Load'!$A$4:$B$37,2,FALSE)/VLOOKUP(A320,'Projected Zonal Load'!$A$4:$N$37,14,FALSE),0)</f>
        <v>0</v>
      </c>
      <c r="M320" s="102">
        <f t="shared" si="77"/>
        <v>0</v>
      </c>
      <c r="N320" s="84">
        <f t="shared" si="82"/>
        <v>0</v>
      </c>
      <c r="O320" s="102">
        <f t="shared" si="83"/>
        <v>0</v>
      </c>
      <c r="P320" s="102">
        <f t="shared" si="79"/>
        <v>0</v>
      </c>
      <c r="Q320" s="49">
        <f>+H320*Interest!$D$17</f>
        <v>0</v>
      </c>
      <c r="R320" s="127">
        <f t="shared" si="84"/>
        <v>0</v>
      </c>
    </row>
    <row r="321" spans="1:18" x14ac:dyDescent="0.25">
      <c r="A321" s="76" t="s">
        <v>32</v>
      </c>
      <c r="B321" s="194">
        <v>1680898</v>
      </c>
      <c r="C321" s="155">
        <v>1.9854823258966228E-2</v>
      </c>
      <c r="D321" s="78">
        <v>0</v>
      </c>
      <c r="E321" s="156">
        <v>0</v>
      </c>
      <c r="F321" s="157">
        <v>0</v>
      </c>
      <c r="G321" s="156">
        <v>0</v>
      </c>
      <c r="H321" s="159">
        <v>0</v>
      </c>
      <c r="I321" s="186">
        <v>0</v>
      </c>
      <c r="J321" s="185">
        <f t="shared" si="81"/>
        <v>0</v>
      </c>
      <c r="K321" s="102">
        <f t="shared" si="76"/>
        <v>0</v>
      </c>
      <c r="L321" s="84">
        <f>ROUND(J321*VLOOKUP(A321,'Actual Load'!$A$4:$B$37,2,FALSE)/VLOOKUP(A321,'Projected Zonal Load'!$A$4:$N$37,14,FALSE),0)</f>
        <v>0</v>
      </c>
      <c r="M321" s="102">
        <f t="shared" si="77"/>
        <v>0</v>
      </c>
      <c r="N321" s="84">
        <f t="shared" si="82"/>
        <v>0</v>
      </c>
      <c r="O321" s="102">
        <f t="shared" si="83"/>
        <v>0</v>
      </c>
      <c r="P321" s="102">
        <f t="shared" si="79"/>
        <v>0</v>
      </c>
      <c r="Q321" s="49">
        <f>+H321*Interest!$D$17</f>
        <v>0</v>
      </c>
      <c r="R321" s="127">
        <f t="shared" si="84"/>
        <v>0</v>
      </c>
    </row>
    <row r="322" spans="1:18" x14ac:dyDescent="0.25">
      <c r="A322" s="76" t="s">
        <v>33</v>
      </c>
      <c r="B322" s="194">
        <v>255700</v>
      </c>
      <c r="C322" s="155">
        <v>3.020336931400754E-3</v>
      </c>
      <c r="D322" s="78">
        <v>0</v>
      </c>
      <c r="E322" s="156">
        <v>0</v>
      </c>
      <c r="F322" s="157">
        <v>0</v>
      </c>
      <c r="G322" s="156">
        <v>0</v>
      </c>
      <c r="H322" s="159">
        <v>0</v>
      </c>
      <c r="I322" s="186">
        <v>0</v>
      </c>
      <c r="J322" s="185">
        <f t="shared" si="81"/>
        <v>0</v>
      </c>
      <c r="K322" s="102">
        <f t="shared" si="76"/>
        <v>0</v>
      </c>
      <c r="L322" s="84">
        <f>ROUND(J322*VLOOKUP(A322,'Actual Load'!$A$4:$B$37,2,FALSE)/VLOOKUP(A322,'Projected Zonal Load'!$A$4:$N$37,14,FALSE),0)</f>
        <v>0</v>
      </c>
      <c r="M322" s="102">
        <f t="shared" si="77"/>
        <v>0</v>
      </c>
      <c r="N322" s="84">
        <f t="shared" si="82"/>
        <v>0</v>
      </c>
      <c r="O322" s="102">
        <f t="shared" si="83"/>
        <v>0</v>
      </c>
      <c r="P322" s="102">
        <f t="shared" si="79"/>
        <v>0</v>
      </c>
      <c r="Q322" s="49">
        <f>+H322*Interest!$D$17</f>
        <v>0</v>
      </c>
      <c r="R322" s="127">
        <f t="shared" si="84"/>
        <v>0</v>
      </c>
    </row>
    <row r="323" spans="1:18" x14ac:dyDescent="0.25">
      <c r="A323" s="76" t="s">
        <v>34</v>
      </c>
      <c r="B323" s="194">
        <v>999226</v>
      </c>
      <c r="C323" s="155">
        <v>1.1802890851059249E-2</v>
      </c>
      <c r="D323" s="78">
        <v>0</v>
      </c>
      <c r="E323" s="156">
        <v>0</v>
      </c>
      <c r="F323" s="157">
        <v>1</v>
      </c>
      <c r="G323" s="156">
        <v>0</v>
      </c>
      <c r="H323" s="159">
        <v>1</v>
      </c>
      <c r="I323" s="186">
        <v>0</v>
      </c>
      <c r="J323" s="185">
        <f t="shared" si="81"/>
        <v>6025.2475482971604</v>
      </c>
      <c r="K323" s="102">
        <f t="shared" si="76"/>
        <v>213.48933982223207</v>
      </c>
      <c r="L323" s="84">
        <f>ROUND(J323*VLOOKUP(A323,'Actual Load'!$A$4:$B$37,2,FALSE)/VLOOKUP(A323,'Projected Zonal Load'!$A$4:$N$37,14,FALSE),0)</f>
        <v>5846</v>
      </c>
      <c r="M323" s="102">
        <f t="shared" si="77"/>
        <v>6120.3106819981604</v>
      </c>
      <c r="N323" s="84">
        <f>+J323</f>
        <v>6025.2475482971604</v>
      </c>
      <c r="O323" s="102">
        <f>+M323-N323</f>
        <v>95.06313370099997</v>
      </c>
      <c r="P323" s="102">
        <f t="shared" si="79"/>
        <v>308.55247352323204</v>
      </c>
      <c r="Q323" s="49">
        <f>+H323*Interest!$D$17</f>
        <v>20.500875925038319</v>
      </c>
      <c r="R323" s="127">
        <f t="shared" si="84"/>
        <v>329.05334944827035</v>
      </c>
    </row>
    <row r="324" spans="1:18" x14ac:dyDescent="0.25">
      <c r="A324" s="76" t="s">
        <v>35</v>
      </c>
      <c r="B324" s="194">
        <v>700616</v>
      </c>
      <c r="C324" s="155">
        <v>8.2756995679713358E-3</v>
      </c>
      <c r="D324" s="78">
        <v>0</v>
      </c>
      <c r="E324" s="156">
        <v>0</v>
      </c>
      <c r="F324" s="157">
        <v>0</v>
      </c>
      <c r="G324" s="156">
        <v>0</v>
      </c>
      <c r="H324" s="159">
        <v>0</v>
      </c>
      <c r="I324" s="186">
        <v>0</v>
      </c>
      <c r="J324" s="185">
        <f t="shared" si="81"/>
        <v>0</v>
      </c>
      <c r="K324" s="102">
        <f t="shared" si="76"/>
        <v>0</v>
      </c>
      <c r="L324" s="84">
        <f>ROUND(J324*VLOOKUP(A324,'Actual Load'!$A$4:$B$37,2,FALSE)/VLOOKUP(A324,'Projected Zonal Load'!$A$4:$N$37,14,FALSE),0)</f>
        <v>0</v>
      </c>
      <c r="M324" s="102">
        <f t="shared" si="77"/>
        <v>0</v>
      </c>
      <c r="N324" s="84">
        <f t="shared" si="82"/>
        <v>0</v>
      </c>
      <c r="O324" s="102">
        <f t="shared" si="83"/>
        <v>0</v>
      </c>
      <c r="P324" s="102">
        <f t="shared" si="79"/>
        <v>0</v>
      </c>
      <c r="Q324" s="49">
        <f>+H324*Interest!$D$17</f>
        <v>0</v>
      </c>
      <c r="R324" s="127">
        <f t="shared" si="84"/>
        <v>0</v>
      </c>
    </row>
    <row r="325" spans="1:18" x14ac:dyDescent="0.25">
      <c r="A325" s="166" t="s">
        <v>36</v>
      </c>
      <c r="B325" s="194">
        <v>553279</v>
      </c>
      <c r="C325" s="155">
        <v>6.5353500080894715E-3</v>
      </c>
      <c r="D325" s="78">
        <v>0</v>
      </c>
      <c r="E325" s="156">
        <v>0</v>
      </c>
      <c r="F325" s="157">
        <v>0</v>
      </c>
      <c r="G325" s="167">
        <v>0</v>
      </c>
      <c r="H325" s="168">
        <v>0</v>
      </c>
      <c r="I325" s="187">
        <v>0</v>
      </c>
      <c r="J325" s="221">
        <f t="shared" si="81"/>
        <v>0</v>
      </c>
      <c r="K325" s="102">
        <f t="shared" si="76"/>
        <v>0</v>
      </c>
      <c r="L325" s="84">
        <f>ROUND(J325*VLOOKUP(A325,'Actual Load'!$A$4:$B$37,2,FALSE)/VLOOKUP(A325,'Projected Zonal Load'!$A$4:$N$37,14,FALSE),0)</f>
        <v>0</v>
      </c>
      <c r="M325" s="102">
        <f t="shared" si="77"/>
        <v>0</v>
      </c>
      <c r="N325" s="84">
        <f t="shared" si="82"/>
        <v>0</v>
      </c>
      <c r="O325" s="102">
        <f t="shared" si="83"/>
        <v>0</v>
      </c>
      <c r="P325" s="102">
        <f t="shared" si="79"/>
        <v>0</v>
      </c>
      <c r="Q325" s="49">
        <f>+H325*Interest!$D$17</f>
        <v>0</v>
      </c>
      <c r="R325" s="127">
        <f t="shared" si="84"/>
        <v>0</v>
      </c>
    </row>
    <row r="326" spans="1:18" x14ac:dyDescent="0.25">
      <c r="A326" s="170"/>
      <c r="B326" s="171">
        <v>84659429</v>
      </c>
      <c r="C326" s="172">
        <v>1.0000000000000002</v>
      </c>
      <c r="D326" s="173">
        <v>0</v>
      </c>
      <c r="E326" s="174">
        <v>0</v>
      </c>
      <c r="F326" s="175">
        <v>1</v>
      </c>
      <c r="G326" s="174">
        <v>0</v>
      </c>
      <c r="H326" s="176">
        <v>1</v>
      </c>
      <c r="I326" s="177">
        <v>0</v>
      </c>
      <c r="J326" s="177">
        <f t="shared" ref="J326:R326" si="85">SUM(J305:J325)</f>
        <v>6025.2475482971604</v>
      </c>
      <c r="K326" s="120">
        <f t="shared" si="85"/>
        <v>213.48933982223207</v>
      </c>
      <c r="L326" s="107">
        <f t="shared" si="85"/>
        <v>5846</v>
      </c>
      <c r="M326" s="108">
        <f t="shared" si="85"/>
        <v>6120.3106819981604</v>
      </c>
      <c r="N326" s="107">
        <f t="shared" si="85"/>
        <v>6025.2475482971604</v>
      </c>
      <c r="O326" s="108">
        <f t="shared" si="85"/>
        <v>95.06313370099997</v>
      </c>
      <c r="P326" s="108">
        <f t="shared" si="85"/>
        <v>308.55247352323204</v>
      </c>
      <c r="Q326" s="108">
        <f t="shared" si="85"/>
        <v>20.500875925038319</v>
      </c>
      <c r="R326" s="128">
        <f t="shared" si="85"/>
        <v>329.05334944827035</v>
      </c>
    </row>
    <row r="327" spans="1:18" x14ac:dyDescent="0.25">
      <c r="H327" s="189"/>
      <c r="I327" s="190"/>
    </row>
    <row r="328" spans="1:18" x14ac:dyDescent="0.25">
      <c r="A328" s="199" t="s">
        <v>37</v>
      </c>
      <c r="O328" s="81"/>
      <c r="P328" s="81"/>
      <c r="Q328" s="81"/>
      <c r="R328" s="81"/>
    </row>
    <row r="329" spans="1:18" x14ac:dyDescent="0.25">
      <c r="H329" s="123" t="s">
        <v>175</v>
      </c>
      <c r="I329" s="191">
        <v>6204.9931412053838</v>
      </c>
      <c r="K329" s="124"/>
      <c r="L329" s="123" t="s">
        <v>178</v>
      </c>
      <c r="M329" s="191">
        <v>5991.5038013831509</v>
      </c>
      <c r="O329" s="81"/>
      <c r="P329" s="81"/>
      <c r="Q329" s="81"/>
      <c r="R329" s="81"/>
    </row>
    <row r="330" spans="1:18" x14ac:dyDescent="0.25">
      <c r="H330" s="83" t="s">
        <v>177</v>
      </c>
      <c r="I330" s="191">
        <v>-179.74559290822299</v>
      </c>
      <c r="K330" s="124"/>
      <c r="L330" s="83" t="s">
        <v>177</v>
      </c>
      <c r="M330" s="191">
        <v>-179.74559290822299</v>
      </c>
      <c r="O330" s="81"/>
      <c r="P330" s="81"/>
      <c r="Q330" s="81"/>
      <c r="R330" s="81"/>
    </row>
    <row r="331" spans="1:18" x14ac:dyDescent="0.25">
      <c r="G331" s="124"/>
      <c r="H331" s="125" t="s">
        <v>176</v>
      </c>
      <c r="I331" s="192">
        <f>SUM(I329:I330)</f>
        <v>6025.2475482971604</v>
      </c>
      <c r="J331" s="126" t="s">
        <v>132</v>
      </c>
      <c r="K331" s="129"/>
      <c r="L331" s="125" t="s">
        <v>176</v>
      </c>
      <c r="M331" s="192">
        <f>SUM(M329:M330)</f>
        <v>5811.7582084749283</v>
      </c>
      <c r="O331" s="74" t="s">
        <v>132</v>
      </c>
      <c r="P331" s="81"/>
      <c r="Q331" s="81"/>
      <c r="R331" s="81"/>
    </row>
    <row r="332" spans="1:18" x14ac:dyDescent="0.25">
      <c r="I332" s="193"/>
      <c r="O332" s="81"/>
      <c r="P332" s="81"/>
      <c r="Q332" s="81"/>
      <c r="R332" s="81"/>
    </row>
    <row r="333" spans="1:18" x14ac:dyDescent="0.25">
      <c r="K333" s="82"/>
    </row>
    <row r="334" spans="1:18" x14ac:dyDescent="0.25">
      <c r="A334" s="359" t="s">
        <v>0</v>
      </c>
      <c r="B334" s="360"/>
      <c r="C334" s="360" t="s">
        <v>192</v>
      </c>
      <c r="D334" s="360"/>
      <c r="E334" s="360"/>
      <c r="F334" s="360"/>
      <c r="G334" s="360"/>
      <c r="H334" s="361"/>
      <c r="I334" s="178"/>
    </row>
    <row r="335" spans="1:18" hidden="1" outlineLevel="1" x14ac:dyDescent="0.25">
      <c r="A335" s="179" t="s">
        <v>137</v>
      </c>
      <c r="B335" s="180"/>
      <c r="C335" s="181" t="s">
        <v>135</v>
      </c>
      <c r="D335" s="182"/>
      <c r="E335" s="182"/>
      <c r="F335" s="182"/>
      <c r="G335" s="182"/>
      <c r="H335" s="183"/>
      <c r="I335" s="178"/>
    </row>
    <row r="336" spans="1:18" collapsed="1" x14ac:dyDescent="0.25">
      <c r="A336" s="362" t="s">
        <v>2</v>
      </c>
      <c r="B336" s="363"/>
      <c r="C336" s="364" t="s">
        <v>206</v>
      </c>
      <c r="D336" s="365"/>
      <c r="E336" s="365"/>
      <c r="F336" s="365"/>
      <c r="G336" s="365"/>
      <c r="H336" s="366"/>
      <c r="I336" s="178"/>
    </row>
    <row r="337" spans="1:18" x14ac:dyDescent="0.25">
      <c r="A337" s="362" t="s">
        <v>4</v>
      </c>
      <c r="B337" s="363"/>
      <c r="C337" s="364" t="s">
        <v>132</v>
      </c>
      <c r="D337" s="365"/>
      <c r="E337" s="365"/>
      <c r="F337" s="365"/>
      <c r="G337" s="365"/>
      <c r="H337" s="366"/>
      <c r="I337" s="178"/>
    </row>
    <row r="338" spans="1:18" x14ac:dyDescent="0.25">
      <c r="A338" s="362" t="s">
        <v>6</v>
      </c>
      <c r="B338" s="363"/>
      <c r="C338" s="375">
        <v>0</v>
      </c>
      <c r="D338" s="376"/>
      <c r="E338" s="376"/>
      <c r="F338" s="376"/>
      <c r="G338" s="376"/>
      <c r="H338" s="377"/>
      <c r="I338" s="178"/>
      <c r="M338" s="111"/>
      <c r="O338" s="111" t="s">
        <v>43</v>
      </c>
      <c r="P338" s="111" t="s">
        <v>39</v>
      </c>
      <c r="R338" s="111" t="s">
        <v>44</v>
      </c>
    </row>
    <row r="339" spans="1:18" x14ac:dyDescent="0.25">
      <c r="A339" s="370" t="s">
        <v>7</v>
      </c>
      <c r="B339" s="371"/>
      <c r="C339" s="372" t="s">
        <v>34</v>
      </c>
      <c r="D339" s="373"/>
      <c r="E339" s="373"/>
      <c r="F339" s="373"/>
      <c r="G339" s="373"/>
      <c r="H339" s="374"/>
      <c r="I339" s="178"/>
      <c r="K339" s="111" t="s">
        <v>41</v>
      </c>
      <c r="L339" s="112" t="s">
        <v>42</v>
      </c>
      <c r="M339" s="113" t="s">
        <v>182</v>
      </c>
      <c r="N339" s="113" t="s">
        <v>38</v>
      </c>
      <c r="O339" s="113" t="s">
        <v>183</v>
      </c>
      <c r="P339" s="113" t="s">
        <v>184</v>
      </c>
      <c r="Q339" s="113" t="s">
        <v>40</v>
      </c>
      <c r="R339" s="113" t="s">
        <v>185</v>
      </c>
    </row>
    <row r="340" spans="1:18" x14ac:dyDescent="0.25">
      <c r="A340" s="134"/>
      <c r="B340" s="134"/>
      <c r="C340" s="134"/>
      <c r="D340" s="134"/>
      <c r="E340" s="134"/>
      <c r="F340" s="134"/>
      <c r="G340" s="134"/>
      <c r="H340" s="134"/>
      <c r="I340" s="134"/>
      <c r="K340" s="90"/>
      <c r="L340" s="351" t="s">
        <v>45</v>
      </c>
      <c r="M340" s="352"/>
      <c r="N340" s="352"/>
      <c r="O340" s="353"/>
      <c r="P340" s="91" t="s">
        <v>46</v>
      </c>
      <c r="Q340" s="90"/>
      <c r="R340" s="91" t="s">
        <v>47</v>
      </c>
    </row>
    <row r="341" spans="1:18" x14ac:dyDescent="0.25">
      <c r="A341" s="135"/>
      <c r="B341" s="136"/>
      <c r="C341" s="137"/>
      <c r="D341" s="354">
        <v>0</v>
      </c>
      <c r="E341" s="355"/>
      <c r="F341" s="354">
        <v>1</v>
      </c>
      <c r="G341" s="355"/>
      <c r="H341" s="138"/>
      <c r="I341" s="139"/>
      <c r="J341" s="140" t="s">
        <v>9</v>
      </c>
      <c r="K341" s="92" t="s">
        <v>48</v>
      </c>
      <c r="L341" s="351" t="s">
        <v>49</v>
      </c>
      <c r="M341" s="352"/>
      <c r="N341" s="93"/>
      <c r="O341" s="91" t="s">
        <v>50</v>
      </c>
      <c r="P341" s="92" t="s">
        <v>51</v>
      </c>
      <c r="Q341" s="94"/>
      <c r="R341" s="92" t="s">
        <v>52</v>
      </c>
    </row>
    <row r="342" spans="1:18" x14ac:dyDescent="0.25">
      <c r="A342" s="141"/>
      <c r="B342" s="142"/>
      <c r="C342" s="143"/>
      <c r="D342" s="356" t="s">
        <v>10</v>
      </c>
      <c r="E342" s="357"/>
      <c r="F342" s="356" t="s">
        <v>11</v>
      </c>
      <c r="G342" s="357"/>
      <c r="H342" s="356" t="s">
        <v>12</v>
      </c>
      <c r="I342" s="358"/>
      <c r="J342" s="144" t="s">
        <v>13</v>
      </c>
      <c r="K342" s="95" t="s">
        <v>53</v>
      </c>
      <c r="L342" s="96" t="s">
        <v>179</v>
      </c>
      <c r="M342" s="97" t="s">
        <v>180</v>
      </c>
      <c r="N342" s="98" t="s">
        <v>54</v>
      </c>
      <c r="O342" s="98" t="s">
        <v>53</v>
      </c>
      <c r="P342" s="98" t="s">
        <v>53</v>
      </c>
      <c r="Q342" s="98" t="s">
        <v>55</v>
      </c>
      <c r="R342" s="98" t="s">
        <v>56</v>
      </c>
    </row>
    <row r="343" spans="1:18" ht="45" x14ac:dyDescent="0.25">
      <c r="A343" s="145" t="s">
        <v>14</v>
      </c>
      <c r="B343" s="146" t="s">
        <v>15</v>
      </c>
      <c r="C343" s="147" t="s">
        <v>16</v>
      </c>
      <c r="D343" s="148" t="s">
        <v>17</v>
      </c>
      <c r="E343" s="149" t="s">
        <v>18</v>
      </c>
      <c r="F343" s="148" t="s">
        <v>17</v>
      </c>
      <c r="G343" s="149" t="s">
        <v>18</v>
      </c>
      <c r="H343" s="150" t="s">
        <v>17</v>
      </c>
      <c r="I343" s="151" t="s">
        <v>18</v>
      </c>
      <c r="J343" s="147" t="s">
        <v>18</v>
      </c>
      <c r="K343" s="152" t="s">
        <v>57</v>
      </c>
      <c r="L343" s="99"/>
      <c r="M343" s="100"/>
      <c r="N343" s="99"/>
      <c r="O343" s="152" t="s">
        <v>57</v>
      </c>
      <c r="P343" s="100"/>
      <c r="Q343" s="100"/>
      <c r="R343" s="153" t="s">
        <v>57</v>
      </c>
    </row>
    <row r="344" spans="1:18" x14ac:dyDescent="0.25">
      <c r="A344" s="75" t="s">
        <v>195</v>
      </c>
      <c r="B344" s="194"/>
      <c r="C344" s="155"/>
      <c r="D344" s="78">
        <v>0</v>
      </c>
      <c r="E344" s="156">
        <v>0</v>
      </c>
      <c r="F344" s="157">
        <v>0</v>
      </c>
      <c r="G344" s="158">
        <v>0</v>
      </c>
      <c r="H344" s="159">
        <v>2.417634894230071E-2</v>
      </c>
      <c r="I344" s="184">
        <f>H344*$C$338</f>
        <v>0</v>
      </c>
      <c r="J344" s="185">
        <f>H344*I$376</f>
        <v>-353.51558049461966</v>
      </c>
      <c r="K344" s="102">
        <f>(I$376-M$376)*H344</f>
        <v>0</v>
      </c>
      <c r="L344" s="84">
        <f>ROUND(J344*VLOOKUP(A344,'Actual Load'!$A$4:$B$37,2,FALSE)/VLOOKUP(A344,'Projected Zonal Load'!$A$4:$N$37,14,FALSE),0)</f>
        <v>-354</v>
      </c>
      <c r="M344" s="102">
        <f t="shared" ref="M344:M370" si="86">IF(NOT(L$43=0),M$6*L344/L$43,0)</f>
        <v>-370.61067078811988</v>
      </c>
      <c r="N344" s="84">
        <f>+J344</f>
        <v>-353.51558049461966</v>
      </c>
      <c r="O344" s="102">
        <f t="shared" ref="O344:O360" si="87">+M344-N344</f>
        <v>-17.09509029350022</v>
      </c>
      <c r="P344" s="102">
        <f t="shared" ref="P344:P370" si="88">+K344+O344</f>
        <v>-17.09509029350022</v>
      </c>
      <c r="Q344" s="49">
        <f>+H344*Interest!$D$21</f>
        <v>-0.17434559985215789</v>
      </c>
      <c r="R344" s="127">
        <f t="shared" ref="R344:R360" si="89">+P344+Q344</f>
        <v>-17.269435893352377</v>
      </c>
    </row>
    <row r="345" spans="1:18" x14ac:dyDescent="0.25">
      <c r="A345" s="76" t="s">
        <v>19</v>
      </c>
      <c r="B345" s="194"/>
      <c r="C345" s="155"/>
      <c r="D345" s="78">
        <v>0</v>
      </c>
      <c r="E345" s="156">
        <v>0</v>
      </c>
      <c r="F345" s="157">
        <v>0</v>
      </c>
      <c r="G345" s="156">
        <v>0</v>
      </c>
      <c r="H345" s="159">
        <v>1.2876944585364467E-3</v>
      </c>
      <c r="I345" s="186">
        <f t="shared" ref="I345:I370" si="90">H345*$C$338</f>
        <v>0</v>
      </c>
      <c r="J345" s="185">
        <f>H345*I$376</f>
        <v>-18.829148069282311</v>
      </c>
      <c r="K345" s="102">
        <f>(I$376-M$376)*H345</f>
        <v>0</v>
      </c>
      <c r="L345" s="84">
        <f>ROUND(J345*VLOOKUP(A345,'Actual Load'!$A$4:$B$37,2,FALSE)/VLOOKUP(A345,'Projected Zonal Load'!$A$4:$N$37,14,FALSE),0)</f>
        <v>-18</v>
      </c>
      <c r="M345" s="102">
        <f t="shared" si="86"/>
        <v>-18.844610379056942</v>
      </c>
      <c r="N345" s="84">
        <f t="shared" ref="N345:N370" si="91">+J345</f>
        <v>-18.829148069282311</v>
      </c>
      <c r="O345" s="102">
        <f t="shared" si="87"/>
        <v>-1.5462309774630256E-2</v>
      </c>
      <c r="P345" s="102">
        <f t="shared" si="88"/>
        <v>-1.5462309774630256E-2</v>
      </c>
      <c r="Q345" s="49">
        <f>+H345*Interest!$D$21</f>
        <v>-9.2860945767964179E-3</v>
      </c>
      <c r="R345" s="127">
        <f t="shared" si="89"/>
        <v>-2.4748404351426674E-2</v>
      </c>
    </row>
    <row r="346" spans="1:18" x14ac:dyDescent="0.25">
      <c r="A346" s="204" t="s">
        <v>207</v>
      </c>
      <c r="B346" s="194"/>
      <c r="C346" s="155"/>
      <c r="D346" s="78"/>
      <c r="E346" s="156"/>
      <c r="F346" s="157"/>
      <c r="G346" s="156"/>
      <c r="H346" s="159"/>
      <c r="I346" s="186"/>
      <c r="J346" s="205">
        <f>(H347*(0.35+0.071))*I376</f>
        <v>-139.09086167081466</v>
      </c>
      <c r="K346" s="131">
        <f>(I$376-M$376)*(H347*(0.35+0.071))</f>
        <v>0</v>
      </c>
      <c r="L346" s="84">
        <f>ROUND(J346*VLOOKUP(A346,'Actual Load'!$A$4:$B$37,2,FALSE)/VLOOKUP(A346,'Projected Zonal Load'!$A$4:$N$37,14,FALSE),0)</f>
        <v>-139</v>
      </c>
      <c r="M346" s="102">
        <f>IF(NOT(L$43=0),M$6*L346/L$43,0)</f>
        <v>-145.52226903827307</v>
      </c>
      <c r="N346" s="84">
        <f>+J346</f>
        <v>-139.09086167081466</v>
      </c>
      <c r="O346" s="102">
        <f t="shared" si="87"/>
        <v>-6.4314073674584051</v>
      </c>
      <c r="P346" s="102">
        <f>+K346+O346</f>
        <v>-6.4314073674584051</v>
      </c>
      <c r="Q346" s="33">
        <f>(H347*(0.35+0.071))*Interest!$D$21</f>
        <v>-6.8596353456395309E-2</v>
      </c>
      <c r="R346" s="127">
        <f t="shared" si="89"/>
        <v>-6.5000037209148003</v>
      </c>
    </row>
    <row r="347" spans="1:18" x14ac:dyDescent="0.25">
      <c r="A347" s="204" t="s">
        <v>210</v>
      </c>
      <c r="B347" s="194"/>
      <c r="C347" s="155"/>
      <c r="D347" s="78">
        <v>0</v>
      </c>
      <c r="E347" s="156">
        <v>0</v>
      </c>
      <c r="F347" s="157">
        <v>0</v>
      </c>
      <c r="G347" s="156">
        <v>0</v>
      </c>
      <c r="H347" s="159">
        <v>2.2594287876127255E-2</v>
      </c>
      <c r="I347" s="186">
        <f t="shared" si="90"/>
        <v>0</v>
      </c>
      <c r="J347" s="205">
        <f>(+H347*0.579)*I376</f>
        <v>-191.29123255914891</v>
      </c>
      <c r="K347" s="131">
        <f>(I$376-M$376)*(H347*0.579)</f>
        <v>0</v>
      </c>
      <c r="L347" s="84">
        <f>ROUND(J347*VLOOKUP(A347,'Actual Load'!$A$4:$B$37,2,FALSE)/VLOOKUP(A347,'Projected Zonal Load'!$A$4:$N$37,14,FALSE),0)</f>
        <v>-192</v>
      </c>
      <c r="M347" s="102">
        <f t="shared" si="86"/>
        <v>-201.0091773766074</v>
      </c>
      <c r="N347" s="84">
        <f t="shared" si="91"/>
        <v>-191.29123255914891</v>
      </c>
      <c r="O347" s="102">
        <f t="shared" si="87"/>
        <v>-9.7179448174584877</v>
      </c>
      <c r="P347" s="102">
        <f t="shared" si="88"/>
        <v>-9.7179448174584877</v>
      </c>
      <c r="Q347" s="33">
        <f>(H347*0.579)*Interest!$D$21</f>
        <v>-9.4340353090861959E-2</v>
      </c>
      <c r="R347" s="127">
        <f t="shared" si="89"/>
        <v>-9.8122851705493499</v>
      </c>
    </row>
    <row r="348" spans="1:18" x14ac:dyDescent="0.25">
      <c r="A348" s="76" t="s">
        <v>211</v>
      </c>
      <c r="B348" s="194"/>
      <c r="C348" s="155"/>
      <c r="D348" s="78">
        <v>0</v>
      </c>
      <c r="E348" s="156">
        <v>0</v>
      </c>
      <c r="F348" s="157">
        <v>0</v>
      </c>
      <c r="G348" s="156">
        <v>0</v>
      </c>
      <c r="H348" s="159">
        <v>2.2749769753202301E-3</v>
      </c>
      <c r="I348" s="186">
        <f t="shared" si="90"/>
        <v>0</v>
      </c>
      <c r="J348" s="185">
        <f t="shared" ref="J348:J370" si="92">H348*I$376</f>
        <v>-33.265560815722189</v>
      </c>
      <c r="K348" s="102">
        <f t="shared" ref="K348:K370" si="93">(I$376-M$376)*H348</f>
        <v>0</v>
      </c>
      <c r="L348" s="84">
        <f>ROUND(J348*VLOOKUP(A348,'Actual Load'!$A$4:$B$37,2,FALSE)/VLOOKUP(A348,'Projected Zonal Load'!$A$4:$N$37,14,FALSE),0)</f>
        <v>-33</v>
      </c>
      <c r="M348" s="102">
        <f t="shared" si="86"/>
        <v>-34.548452361604397</v>
      </c>
      <c r="N348" s="84">
        <f t="shared" si="91"/>
        <v>-33.265560815722189</v>
      </c>
      <c r="O348" s="102">
        <f t="shared" si="87"/>
        <v>-1.2828915458822081</v>
      </c>
      <c r="P348" s="102">
        <f t="shared" si="88"/>
        <v>-1.2828915458822081</v>
      </c>
      <c r="Q348" s="49">
        <f>+H348*Interest!$D$21</f>
        <v>-1.6405795033760311E-2</v>
      </c>
      <c r="R348" s="127">
        <f t="shared" si="89"/>
        <v>-1.2992973409159685</v>
      </c>
    </row>
    <row r="349" spans="1:18" x14ac:dyDescent="0.25">
      <c r="A349" s="76" t="s">
        <v>20</v>
      </c>
      <c r="B349" s="194"/>
      <c r="C349" s="155"/>
      <c r="D349" s="78">
        <v>0</v>
      </c>
      <c r="E349" s="156">
        <v>0</v>
      </c>
      <c r="F349" s="157">
        <v>0</v>
      </c>
      <c r="G349" s="156">
        <v>0</v>
      </c>
      <c r="H349" s="159">
        <v>5.8193712054392839E-3</v>
      </c>
      <c r="I349" s="186">
        <f t="shared" si="90"/>
        <v>0</v>
      </c>
      <c r="J349" s="185">
        <f t="shared" si="92"/>
        <v>-85.093013618985623</v>
      </c>
      <c r="K349" s="102">
        <f t="shared" si="93"/>
        <v>0</v>
      </c>
      <c r="L349" s="84">
        <f>ROUND(J349*VLOOKUP(A349,'Actual Load'!$A$4:$B$37,2,FALSE)/VLOOKUP(A349,'Projected Zonal Load'!$A$4:$N$37,14,FALSE),0)</f>
        <v>-81</v>
      </c>
      <c r="M349" s="102">
        <f t="shared" ref="M349:M356" si="94">IF(NOT(L$43=0),M$6*L349/L$43,0)</f>
        <v>-84.800746705756239</v>
      </c>
      <c r="N349" s="84">
        <f t="shared" ref="N349:N356" si="95">+J349</f>
        <v>-85.093013618985623</v>
      </c>
      <c r="O349" s="102">
        <f t="shared" si="87"/>
        <v>0.29226691322938336</v>
      </c>
      <c r="P349" s="102">
        <f t="shared" ref="P349:P356" si="96">+K349+O349</f>
        <v>0.29226691322938336</v>
      </c>
      <c r="Q349" s="49">
        <f>+H349*Interest!$D$21</f>
        <v>-4.1965880207805097E-2</v>
      </c>
      <c r="R349" s="127">
        <f t="shared" si="89"/>
        <v>0.25030103302157825</v>
      </c>
    </row>
    <row r="350" spans="1:18" x14ac:dyDescent="0.25">
      <c r="A350" s="76" t="s">
        <v>21</v>
      </c>
      <c r="B350" s="194"/>
      <c r="C350" s="155"/>
      <c r="D350" s="78">
        <v>0</v>
      </c>
      <c r="E350" s="156">
        <v>0</v>
      </c>
      <c r="F350" s="157">
        <v>0</v>
      </c>
      <c r="G350" s="156">
        <v>0</v>
      </c>
      <c r="H350" s="159">
        <v>6.204484835640546E-3</v>
      </c>
      <c r="I350" s="186">
        <f t="shared" si="90"/>
        <v>0</v>
      </c>
      <c r="J350" s="185">
        <f t="shared" si="92"/>
        <v>-90.724288583700513</v>
      </c>
      <c r="K350" s="102">
        <f t="shared" si="93"/>
        <v>0</v>
      </c>
      <c r="L350" s="84">
        <f>ROUND(J350*VLOOKUP(A350,'Actual Load'!$A$4:$B$37,2,FALSE)/VLOOKUP(A350,'Projected Zonal Load'!$A$4:$N$37,14,FALSE),0)</f>
        <v>-87</v>
      </c>
      <c r="M350" s="102">
        <f t="shared" si="94"/>
        <v>-91.082283498775226</v>
      </c>
      <c r="N350" s="84">
        <f t="shared" si="95"/>
        <v>-90.724288583700513</v>
      </c>
      <c r="O350" s="102">
        <f t="shared" si="87"/>
        <v>-0.35799491507471259</v>
      </c>
      <c r="P350" s="102">
        <f t="shared" si="96"/>
        <v>-0.35799491507471259</v>
      </c>
      <c r="Q350" s="49">
        <f>+H350*Interest!$D$21</f>
        <v>-4.4743093054497723E-2</v>
      </c>
      <c r="R350" s="127">
        <f t="shared" si="89"/>
        <v>-0.40273800812921035</v>
      </c>
    </row>
    <row r="351" spans="1:18" x14ac:dyDescent="0.25">
      <c r="A351" s="76" t="s">
        <v>22</v>
      </c>
      <c r="B351" s="194"/>
      <c r="C351" s="155"/>
      <c r="D351" s="78">
        <v>0</v>
      </c>
      <c r="E351" s="156">
        <v>0</v>
      </c>
      <c r="F351" s="157">
        <v>0</v>
      </c>
      <c r="G351" s="156">
        <v>0</v>
      </c>
      <c r="H351" s="159">
        <v>1.5156413679503017E-2</v>
      </c>
      <c r="I351" s="186">
        <f t="shared" si="90"/>
        <v>0</v>
      </c>
      <c r="J351" s="185">
        <f t="shared" si="92"/>
        <v>-221.62272694332702</v>
      </c>
      <c r="K351" s="102">
        <f t="shared" si="93"/>
        <v>0</v>
      </c>
      <c r="L351" s="84">
        <f>ROUND(J351*'Actual Load'!$B$17/'Projected Zonal Load'!$N$17,0)</f>
        <v>-216</v>
      </c>
      <c r="M351" s="102">
        <f t="shared" si="94"/>
        <v>-226.13532454868331</v>
      </c>
      <c r="N351" s="84">
        <f t="shared" si="95"/>
        <v>-221.62272694332702</v>
      </c>
      <c r="O351" s="102">
        <f t="shared" si="87"/>
        <v>-4.5125976053562908</v>
      </c>
      <c r="P351" s="102">
        <f t="shared" si="96"/>
        <v>-4.5125976053562908</v>
      </c>
      <c r="Q351" s="49">
        <f>+H351*Interest!$D$21</f>
        <v>-0.10929913531885595</v>
      </c>
      <c r="R351" s="127">
        <f t="shared" si="89"/>
        <v>-4.6218967406751466</v>
      </c>
    </row>
    <row r="352" spans="1:18" x14ac:dyDescent="0.25">
      <c r="A352" s="76" t="s">
        <v>23</v>
      </c>
      <c r="B352" s="194"/>
      <c r="C352" s="155"/>
      <c r="D352" s="78">
        <v>0</v>
      </c>
      <c r="E352" s="156">
        <v>0</v>
      </c>
      <c r="F352" s="157">
        <v>0</v>
      </c>
      <c r="G352" s="156">
        <v>0</v>
      </c>
      <c r="H352" s="159">
        <v>1.9023895837418203E-2</v>
      </c>
      <c r="I352" s="186">
        <f t="shared" si="90"/>
        <v>0</v>
      </c>
      <c r="J352" s="185">
        <f t="shared" si="92"/>
        <v>-278.17449178470019</v>
      </c>
      <c r="K352" s="102">
        <f t="shared" si="93"/>
        <v>0</v>
      </c>
      <c r="L352" s="84">
        <f>ROUND(J352*VLOOKUP(A352,'Actual Load'!$A$4:$B$37,2,FALSE)/VLOOKUP(A352,'Projected Zonal Load'!$A$4:$N$37,14,FALSE),0)</f>
        <v>-266</v>
      </c>
      <c r="M352" s="102">
        <f t="shared" si="94"/>
        <v>-278.48146449050813</v>
      </c>
      <c r="N352" s="84">
        <f t="shared" si="95"/>
        <v>-278.17449178470019</v>
      </c>
      <c r="O352" s="102">
        <f t="shared" si="87"/>
        <v>-0.30697270580793656</v>
      </c>
      <c r="P352" s="102">
        <f t="shared" si="96"/>
        <v>-0.30697270580793656</v>
      </c>
      <c r="Q352" s="49">
        <f>+H352*Interest!$D$21</f>
        <v>-0.13718914047838085</v>
      </c>
      <c r="R352" s="127">
        <f t="shared" si="89"/>
        <v>-0.44416184628631739</v>
      </c>
    </row>
    <row r="353" spans="1:18" x14ac:dyDescent="0.25">
      <c r="A353" s="76" t="s">
        <v>24</v>
      </c>
      <c r="B353" s="194"/>
      <c r="C353" s="155"/>
      <c r="D353" s="78">
        <v>0</v>
      </c>
      <c r="E353" s="156">
        <v>0</v>
      </c>
      <c r="F353" s="157">
        <v>0</v>
      </c>
      <c r="G353" s="156">
        <v>0</v>
      </c>
      <c r="H353" s="159">
        <v>6.8877559718316262E-3</v>
      </c>
      <c r="I353" s="186">
        <f t="shared" si="90"/>
        <v>0</v>
      </c>
      <c r="J353" s="185">
        <f t="shared" si="92"/>
        <v>-100.71533367170302</v>
      </c>
      <c r="K353" s="102">
        <f t="shared" si="93"/>
        <v>0</v>
      </c>
      <c r="L353" s="84">
        <f>ROUND(J353*VLOOKUP(A353,'Actual Load'!$A$4:$B$37,2,FALSE)/VLOOKUP(A353,'Projected Zonal Load'!$A$4:$N$37,14,FALSE),0)</f>
        <v>-99</v>
      </c>
      <c r="M353" s="102">
        <f t="shared" si="94"/>
        <v>-103.64535708481318</v>
      </c>
      <c r="N353" s="84">
        <f t="shared" si="95"/>
        <v>-100.71533367170302</v>
      </c>
      <c r="O353" s="102">
        <f t="shared" si="87"/>
        <v>-2.9300234131101632</v>
      </c>
      <c r="P353" s="102">
        <f t="shared" si="96"/>
        <v>-2.9300234131101632</v>
      </c>
      <c r="Q353" s="49">
        <f>+H353*Interest!$D$21</f>
        <v>-4.967044235712418E-2</v>
      </c>
      <c r="R353" s="127">
        <f t="shared" si="89"/>
        <v>-2.9796938554672874</v>
      </c>
    </row>
    <row r="354" spans="1:18" x14ac:dyDescent="0.25">
      <c r="A354" s="76" t="s">
        <v>25</v>
      </c>
      <c r="B354" s="194"/>
      <c r="C354" s="155"/>
      <c r="D354" s="78">
        <v>0</v>
      </c>
      <c r="E354" s="156">
        <v>0</v>
      </c>
      <c r="F354" s="157">
        <v>0</v>
      </c>
      <c r="G354" s="156">
        <v>0</v>
      </c>
      <c r="H354" s="159">
        <v>5.3847987966022099E-4</v>
      </c>
      <c r="I354" s="186">
        <f t="shared" si="90"/>
        <v>0</v>
      </c>
      <c r="J354" s="185">
        <f t="shared" si="92"/>
        <v>-7.8738533968496114</v>
      </c>
      <c r="K354" s="102">
        <f t="shared" si="93"/>
        <v>0</v>
      </c>
      <c r="L354" s="84">
        <f>ROUND(J354*VLOOKUP(A354,'Actual Load'!$A$4:$B$37,2,FALSE)/VLOOKUP(A354,'Projected Zonal Load'!$A$4:$N$37,14,FALSE),0)</f>
        <v>-8</v>
      </c>
      <c r="M354" s="102">
        <f t="shared" si="94"/>
        <v>-8.3753823906919749</v>
      </c>
      <c r="N354" s="84">
        <f t="shared" si="95"/>
        <v>-7.8738533968496114</v>
      </c>
      <c r="O354" s="102">
        <f t="shared" si="87"/>
        <v>-0.50152899384236349</v>
      </c>
      <c r="P354" s="102">
        <f t="shared" si="96"/>
        <v>-0.50152899384236349</v>
      </c>
      <c r="Q354" s="49">
        <f>+H354*Interest!$D$21</f>
        <v>-3.8831999758001884E-3</v>
      </c>
      <c r="R354" s="127">
        <f t="shared" si="89"/>
        <v>-0.50541219381816371</v>
      </c>
    </row>
    <row r="355" spans="1:18" x14ac:dyDescent="0.25">
      <c r="A355" s="76" t="s">
        <v>27</v>
      </c>
      <c r="B355" s="194"/>
      <c r="C355" s="155"/>
      <c r="D355" s="78">
        <v>0</v>
      </c>
      <c r="E355" s="156">
        <v>0</v>
      </c>
      <c r="F355" s="157">
        <v>0</v>
      </c>
      <c r="G355" s="156">
        <v>0</v>
      </c>
      <c r="H355" s="159">
        <v>1.5333516122057401E-2</v>
      </c>
      <c r="I355" s="186">
        <f t="shared" si="90"/>
        <v>0</v>
      </c>
      <c r="J355" s="185">
        <f t="shared" si="92"/>
        <v>-224.2123848331949</v>
      </c>
      <c r="K355" s="102">
        <f t="shared" si="93"/>
        <v>0</v>
      </c>
      <c r="L355" s="84">
        <f>ROUND(J355*VLOOKUP(A355,'Actual Load'!$A$4:$B$37,2,FALSE)/VLOOKUP(A355,'Projected Zonal Load'!$A$4:$N$37,14,FALSE),0)</f>
        <v>-210</v>
      </c>
      <c r="M355" s="102">
        <f t="shared" si="94"/>
        <v>-219.85378775566434</v>
      </c>
      <c r="N355" s="84">
        <f t="shared" si="95"/>
        <v>-224.2123848331949</v>
      </c>
      <c r="O355" s="102">
        <f t="shared" si="87"/>
        <v>4.3585970775305611</v>
      </c>
      <c r="P355" s="102">
        <f t="shared" si="96"/>
        <v>4.3585970775305611</v>
      </c>
      <c r="Q355" s="49">
        <f>+H355*Interest!$D$21</f>
        <v>-0.11057629390289679</v>
      </c>
      <c r="R355" s="127">
        <f t="shared" si="89"/>
        <v>4.2480207836276644</v>
      </c>
    </row>
    <row r="356" spans="1:18" x14ac:dyDescent="0.25">
      <c r="A356" s="76" t="s">
        <v>26</v>
      </c>
      <c r="B356" s="194"/>
      <c r="C356" s="155"/>
      <c r="D356" s="78">
        <v>0</v>
      </c>
      <c r="E356" s="156">
        <v>0</v>
      </c>
      <c r="F356" s="157">
        <v>0</v>
      </c>
      <c r="G356" s="156">
        <v>0</v>
      </c>
      <c r="H356" s="159">
        <v>1.5663582749093932E-2</v>
      </c>
      <c r="I356" s="186">
        <f t="shared" si="90"/>
        <v>0</v>
      </c>
      <c r="J356" s="185">
        <f t="shared" si="92"/>
        <v>-229.03874201132786</v>
      </c>
      <c r="K356" s="102">
        <f t="shared" si="93"/>
        <v>0</v>
      </c>
      <c r="L356" s="84">
        <f>ROUND(J356*VLOOKUP(A356,'Actual Load'!$A$4:$B$37,2,FALSE)/VLOOKUP(A356,'Projected Zonal Load'!$A$4:$N$37,14,FALSE),0)</f>
        <v>-223</v>
      </c>
      <c r="M356" s="102">
        <f t="shared" si="94"/>
        <v>-233.46378414053879</v>
      </c>
      <c r="N356" s="84">
        <f t="shared" si="95"/>
        <v>-229.03874201132786</v>
      </c>
      <c r="O356" s="102">
        <f t="shared" si="87"/>
        <v>-4.4250421292109365</v>
      </c>
      <c r="P356" s="102">
        <f t="shared" si="96"/>
        <v>-4.4250421292109365</v>
      </c>
      <c r="Q356" s="49">
        <f>+H356*Interest!$D$21</f>
        <v>-0.11295654016006329</v>
      </c>
      <c r="R356" s="127">
        <f t="shared" si="89"/>
        <v>-4.5379986693709995</v>
      </c>
    </row>
    <row r="357" spans="1:18" x14ac:dyDescent="0.25">
      <c r="A357" s="76" t="s">
        <v>69</v>
      </c>
      <c r="B357" s="194"/>
      <c r="C357" s="155"/>
      <c r="D357" s="78">
        <v>0</v>
      </c>
      <c r="E357" s="156">
        <v>0</v>
      </c>
      <c r="F357" s="157">
        <v>0</v>
      </c>
      <c r="G357" s="156">
        <v>0</v>
      </c>
      <c r="H357" s="159">
        <v>1.1552762730182244E-3</v>
      </c>
      <c r="I357" s="186">
        <f t="shared" si="90"/>
        <v>0</v>
      </c>
      <c r="J357" s="185">
        <f t="shared" si="92"/>
        <v>-16.892880031737029</v>
      </c>
      <c r="K357" s="102">
        <f t="shared" si="93"/>
        <v>0</v>
      </c>
      <c r="L357" s="84">
        <f>ROUND(J357*'Actual Load'!$B$18/'Projected Zonal Load'!$N$18,0)</f>
        <v>-16</v>
      </c>
      <c r="M357" s="118">
        <f t="shared" si="86"/>
        <v>-16.75076478138395</v>
      </c>
      <c r="N357" s="84">
        <f t="shared" si="91"/>
        <v>-16.892880031737029</v>
      </c>
      <c r="O357" s="102">
        <f t="shared" si="87"/>
        <v>0.14211525035307915</v>
      </c>
      <c r="P357" s="102">
        <f t="shared" si="88"/>
        <v>0.14211525035307915</v>
      </c>
      <c r="Q357" s="49">
        <f>+H357*Interest!$D$21</f>
        <v>-8.3311725560807539E-3</v>
      </c>
      <c r="R357" s="127">
        <f t="shared" si="89"/>
        <v>0.13378407779699839</v>
      </c>
    </row>
    <row r="358" spans="1:18" x14ac:dyDescent="0.25">
      <c r="A358" s="76" t="s">
        <v>70</v>
      </c>
      <c r="B358" s="194"/>
      <c r="C358" s="155"/>
      <c r="D358" s="78">
        <v>0</v>
      </c>
      <c r="E358" s="156">
        <v>0</v>
      </c>
      <c r="F358" s="157">
        <v>0</v>
      </c>
      <c r="G358" s="156">
        <v>0</v>
      </c>
      <c r="H358" s="159">
        <v>3.0274535456452421E-4</v>
      </c>
      <c r="I358" s="186">
        <f t="shared" si="90"/>
        <v>0</v>
      </c>
      <c r="J358" s="185">
        <f t="shared" si="92"/>
        <v>-4.4268553542287812</v>
      </c>
      <c r="K358" s="102">
        <f t="shared" si="93"/>
        <v>0</v>
      </c>
      <c r="L358" s="84">
        <f>ROUND(J358*'Actual Load'!$B$17/'Projected Zonal Load'!$N$17,0)</f>
        <v>-4</v>
      </c>
      <c r="M358" s="118">
        <f t="shared" si="86"/>
        <v>-4.1876911953459874</v>
      </c>
      <c r="N358" s="84">
        <f t="shared" si="91"/>
        <v>-4.4268553542287812</v>
      </c>
      <c r="O358" s="102">
        <f t="shared" si="87"/>
        <v>0.23916415888279374</v>
      </c>
      <c r="P358" s="102">
        <f t="shared" si="88"/>
        <v>0.23916415888279374</v>
      </c>
      <c r="Q358" s="49">
        <f>+H358*Interest!$D$21</f>
        <v>-2.183221319727661E-3</v>
      </c>
      <c r="R358" s="127">
        <f t="shared" si="89"/>
        <v>0.23698093756306607</v>
      </c>
    </row>
    <row r="359" spans="1:18" x14ac:dyDescent="0.25">
      <c r="A359" s="76" t="s">
        <v>28</v>
      </c>
      <c r="B359" s="194"/>
      <c r="C359" s="155"/>
      <c r="D359" s="78">
        <v>0</v>
      </c>
      <c r="E359" s="156">
        <v>0</v>
      </c>
      <c r="F359" s="157">
        <v>0</v>
      </c>
      <c r="G359" s="156">
        <v>0</v>
      </c>
      <c r="H359" s="159">
        <v>7.9455697798752601E-4</v>
      </c>
      <c r="I359" s="186">
        <f t="shared" si="90"/>
        <v>0</v>
      </c>
      <c r="J359" s="185">
        <f t="shared" si="92"/>
        <v>-11.618308123351426</v>
      </c>
      <c r="K359" s="102">
        <f t="shared" si="93"/>
        <v>0</v>
      </c>
      <c r="L359" s="84">
        <f>ROUND(J359*VLOOKUP(A359,'Actual Load'!$A$4:$B$37,2,FALSE)/VLOOKUP(A359,'Projected Zonal Load'!$A$4:$N$37,14,FALSE),0)</f>
        <v>-12</v>
      </c>
      <c r="M359" s="102">
        <f t="shared" si="86"/>
        <v>-12.563073586037962</v>
      </c>
      <c r="N359" s="84">
        <f t="shared" si="91"/>
        <v>-11.618308123351426</v>
      </c>
      <c r="O359" s="102">
        <f t="shared" si="87"/>
        <v>-0.94476546268653649</v>
      </c>
      <c r="P359" s="102">
        <f t="shared" si="88"/>
        <v>-0.94476546268653649</v>
      </c>
      <c r="Q359" s="49">
        <f>+H359*Interest!$D$21</f>
        <v>-5.7298772976251662E-3</v>
      </c>
      <c r="R359" s="127">
        <f t="shared" si="89"/>
        <v>-0.95049533998416169</v>
      </c>
    </row>
    <row r="360" spans="1:18" x14ac:dyDescent="0.25">
      <c r="A360" s="76" t="s">
        <v>29</v>
      </c>
      <c r="B360" s="194"/>
      <c r="C360" s="155"/>
      <c r="D360" s="78">
        <v>0</v>
      </c>
      <c r="E360" s="156">
        <v>0</v>
      </c>
      <c r="F360" s="157">
        <v>0</v>
      </c>
      <c r="G360" s="156">
        <v>0</v>
      </c>
      <c r="H360" s="159">
        <v>8.6615565603105854E-4</v>
      </c>
      <c r="I360" s="186">
        <f t="shared" si="90"/>
        <v>0</v>
      </c>
      <c r="J360" s="185">
        <f t="shared" si="92"/>
        <v>-12.665250665900535</v>
      </c>
      <c r="K360" s="102">
        <f t="shared" si="93"/>
        <v>0</v>
      </c>
      <c r="L360" s="84">
        <f>ROUND(J360*VLOOKUP(A360,'Actual Load'!$A$4:$B$37,2,FALSE)/VLOOKUP(A360,'Projected Zonal Load'!$A$4:$N$37,14,FALSE),0)</f>
        <v>-13</v>
      </c>
      <c r="M360" s="102">
        <f t="shared" si="86"/>
        <v>-13.609996384874458</v>
      </c>
      <c r="N360" s="84">
        <f t="shared" si="91"/>
        <v>-12.665250665900535</v>
      </c>
      <c r="O360" s="102">
        <f t="shared" si="87"/>
        <v>-0.94474571897392323</v>
      </c>
      <c r="P360" s="102">
        <f t="shared" si="88"/>
        <v>-0.94474571897392323</v>
      </c>
      <c r="Q360" s="49">
        <f>+H360*Interest!$D$21</f>
        <v>-6.2462048250741175E-3</v>
      </c>
      <c r="R360" s="127">
        <f t="shared" si="89"/>
        <v>-0.95099192379899733</v>
      </c>
    </row>
    <row r="361" spans="1:18" x14ac:dyDescent="0.25">
      <c r="A361" s="76" t="s">
        <v>30</v>
      </c>
      <c r="B361" s="194"/>
      <c r="C361" s="155"/>
      <c r="D361" s="78">
        <v>0</v>
      </c>
      <c r="E361" s="156">
        <v>0</v>
      </c>
      <c r="F361" s="157">
        <v>0</v>
      </c>
      <c r="G361" s="156">
        <v>0</v>
      </c>
      <c r="H361" s="159">
        <v>2.3414313850310516E-2</v>
      </c>
      <c r="I361" s="186">
        <f t="shared" si="90"/>
        <v>0</v>
      </c>
      <c r="J361" s="185">
        <f t="shared" si="92"/>
        <v>-342.37281950349092</v>
      </c>
      <c r="K361" s="102">
        <f t="shared" si="93"/>
        <v>0</v>
      </c>
      <c r="L361" s="84">
        <f>ROUND(J361*VLOOKUP(A361,'Actual Load'!$A$4:$B$37,2,FALSE)/VLOOKUP(A361,'Projected Zonal Load'!$A$4:$N$37,14,FALSE),0)</f>
        <v>-332</v>
      </c>
      <c r="M361" s="102">
        <f t="shared" si="86"/>
        <v>-347.57836921371694</v>
      </c>
      <c r="N361" s="84">
        <f t="shared" si="91"/>
        <v>-342.37281950349092</v>
      </c>
      <c r="O361" s="102">
        <f t="shared" ref="O361:O370" si="97">+M361-N361</f>
        <v>-5.2055497102260233</v>
      </c>
      <c r="P361" s="102">
        <f t="shared" si="88"/>
        <v>-5.2055497102260233</v>
      </c>
      <c r="Q361" s="49">
        <f>+H361*Interest!$D$21</f>
        <v>-0.16885025125595329</v>
      </c>
      <c r="R361" s="127">
        <f t="shared" ref="R361:R370" si="98">+P361+Q361</f>
        <v>-5.3743999614819762</v>
      </c>
    </row>
    <row r="362" spans="1:18" x14ac:dyDescent="0.25">
      <c r="A362" s="76" t="s">
        <v>31</v>
      </c>
      <c r="B362" s="194"/>
      <c r="C362" s="155"/>
      <c r="D362" s="78">
        <v>0</v>
      </c>
      <c r="E362" s="156">
        <v>0</v>
      </c>
      <c r="F362" s="157">
        <v>0</v>
      </c>
      <c r="G362" s="156">
        <v>0</v>
      </c>
      <c r="H362" s="159">
        <v>1.8775323951991409E-2</v>
      </c>
      <c r="I362" s="186">
        <f t="shared" si="90"/>
        <v>0</v>
      </c>
      <c r="J362" s="185">
        <f t="shared" si="92"/>
        <v>-274.5397810770985</v>
      </c>
      <c r="K362" s="102">
        <f t="shared" si="93"/>
        <v>0</v>
      </c>
      <c r="L362" s="84">
        <f>ROUND(J362*VLOOKUP(A362,'Actual Load'!$A$4:$B$37,2,FALSE)/VLOOKUP(A362,'Projected Zonal Load'!$A$4:$N$37,14,FALSE),0)</f>
        <v>-262</v>
      </c>
      <c r="M362" s="102">
        <f t="shared" si="86"/>
        <v>-274.29377329516217</v>
      </c>
      <c r="N362" s="84">
        <f t="shared" si="91"/>
        <v>-274.5397810770985</v>
      </c>
      <c r="O362" s="102">
        <f t="shared" si="97"/>
        <v>0.24600778193632777</v>
      </c>
      <c r="P362" s="102">
        <f t="shared" si="88"/>
        <v>0.24600778193632777</v>
      </c>
      <c r="Q362" s="49">
        <f>+H362*Interest!$D$21</f>
        <v>-0.13539658633488524</v>
      </c>
      <c r="R362" s="127">
        <f t="shared" si="98"/>
        <v>0.11061119560144253</v>
      </c>
    </row>
    <row r="363" spans="1:18" x14ac:dyDescent="0.25">
      <c r="A363" s="76" t="s">
        <v>32</v>
      </c>
      <c r="B363" s="194"/>
      <c r="C363" s="155"/>
      <c r="D363" s="78">
        <v>0</v>
      </c>
      <c r="E363" s="156">
        <v>0</v>
      </c>
      <c r="F363" s="157">
        <v>0</v>
      </c>
      <c r="G363" s="156">
        <v>0</v>
      </c>
      <c r="H363" s="159">
        <v>3.9201526698776851E-3</v>
      </c>
      <c r="I363" s="186">
        <f t="shared" si="90"/>
        <v>0</v>
      </c>
      <c r="J363" s="185">
        <f t="shared" si="92"/>
        <v>-57.321932688297053</v>
      </c>
      <c r="K363" s="102">
        <f t="shared" si="93"/>
        <v>0</v>
      </c>
      <c r="L363" s="84">
        <f>ROUND(J363*VLOOKUP(A363,'Actual Load'!$A$4:$B$37,2,FALSE)/VLOOKUP(A363,'Projected Zonal Load'!$A$4:$N$37,14,FALSE),0)</f>
        <v>-53</v>
      </c>
      <c r="M363" s="102">
        <f t="shared" si="86"/>
        <v>-55.486908338334331</v>
      </c>
      <c r="N363" s="84">
        <f t="shared" si="91"/>
        <v>-57.321932688297053</v>
      </c>
      <c r="O363" s="102">
        <f t="shared" si="97"/>
        <v>1.8350243499627226</v>
      </c>
      <c r="P363" s="102">
        <f t="shared" si="88"/>
        <v>1.8350243499627226</v>
      </c>
      <c r="Q363" s="49">
        <f>+H363*Interest!$D$21</f>
        <v>-2.8269833893157841E-2</v>
      </c>
      <c r="R363" s="127">
        <f t="shared" si="98"/>
        <v>1.8067545160695648</v>
      </c>
    </row>
    <row r="364" spans="1:18" x14ac:dyDescent="0.25">
      <c r="A364" s="76" t="s">
        <v>33</v>
      </c>
      <c r="B364" s="194"/>
      <c r="C364" s="155"/>
      <c r="D364" s="78">
        <v>0</v>
      </c>
      <c r="E364" s="156">
        <v>0</v>
      </c>
      <c r="F364" s="157">
        <v>0</v>
      </c>
      <c r="G364" s="156">
        <v>0</v>
      </c>
      <c r="H364" s="159">
        <v>5.8079243198196626E-4</v>
      </c>
      <c r="I364" s="186">
        <f t="shared" si="90"/>
        <v>0</v>
      </c>
      <c r="J364" s="185">
        <f t="shared" si="92"/>
        <v>-8.4925632993220592</v>
      </c>
      <c r="K364" s="102">
        <f t="shared" si="93"/>
        <v>0</v>
      </c>
      <c r="L364" s="84">
        <f>ROUND(J364*VLOOKUP(A364,'Actual Load'!$A$4:$B$37,2,FALSE)/VLOOKUP(A364,'Projected Zonal Load'!$A$4:$N$37,14,FALSE),0)</f>
        <v>-8</v>
      </c>
      <c r="M364" s="102">
        <f t="shared" si="86"/>
        <v>-8.3753823906919749</v>
      </c>
      <c r="N364" s="84">
        <f t="shared" si="91"/>
        <v>-8.4925632993220592</v>
      </c>
      <c r="O364" s="102">
        <f t="shared" si="97"/>
        <v>0.11718090863008435</v>
      </c>
      <c r="P364" s="102">
        <f t="shared" si="88"/>
        <v>0.11718090863008435</v>
      </c>
      <c r="Q364" s="49">
        <f>+H364*Interest!$D$21</f>
        <v>-4.1883332005652864E-3</v>
      </c>
      <c r="R364" s="127">
        <f t="shared" si="98"/>
        <v>0.11299257542951906</v>
      </c>
    </row>
    <row r="365" spans="1:18" x14ac:dyDescent="0.25">
      <c r="A365" s="76" t="s">
        <v>34</v>
      </c>
      <c r="B365" s="194"/>
      <c r="C365" s="155"/>
      <c r="D365" s="78">
        <v>0</v>
      </c>
      <c r="E365" s="156">
        <v>0</v>
      </c>
      <c r="F365" s="157">
        <v>0</v>
      </c>
      <c r="G365" s="156">
        <v>0</v>
      </c>
      <c r="H365" s="159">
        <v>0.80234267705903506</v>
      </c>
      <c r="I365" s="186">
        <f t="shared" si="90"/>
        <v>0</v>
      </c>
      <c r="J365" s="185">
        <f t="shared" si="92"/>
        <v>-11732.153515531598</v>
      </c>
      <c r="K365" s="102">
        <f t="shared" si="93"/>
        <v>0</v>
      </c>
      <c r="L365" s="84">
        <f>ROUND(J365*VLOOKUP(A365,'Actual Load'!$A$4:$B$37,2,FALSE)/VLOOKUP(A365,'Projected Zonal Load'!$A$4:$N$37,14,FALSE),0)</f>
        <v>-11382</v>
      </c>
      <c r="M365" s="102">
        <f t="shared" si="86"/>
        <v>-11916.075296357007</v>
      </c>
      <c r="N365" s="84">
        <f t="shared" si="91"/>
        <v>-11732.153515531598</v>
      </c>
      <c r="O365" s="102">
        <f t="shared" si="97"/>
        <v>-183.92178082540886</v>
      </c>
      <c r="P365" s="102">
        <f t="shared" si="88"/>
        <v>-183.92178082540886</v>
      </c>
      <c r="Q365" s="49">
        <f>+H365*Interest!$D$21</f>
        <v>-5.7860231771427975</v>
      </c>
      <c r="R365" s="127">
        <f t="shared" si="98"/>
        <v>-189.70780400255165</v>
      </c>
    </row>
    <row r="366" spans="1:18" x14ac:dyDescent="0.25">
      <c r="A366" s="76" t="s">
        <v>35</v>
      </c>
      <c r="B366" s="194"/>
      <c r="C366" s="155"/>
      <c r="D366" s="78">
        <v>0</v>
      </c>
      <c r="E366" s="156">
        <v>0</v>
      </c>
      <c r="F366" s="157">
        <v>0</v>
      </c>
      <c r="G366" s="156">
        <v>0</v>
      </c>
      <c r="H366" s="159">
        <v>2.6058955971885768E-3</v>
      </c>
      <c r="I366" s="186">
        <f t="shared" si="90"/>
        <v>0</v>
      </c>
      <c r="J366" s="185">
        <f t="shared" si="92"/>
        <v>-38.104376179674141</v>
      </c>
      <c r="K366" s="102">
        <f t="shared" si="93"/>
        <v>0</v>
      </c>
      <c r="L366" s="84">
        <f>ROUND(J366*VLOOKUP(A366,'Actual Load'!$A$4:$B$37,2,FALSE)/VLOOKUP(A366,'Projected Zonal Load'!$A$4:$N$37,14,FALSE),0)</f>
        <v>-38</v>
      </c>
      <c r="M366" s="102">
        <f t="shared" si="86"/>
        <v>-39.783066355786879</v>
      </c>
      <c r="N366" s="84">
        <f t="shared" si="91"/>
        <v>-38.104376179674141</v>
      </c>
      <c r="O366" s="102">
        <f t="shared" si="97"/>
        <v>-1.6786901761127382</v>
      </c>
      <c r="P366" s="102">
        <f t="shared" si="88"/>
        <v>-1.6786901761127382</v>
      </c>
      <c r="Q366" s="49">
        <f>+H366*Interest!$D$21</f>
        <v>-1.8792185376221834E-2</v>
      </c>
      <c r="R366" s="127">
        <f t="shared" si="98"/>
        <v>-1.69748236148896</v>
      </c>
    </row>
    <row r="367" spans="1:18" x14ac:dyDescent="0.25">
      <c r="A367" s="77" t="s">
        <v>36</v>
      </c>
      <c r="B367" s="194"/>
      <c r="C367" s="155"/>
      <c r="D367" s="78">
        <v>0</v>
      </c>
      <c r="E367" s="156">
        <v>0</v>
      </c>
      <c r="F367" s="157">
        <v>0</v>
      </c>
      <c r="G367" s="156">
        <v>0</v>
      </c>
      <c r="H367" s="159">
        <v>1.4774069032505166E-3</v>
      </c>
      <c r="I367" s="186">
        <f t="shared" si="90"/>
        <v>0</v>
      </c>
      <c r="J367" s="185">
        <f t="shared" si="92"/>
        <v>-21.603194108252396</v>
      </c>
      <c r="K367" s="102">
        <f t="shared" si="93"/>
        <v>0</v>
      </c>
      <c r="L367" s="84">
        <f>ROUND(J367*VLOOKUP(A367,'Actual Load'!$A$4:$B$37,2,FALSE)/VLOOKUP(A367,'Projected Zonal Load'!$A$4:$N$37,14,FALSE),0)</f>
        <v>-21</v>
      </c>
      <c r="M367" s="102">
        <f t="shared" si="86"/>
        <v>-21.985378775566435</v>
      </c>
      <c r="N367" s="84">
        <f t="shared" si="91"/>
        <v>-21.603194108252396</v>
      </c>
      <c r="O367" s="102">
        <f t="shared" si="97"/>
        <v>-0.38218466731403922</v>
      </c>
      <c r="P367" s="102">
        <f t="shared" si="88"/>
        <v>-0.38218466731403922</v>
      </c>
      <c r="Q367" s="49">
        <f>+H367*Interest!$D$21</f>
        <v>-1.0654189074937223E-2</v>
      </c>
      <c r="R367" s="127">
        <f t="shared" si="98"/>
        <v>-0.39283885638897642</v>
      </c>
    </row>
    <row r="368" spans="1:18" x14ac:dyDescent="0.25">
      <c r="A368" s="77" t="s">
        <v>91</v>
      </c>
      <c r="B368" s="194"/>
      <c r="C368" s="155"/>
      <c r="D368" s="78">
        <v>0</v>
      </c>
      <c r="E368" s="156">
        <v>0</v>
      </c>
      <c r="F368" s="157">
        <v>0</v>
      </c>
      <c r="G368" s="156">
        <v>0</v>
      </c>
      <c r="H368" s="159">
        <v>8.5203551696441272E-3</v>
      </c>
      <c r="I368" s="186">
        <f t="shared" si="90"/>
        <v>0</v>
      </c>
      <c r="J368" s="185">
        <f t="shared" si="92"/>
        <v>-124.58780732383144</v>
      </c>
      <c r="K368" s="102">
        <f t="shared" si="93"/>
        <v>0</v>
      </c>
      <c r="L368" s="84">
        <f>ROUND(J368*VLOOKUP(A368,'Actual Load'!$A$4:$B$37,2,FALSE)/VLOOKUP(A368,'Projected Zonal Load'!$A$4:$N$37,14,FALSE),0)</f>
        <v>-118</v>
      </c>
      <c r="M368" s="102">
        <f t="shared" si="86"/>
        <v>-123.53689026270662</v>
      </c>
      <c r="N368" s="84">
        <f t="shared" si="91"/>
        <v>-124.58780732383144</v>
      </c>
      <c r="O368" s="102">
        <f t="shared" si="97"/>
        <v>1.0509170611248209</v>
      </c>
      <c r="P368" s="102">
        <f t="shared" si="88"/>
        <v>1.0509170611248209</v>
      </c>
      <c r="Q368" s="49">
        <f>+H368*Interest!$D$21</f>
        <v>-6.1443786923753574E-2</v>
      </c>
      <c r="R368" s="127">
        <f t="shared" si="98"/>
        <v>0.98947327420106723</v>
      </c>
    </row>
    <row r="369" spans="1:18" x14ac:dyDescent="0.25">
      <c r="A369" s="77" t="s">
        <v>92</v>
      </c>
      <c r="B369" s="194"/>
      <c r="C369" s="155"/>
      <c r="D369" s="78">
        <v>0</v>
      </c>
      <c r="E369" s="156">
        <v>0</v>
      </c>
      <c r="F369" s="157">
        <v>0</v>
      </c>
      <c r="G369" s="156">
        <v>0</v>
      </c>
      <c r="H369" s="159">
        <v>2.8353957218997631E-4</v>
      </c>
      <c r="I369" s="186">
        <f t="shared" si="90"/>
        <v>0</v>
      </c>
      <c r="J369" s="185">
        <f t="shared" si="92"/>
        <v>-4.1460212497411444</v>
      </c>
      <c r="K369" s="102">
        <f t="shared" si="93"/>
        <v>0</v>
      </c>
      <c r="L369" s="84">
        <f>ROUND(J369*VLOOKUP(A369,'Actual Load'!$A$4:$B$37,2,FALSE)/VLOOKUP(A369,'Projected Zonal Load'!$A$4:$N$37,14,FALSE),0)</f>
        <v>-4</v>
      </c>
      <c r="M369" s="102">
        <f t="shared" si="86"/>
        <v>-4.1876911953459874</v>
      </c>
      <c r="N369" s="84">
        <f t="shared" si="91"/>
        <v>-4.1460212497411444</v>
      </c>
      <c r="O369" s="102">
        <f t="shared" si="97"/>
        <v>-4.1669945604843051E-2</v>
      </c>
      <c r="P369" s="102">
        <f t="shared" si="88"/>
        <v>-4.1669945604843051E-2</v>
      </c>
      <c r="Q369" s="49">
        <f>+H369*Interest!$D$21</f>
        <v>-2.0447205205907878E-3</v>
      </c>
      <c r="R369" s="127">
        <f t="shared" si="98"/>
        <v>-4.3714666125433836E-2</v>
      </c>
    </row>
    <row r="370" spans="1:18" x14ac:dyDescent="0.25">
      <c r="A370" s="166" t="s">
        <v>93</v>
      </c>
      <c r="B370" s="194"/>
      <c r="C370" s="155"/>
      <c r="D370" s="78">
        <v>0</v>
      </c>
      <c r="E370" s="156">
        <v>0</v>
      </c>
      <c r="F370" s="157">
        <v>0</v>
      </c>
      <c r="G370" s="167">
        <v>0</v>
      </c>
      <c r="H370" s="222">
        <v>0</v>
      </c>
      <c r="I370" s="187">
        <f t="shared" si="90"/>
        <v>0</v>
      </c>
      <c r="J370" s="223">
        <f t="shared" si="92"/>
        <v>0</v>
      </c>
      <c r="K370" s="102">
        <f t="shared" si="93"/>
        <v>0</v>
      </c>
      <c r="L370" s="84">
        <f>ROUND(J370*VLOOKUP(A370,'Actual Load'!$A$4:$B$37,2,FALSE)/VLOOKUP(A370,'Projected Zonal Load'!$A$4:$N$37,14,FALSE),0)</f>
        <v>0</v>
      </c>
      <c r="M370" s="102">
        <f t="shared" si="86"/>
        <v>0</v>
      </c>
      <c r="N370" s="84">
        <f t="shared" si="91"/>
        <v>0</v>
      </c>
      <c r="O370" s="102">
        <f t="shared" si="97"/>
        <v>0</v>
      </c>
      <c r="P370" s="102">
        <f t="shared" si="88"/>
        <v>0</v>
      </c>
      <c r="Q370" s="49">
        <f>+H370*Interest!$D$21</f>
        <v>0</v>
      </c>
      <c r="R370" s="127">
        <f t="shared" si="98"/>
        <v>0</v>
      </c>
    </row>
    <row r="371" spans="1:18" x14ac:dyDescent="0.25">
      <c r="A371" s="170"/>
      <c r="B371" s="171"/>
      <c r="C371" s="172"/>
      <c r="D371" s="173">
        <v>0</v>
      </c>
      <c r="E371" s="174">
        <v>0</v>
      </c>
      <c r="F371" s="175">
        <v>1</v>
      </c>
      <c r="G371" s="177">
        <v>0</v>
      </c>
      <c r="H371" s="176">
        <v>1</v>
      </c>
      <c r="I371" s="177">
        <f>SUM(I344:I370)</f>
        <v>0</v>
      </c>
      <c r="J371" s="177">
        <f>SUM(J344:J370)</f>
        <v>-14622.372523589898</v>
      </c>
      <c r="K371" s="120">
        <f t="shared" ref="K371:R371" si="99">SUM(K344:K370)</f>
        <v>0</v>
      </c>
      <c r="L371" s="107">
        <f t="shared" si="99"/>
        <v>-14189</v>
      </c>
      <c r="M371" s="108">
        <f t="shared" si="99"/>
        <v>-14854.787592691053</v>
      </c>
      <c r="N371" s="107">
        <f t="shared" si="99"/>
        <v>-14622.372523589898</v>
      </c>
      <c r="O371" s="108">
        <f t="shared" si="99"/>
        <v>-232.41506910115356</v>
      </c>
      <c r="P371" s="108">
        <f t="shared" si="99"/>
        <v>-232.41506910115356</v>
      </c>
      <c r="Q371" s="108">
        <f t="shared" si="99"/>
        <v>-7.2114114611867652</v>
      </c>
      <c r="R371" s="128">
        <f t="shared" si="99"/>
        <v>-239.62648056234033</v>
      </c>
    </row>
    <row r="372" spans="1:18" x14ac:dyDescent="0.25">
      <c r="H372" s="189"/>
      <c r="I372" s="190"/>
    </row>
    <row r="373" spans="1:18" x14ac:dyDescent="0.25">
      <c r="A373" s="199"/>
      <c r="O373" s="81"/>
      <c r="P373" s="81"/>
      <c r="Q373" s="81"/>
      <c r="R373" s="81"/>
    </row>
    <row r="374" spans="1:18" x14ac:dyDescent="0.25">
      <c r="H374" s="123" t="s">
        <v>175</v>
      </c>
      <c r="I374" s="191">
        <v>0</v>
      </c>
      <c r="K374" s="124"/>
      <c r="L374" s="123" t="s">
        <v>178</v>
      </c>
      <c r="M374" s="191">
        <v>0</v>
      </c>
      <c r="O374" s="81"/>
      <c r="P374" s="81"/>
      <c r="Q374" s="81"/>
      <c r="R374" s="81"/>
    </row>
    <row r="375" spans="1:18" x14ac:dyDescent="0.25">
      <c r="H375" s="83" t="s">
        <v>177</v>
      </c>
      <c r="I375" s="191">
        <v>-14622.3725235899</v>
      </c>
      <c r="K375" s="124"/>
      <c r="L375" s="83" t="s">
        <v>177</v>
      </c>
      <c r="M375" s="191">
        <v>-14622.3725235899</v>
      </c>
      <c r="O375" s="81"/>
      <c r="P375" s="81"/>
      <c r="Q375" s="81"/>
      <c r="R375" s="81"/>
    </row>
    <row r="376" spans="1:18" x14ac:dyDescent="0.25">
      <c r="G376" s="124"/>
      <c r="H376" s="125" t="s">
        <v>176</v>
      </c>
      <c r="I376" s="192">
        <f>SUM(I374:I375)</f>
        <v>-14622.3725235899</v>
      </c>
      <c r="J376" s="126" t="s">
        <v>132</v>
      </c>
      <c r="K376" s="129"/>
      <c r="L376" s="125" t="s">
        <v>176</v>
      </c>
      <c r="M376" s="192">
        <f>SUM(M374:M375)</f>
        <v>-14622.3725235899</v>
      </c>
      <c r="O376" s="74" t="s">
        <v>132</v>
      </c>
      <c r="P376" s="81"/>
      <c r="Q376" s="81"/>
      <c r="R376" s="81"/>
    </row>
    <row r="377" spans="1:18" x14ac:dyDescent="0.25">
      <c r="I377" s="193"/>
      <c r="O377" s="81"/>
      <c r="P377" s="81"/>
      <c r="Q377" s="81"/>
      <c r="R377" s="81"/>
    </row>
    <row r="378" spans="1:18" x14ac:dyDescent="0.25">
      <c r="K378" s="82"/>
    </row>
    <row r="379" spans="1:18" x14ac:dyDescent="0.25">
      <c r="A379" s="359" t="s">
        <v>0</v>
      </c>
      <c r="B379" s="360"/>
      <c r="C379" s="360" t="s">
        <v>193</v>
      </c>
      <c r="D379" s="360"/>
      <c r="E379" s="360"/>
      <c r="F379" s="360"/>
      <c r="G379" s="360"/>
      <c r="H379" s="361"/>
      <c r="I379" s="178"/>
    </row>
    <row r="380" spans="1:18" hidden="1" outlineLevel="1" x14ac:dyDescent="0.25">
      <c r="A380" s="179" t="s">
        <v>137</v>
      </c>
      <c r="B380" s="180"/>
      <c r="C380" s="181" t="s">
        <v>135</v>
      </c>
      <c r="D380" s="182"/>
      <c r="E380" s="182"/>
      <c r="F380" s="182"/>
      <c r="G380" s="182"/>
      <c r="H380" s="183"/>
      <c r="I380" s="178"/>
    </row>
    <row r="381" spans="1:18" collapsed="1" x14ac:dyDescent="0.25">
      <c r="A381" s="362" t="s">
        <v>2</v>
      </c>
      <c r="B381" s="363"/>
      <c r="C381" s="364" t="s">
        <v>205</v>
      </c>
      <c r="D381" s="365"/>
      <c r="E381" s="365"/>
      <c r="F381" s="365"/>
      <c r="G381" s="365"/>
      <c r="H381" s="366"/>
      <c r="I381" s="178"/>
    </row>
    <row r="382" spans="1:18" x14ac:dyDescent="0.25">
      <c r="A382" s="362" t="s">
        <v>4</v>
      </c>
      <c r="B382" s="363"/>
      <c r="C382" s="364"/>
      <c r="D382" s="365"/>
      <c r="E382" s="365"/>
      <c r="F382" s="365"/>
      <c r="G382" s="365"/>
      <c r="H382" s="366"/>
      <c r="I382" s="178"/>
    </row>
    <row r="383" spans="1:18" x14ac:dyDescent="0.25">
      <c r="A383" s="362" t="s">
        <v>6</v>
      </c>
      <c r="B383" s="363"/>
      <c r="C383" s="375">
        <v>0</v>
      </c>
      <c r="D383" s="376"/>
      <c r="E383" s="376"/>
      <c r="F383" s="376"/>
      <c r="G383" s="376"/>
      <c r="H383" s="377"/>
      <c r="I383" s="178"/>
      <c r="M383" s="111"/>
      <c r="O383" s="111" t="s">
        <v>43</v>
      </c>
      <c r="P383" s="111" t="s">
        <v>39</v>
      </c>
      <c r="R383" s="111" t="s">
        <v>44</v>
      </c>
    </row>
    <row r="384" spans="1:18" x14ac:dyDescent="0.25">
      <c r="A384" s="370" t="s">
        <v>7</v>
      </c>
      <c r="B384" s="371"/>
      <c r="C384" s="372" t="s">
        <v>34</v>
      </c>
      <c r="D384" s="373"/>
      <c r="E384" s="373"/>
      <c r="F384" s="373"/>
      <c r="G384" s="373"/>
      <c r="H384" s="374"/>
      <c r="I384" s="178"/>
      <c r="K384" s="111" t="s">
        <v>41</v>
      </c>
      <c r="L384" s="112" t="s">
        <v>42</v>
      </c>
      <c r="M384" s="113" t="s">
        <v>182</v>
      </c>
      <c r="N384" s="113" t="s">
        <v>38</v>
      </c>
      <c r="O384" s="113" t="s">
        <v>183</v>
      </c>
      <c r="P384" s="113" t="s">
        <v>184</v>
      </c>
      <c r="Q384" s="113" t="s">
        <v>40</v>
      </c>
      <c r="R384" s="113" t="s">
        <v>185</v>
      </c>
    </row>
    <row r="385" spans="1:18" x14ac:dyDescent="0.25">
      <c r="A385" s="134"/>
      <c r="B385" s="134"/>
      <c r="C385" s="134"/>
      <c r="D385" s="134"/>
      <c r="E385" s="134"/>
      <c r="F385" s="134"/>
      <c r="G385" s="134"/>
      <c r="H385" s="134"/>
      <c r="I385" s="134"/>
      <c r="K385" s="90"/>
      <c r="L385" s="351" t="s">
        <v>45</v>
      </c>
      <c r="M385" s="352"/>
      <c r="N385" s="352"/>
      <c r="O385" s="353"/>
      <c r="P385" s="91" t="s">
        <v>46</v>
      </c>
      <c r="Q385" s="90"/>
      <c r="R385" s="91" t="s">
        <v>47</v>
      </c>
    </row>
    <row r="386" spans="1:18" x14ac:dyDescent="0.25">
      <c r="A386" s="135"/>
      <c r="B386" s="136"/>
      <c r="C386" s="137"/>
      <c r="D386" s="354">
        <v>0</v>
      </c>
      <c r="E386" s="355"/>
      <c r="F386" s="354">
        <v>1</v>
      </c>
      <c r="G386" s="355"/>
      <c r="H386" s="138"/>
      <c r="I386" s="139"/>
      <c r="J386" s="140" t="s">
        <v>9</v>
      </c>
      <c r="K386" s="92" t="s">
        <v>48</v>
      </c>
      <c r="L386" s="351" t="s">
        <v>49</v>
      </c>
      <c r="M386" s="352"/>
      <c r="N386" s="93"/>
      <c r="O386" s="91" t="s">
        <v>50</v>
      </c>
      <c r="P386" s="92" t="s">
        <v>51</v>
      </c>
      <c r="Q386" s="94"/>
      <c r="R386" s="92" t="s">
        <v>52</v>
      </c>
    </row>
    <row r="387" spans="1:18" x14ac:dyDescent="0.25">
      <c r="A387" s="141"/>
      <c r="B387" s="142"/>
      <c r="C387" s="143"/>
      <c r="D387" s="356" t="s">
        <v>10</v>
      </c>
      <c r="E387" s="357"/>
      <c r="F387" s="356" t="s">
        <v>11</v>
      </c>
      <c r="G387" s="357"/>
      <c r="H387" s="356" t="s">
        <v>12</v>
      </c>
      <c r="I387" s="358"/>
      <c r="J387" s="144" t="s">
        <v>13</v>
      </c>
      <c r="K387" s="95" t="s">
        <v>53</v>
      </c>
      <c r="L387" s="96" t="s">
        <v>179</v>
      </c>
      <c r="M387" s="97" t="s">
        <v>180</v>
      </c>
      <c r="N387" s="98" t="s">
        <v>54</v>
      </c>
      <c r="O387" s="98" t="s">
        <v>53</v>
      </c>
      <c r="P387" s="98" t="s">
        <v>53</v>
      </c>
      <c r="Q387" s="98" t="s">
        <v>55</v>
      </c>
      <c r="R387" s="98" t="s">
        <v>56</v>
      </c>
    </row>
    <row r="388" spans="1:18" ht="45" x14ac:dyDescent="0.25">
      <c r="A388" s="145" t="s">
        <v>14</v>
      </c>
      <c r="B388" s="146" t="s">
        <v>15</v>
      </c>
      <c r="C388" s="147" t="s">
        <v>16</v>
      </c>
      <c r="D388" s="148" t="s">
        <v>17</v>
      </c>
      <c r="E388" s="149" t="s">
        <v>18</v>
      </c>
      <c r="F388" s="148" t="s">
        <v>17</v>
      </c>
      <c r="G388" s="149" t="s">
        <v>18</v>
      </c>
      <c r="H388" s="150" t="s">
        <v>17</v>
      </c>
      <c r="I388" s="151" t="s">
        <v>18</v>
      </c>
      <c r="J388" s="147" t="s">
        <v>18</v>
      </c>
      <c r="K388" s="152" t="s">
        <v>57</v>
      </c>
      <c r="L388" s="99"/>
      <c r="M388" s="100"/>
      <c r="N388" s="99"/>
      <c r="O388" s="152" t="s">
        <v>57</v>
      </c>
      <c r="P388" s="100"/>
      <c r="Q388" s="100"/>
      <c r="R388" s="153" t="s">
        <v>57</v>
      </c>
    </row>
    <row r="389" spans="1:18" x14ac:dyDescent="0.25">
      <c r="A389" s="75" t="s">
        <v>195</v>
      </c>
      <c r="B389" s="194"/>
      <c r="C389" s="155"/>
      <c r="D389" s="78">
        <v>0</v>
      </c>
      <c r="E389" s="156">
        <v>0</v>
      </c>
      <c r="F389" s="157">
        <v>0</v>
      </c>
      <c r="G389" s="158">
        <v>0</v>
      </c>
      <c r="H389" s="78">
        <v>0</v>
      </c>
      <c r="I389" s="184">
        <f>H389*$C$383</f>
        <v>0</v>
      </c>
      <c r="J389" s="185">
        <f>H389*I$420</f>
        <v>0</v>
      </c>
      <c r="K389" s="102">
        <f t="shared" ref="K389:K413" si="100">(I$420-M$420)*H389</f>
        <v>0</v>
      </c>
      <c r="L389" s="84">
        <f>ROUND(J389*VLOOKUP(A389,'Actual Load'!$A$4:$B$37,2,FALSE)/VLOOKUP(A389,'Projected Zonal Load'!$A$4:$N$37,14,FALSE),0)</f>
        <v>0</v>
      </c>
      <c r="M389" s="102">
        <f>IF(NOT(L$43=0),M$6*L389/L$43,0)</f>
        <v>0</v>
      </c>
      <c r="N389" s="84">
        <f>+J389</f>
        <v>0</v>
      </c>
      <c r="O389" s="102">
        <f>+M389-N389</f>
        <v>0</v>
      </c>
      <c r="P389" s="102">
        <f>+K389+O389</f>
        <v>0</v>
      </c>
      <c r="Q389" s="49">
        <f>+H389*Interest!$D$22</f>
        <v>0</v>
      </c>
      <c r="R389" s="127">
        <f>+P389+Q389</f>
        <v>0</v>
      </c>
    </row>
    <row r="390" spans="1:18" x14ac:dyDescent="0.25">
      <c r="A390" s="76" t="s">
        <v>19</v>
      </c>
      <c r="B390" s="194"/>
      <c r="C390" s="155"/>
      <c r="D390" s="78">
        <v>0</v>
      </c>
      <c r="E390" s="156">
        <v>0</v>
      </c>
      <c r="F390" s="157">
        <v>0</v>
      </c>
      <c r="G390" s="156">
        <v>0</v>
      </c>
      <c r="H390" s="78">
        <v>0</v>
      </c>
      <c r="I390" s="186">
        <f t="shared" ref="I390:I414" si="101">H390*$C$383</f>
        <v>0</v>
      </c>
      <c r="J390" s="185">
        <f>H390*I$420</f>
        <v>0</v>
      </c>
      <c r="K390" s="102">
        <f t="shared" si="100"/>
        <v>0</v>
      </c>
      <c r="L390" s="84">
        <f>ROUND(J390*VLOOKUP(A390,'Actual Load'!$A$4:$B$37,2,FALSE)/VLOOKUP(A390,'Projected Zonal Load'!$A$4:$N$37,14,FALSE),0)</f>
        <v>0</v>
      </c>
      <c r="M390" s="102">
        <f>IF(NOT(L$43=0),M$6*L390/L$43,0)</f>
        <v>0</v>
      </c>
      <c r="N390" s="84">
        <f>+J390</f>
        <v>0</v>
      </c>
      <c r="O390" s="102">
        <f>+M390-N390</f>
        <v>0</v>
      </c>
      <c r="P390" s="102">
        <f>+K390+O390</f>
        <v>0</v>
      </c>
      <c r="Q390" s="49">
        <f>+H390*Interest!$D$22</f>
        <v>0</v>
      </c>
      <c r="R390" s="127">
        <f>+P390+Q390</f>
        <v>0</v>
      </c>
    </row>
    <row r="391" spans="1:18" x14ac:dyDescent="0.25">
      <c r="A391" s="76" t="s">
        <v>210</v>
      </c>
      <c r="B391" s="194"/>
      <c r="C391" s="155"/>
      <c r="D391" s="78">
        <v>0</v>
      </c>
      <c r="E391" s="156">
        <v>0</v>
      </c>
      <c r="F391" s="157">
        <v>0</v>
      </c>
      <c r="G391" s="156">
        <v>0</v>
      </c>
      <c r="H391" s="78">
        <v>0</v>
      </c>
      <c r="I391" s="186">
        <f t="shared" si="101"/>
        <v>0</v>
      </c>
      <c r="J391" s="185">
        <f>H391*I$420</f>
        <v>0</v>
      </c>
      <c r="K391" s="102">
        <f t="shared" si="100"/>
        <v>0</v>
      </c>
      <c r="L391" s="84">
        <f>ROUND(J391*VLOOKUP(A391,'Actual Load'!$A$4:$B$37,2,FALSE)/VLOOKUP(A391,'Projected Zonal Load'!$A$4:$N$37,14,FALSE),0)</f>
        <v>0</v>
      </c>
      <c r="M391" s="102">
        <f>IF(NOT(L$43=0),M$6*L391/L$43,0)</f>
        <v>0</v>
      </c>
      <c r="N391" s="84">
        <f>+J391</f>
        <v>0</v>
      </c>
      <c r="O391" s="102">
        <f>+M391-N391</f>
        <v>0</v>
      </c>
      <c r="P391" s="102">
        <f>+K391+O391</f>
        <v>0</v>
      </c>
      <c r="Q391" s="49">
        <f>+H391*Interest!$D$22</f>
        <v>0</v>
      </c>
      <c r="R391" s="127">
        <f>+P391+Q391</f>
        <v>0</v>
      </c>
    </row>
    <row r="392" spans="1:18" x14ac:dyDescent="0.25">
      <c r="A392" s="76" t="s">
        <v>211</v>
      </c>
      <c r="B392" s="194"/>
      <c r="C392" s="155"/>
      <c r="D392" s="78">
        <v>0</v>
      </c>
      <c r="E392" s="156">
        <v>0</v>
      </c>
      <c r="F392" s="157">
        <v>0</v>
      </c>
      <c r="G392" s="156">
        <v>0</v>
      </c>
      <c r="H392" s="78">
        <v>0</v>
      </c>
      <c r="I392" s="186">
        <f t="shared" si="101"/>
        <v>0</v>
      </c>
      <c r="J392" s="185">
        <f>H392*I$420</f>
        <v>0</v>
      </c>
      <c r="K392" s="102">
        <f t="shared" si="100"/>
        <v>0</v>
      </c>
      <c r="L392" s="84">
        <f>ROUND(J392*VLOOKUP(A392,'Actual Load'!$A$4:$B$37,2,FALSE)/VLOOKUP(A392,'Projected Zonal Load'!$A$4:$N$37,14,FALSE),0)</f>
        <v>0</v>
      </c>
      <c r="M392" s="102">
        <f>IF(NOT(L$43=0),M$6*L392/L$43,0)</f>
        <v>0</v>
      </c>
      <c r="N392" s="84">
        <f>+J392</f>
        <v>0</v>
      </c>
      <c r="O392" s="102">
        <f>+M392-N392</f>
        <v>0</v>
      </c>
      <c r="P392" s="102">
        <f>+K392+O392</f>
        <v>0</v>
      </c>
      <c r="Q392" s="49">
        <f>+H392*Interest!$D$22</f>
        <v>0</v>
      </c>
      <c r="R392" s="127">
        <f>+P392+Q392</f>
        <v>0</v>
      </c>
    </row>
    <row r="393" spans="1:18" x14ac:dyDescent="0.25">
      <c r="A393" s="76" t="s">
        <v>20</v>
      </c>
      <c r="B393" s="194"/>
      <c r="C393" s="155"/>
      <c r="D393" s="78">
        <v>0</v>
      </c>
      <c r="E393" s="156">
        <v>0</v>
      </c>
      <c r="F393" s="157">
        <v>0</v>
      </c>
      <c r="G393" s="156">
        <v>0</v>
      </c>
      <c r="H393" s="78">
        <v>0</v>
      </c>
      <c r="I393" s="186">
        <f t="shared" si="101"/>
        <v>0</v>
      </c>
      <c r="J393" s="185">
        <f t="shared" ref="J393:J411" si="102">H393*I$420</f>
        <v>0</v>
      </c>
      <c r="K393" s="102">
        <f t="shared" si="100"/>
        <v>0</v>
      </c>
      <c r="L393" s="84">
        <f>ROUND(J393*VLOOKUP(A393,'Actual Load'!$A$4:$B$37,2,FALSE)/VLOOKUP(A393,'Projected Zonal Load'!$A$4:$N$37,14,FALSE),0)</f>
        <v>0</v>
      </c>
      <c r="M393" s="102">
        <f t="shared" ref="M393:M411" si="103">IF(NOT(L$43=0),M$6*L393/L$43,0)</f>
        <v>0</v>
      </c>
      <c r="N393" s="84">
        <f t="shared" ref="N393:N411" si="104">+J393</f>
        <v>0</v>
      </c>
      <c r="O393" s="102">
        <f t="shared" ref="O393:O411" si="105">+M393-N393</f>
        <v>0</v>
      </c>
      <c r="P393" s="102">
        <f t="shared" ref="P393:P411" si="106">+K393+O393</f>
        <v>0</v>
      </c>
      <c r="Q393" s="49">
        <f>+H393*Interest!$D$22</f>
        <v>0</v>
      </c>
      <c r="R393" s="127">
        <f t="shared" ref="R393:R411" si="107">+P393+Q393</f>
        <v>0</v>
      </c>
    </row>
    <row r="394" spans="1:18" x14ac:dyDescent="0.25">
      <c r="A394" s="76" t="s">
        <v>21</v>
      </c>
      <c r="B394" s="194"/>
      <c r="C394" s="155"/>
      <c r="D394" s="78">
        <v>0</v>
      </c>
      <c r="E394" s="156">
        <v>0</v>
      </c>
      <c r="F394" s="157">
        <v>0</v>
      </c>
      <c r="G394" s="156">
        <v>0</v>
      </c>
      <c r="H394" s="78">
        <v>0</v>
      </c>
      <c r="I394" s="186">
        <f t="shared" si="101"/>
        <v>0</v>
      </c>
      <c r="J394" s="185">
        <f t="shared" si="102"/>
        <v>0</v>
      </c>
      <c r="K394" s="102">
        <f t="shared" si="100"/>
        <v>0</v>
      </c>
      <c r="L394" s="84">
        <f>ROUND(J394*VLOOKUP(A394,'Actual Load'!$A$4:$B$37,2,FALSE)/VLOOKUP(A394,'Projected Zonal Load'!$A$4:$N$37,14,FALSE),0)</f>
        <v>0</v>
      </c>
      <c r="M394" s="102">
        <f t="shared" si="103"/>
        <v>0</v>
      </c>
      <c r="N394" s="84">
        <f t="shared" si="104"/>
        <v>0</v>
      </c>
      <c r="O394" s="102">
        <f t="shared" si="105"/>
        <v>0</v>
      </c>
      <c r="P394" s="102">
        <f t="shared" si="106"/>
        <v>0</v>
      </c>
      <c r="Q394" s="49">
        <f>+H394*Interest!$D$22</f>
        <v>0</v>
      </c>
      <c r="R394" s="127">
        <f t="shared" si="107"/>
        <v>0</v>
      </c>
    </row>
    <row r="395" spans="1:18" x14ac:dyDescent="0.25">
      <c r="A395" s="76" t="s">
        <v>22</v>
      </c>
      <c r="B395" s="194"/>
      <c r="C395" s="155"/>
      <c r="D395" s="78">
        <v>0</v>
      </c>
      <c r="E395" s="156">
        <v>0</v>
      </c>
      <c r="F395" s="157">
        <v>0</v>
      </c>
      <c r="G395" s="156">
        <v>0</v>
      </c>
      <c r="H395" s="78">
        <v>0</v>
      </c>
      <c r="I395" s="186">
        <f t="shared" si="101"/>
        <v>0</v>
      </c>
      <c r="J395" s="185">
        <f t="shared" si="102"/>
        <v>0</v>
      </c>
      <c r="K395" s="102">
        <f t="shared" si="100"/>
        <v>0</v>
      </c>
      <c r="L395" s="84">
        <f>ROUND(J395*'Actual Load'!$B$17/'Projected Zonal Load'!$N$17,0)</f>
        <v>0</v>
      </c>
      <c r="M395" s="102">
        <f t="shared" si="103"/>
        <v>0</v>
      </c>
      <c r="N395" s="84">
        <f t="shared" si="104"/>
        <v>0</v>
      </c>
      <c r="O395" s="102">
        <f t="shared" si="105"/>
        <v>0</v>
      </c>
      <c r="P395" s="102">
        <f t="shared" si="106"/>
        <v>0</v>
      </c>
      <c r="Q395" s="49">
        <f>+H395*Interest!$D$22</f>
        <v>0</v>
      </c>
      <c r="R395" s="127">
        <f t="shared" si="107"/>
        <v>0</v>
      </c>
    </row>
    <row r="396" spans="1:18" x14ac:dyDescent="0.25">
      <c r="A396" s="76" t="s">
        <v>23</v>
      </c>
      <c r="B396" s="194"/>
      <c r="C396" s="155"/>
      <c r="D396" s="78">
        <v>0</v>
      </c>
      <c r="E396" s="156">
        <v>0</v>
      </c>
      <c r="F396" s="157">
        <v>0</v>
      </c>
      <c r="G396" s="156">
        <v>0</v>
      </c>
      <c r="H396" s="78">
        <v>0</v>
      </c>
      <c r="I396" s="186">
        <f t="shared" si="101"/>
        <v>0</v>
      </c>
      <c r="J396" s="185">
        <f t="shared" si="102"/>
        <v>0</v>
      </c>
      <c r="K396" s="102">
        <f t="shared" si="100"/>
        <v>0</v>
      </c>
      <c r="L396" s="84">
        <f>ROUND(J396*VLOOKUP(A396,'Actual Load'!$A$4:$B$37,2,FALSE)/VLOOKUP(A396,'Projected Zonal Load'!$A$4:$N$37,14,FALSE),0)</f>
        <v>0</v>
      </c>
      <c r="M396" s="102">
        <f t="shared" si="103"/>
        <v>0</v>
      </c>
      <c r="N396" s="84">
        <f t="shared" si="104"/>
        <v>0</v>
      </c>
      <c r="O396" s="102">
        <f t="shared" si="105"/>
        <v>0</v>
      </c>
      <c r="P396" s="102">
        <f t="shared" si="106"/>
        <v>0</v>
      </c>
      <c r="Q396" s="49">
        <f>+H396*Interest!$D$22</f>
        <v>0</v>
      </c>
      <c r="R396" s="127">
        <f t="shared" si="107"/>
        <v>0</v>
      </c>
    </row>
    <row r="397" spans="1:18" x14ac:dyDescent="0.25">
      <c r="A397" s="76" t="s">
        <v>24</v>
      </c>
      <c r="B397" s="194"/>
      <c r="C397" s="155"/>
      <c r="D397" s="78">
        <v>0</v>
      </c>
      <c r="E397" s="156">
        <v>0</v>
      </c>
      <c r="F397" s="157">
        <v>0</v>
      </c>
      <c r="G397" s="156">
        <v>0</v>
      </c>
      <c r="H397" s="78">
        <v>0</v>
      </c>
      <c r="I397" s="186">
        <f t="shared" si="101"/>
        <v>0</v>
      </c>
      <c r="J397" s="185">
        <f t="shared" si="102"/>
        <v>0</v>
      </c>
      <c r="K397" s="102">
        <f t="shared" si="100"/>
        <v>0</v>
      </c>
      <c r="L397" s="84">
        <f>ROUND(J397*VLOOKUP(A397,'Actual Load'!$A$4:$B$37,2,FALSE)/VLOOKUP(A397,'Projected Zonal Load'!$A$4:$N$37,14,FALSE),0)</f>
        <v>0</v>
      </c>
      <c r="M397" s="102">
        <f t="shared" si="103"/>
        <v>0</v>
      </c>
      <c r="N397" s="84">
        <f t="shared" si="104"/>
        <v>0</v>
      </c>
      <c r="O397" s="102">
        <f t="shared" si="105"/>
        <v>0</v>
      </c>
      <c r="P397" s="102">
        <f t="shared" si="106"/>
        <v>0</v>
      </c>
      <c r="Q397" s="49">
        <f>+H397*Interest!$D$22</f>
        <v>0</v>
      </c>
      <c r="R397" s="127">
        <f t="shared" si="107"/>
        <v>0</v>
      </c>
    </row>
    <row r="398" spans="1:18" x14ac:dyDescent="0.25">
      <c r="A398" s="76" t="s">
        <v>25</v>
      </c>
      <c r="B398" s="194"/>
      <c r="C398" s="155"/>
      <c r="D398" s="78">
        <v>0</v>
      </c>
      <c r="E398" s="156">
        <v>0</v>
      </c>
      <c r="F398" s="157">
        <v>0</v>
      </c>
      <c r="G398" s="156">
        <v>0</v>
      </c>
      <c r="H398" s="78">
        <v>0</v>
      </c>
      <c r="I398" s="186">
        <f t="shared" si="101"/>
        <v>0</v>
      </c>
      <c r="J398" s="185">
        <f t="shared" si="102"/>
        <v>0</v>
      </c>
      <c r="K398" s="102">
        <f t="shared" si="100"/>
        <v>0</v>
      </c>
      <c r="L398" s="84">
        <f>ROUND(J398*VLOOKUP(A398,'Actual Load'!$A$4:$B$37,2,FALSE)/VLOOKUP(A398,'Projected Zonal Load'!$A$4:$N$37,14,FALSE),0)</f>
        <v>0</v>
      </c>
      <c r="M398" s="102">
        <f t="shared" si="103"/>
        <v>0</v>
      </c>
      <c r="N398" s="84">
        <f t="shared" si="104"/>
        <v>0</v>
      </c>
      <c r="O398" s="102">
        <f t="shared" si="105"/>
        <v>0</v>
      </c>
      <c r="P398" s="102">
        <f t="shared" si="106"/>
        <v>0</v>
      </c>
      <c r="Q398" s="49">
        <f>+H398*Interest!$D$22</f>
        <v>0</v>
      </c>
      <c r="R398" s="127">
        <f t="shared" si="107"/>
        <v>0</v>
      </c>
    </row>
    <row r="399" spans="1:18" x14ac:dyDescent="0.25">
      <c r="A399" s="76" t="s">
        <v>27</v>
      </c>
      <c r="B399" s="194"/>
      <c r="C399" s="155"/>
      <c r="D399" s="78">
        <v>0</v>
      </c>
      <c r="E399" s="156">
        <v>0</v>
      </c>
      <c r="F399" s="157">
        <v>0</v>
      </c>
      <c r="G399" s="156">
        <v>0</v>
      </c>
      <c r="H399" s="78">
        <v>0</v>
      </c>
      <c r="I399" s="186">
        <f t="shared" si="101"/>
        <v>0</v>
      </c>
      <c r="J399" s="185">
        <f t="shared" si="102"/>
        <v>0</v>
      </c>
      <c r="K399" s="102">
        <f t="shared" si="100"/>
        <v>0</v>
      </c>
      <c r="L399" s="84">
        <f>ROUND(J399*VLOOKUP(A399,'Actual Load'!$A$4:$B$37,2,FALSE)/VLOOKUP(A399,'Projected Zonal Load'!$A$4:$N$37,14,FALSE),0)</f>
        <v>0</v>
      </c>
      <c r="M399" s="102">
        <f t="shared" si="103"/>
        <v>0</v>
      </c>
      <c r="N399" s="84">
        <f t="shared" si="104"/>
        <v>0</v>
      </c>
      <c r="O399" s="102">
        <f t="shared" si="105"/>
        <v>0</v>
      </c>
      <c r="P399" s="102">
        <f t="shared" si="106"/>
        <v>0</v>
      </c>
      <c r="Q399" s="49">
        <f>+H399*Interest!$D$22</f>
        <v>0</v>
      </c>
      <c r="R399" s="127">
        <f t="shared" si="107"/>
        <v>0</v>
      </c>
    </row>
    <row r="400" spans="1:18" x14ac:dyDescent="0.25">
      <c r="A400" s="76" t="s">
        <v>26</v>
      </c>
      <c r="B400" s="194"/>
      <c r="C400" s="155"/>
      <c r="D400" s="78">
        <v>0</v>
      </c>
      <c r="E400" s="156">
        <v>0</v>
      </c>
      <c r="F400" s="157">
        <v>0</v>
      </c>
      <c r="G400" s="156">
        <v>0</v>
      </c>
      <c r="H400" s="78">
        <v>0</v>
      </c>
      <c r="I400" s="186">
        <f t="shared" si="101"/>
        <v>0</v>
      </c>
      <c r="J400" s="185">
        <f t="shared" si="102"/>
        <v>0</v>
      </c>
      <c r="K400" s="102">
        <f t="shared" si="100"/>
        <v>0</v>
      </c>
      <c r="L400" s="84">
        <f>ROUND(J400*VLOOKUP(A400,'Actual Load'!$A$4:$B$37,2,FALSE)/VLOOKUP(A400,'Projected Zonal Load'!$A$4:$N$37,14,FALSE),0)</f>
        <v>0</v>
      </c>
      <c r="M400" s="102">
        <f t="shared" si="103"/>
        <v>0</v>
      </c>
      <c r="N400" s="84">
        <f t="shared" si="104"/>
        <v>0</v>
      </c>
      <c r="O400" s="102">
        <f t="shared" si="105"/>
        <v>0</v>
      </c>
      <c r="P400" s="102">
        <f t="shared" si="106"/>
        <v>0</v>
      </c>
      <c r="Q400" s="49">
        <f>+H400*Interest!$D$22</f>
        <v>0</v>
      </c>
      <c r="R400" s="127">
        <f t="shared" si="107"/>
        <v>0</v>
      </c>
    </row>
    <row r="401" spans="1:18" x14ac:dyDescent="0.25">
      <c r="A401" s="76" t="s">
        <v>69</v>
      </c>
      <c r="B401" s="194"/>
      <c r="C401" s="155"/>
      <c r="D401" s="78">
        <v>0</v>
      </c>
      <c r="E401" s="156">
        <v>0</v>
      </c>
      <c r="F401" s="157">
        <v>0</v>
      </c>
      <c r="G401" s="156">
        <v>0</v>
      </c>
      <c r="H401" s="78">
        <v>0</v>
      </c>
      <c r="I401" s="186">
        <f t="shared" si="101"/>
        <v>0</v>
      </c>
      <c r="J401" s="185">
        <f t="shared" si="102"/>
        <v>0</v>
      </c>
      <c r="K401" s="102">
        <f t="shared" si="100"/>
        <v>0</v>
      </c>
      <c r="L401" s="84">
        <f>ROUND(J401*'Actual Load'!$B$18/'Projected Zonal Load'!$N$18,0)</f>
        <v>0</v>
      </c>
      <c r="M401" s="118">
        <f t="shared" si="103"/>
        <v>0</v>
      </c>
      <c r="N401" s="84">
        <f t="shared" si="104"/>
        <v>0</v>
      </c>
      <c r="O401" s="102">
        <f t="shared" si="105"/>
        <v>0</v>
      </c>
      <c r="P401" s="102">
        <f t="shared" si="106"/>
        <v>0</v>
      </c>
      <c r="Q401" s="49">
        <f>+H401*Interest!$D$22</f>
        <v>0</v>
      </c>
      <c r="R401" s="127">
        <f t="shared" si="107"/>
        <v>0</v>
      </c>
    </row>
    <row r="402" spans="1:18" x14ac:dyDescent="0.25">
      <c r="A402" s="76" t="s">
        <v>70</v>
      </c>
      <c r="B402" s="194"/>
      <c r="C402" s="155"/>
      <c r="D402" s="78">
        <v>0</v>
      </c>
      <c r="E402" s="156">
        <v>0</v>
      </c>
      <c r="F402" s="157">
        <v>0</v>
      </c>
      <c r="G402" s="156">
        <v>0</v>
      </c>
      <c r="H402" s="78">
        <v>0</v>
      </c>
      <c r="I402" s="186">
        <f t="shared" si="101"/>
        <v>0</v>
      </c>
      <c r="J402" s="185">
        <f t="shared" si="102"/>
        <v>0</v>
      </c>
      <c r="K402" s="102">
        <f t="shared" si="100"/>
        <v>0</v>
      </c>
      <c r="L402" s="84">
        <f>ROUND(J402*'Actual Load'!$B$17/'Projected Zonal Load'!$N$17,0)</f>
        <v>0</v>
      </c>
      <c r="M402" s="118">
        <f t="shared" si="103"/>
        <v>0</v>
      </c>
      <c r="N402" s="84">
        <f t="shared" si="104"/>
        <v>0</v>
      </c>
      <c r="O402" s="102">
        <f t="shared" si="105"/>
        <v>0</v>
      </c>
      <c r="P402" s="102">
        <f t="shared" si="106"/>
        <v>0</v>
      </c>
      <c r="Q402" s="49">
        <f>+H402*Interest!$D$22</f>
        <v>0</v>
      </c>
      <c r="R402" s="127">
        <f t="shared" si="107"/>
        <v>0</v>
      </c>
    </row>
    <row r="403" spans="1:18" x14ac:dyDescent="0.25">
      <c r="A403" s="76" t="s">
        <v>28</v>
      </c>
      <c r="B403" s="194"/>
      <c r="C403" s="155"/>
      <c r="D403" s="78">
        <v>0</v>
      </c>
      <c r="E403" s="156">
        <v>0</v>
      </c>
      <c r="F403" s="157">
        <v>0</v>
      </c>
      <c r="G403" s="156">
        <v>0</v>
      </c>
      <c r="H403" s="78">
        <v>0</v>
      </c>
      <c r="I403" s="186">
        <f t="shared" si="101"/>
        <v>0</v>
      </c>
      <c r="J403" s="185">
        <f t="shared" si="102"/>
        <v>0</v>
      </c>
      <c r="K403" s="102">
        <f t="shared" si="100"/>
        <v>0</v>
      </c>
      <c r="L403" s="84">
        <f>ROUND(J403*VLOOKUP(A403,'Actual Load'!$A$4:$B$37,2,FALSE)/VLOOKUP(A403,'Projected Zonal Load'!$A$4:$N$37,14,FALSE),0)</f>
        <v>0</v>
      </c>
      <c r="M403" s="102">
        <f t="shared" si="103"/>
        <v>0</v>
      </c>
      <c r="N403" s="84">
        <f t="shared" si="104"/>
        <v>0</v>
      </c>
      <c r="O403" s="102">
        <f t="shared" si="105"/>
        <v>0</v>
      </c>
      <c r="P403" s="102">
        <f t="shared" si="106"/>
        <v>0</v>
      </c>
      <c r="Q403" s="49">
        <f>+H403*Interest!$D$22</f>
        <v>0</v>
      </c>
      <c r="R403" s="127">
        <f t="shared" si="107"/>
        <v>0</v>
      </c>
    </row>
    <row r="404" spans="1:18" x14ac:dyDescent="0.25">
      <c r="A404" s="76" t="s">
        <v>29</v>
      </c>
      <c r="B404" s="194"/>
      <c r="C404" s="155"/>
      <c r="D404" s="78">
        <v>0</v>
      </c>
      <c r="E404" s="156">
        <v>0</v>
      </c>
      <c r="F404" s="157">
        <v>0</v>
      </c>
      <c r="G404" s="156">
        <v>0</v>
      </c>
      <c r="H404" s="78">
        <v>0</v>
      </c>
      <c r="I404" s="186">
        <f t="shared" si="101"/>
        <v>0</v>
      </c>
      <c r="J404" s="185">
        <f t="shared" si="102"/>
        <v>0</v>
      </c>
      <c r="K404" s="102">
        <f t="shared" si="100"/>
        <v>0</v>
      </c>
      <c r="L404" s="84">
        <f>ROUND(J404*VLOOKUP(A404,'Actual Load'!$A$4:$B$37,2,FALSE)/VLOOKUP(A404,'Projected Zonal Load'!$A$4:$N$37,14,FALSE),0)</f>
        <v>0</v>
      </c>
      <c r="M404" s="102">
        <f t="shared" si="103"/>
        <v>0</v>
      </c>
      <c r="N404" s="84">
        <f t="shared" si="104"/>
        <v>0</v>
      </c>
      <c r="O404" s="102">
        <f t="shared" si="105"/>
        <v>0</v>
      </c>
      <c r="P404" s="102">
        <f t="shared" si="106"/>
        <v>0</v>
      </c>
      <c r="Q404" s="49">
        <f>+H404*Interest!$D$22</f>
        <v>0</v>
      </c>
      <c r="R404" s="127">
        <f t="shared" si="107"/>
        <v>0</v>
      </c>
    </row>
    <row r="405" spans="1:18" x14ac:dyDescent="0.25">
      <c r="A405" s="76" t="s">
        <v>30</v>
      </c>
      <c r="B405" s="194"/>
      <c r="C405" s="155"/>
      <c r="D405" s="78">
        <v>0</v>
      </c>
      <c r="E405" s="156">
        <v>0</v>
      </c>
      <c r="F405" s="157">
        <v>0</v>
      </c>
      <c r="G405" s="156">
        <v>0</v>
      </c>
      <c r="H405" s="78">
        <v>0</v>
      </c>
      <c r="I405" s="186">
        <f t="shared" si="101"/>
        <v>0</v>
      </c>
      <c r="J405" s="185">
        <f t="shared" si="102"/>
        <v>0</v>
      </c>
      <c r="K405" s="102">
        <f t="shared" si="100"/>
        <v>0</v>
      </c>
      <c r="L405" s="84">
        <f>ROUND(J405*VLOOKUP(A405,'Actual Load'!$A$4:$B$37,2,FALSE)/VLOOKUP(A405,'Projected Zonal Load'!$A$4:$N$37,14,FALSE),0)</f>
        <v>0</v>
      </c>
      <c r="M405" s="102">
        <f t="shared" si="103"/>
        <v>0</v>
      </c>
      <c r="N405" s="84">
        <f t="shared" si="104"/>
        <v>0</v>
      </c>
      <c r="O405" s="102">
        <f t="shared" si="105"/>
        <v>0</v>
      </c>
      <c r="P405" s="102">
        <f t="shared" si="106"/>
        <v>0</v>
      </c>
      <c r="Q405" s="49">
        <f>+H405*Interest!$D$22</f>
        <v>0</v>
      </c>
      <c r="R405" s="127">
        <f t="shared" si="107"/>
        <v>0</v>
      </c>
    </row>
    <row r="406" spans="1:18" ht="21" customHeight="1" x14ac:dyDescent="0.25">
      <c r="A406" s="76" t="s">
        <v>31</v>
      </c>
      <c r="B406" s="194"/>
      <c r="C406" s="155"/>
      <c r="D406" s="78">
        <v>0</v>
      </c>
      <c r="E406" s="156">
        <v>0</v>
      </c>
      <c r="F406" s="157">
        <v>0</v>
      </c>
      <c r="G406" s="156">
        <v>0</v>
      </c>
      <c r="H406" s="78">
        <v>0</v>
      </c>
      <c r="I406" s="186">
        <f t="shared" si="101"/>
        <v>0</v>
      </c>
      <c r="J406" s="185">
        <f t="shared" si="102"/>
        <v>0</v>
      </c>
      <c r="K406" s="102">
        <f t="shared" si="100"/>
        <v>0</v>
      </c>
      <c r="L406" s="84">
        <f>ROUND(J406*VLOOKUP(A406,'Actual Load'!$A$4:$B$37,2,FALSE)/VLOOKUP(A406,'Projected Zonal Load'!$A$4:$N$37,14,FALSE),0)</f>
        <v>0</v>
      </c>
      <c r="M406" s="102">
        <f t="shared" si="103"/>
        <v>0</v>
      </c>
      <c r="N406" s="84">
        <f t="shared" si="104"/>
        <v>0</v>
      </c>
      <c r="O406" s="102">
        <f t="shared" si="105"/>
        <v>0</v>
      </c>
      <c r="P406" s="102">
        <f t="shared" si="106"/>
        <v>0</v>
      </c>
      <c r="Q406" s="49">
        <f>+H406*Interest!$D$22</f>
        <v>0</v>
      </c>
      <c r="R406" s="127">
        <f t="shared" si="107"/>
        <v>0</v>
      </c>
    </row>
    <row r="407" spans="1:18" x14ac:dyDescent="0.25">
      <c r="A407" s="76" t="s">
        <v>32</v>
      </c>
      <c r="B407" s="194"/>
      <c r="C407" s="155"/>
      <c r="D407" s="78">
        <v>0</v>
      </c>
      <c r="E407" s="156">
        <v>0</v>
      </c>
      <c r="F407" s="157">
        <v>0</v>
      </c>
      <c r="G407" s="156">
        <v>0</v>
      </c>
      <c r="H407" s="78">
        <v>0</v>
      </c>
      <c r="I407" s="186">
        <f t="shared" si="101"/>
        <v>0</v>
      </c>
      <c r="J407" s="185">
        <f t="shared" si="102"/>
        <v>0</v>
      </c>
      <c r="K407" s="102">
        <f t="shared" si="100"/>
        <v>0</v>
      </c>
      <c r="L407" s="84">
        <f>ROUND(J407*VLOOKUP(A407,'Actual Load'!$A$4:$B$37,2,FALSE)/VLOOKUP(A407,'Projected Zonal Load'!$A$4:$N$37,14,FALSE),0)</f>
        <v>0</v>
      </c>
      <c r="M407" s="102">
        <f t="shared" si="103"/>
        <v>0</v>
      </c>
      <c r="N407" s="84">
        <f t="shared" si="104"/>
        <v>0</v>
      </c>
      <c r="O407" s="102">
        <f t="shared" si="105"/>
        <v>0</v>
      </c>
      <c r="P407" s="102">
        <f t="shared" si="106"/>
        <v>0</v>
      </c>
      <c r="Q407" s="49">
        <f>+H407*Interest!$D$22</f>
        <v>0</v>
      </c>
      <c r="R407" s="127">
        <f t="shared" si="107"/>
        <v>0</v>
      </c>
    </row>
    <row r="408" spans="1:18" x14ac:dyDescent="0.25">
      <c r="A408" s="76" t="s">
        <v>33</v>
      </c>
      <c r="B408" s="194"/>
      <c r="C408" s="155"/>
      <c r="D408" s="78">
        <v>0</v>
      </c>
      <c r="E408" s="156">
        <v>0</v>
      </c>
      <c r="F408" s="157">
        <v>0</v>
      </c>
      <c r="G408" s="156">
        <v>0</v>
      </c>
      <c r="H408" s="78">
        <v>0</v>
      </c>
      <c r="I408" s="186">
        <f t="shared" si="101"/>
        <v>0</v>
      </c>
      <c r="J408" s="185">
        <f t="shared" si="102"/>
        <v>0</v>
      </c>
      <c r="K408" s="102">
        <f t="shared" si="100"/>
        <v>0</v>
      </c>
      <c r="L408" s="84">
        <f>ROUND(J408*VLOOKUP(A408,'Actual Load'!$A$4:$B$37,2,FALSE)/VLOOKUP(A408,'Projected Zonal Load'!$A$4:$N$37,14,FALSE),0)</f>
        <v>0</v>
      </c>
      <c r="M408" s="102">
        <f t="shared" si="103"/>
        <v>0</v>
      </c>
      <c r="N408" s="84">
        <f t="shared" si="104"/>
        <v>0</v>
      </c>
      <c r="O408" s="102">
        <f t="shared" si="105"/>
        <v>0</v>
      </c>
      <c r="P408" s="102">
        <f t="shared" si="106"/>
        <v>0</v>
      </c>
      <c r="Q408" s="49">
        <f>+H408*Interest!$D$22</f>
        <v>0</v>
      </c>
      <c r="R408" s="127">
        <f t="shared" si="107"/>
        <v>0</v>
      </c>
    </row>
    <row r="409" spans="1:18" x14ac:dyDescent="0.25">
      <c r="A409" s="76" t="s">
        <v>34</v>
      </c>
      <c r="B409" s="194"/>
      <c r="C409" s="155"/>
      <c r="D409" s="78">
        <v>0</v>
      </c>
      <c r="E409" s="156">
        <v>0</v>
      </c>
      <c r="F409" s="157">
        <v>0</v>
      </c>
      <c r="G409" s="156">
        <v>0</v>
      </c>
      <c r="H409" s="78">
        <v>1</v>
      </c>
      <c r="I409" s="186">
        <f t="shared" si="101"/>
        <v>0</v>
      </c>
      <c r="J409" s="185">
        <f t="shared" si="102"/>
        <v>12696.128092028906</v>
      </c>
      <c r="K409" s="102">
        <f t="shared" si="100"/>
        <v>406.2565792880996</v>
      </c>
      <c r="L409" s="84">
        <f>ROUND(J409*VLOOKUP(A409,'Actual Load'!$A$4:$B$37,2,FALSE)/VLOOKUP(A409,'Projected Zonal Load'!$A$4:$N$37,14,FALSE),0)</f>
        <v>12317</v>
      </c>
      <c r="M409" s="102">
        <f t="shared" si="103"/>
        <v>12894.948113269131</v>
      </c>
      <c r="N409" s="84">
        <f t="shared" si="104"/>
        <v>12696.128092028906</v>
      </c>
      <c r="O409" s="102">
        <f t="shared" si="105"/>
        <v>198.82002124022438</v>
      </c>
      <c r="P409" s="102">
        <f t="shared" si="106"/>
        <v>605.07660052832398</v>
      </c>
      <c r="Q409" s="49">
        <f>+H409*Interest!$D$22</f>
        <v>40.202563184576633</v>
      </c>
      <c r="R409" s="127">
        <f t="shared" si="107"/>
        <v>645.27916371290064</v>
      </c>
    </row>
    <row r="410" spans="1:18" x14ac:dyDescent="0.25">
      <c r="A410" s="76" t="s">
        <v>35</v>
      </c>
      <c r="B410" s="194"/>
      <c r="C410" s="155"/>
      <c r="D410" s="78">
        <v>0</v>
      </c>
      <c r="E410" s="156">
        <v>0</v>
      </c>
      <c r="F410" s="157">
        <v>0</v>
      </c>
      <c r="G410" s="156">
        <v>0</v>
      </c>
      <c r="H410" s="78">
        <v>0</v>
      </c>
      <c r="I410" s="186">
        <f t="shared" si="101"/>
        <v>0</v>
      </c>
      <c r="J410" s="185">
        <f t="shared" si="102"/>
        <v>0</v>
      </c>
      <c r="K410" s="102">
        <f t="shared" si="100"/>
        <v>0</v>
      </c>
      <c r="L410" s="84">
        <f>ROUND(J410*VLOOKUP(A410,'Actual Load'!$A$4:$B$37,2,FALSE)/VLOOKUP(A410,'Projected Zonal Load'!$A$4:$N$37,14,FALSE),0)</f>
        <v>0</v>
      </c>
      <c r="M410" s="102">
        <f t="shared" si="103"/>
        <v>0</v>
      </c>
      <c r="N410" s="84">
        <f t="shared" si="104"/>
        <v>0</v>
      </c>
      <c r="O410" s="102">
        <f t="shared" si="105"/>
        <v>0</v>
      </c>
      <c r="P410" s="102">
        <f t="shared" si="106"/>
        <v>0</v>
      </c>
      <c r="Q410" s="49">
        <f>+H410*Interest!$D$22</f>
        <v>0</v>
      </c>
      <c r="R410" s="127">
        <f t="shared" si="107"/>
        <v>0</v>
      </c>
    </row>
    <row r="411" spans="1:18" x14ac:dyDescent="0.25">
      <c r="A411" s="77" t="s">
        <v>36</v>
      </c>
      <c r="B411" s="194"/>
      <c r="C411" s="155"/>
      <c r="D411" s="78">
        <v>0</v>
      </c>
      <c r="E411" s="156">
        <v>0</v>
      </c>
      <c r="F411" s="157">
        <v>0</v>
      </c>
      <c r="G411" s="156">
        <v>0</v>
      </c>
      <c r="H411" s="78">
        <v>0</v>
      </c>
      <c r="I411" s="186">
        <f t="shared" si="101"/>
        <v>0</v>
      </c>
      <c r="J411" s="185">
        <f t="shared" si="102"/>
        <v>0</v>
      </c>
      <c r="K411" s="102">
        <f t="shared" si="100"/>
        <v>0</v>
      </c>
      <c r="L411" s="84">
        <f>ROUND(J411*VLOOKUP(A411,'Actual Load'!$A$4:$B$37,2,FALSE)/VLOOKUP(A411,'Projected Zonal Load'!$A$4:$N$37,14,FALSE),0)</f>
        <v>0</v>
      </c>
      <c r="M411" s="102">
        <f t="shared" si="103"/>
        <v>0</v>
      </c>
      <c r="N411" s="84">
        <f t="shared" si="104"/>
        <v>0</v>
      </c>
      <c r="O411" s="102">
        <f t="shared" si="105"/>
        <v>0</v>
      </c>
      <c r="P411" s="102">
        <f t="shared" si="106"/>
        <v>0</v>
      </c>
      <c r="Q411" s="49">
        <f>+H411*Interest!$D$22</f>
        <v>0</v>
      </c>
      <c r="R411" s="127">
        <f t="shared" si="107"/>
        <v>0</v>
      </c>
    </row>
    <row r="412" spans="1:18" x14ac:dyDescent="0.25">
      <c r="A412" s="77" t="s">
        <v>91</v>
      </c>
      <c r="B412" s="194"/>
      <c r="C412" s="155"/>
      <c r="D412" s="78">
        <v>0</v>
      </c>
      <c r="E412" s="156">
        <v>0</v>
      </c>
      <c r="F412" s="157">
        <v>0</v>
      </c>
      <c r="G412" s="156">
        <v>0</v>
      </c>
      <c r="H412" s="78">
        <v>0</v>
      </c>
      <c r="I412" s="186">
        <f t="shared" si="101"/>
        <v>0</v>
      </c>
      <c r="J412" s="185">
        <f>H412*I$420</f>
        <v>0</v>
      </c>
      <c r="K412" s="102">
        <f t="shared" si="100"/>
        <v>0</v>
      </c>
      <c r="L412" s="84">
        <f>ROUND(J412*VLOOKUP(A412,'Actual Load'!$A$4:$B$37,2,FALSE)/VLOOKUP(A412,'Projected Zonal Load'!$A$4:$N$37,14,FALSE),0)</f>
        <v>0</v>
      </c>
      <c r="M412" s="102">
        <f>IF(NOT(L$43=0),M$6*L412/L$43,0)</f>
        <v>0</v>
      </c>
      <c r="N412" s="84">
        <f>+J412</f>
        <v>0</v>
      </c>
      <c r="O412" s="102">
        <f>+M412-N412</f>
        <v>0</v>
      </c>
      <c r="P412" s="102">
        <f>+K412+O412</f>
        <v>0</v>
      </c>
      <c r="Q412" s="49">
        <f>+H412*Interest!$D$22</f>
        <v>0</v>
      </c>
      <c r="R412" s="127">
        <f>+P412+Q412</f>
        <v>0</v>
      </c>
    </row>
    <row r="413" spans="1:18" x14ac:dyDescent="0.25">
      <c r="A413" s="77" t="s">
        <v>92</v>
      </c>
      <c r="B413" s="194"/>
      <c r="C413" s="155"/>
      <c r="D413" s="78">
        <v>0</v>
      </c>
      <c r="E413" s="156">
        <v>0</v>
      </c>
      <c r="F413" s="157">
        <v>0</v>
      </c>
      <c r="G413" s="156">
        <v>0</v>
      </c>
      <c r="H413" s="78">
        <v>0</v>
      </c>
      <c r="I413" s="186">
        <f t="shared" si="101"/>
        <v>0</v>
      </c>
      <c r="J413" s="185">
        <f>H413*I$420</f>
        <v>0</v>
      </c>
      <c r="K413" s="102">
        <f t="shared" si="100"/>
        <v>0</v>
      </c>
      <c r="L413" s="84">
        <f>ROUND(J413*VLOOKUP(A413,'Actual Load'!$A$4:$B$37,2,FALSE)/VLOOKUP(A413,'Projected Zonal Load'!$A$4:$N$37,14,FALSE),0)</f>
        <v>0</v>
      </c>
      <c r="M413" s="102">
        <f>IF(NOT(L$43=0),M$6*L413/L$43,0)</f>
        <v>0</v>
      </c>
      <c r="N413" s="84">
        <f>+J413</f>
        <v>0</v>
      </c>
      <c r="O413" s="102">
        <f>+M413-N413</f>
        <v>0</v>
      </c>
      <c r="P413" s="102">
        <f>+K413+O413</f>
        <v>0</v>
      </c>
      <c r="Q413" s="49">
        <f>+H413*Interest!$D$22</f>
        <v>0</v>
      </c>
      <c r="R413" s="127">
        <f>+P413+Q413</f>
        <v>0</v>
      </c>
    </row>
    <row r="414" spans="1:18" x14ac:dyDescent="0.25">
      <c r="A414" s="166" t="s">
        <v>93</v>
      </c>
      <c r="B414" s="194"/>
      <c r="C414" s="155"/>
      <c r="D414" s="78">
        <v>0</v>
      </c>
      <c r="E414" s="156">
        <v>0</v>
      </c>
      <c r="F414" s="157">
        <v>0</v>
      </c>
      <c r="G414" s="156">
        <v>0</v>
      </c>
      <c r="H414" s="219">
        <v>0</v>
      </c>
      <c r="I414" s="187">
        <f t="shared" si="101"/>
        <v>0</v>
      </c>
      <c r="J414" s="223">
        <f>H414*I$420</f>
        <v>0</v>
      </c>
      <c r="K414" s="102">
        <f>(I$420-M$420)*H414</f>
        <v>0</v>
      </c>
      <c r="L414" s="84">
        <f>ROUND(J414*VLOOKUP(A414,'Actual Load'!$A$4:$B$37,2,FALSE)/VLOOKUP(A414,'Projected Zonal Load'!$A$4:$N$37,14,FALSE),0)</f>
        <v>0</v>
      </c>
      <c r="M414" s="102">
        <f>IF(NOT(L$43=0),M$6*L414/L$43,0)</f>
        <v>0</v>
      </c>
      <c r="N414" s="84">
        <f>+J414</f>
        <v>0</v>
      </c>
      <c r="O414" s="102">
        <f>+M414-N414</f>
        <v>0</v>
      </c>
      <c r="P414" s="102">
        <f>+K414+O414</f>
        <v>0</v>
      </c>
      <c r="Q414" s="49">
        <f>+H414*Interest!$D$22</f>
        <v>0</v>
      </c>
      <c r="R414" s="127">
        <f>+P414+Q414</f>
        <v>0</v>
      </c>
    </row>
    <row r="415" spans="1:18" x14ac:dyDescent="0.25">
      <c r="A415" s="170"/>
      <c r="B415" s="171"/>
      <c r="C415" s="172"/>
      <c r="D415" s="173">
        <v>0</v>
      </c>
      <c r="E415" s="174">
        <v>0</v>
      </c>
      <c r="F415" s="175">
        <v>1</v>
      </c>
      <c r="G415" s="174">
        <v>0</v>
      </c>
      <c r="H415" s="176">
        <v>1</v>
      </c>
      <c r="I415" s="177">
        <f t="shared" ref="I415:R415" si="108">SUM(I389:I414)</f>
        <v>0</v>
      </c>
      <c r="J415" s="177">
        <f t="shared" si="108"/>
        <v>12696.128092028906</v>
      </c>
      <c r="K415" s="120">
        <f t="shared" si="108"/>
        <v>406.2565792880996</v>
      </c>
      <c r="L415" s="107">
        <f t="shared" si="108"/>
        <v>12317</v>
      </c>
      <c r="M415" s="108">
        <f t="shared" si="108"/>
        <v>12894.948113269131</v>
      </c>
      <c r="N415" s="107">
        <f t="shared" si="108"/>
        <v>12696.128092028906</v>
      </c>
      <c r="O415" s="108">
        <f t="shared" si="108"/>
        <v>198.82002124022438</v>
      </c>
      <c r="P415" s="108">
        <f t="shared" si="108"/>
        <v>605.07660052832398</v>
      </c>
      <c r="Q415" s="108">
        <f t="shared" si="108"/>
        <v>40.202563184576633</v>
      </c>
      <c r="R415" s="128">
        <f t="shared" si="108"/>
        <v>645.27916371290064</v>
      </c>
    </row>
    <row r="416" spans="1:18" x14ac:dyDescent="0.25">
      <c r="H416" s="189"/>
      <c r="I416" s="190"/>
    </row>
    <row r="417" spans="1:19" x14ac:dyDescent="0.25">
      <c r="A417" s="199" t="s">
        <v>132</v>
      </c>
      <c r="O417" s="81"/>
      <c r="P417" s="81"/>
      <c r="Q417" s="81"/>
      <c r="R417" s="81"/>
      <c r="S417" s="81"/>
    </row>
    <row r="418" spans="1:19" x14ac:dyDescent="0.25">
      <c r="H418" s="123" t="s">
        <v>175</v>
      </c>
      <c r="I418" s="191">
        <v>12877.371171872221</v>
      </c>
      <c r="K418" s="124"/>
      <c r="L418" s="123" t="s">
        <v>178</v>
      </c>
      <c r="M418" s="191">
        <v>12471.114592584121</v>
      </c>
      <c r="O418" s="81"/>
      <c r="P418" s="81"/>
      <c r="Q418" s="81"/>
      <c r="R418" s="81"/>
      <c r="S418" s="81"/>
    </row>
    <row r="419" spans="1:19" x14ac:dyDescent="0.25">
      <c r="H419" s="83" t="s">
        <v>177</v>
      </c>
      <c r="I419" s="191">
        <v>-181.24307984331401</v>
      </c>
      <c r="K419" s="124"/>
      <c r="L419" s="83" t="s">
        <v>177</v>
      </c>
      <c r="M419" s="191">
        <v>-181.24307984331401</v>
      </c>
      <c r="O419" s="81"/>
      <c r="P419" s="81"/>
      <c r="Q419" s="81"/>
      <c r="R419" s="81"/>
      <c r="S419" s="81"/>
    </row>
    <row r="420" spans="1:19" x14ac:dyDescent="0.25">
      <c r="G420" s="124"/>
      <c r="H420" s="125" t="s">
        <v>176</v>
      </c>
      <c r="I420" s="192">
        <f>SUM(I418:I419)</f>
        <v>12696.128092028906</v>
      </c>
      <c r="J420" s="126" t="s">
        <v>132</v>
      </c>
      <c r="K420" s="129"/>
      <c r="L420" s="125" t="s">
        <v>176</v>
      </c>
      <c r="M420" s="192">
        <f>SUM(M418:M419)</f>
        <v>12289.871512740807</v>
      </c>
      <c r="O420" s="74" t="s">
        <v>132</v>
      </c>
      <c r="P420" s="81"/>
      <c r="Q420" s="81"/>
      <c r="R420" s="81"/>
      <c r="S420" s="81"/>
    </row>
    <row r="421" spans="1:19" x14ac:dyDescent="0.25">
      <c r="I421" s="193"/>
      <c r="O421" s="81"/>
      <c r="P421" s="81"/>
      <c r="Q421" s="81"/>
      <c r="R421" s="81"/>
      <c r="S421" s="81"/>
    </row>
    <row r="423" spans="1:19" x14ac:dyDescent="0.25">
      <c r="A423" s="359" t="s">
        <v>0</v>
      </c>
      <c r="B423" s="360"/>
      <c r="C423" s="360" t="s">
        <v>194</v>
      </c>
      <c r="D423" s="360"/>
      <c r="E423" s="360"/>
      <c r="F423" s="360"/>
      <c r="G423" s="360"/>
      <c r="H423" s="361"/>
      <c r="I423" s="178"/>
    </row>
    <row r="424" spans="1:19" hidden="1" outlineLevel="1" x14ac:dyDescent="0.25">
      <c r="A424" s="179" t="s">
        <v>137</v>
      </c>
      <c r="B424" s="180"/>
      <c r="C424" s="181" t="s">
        <v>135</v>
      </c>
      <c r="D424" s="182"/>
      <c r="E424" s="182"/>
      <c r="F424" s="182"/>
      <c r="G424" s="182"/>
      <c r="H424" s="183"/>
      <c r="I424" s="178"/>
    </row>
    <row r="425" spans="1:19" collapsed="1" x14ac:dyDescent="0.25">
      <c r="A425" s="362" t="s">
        <v>2</v>
      </c>
      <c r="B425" s="363"/>
      <c r="C425" s="364" t="s">
        <v>204</v>
      </c>
      <c r="D425" s="365"/>
      <c r="E425" s="365"/>
      <c r="F425" s="365"/>
      <c r="G425" s="365"/>
      <c r="H425" s="366"/>
      <c r="I425" s="178"/>
    </row>
    <row r="426" spans="1:19" x14ac:dyDescent="0.25">
      <c r="A426" s="362" t="s">
        <v>4</v>
      </c>
      <c r="B426" s="363"/>
      <c r="C426" s="364"/>
      <c r="D426" s="365"/>
      <c r="E426" s="365"/>
      <c r="F426" s="365"/>
      <c r="G426" s="365"/>
      <c r="H426" s="366"/>
      <c r="I426" s="178"/>
    </row>
    <row r="427" spans="1:19" x14ac:dyDescent="0.25">
      <c r="A427" s="362" t="s">
        <v>6</v>
      </c>
      <c r="B427" s="363"/>
      <c r="C427" s="367">
        <v>0</v>
      </c>
      <c r="D427" s="368"/>
      <c r="E427" s="368"/>
      <c r="F427" s="368"/>
      <c r="G427" s="368"/>
      <c r="H427" s="369"/>
      <c r="I427" s="178"/>
      <c r="M427" s="111"/>
      <c r="O427" s="111" t="s">
        <v>43</v>
      </c>
      <c r="P427" s="111" t="s">
        <v>39</v>
      </c>
      <c r="R427" s="111" t="s">
        <v>44</v>
      </c>
    </row>
    <row r="428" spans="1:19" x14ac:dyDescent="0.25">
      <c r="A428" s="370" t="s">
        <v>7</v>
      </c>
      <c r="B428" s="371"/>
      <c r="C428" s="372" t="s">
        <v>34</v>
      </c>
      <c r="D428" s="373"/>
      <c r="E428" s="373"/>
      <c r="F428" s="373"/>
      <c r="G428" s="373"/>
      <c r="H428" s="374"/>
      <c r="I428" s="178"/>
      <c r="K428" s="111" t="s">
        <v>41</v>
      </c>
      <c r="L428" s="112" t="s">
        <v>42</v>
      </c>
      <c r="M428" s="113" t="s">
        <v>182</v>
      </c>
      <c r="N428" s="113" t="s">
        <v>38</v>
      </c>
      <c r="O428" s="113" t="s">
        <v>183</v>
      </c>
      <c r="P428" s="113" t="s">
        <v>184</v>
      </c>
      <c r="Q428" s="113" t="s">
        <v>40</v>
      </c>
      <c r="R428" s="113" t="s">
        <v>185</v>
      </c>
    </row>
    <row r="429" spans="1:19" x14ac:dyDescent="0.25">
      <c r="A429" s="134"/>
      <c r="B429" s="134"/>
      <c r="C429" s="134"/>
      <c r="D429" s="134"/>
      <c r="E429" s="134"/>
      <c r="F429" s="134"/>
      <c r="G429" s="134"/>
      <c r="H429" s="134"/>
      <c r="I429" s="134"/>
      <c r="K429" s="90"/>
      <c r="L429" s="351" t="s">
        <v>45</v>
      </c>
      <c r="M429" s="352"/>
      <c r="N429" s="352"/>
      <c r="O429" s="353"/>
      <c r="P429" s="91" t="s">
        <v>46</v>
      </c>
      <c r="Q429" s="90"/>
      <c r="R429" s="91" t="s">
        <v>47</v>
      </c>
    </row>
    <row r="430" spans="1:19" x14ac:dyDescent="0.25">
      <c r="A430" s="135"/>
      <c r="B430" s="136"/>
      <c r="C430" s="137"/>
      <c r="D430" s="354">
        <v>0</v>
      </c>
      <c r="E430" s="355"/>
      <c r="F430" s="354">
        <v>1</v>
      </c>
      <c r="G430" s="355"/>
      <c r="H430" s="138"/>
      <c r="I430" s="139"/>
      <c r="J430" s="140" t="s">
        <v>9</v>
      </c>
      <c r="K430" s="92" t="s">
        <v>48</v>
      </c>
      <c r="L430" s="351" t="s">
        <v>49</v>
      </c>
      <c r="M430" s="352"/>
      <c r="N430" s="93"/>
      <c r="O430" s="91" t="s">
        <v>50</v>
      </c>
      <c r="P430" s="92" t="s">
        <v>51</v>
      </c>
      <c r="Q430" s="94"/>
      <c r="R430" s="92" t="s">
        <v>52</v>
      </c>
    </row>
    <row r="431" spans="1:19" x14ac:dyDescent="0.25">
      <c r="A431" s="141"/>
      <c r="B431" s="142"/>
      <c r="C431" s="143"/>
      <c r="D431" s="356" t="s">
        <v>10</v>
      </c>
      <c r="E431" s="357"/>
      <c r="F431" s="356" t="s">
        <v>11</v>
      </c>
      <c r="G431" s="357"/>
      <c r="H431" s="356" t="s">
        <v>12</v>
      </c>
      <c r="I431" s="358"/>
      <c r="J431" s="144" t="s">
        <v>13</v>
      </c>
      <c r="K431" s="95" t="s">
        <v>53</v>
      </c>
      <c r="L431" s="96" t="s">
        <v>179</v>
      </c>
      <c r="M431" s="97" t="s">
        <v>180</v>
      </c>
      <c r="N431" s="98" t="s">
        <v>54</v>
      </c>
      <c r="O431" s="98" t="s">
        <v>53</v>
      </c>
      <c r="P431" s="98" t="s">
        <v>53</v>
      </c>
      <c r="Q431" s="98" t="s">
        <v>55</v>
      </c>
      <c r="R431" s="98" t="s">
        <v>56</v>
      </c>
    </row>
    <row r="432" spans="1:19" ht="45" x14ac:dyDescent="0.25">
      <c r="A432" s="145" t="s">
        <v>14</v>
      </c>
      <c r="B432" s="146" t="s">
        <v>15</v>
      </c>
      <c r="C432" s="147" t="s">
        <v>16</v>
      </c>
      <c r="D432" s="148" t="s">
        <v>17</v>
      </c>
      <c r="E432" s="149" t="s">
        <v>18</v>
      </c>
      <c r="F432" s="148" t="s">
        <v>17</v>
      </c>
      <c r="G432" s="149" t="s">
        <v>18</v>
      </c>
      <c r="H432" s="150" t="s">
        <v>17</v>
      </c>
      <c r="I432" s="151" t="s">
        <v>18</v>
      </c>
      <c r="J432" s="147" t="s">
        <v>18</v>
      </c>
      <c r="K432" s="152" t="s">
        <v>57</v>
      </c>
      <c r="L432" s="99"/>
      <c r="M432" s="100"/>
      <c r="N432" s="99"/>
      <c r="O432" s="152" t="s">
        <v>57</v>
      </c>
      <c r="P432" s="100"/>
      <c r="Q432" s="100"/>
      <c r="R432" s="153" t="s">
        <v>57</v>
      </c>
    </row>
    <row r="433" spans="1:18" x14ac:dyDescent="0.25">
      <c r="A433" s="75" t="s">
        <v>195</v>
      </c>
      <c r="B433" s="194"/>
      <c r="C433" s="155"/>
      <c r="D433" s="78">
        <v>0</v>
      </c>
      <c r="E433" s="156">
        <v>0</v>
      </c>
      <c r="F433" s="157">
        <v>0</v>
      </c>
      <c r="G433" s="158">
        <v>0</v>
      </c>
      <c r="H433" s="159">
        <v>0</v>
      </c>
      <c r="I433" s="184">
        <f>H433*$C$427</f>
        <v>0</v>
      </c>
      <c r="J433" s="185">
        <f t="shared" ref="J433:J458" si="109">H433*I$464</f>
        <v>0</v>
      </c>
      <c r="K433" s="102">
        <f>(I$464-M$464)*H433</f>
        <v>0</v>
      </c>
      <c r="L433" s="84">
        <f>ROUND(J433*VLOOKUP(A433,'Actual Load'!$A$4:$B$37,2,FALSE)/VLOOKUP(A433,'Projected Zonal Load'!$A$4:$N$37,14,FALSE),0)</f>
        <v>0</v>
      </c>
      <c r="M433" s="102">
        <f t="shared" ref="M433:M458" si="110">IF(NOT(L$43=0),M$6*L433/L$43,0)</f>
        <v>0</v>
      </c>
      <c r="N433" s="84">
        <f>+J433</f>
        <v>0</v>
      </c>
      <c r="O433" s="102">
        <f t="shared" ref="O433:O440" si="111">+M433-N433</f>
        <v>0</v>
      </c>
      <c r="P433" s="102">
        <f t="shared" ref="P433:P458" si="112">+K433+O433</f>
        <v>0</v>
      </c>
      <c r="Q433" s="49">
        <f>+H433*Interest!$D$18</f>
        <v>0</v>
      </c>
      <c r="R433" s="127">
        <f t="shared" ref="R433:R440" si="113">+P433+Q433</f>
        <v>0</v>
      </c>
    </row>
    <row r="434" spans="1:18" x14ac:dyDescent="0.25">
      <c r="A434" s="76" t="s">
        <v>19</v>
      </c>
      <c r="B434" s="194"/>
      <c r="C434" s="155"/>
      <c r="D434" s="78">
        <v>0</v>
      </c>
      <c r="E434" s="156">
        <v>0</v>
      </c>
      <c r="F434" s="157">
        <v>0</v>
      </c>
      <c r="G434" s="156">
        <v>0</v>
      </c>
      <c r="H434" s="159">
        <v>0</v>
      </c>
      <c r="I434" s="186">
        <f t="shared" ref="I434:I458" si="114">H434*$C$427</f>
        <v>0</v>
      </c>
      <c r="J434" s="185">
        <f t="shared" si="109"/>
        <v>0</v>
      </c>
      <c r="K434" s="102">
        <f t="shared" ref="K434:K458" si="115">(I$464-M$464)*H434</f>
        <v>0</v>
      </c>
      <c r="L434" s="84">
        <f>ROUND(J434*VLOOKUP(A434,'Actual Load'!$A$4:$B$37,2,FALSE)/VLOOKUP(A434,'Projected Zonal Load'!$A$4:$N$37,14,FALSE),0)</f>
        <v>0</v>
      </c>
      <c r="M434" s="102">
        <f t="shared" si="110"/>
        <v>0</v>
      </c>
      <c r="N434" s="84">
        <f t="shared" ref="N434:N458" si="116">+J434</f>
        <v>0</v>
      </c>
      <c r="O434" s="102">
        <f t="shared" si="111"/>
        <v>0</v>
      </c>
      <c r="P434" s="102">
        <f t="shared" si="112"/>
        <v>0</v>
      </c>
      <c r="Q434" s="49">
        <f>+H434*Interest!$D$18</f>
        <v>0</v>
      </c>
      <c r="R434" s="127">
        <f t="shared" si="113"/>
        <v>0</v>
      </c>
    </row>
    <row r="435" spans="1:18" x14ac:dyDescent="0.25">
      <c r="A435" s="76" t="s">
        <v>210</v>
      </c>
      <c r="B435" s="194"/>
      <c r="C435" s="155"/>
      <c r="D435" s="78">
        <v>0</v>
      </c>
      <c r="E435" s="156">
        <v>0</v>
      </c>
      <c r="F435" s="157">
        <v>0</v>
      </c>
      <c r="G435" s="156">
        <v>0</v>
      </c>
      <c r="H435" s="159">
        <v>0</v>
      </c>
      <c r="I435" s="186">
        <f t="shared" si="114"/>
        <v>0</v>
      </c>
      <c r="J435" s="185">
        <f t="shared" si="109"/>
        <v>0</v>
      </c>
      <c r="K435" s="102">
        <f t="shared" si="115"/>
        <v>0</v>
      </c>
      <c r="L435" s="84">
        <f>ROUND(J435*VLOOKUP(A435,'Actual Load'!$A$4:$B$37,2,FALSE)/VLOOKUP(A435,'Projected Zonal Load'!$A$4:$N$37,14,FALSE),0)</f>
        <v>0</v>
      </c>
      <c r="M435" s="102">
        <f t="shared" si="110"/>
        <v>0</v>
      </c>
      <c r="N435" s="84">
        <f t="shared" si="116"/>
        <v>0</v>
      </c>
      <c r="O435" s="102">
        <f t="shared" si="111"/>
        <v>0</v>
      </c>
      <c r="P435" s="102">
        <f t="shared" si="112"/>
        <v>0</v>
      </c>
      <c r="Q435" s="49">
        <f>+H435*Interest!$D$18</f>
        <v>0</v>
      </c>
      <c r="R435" s="127">
        <f t="shared" si="113"/>
        <v>0</v>
      </c>
    </row>
    <row r="436" spans="1:18" x14ac:dyDescent="0.25">
      <c r="A436" s="76" t="s">
        <v>211</v>
      </c>
      <c r="B436" s="194"/>
      <c r="C436" s="155"/>
      <c r="D436" s="78">
        <v>0</v>
      </c>
      <c r="E436" s="156">
        <v>0</v>
      </c>
      <c r="F436" s="157">
        <v>0</v>
      </c>
      <c r="G436" s="156">
        <v>0</v>
      </c>
      <c r="H436" s="159">
        <v>0</v>
      </c>
      <c r="I436" s="186">
        <f t="shared" si="114"/>
        <v>0</v>
      </c>
      <c r="J436" s="185">
        <f t="shared" si="109"/>
        <v>0</v>
      </c>
      <c r="K436" s="102">
        <f t="shared" si="115"/>
        <v>0</v>
      </c>
      <c r="L436" s="84">
        <f>ROUND(J436*VLOOKUP(A436,'Actual Load'!$A$4:$B$37,2,FALSE)/VLOOKUP(A436,'Projected Zonal Load'!$A$4:$N$37,14,FALSE),0)</f>
        <v>0</v>
      </c>
      <c r="M436" s="102">
        <f t="shared" si="110"/>
        <v>0</v>
      </c>
      <c r="N436" s="84">
        <f t="shared" si="116"/>
        <v>0</v>
      </c>
      <c r="O436" s="102">
        <f t="shared" si="111"/>
        <v>0</v>
      </c>
      <c r="P436" s="102">
        <f t="shared" si="112"/>
        <v>0</v>
      </c>
      <c r="Q436" s="49">
        <f>+H436*Interest!$D$18</f>
        <v>0</v>
      </c>
      <c r="R436" s="127">
        <f t="shared" si="113"/>
        <v>0</v>
      </c>
    </row>
    <row r="437" spans="1:18" x14ac:dyDescent="0.25">
      <c r="A437" s="76" t="s">
        <v>20</v>
      </c>
      <c r="B437" s="194"/>
      <c r="C437" s="155"/>
      <c r="D437" s="78">
        <v>0</v>
      </c>
      <c r="E437" s="156">
        <v>0</v>
      </c>
      <c r="F437" s="157">
        <v>0</v>
      </c>
      <c r="G437" s="156">
        <v>0</v>
      </c>
      <c r="H437" s="159">
        <v>0</v>
      </c>
      <c r="I437" s="186">
        <f t="shared" si="114"/>
        <v>0</v>
      </c>
      <c r="J437" s="185">
        <f t="shared" si="109"/>
        <v>0</v>
      </c>
      <c r="K437" s="102">
        <f t="shared" si="115"/>
        <v>0</v>
      </c>
      <c r="L437" s="84">
        <f>ROUND(J437*VLOOKUP(A437,'Actual Load'!$A$4:$B$37,2,FALSE)/VLOOKUP(A437,'Projected Zonal Load'!$A$4:$N$37,14,FALSE),0)</f>
        <v>0</v>
      </c>
      <c r="M437" s="102">
        <f t="shared" si="110"/>
        <v>0</v>
      </c>
      <c r="N437" s="84">
        <f t="shared" si="116"/>
        <v>0</v>
      </c>
      <c r="O437" s="102">
        <f t="shared" si="111"/>
        <v>0</v>
      </c>
      <c r="P437" s="102">
        <f t="shared" si="112"/>
        <v>0</v>
      </c>
      <c r="Q437" s="49">
        <f>+H437*Interest!$D$18</f>
        <v>0</v>
      </c>
      <c r="R437" s="127">
        <f t="shared" si="113"/>
        <v>0</v>
      </c>
    </row>
    <row r="438" spans="1:18" x14ac:dyDescent="0.25">
      <c r="A438" s="76" t="s">
        <v>21</v>
      </c>
      <c r="B438" s="194"/>
      <c r="C438" s="155"/>
      <c r="D438" s="78">
        <v>0</v>
      </c>
      <c r="E438" s="156">
        <v>0</v>
      </c>
      <c r="F438" s="157">
        <v>0</v>
      </c>
      <c r="G438" s="156">
        <v>0</v>
      </c>
      <c r="H438" s="159">
        <v>0</v>
      </c>
      <c r="I438" s="186">
        <f t="shared" si="114"/>
        <v>0</v>
      </c>
      <c r="J438" s="185">
        <f t="shared" si="109"/>
        <v>0</v>
      </c>
      <c r="K438" s="102">
        <f t="shared" si="115"/>
        <v>0</v>
      </c>
      <c r="L438" s="84">
        <f>ROUND(J438*VLOOKUP(A438,'Actual Load'!$A$4:$B$37,2,FALSE)/VLOOKUP(A438,'Projected Zonal Load'!$A$4:$N$37,14,FALSE),0)</f>
        <v>0</v>
      </c>
      <c r="M438" s="102">
        <f t="shared" si="110"/>
        <v>0</v>
      </c>
      <c r="N438" s="84">
        <f t="shared" si="116"/>
        <v>0</v>
      </c>
      <c r="O438" s="102">
        <f t="shared" si="111"/>
        <v>0</v>
      </c>
      <c r="P438" s="102">
        <f t="shared" si="112"/>
        <v>0</v>
      </c>
      <c r="Q438" s="49">
        <f>+H438*Interest!$D$18</f>
        <v>0</v>
      </c>
      <c r="R438" s="127">
        <f t="shared" si="113"/>
        <v>0</v>
      </c>
    </row>
    <row r="439" spans="1:18" x14ac:dyDescent="0.25">
      <c r="A439" s="76" t="s">
        <v>22</v>
      </c>
      <c r="B439" s="194"/>
      <c r="C439" s="155"/>
      <c r="D439" s="78">
        <v>0</v>
      </c>
      <c r="E439" s="156">
        <v>0</v>
      </c>
      <c r="F439" s="157">
        <v>0</v>
      </c>
      <c r="G439" s="156">
        <v>0</v>
      </c>
      <c r="H439" s="159">
        <v>0</v>
      </c>
      <c r="I439" s="186">
        <f t="shared" si="114"/>
        <v>0</v>
      </c>
      <c r="J439" s="185">
        <f t="shared" si="109"/>
        <v>0</v>
      </c>
      <c r="K439" s="102">
        <f t="shared" si="115"/>
        <v>0</v>
      </c>
      <c r="L439" s="84">
        <f>ROUND(J439*'Actual Load'!$B$17/'Projected Zonal Load'!$N$17,0)</f>
        <v>0</v>
      </c>
      <c r="M439" s="102">
        <f t="shared" ref="M439:M448" si="117">IF(NOT(L$43=0),M$6*L439/L$43,0)</f>
        <v>0</v>
      </c>
      <c r="N439" s="84">
        <f t="shared" ref="N439:N448" si="118">+J439</f>
        <v>0</v>
      </c>
      <c r="O439" s="102">
        <f t="shared" si="111"/>
        <v>0</v>
      </c>
      <c r="P439" s="102">
        <f t="shared" ref="P439:P448" si="119">+K439+O439</f>
        <v>0</v>
      </c>
      <c r="Q439" s="49">
        <f>+H439*Interest!$D$18</f>
        <v>0</v>
      </c>
      <c r="R439" s="127">
        <f t="shared" si="113"/>
        <v>0</v>
      </c>
    </row>
    <row r="440" spans="1:18" x14ac:dyDescent="0.25">
      <c r="A440" s="76" t="s">
        <v>23</v>
      </c>
      <c r="B440" s="194"/>
      <c r="C440" s="155"/>
      <c r="D440" s="78">
        <v>0</v>
      </c>
      <c r="E440" s="156">
        <v>0</v>
      </c>
      <c r="F440" s="157">
        <v>0</v>
      </c>
      <c r="G440" s="156">
        <v>0</v>
      </c>
      <c r="H440" s="159">
        <v>0</v>
      </c>
      <c r="I440" s="186">
        <f t="shared" si="114"/>
        <v>0</v>
      </c>
      <c r="J440" s="185">
        <f t="shared" si="109"/>
        <v>0</v>
      </c>
      <c r="K440" s="102">
        <f t="shared" si="115"/>
        <v>0</v>
      </c>
      <c r="L440" s="84">
        <f>ROUND(J440*VLOOKUP(A440,'Actual Load'!$A$4:$B$37,2,FALSE)/VLOOKUP(A440,'Projected Zonal Load'!$A$4:$N$37,14,FALSE),0)</f>
        <v>0</v>
      </c>
      <c r="M440" s="102">
        <f t="shared" si="117"/>
        <v>0</v>
      </c>
      <c r="N440" s="84">
        <f t="shared" si="118"/>
        <v>0</v>
      </c>
      <c r="O440" s="102">
        <f t="shared" si="111"/>
        <v>0</v>
      </c>
      <c r="P440" s="102">
        <f t="shared" si="119"/>
        <v>0</v>
      </c>
      <c r="Q440" s="49">
        <f>+H440*Interest!$D$18</f>
        <v>0</v>
      </c>
      <c r="R440" s="127">
        <f t="shared" si="113"/>
        <v>0</v>
      </c>
    </row>
    <row r="441" spans="1:18" x14ac:dyDescent="0.25">
      <c r="A441" s="76" t="s">
        <v>24</v>
      </c>
      <c r="B441" s="194"/>
      <c r="C441" s="155"/>
      <c r="D441" s="78">
        <v>0</v>
      </c>
      <c r="E441" s="156">
        <v>0</v>
      </c>
      <c r="F441" s="157">
        <v>0</v>
      </c>
      <c r="G441" s="156">
        <v>0</v>
      </c>
      <c r="H441" s="159">
        <v>0</v>
      </c>
      <c r="I441" s="186">
        <f t="shared" si="114"/>
        <v>0</v>
      </c>
      <c r="J441" s="185">
        <f t="shared" si="109"/>
        <v>0</v>
      </c>
      <c r="K441" s="102">
        <f t="shared" si="115"/>
        <v>0</v>
      </c>
      <c r="L441" s="84">
        <f>ROUND(J441*VLOOKUP(A441,'Actual Load'!$A$4:$B$37,2,FALSE)/VLOOKUP(A441,'Projected Zonal Load'!$A$4:$N$37,14,FALSE),0)</f>
        <v>0</v>
      </c>
      <c r="M441" s="102">
        <f t="shared" si="117"/>
        <v>0</v>
      </c>
      <c r="N441" s="84">
        <f t="shared" si="118"/>
        <v>0</v>
      </c>
      <c r="O441" s="102">
        <f t="shared" ref="O441:O448" si="120">+M441-N441</f>
        <v>0</v>
      </c>
      <c r="P441" s="102">
        <f t="shared" si="119"/>
        <v>0</v>
      </c>
      <c r="Q441" s="49">
        <f>+H441*Interest!$D$18</f>
        <v>0</v>
      </c>
      <c r="R441" s="127">
        <f t="shared" ref="R441:R448" si="121">+P441+Q441</f>
        <v>0</v>
      </c>
    </row>
    <row r="442" spans="1:18" x14ac:dyDescent="0.25">
      <c r="A442" s="76" t="s">
        <v>25</v>
      </c>
      <c r="B442" s="194"/>
      <c r="C442" s="155"/>
      <c r="D442" s="78">
        <v>0</v>
      </c>
      <c r="E442" s="156">
        <v>0</v>
      </c>
      <c r="F442" s="157">
        <v>0</v>
      </c>
      <c r="G442" s="156">
        <v>0</v>
      </c>
      <c r="H442" s="159">
        <v>0</v>
      </c>
      <c r="I442" s="186">
        <f t="shared" si="114"/>
        <v>0</v>
      </c>
      <c r="J442" s="185">
        <f t="shared" si="109"/>
        <v>0</v>
      </c>
      <c r="K442" s="102">
        <f t="shared" si="115"/>
        <v>0</v>
      </c>
      <c r="L442" s="84">
        <f>ROUND(J442*VLOOKUP(A442,'Actual Load'!$A$4:$B$37,2,FALSE)/VLOOKUP(A442,'Projected Zonal Load'!$A$4:$N$37,14,FALSE),0)</f>
        <v>0</v>
      </c>
      <c r="M442" s="102">
        <f t="shared" si="117"/>
        <v>0</v>
      </c>
      <c r="N442" s="84">
        <f t="shared" si="118"/>
        <v>0</v>
      </c>
      <c r="O442" s="102">
        <f t="shared" si="120"/>
        <v>0</v>
      </c>
      <c r="P442" s="102">
        <f t="shared" si="119"/>
        <v>0</v>
      </c>
      <c r="Q442" s="49">
        <f>+H442*Interest!$D$18</f>
        <v>0</v>
      </c>
      <c r="R442" s="127">
        <f t="shared" si="121"/>
        <v>0</v>
      </c>
    </row>
    <row r="443" spans="1:18" x14ac:dyDescent="0.25">
      <c r="A443" s="76" t="s">
        <v>27</v>
      </c>
      <c r="B443" s="194"/>
      <c r="C443" s="155"/>
      <c r="D443" s="78">
        <v>0</v>
      </c>
      <c r="E443" s="156">
        <v>0</v>
      </c>
      <c r="F443" s="157">
        <v>0</v>
      </c>
      <c r="G443" s="156">
        <v>0</v>
      </c>
      <c r="H443" s="159">
        <v>0</v>
      </c>
      <c r="I443" s="186">
        <f t="shared" si="114"/>
        <v>0</v>
      </c>
      <c r="J443" s="185">
        <f t="shared" si="109"/>
        <v>0</v>
      </c>
      <c r="K443" s="102">
        <f t="shared" si="115"/>
        <v>0</v>
      </c>
      <c r="L443" s="84">
        <f>ROUND(J443*VLOOKUP(A443,'Actual Load'!$A$4:$B$37,2,FALSE)/VLOOKUP(A443,'Projected Zonal Load'!$A$4:$N$37,14,FALSE),0)</f>
        <v>0</v>
      </c>
      <c r="M443" s="102">
        <f t="shared" si="117"/>
        <v>0</v>
      </c>
      <c r="N443" s="84">
        <f t="shared" si="118"/>
        <v>0</v>
      </c>
      <c r="O443" s="102">
        <f t="shared" si="120"/>
        <v>0</v>
      </c>
      <c r="P443" s="102">
        <f t="shared" si="119"/>
        <v>0</v>
      </c>
      <c r="Q443" s="49">
        <f>+H443*Interest!$D$18</f>
        <v>0</v>
      </c>
      <c r="R443" s="127">
        <f t="shared" si="121"/>
        <v>0</v>
      </c>
    </row>
    <row r="444" spans="1:18" x14ac:dyDescent="0.25">
      <c r="A444" s="76" t="s">
        <v>26</v>
      </c>
      <c r="B444" s="194"/>
      <c r="C444" s="155"/>
      <c r="D444" s="78">
        <v>0</v>
      </c>
      <c r="E444" s="156">
        <v>0</v>
      </c>
      <c r="F444" s="157">
        <v>0</v>
      </c>
      <c r="G444" s="156">
        <v>0</v>
      </c>
      <c r="H444" s="159">
        <v>0</v>
      </c>
      <c r="I444" s="186">
        <f t="shared" si="114"/>
        <v>0</v>
      </c>
      <c r="J444" s="185">
        <f t="shared" si="109"/>
        <v>0</v>
      </c>
      <c r="K444" s="102">
        <f t="shared" si="115"/>
        <v>0</v>
      </c>
      <c r="L444" s="84">
        <f>ROUND(J444*VLOOKUP(A444,'Actual Load'!$A$4:$B$37,2,FALSE)/VLOOKUP(A444,'Projected Zonal Load'!$A$4:$N$37,14,FALSE),0)</f>
        <v>0</v>
      </c>
      <c r="M444" s="102">
        <f t="shared" si="117"/>
        <v>0</v>
      </c>
      <c r="N444" s="84">
        <f t="shared" si="118"/>
        <v>0</v>
      </c>
      <c r="O444" s="102">
        <f t="shared" si="120"/>
        <v>0</v>
      </c>
      <c r="P444" s="102">
        <f t="shared" si="119"/>
        <v>0</v>
      </c>
      <c r="Q444" s="49">
        <f>+H444*Interest!$D$18</f>
        <v>0</v>
      </c>
      <c r="R444" s="127">
        <f t="shared" si="121"/>
        <v>0</v>
      </c>
    </row>
    <row r="445" spans="1:18" x14ac:dyDescent="0.25">
      <c r="A445" s="76" t="s">
        <v>69</v>
      </c>
      <c r="B445" s="194"/>
      <c r="C445" s="155"/>
      <c r="D445" s="78">
        <v>0</v>
      </c>
      <c r="E445" s="156">
        <v>0</v>
      </c>
      <c r="F445" s="157">
        <v>0</v>
      </c>
      <c r="G445" s="156">
        <v>0</v>
      </c>
      <c r="H445" s="159">
        <v>0</v>
      </c>
      <c r="I445" s="186">
        <f t="shared" si="114"/>
        <v>0</v>
      </c>
      <c r="J445" s="185">
        <f t="shared" si="109"/>
        <v>0</v>
      </c>
      <c r="K445" s="102">
        <f t="shared" si="115"/>
        <v>0</v>
      </c>
      <c r="L445" s="84">
        <f>ROUND(J445*'Actual Load'!$B$18/'Projected Zonal Load'!$N$18,0)</f>
        <v>0</v>
      </c>
      <c r="M445" s="118">
        <f t="shared" si="117"/>
        <v>0</v>
      </c>
      <c r="N445" s="84">
        <f t="shared" si="118"/>
        <v>0</v>
      </c>
      <c r="O445" s="102">
        <f t="shared" si="120"/>
        <v>0</v>
      </c>
      <c r="P445" s="102">
        <f t="shared" si="119"/>
        <v>0</v>
      </c>
      <c r="Q445" s="49">
        <f>+H445*Interest!$D$18</f>
        <v>0</v>
      </c>
      <c r="R445" s="127">
        <f t="shared" si="121"/>
        <v>0</v>
      </c>
    </row>
    <row r="446" spans="1:18" x14ac:dyDescent="0.25">
      <c r="A446" s="76" t="s">
        <v>70</v>
      </c>
      <c r="B446" s="194"/>
      <c r="C446" s="155"/>
      <c r="D446" s="78">
        <v>0</v>
      </c>
      <c r="E446" s="156">
        <v>0</v>
      </c>
      <c r="F446" s="157">
        <v>0</v>
      </c>
      <c r="G446" s="156">
        <v>0</v>
      </c>
      <c r="H446" s="159">
        <v>0</v>
      </c>
      <c r="I446" s="186">
        <f t="shared" si="114"/>
        <v>0</v>
      </c>
      <c r="J446" s="185">
        <f t="shared" si="109"/>
        <v>0</v>
      </c>
      <c r="K446" s="102">
        <f t="shared" si="115"/>
        <v>0</v>
      </c>
      <c r="L446" s="84">
        <f>ROUND(J446*'Actual Load'!$B$17/'Projected Zonal Load'!$N$17,0)</f>
        <v>0</v>
      </c>
      <c r="M446" s="118">
        <f t="shared" si="117"/>
        <v>0</v>
      </c>
      <c r="N446" s="84">
        <f t="shared" si="118"/>
        <v>0</v>
      </c>
      <c r="O446" s="102">
        <f t="shared" si="120"/>
        <v>0</v>
      </c>
      <c r="P446" s="102">
        <f t="shared" si="119"/>
        <v>0</v>
      </c>
      <c r="Q446" s="49">
        <f>+H446*Interest!$D$18</f>
        <v>0</v>
      </c>
      <c r="R446" s="127">
        <f t="shared" si="121"/>
        <v>0</v>
      </c>
    </row>
    <row r="447" spans="1:18" x14ac:dyDescent="0.25">
      <c r="A447" s="76" t="s">
        <v>28</v>
      </c>
      <c r="B447" s="194"/>
      <c r="C447" s="155"/>
      <c r="D447" s="78">
        <v>0</v>
      </c>
      <c r="E447" s="156">
        <v>0</v>
      </c>
      <c r="F447" s="157">
        <v>0</v>
      </c>
      <c r="G447" s="156">
        <v>0</v>
      </c>
      <c r="H447" s="159">
        <v>0</v>
      </c>
      <c r="I447" s="186">
        <f t="shared" si="114"/>
        <v>0</v>
      </c>
      <c r="J447" s="185">
        <f t="shared" si="109"/>
        <v>0</v>
      </c>
      <c r="K447" s="102">
        <f t="shared" si="115"/>
        <v>0</v>
      </c>
      <c r="L447" s="84">
        <f>ROUND(J447*VLOOKUP(A447,'Actual Load'!$A$4:$B$37,2,FALSE)/VLOOKUP(A447,'Projected Zonal Load'!$A$4:$N$37,14,FALSE),0)</f>
        <v>0</v>
      </c>
      <c r="M447" s="102">
        <f t="shared" si="117"/>
        <v>0</v>
      </c>
      <c r="N447" s="84">
        <f t="shared" si="118"/>
        <v>0</v>
      </c>
      <c r="O447" s="102">
        <f t="shared" si="120"/>
        <v>0</v>
      </c>
      <c r="P447" s="102">
        <f t="shared" si="119"/>
        <v>0</v>
      </c>
      <c r="Q447" s="49">
        <f>+H447*Interest!$D$18</f>
        <v>0</v>
      </c>
      <c r="R447" s="127">
        <f t="shared" si="121"/>
        <v>0</v>
      </c>
    </row>
    <row r="448" spans="1:18" x14ac:dyDescent="0.25">
      <c r="A448" s="76" t="s">
        <v>29</v>
      </c>
      <c r="B448" s="194"/>
      <c r="C448" s="155"/>
      <c r="D448" s="78">
        <v>0</v>
      </c>
      <c r="E448" s="156">
        <v>0</v>
      </c>
      <c r="F448" s="157">
        <v>0</v>
      </c>
      <c r="G448" s="156">
        <v>0</v>
      </c>
      <c r="H448" s="159">
        <v>0</v>
      </c>
      <c r="I448" s="186">
        <f t="shared" si="114"/>
        <v>0</v>
      </c>
      <c r="J448" s="185">
        <f t="shared" si="109"/>
        <v>0</v>
      </c>
      <c r="K448" s="102">
        <f t="shared" si="115"/>
        <v>0</v>
      </c>
      <c r="L448" s="84">
        <f>ROUND(J448*VLOOKUP(A448,'Actual Load'!$A$4:$B$37,2,FALSE)/VLOOKUP(A448,'Projected Zonal Load'!$A$4:$N$37,14,FALSE),0)</f>
        <v>0</v>
      </c>
      <c r="M448" s="102">
        <f t="shared" si="117"/>
        <v>0</v>
      </c>
      <c r="N448" s="84">
        <f t="shared" si="118"/>
        <v>0</v>
      </c>
      <c r="O448" s="102">
        <f t="shared" si="120"/>
        <v>0</v>
      </c>
      <c r="P448" s="102">
        <f t="shared" si="119"/>
        <v>0</v>
      </c>
      <c r="Q448" s="49">
        <f>+H448*Interest!$D$18</f>
        <v>0</v>
      </c>
      <c r="R448" s="127">
        <f t="shared" si="121"/>
        <v>0</v>
      </c>
    </row>
    <row r="449" spans="1:18" x14ac:dyDescent="0.25">
      <c r="A449" s="76" t="s">
        <v>30</v>
      </c>
      <c r="B449" s="194"/>
      <c r="C449" s="155"/>
      <c r="D449" s="78">
        <v>0</v>
      </c>
      <c r="E449" s="156">
        <v>0</v>
      </c>
      <c r="F449" s="157">
        <v>0</v>
      </c>
      <c r="G449" s="156">
        <v>0</v>
      </c>
      <c r="H449" s="159">
        <v>0</v>
      </c>
      <c r="I449" s="186">
        <f t="shared" si="114"/>
        <v>0</v>
      </c>
      <c r="J449" s="185">
        <f t="shared" si="109"/>
        <v>0</v>
      </c>
      <c r="K449" s="102">
        <f t="shared" si="115"/>
        <v>0</v>
      </c>
      <c r="L449" s="84">
        <f>ROUND(J449*VLOOKUP(A449,'Actual Load'!$A$4:$B$37,2,FALSE)/VLOOKUP(A449,'Projected Zonal Load'!$A$4:$N$37,14,FALSE),0)</f>
        <v>0</v>
      </c>
      <c r="M449" s="102">
        <f t="shared" si="110"/>
        <v>0</v>
      </c>
      <c r="N449" s="84">
        <f t="shared" si="116"/>
        <v>0</v>
      </c>
      <c r="O449" s="102">
        <f>+M449-N449</f>
        <v>0</v>
      </c>
      <c r="P449" s="102">
        <f t="shared" si="112"/>
        <v>0</v>
      </c>
      <c r="Q449" s="49">
        <f>+H449*Interest!$D$18</f>
        <v>0</v>
      </c>
      <c r="R449" s="127">
        <f>+P449+Q449</f>
        <v>0</v>
      </c>
    </row>
    <row r="450" spans="1:18" x14ac:dyDescent="0.25">
      <c r="A450" s="76" t="s">
        <v>31</v>
      </c>
      <c r="B450" s="194"/>
      <c r="C450" s="155"/>
      <c r="D450" s="78">
        <v>0</v>
      </c>
      <c r="E450" s="156">
        <v>0</v>
      </c>
      <c r="F450" s="157">
        <v>0</v>
      </c>
      <c r="G450" s="156">
        <v>0</v>
      </c>
      <c r="H450" s="159">
        <v>0</v>
      </c>
      <c r="I450" s="186">
        <f t="shared" si="114"/>
        <v>0</v>
      </c>
      <c r="J450" s="185">
        <f t="shared" si="109"/>
        <v>0</v>
      </c>
      <c r="K450" s="102">
        <f t="shared" si="115"/>
        <v>0</v>
      </c>
      <c r="L450" s="84">
        <f>ROUND(J450*VLOOKUP(A450,'Actual Load'!$A$4:$B$37,2,FALSE)/VLOOKUP(A450,'Projected Zonal Load'!$A$4:$N$37,14,FALSE),0)</f>
        <v>0</v>
      </c>
      <c r="M450" s="102">
        <f t="shared" si="110"/>
        <v>0</v>
      </c>
      <c r="N450" s="84">
        <f t="shared" si="116"/>
        <v>0</v>
      </c>
      <c r="O450" s="102">
        <f>+M450-N450</f>
        <v>0</v>
      </c>
      <c r="P450" s="102">
        <f t="shared" si="112"/>
        <v>0</v>
      </c>
      <c r="Q450" s="49">
        <f>+H450*Interest!$D$18</f>
        <v>0</v>
      </c>
      <c r="R450" s="127">
        <f>+P450+Q450</f>
        <v>0</v>
      </c>
    </row>
    <row r="451" spans="1:18" x14ac:dyDescent="0.25">
      <c r="A451" s="76" t="s">
        <v>32</v>
      </c>
      <c r="B451" s="194"/>
      <c r="C451" s="155"/>
      <c r="D451" s="78">
        <v>0</v>
      </c>
      <c r="E451" s="156">
        <v>0</v>
      </c>
      <c r="F451" s="157">
        <v>0</v>
      </c>
      <c r="G451" s="156">
        <v>0</v>
      </c>
      <c r="H451" s="159">
        <v>0</v>
      </c>
      <c r="I451" s="186">
        <f t="shared" si="114"/>
        <v>0</v>
      </c>
      <c r="J451" s="185">
        <f t="shared" si="109"/>
        <v>0</v>
      </c>
      <c r="K451" s="102">
        <f t="shared" si="115"/>
        <v>0</v>
      </c>
      <c r="L451" s="84">
        <f>ROUND(J451*VLOOKUP(A451,'Actual Load'!$A$4:$B$37,2,FALSE)/VLOOKUP(A451,'Projected Zonal Load'!$A$4:$N$37,14,FALSE),0)</f>
        <v>0</v>
      </c>
      <c r="M451" s="102">
        <f t="shared" si="110"/>
        <v>0</v>
      </c>
      <c r="N451" s="84">
        <f t="shared" si="116"/>
        <v>0</v>
      </c>
      <c r="O451" s="102">
        <f t="shared" ref="O451:O458" si="122">+M451-N451</f>
        <v>0</v>
      </c>
      <c r="P451" s="102">
        <f t="shared" si="112"/>
        <v>0</v>
      </c>
      <c r="Q451" s="49">
        <f>+H451*Interest!$D$18</f>
        <v>0</v>
      </c>
      <c r="R451" s="127">
        <f t="shared" ref="R451:R458" si="123">+P451+Q451</f>
        <v>0</v>
      </c>
    </row>
    <row r="452" spans="1:18" x14ac:dyDescent="0.25">
      <c r="A452" s="76" t="s">
        <v>33</v>
      </c>
      <c r="B452" s="194"/>
      <c r="C452" s="155"/>
      <c r="D452" s="78">
        <v>0</v>
      </c>
      <c r="E452" s="156">
        <v>0</v>
      </c>
      <c r="F452" s="157">
        <v>0</v>
      </c>
      <c r="G452" s="156">
        <v>0</v>
      </c>
      <c r="H452" s="159">
        <v>0</v>
      </c>
      <c r="I452" s="186">
        <f t="shared" si="114"/>
        <v>0</v>
      </c>
      <c r="J452" s="185">
        <f t="shared" si="109"/>
        <v>0</v>
      </c>
      <c r="K452" s="102">
        <f t="shared" si="115"/>
        <v>0</v>
      </c>
      <c r="L452" s="84">
        <f>ROUND(J452*VLOOKUP(A452,'Actual Load'!$A$4:$B$37,2,FALSE)/VLOOKUP(A452,'Projected Zonal Load'!$A$4:$N$37,14,FALSE),0)</f>
        <v>0</v>
      </c>
      <c r="M452" s="102">
        <f t="shared" si="110"/>
        <v>0</v>
      </c>
      <c r="N452" s="84">
        <f t="shared" si="116"/>
        <v>0</v>
      </c>
      <c r="O452" s="102">
        <f t="shared" si="122"/>
        <v>0</v>
      </c>
      <c r="P452" s="102">
        <f t="shared" si="112"/>
        <v>0</v>
      </c>
      <c r="Q452" s="49">
        <f>+H452*Interest!$D$18</f>
        <v>0</v>
      </c>
      <c r="R452" s="127">
        <f t="shared" si="123"/>
        <v>0</v>
      </c>
    </row>
    <row r="453" spans="1:18" x14ac:dyDescent="0.25">
      <c r="A453" s="76" t="s">
        <v>34</v>
      </c>
      <c r="B453" s="194"/>
      <c r="C453" s="155"/>
      <c r="D453" s="78">
        <v>0</v>
      </c>
      <c r="E453" s="156">
        <v>0</v>
      </c>
      <c r="F453" s="157">
        <v>0</v>
      </c>
      <c r="G453" s="156">
        <v>0</v>
      </c>
      <c r="H453" s="159">
        <v>1</v>
      </c>
      <c r="I453" s="186">
        <f t="shared" si="114"/>
        <v>0</v>
      </c>
      <c r="J453" s="185">
        <f t="shared" si="109"/>
        <v>13130.492540084642</v>
      </c>
      <c r="K453" s="102">
        <f t="shared" si="115"/>
        <v>455.47978649190736</v>
      </c>
      <c r="L453" s="84">
        <f>ROUND(J453*VLOOKUP(A453,'Actual Load'!$A$4:$B$37,2,FALSE)/VLOOKUP(A453,'Projected Zonal Load'!$A$4:$N$37,14,FALSE),0)</f>
        <v>12739</v>
      </c>
      <c r="M453" s="102">
        <f t="shared" si="110"/>
        <v>13336.749534378134</v>
      </c>
      <c r="N453" s="84">
        <f t="shared" si="116"/>
        <v>13130.492540084642</v>
      </c>
      <c r="O453" s="102">
        <f t="shared" si="122"/>
        <v>206.25699429349152</v>
      </c>
      <c r="P453" s="102">
        <f t="shared" si="112"/>
        <v>661.73678078539888</v>
      </c>
      <c r="Q453" s="49">
        <f>+H453*Interest!$D$18</f>
        <v>43.96718484544671</v>
      </c>
      <c r="R453" s="127">
        <f t="shared" si="123"/>
        <v>705.70396563084557</v>
      </c>
    </row>
    <row r="454" spans="1:18" x14ac:dyDescent="0.25">
      <c r="A454" s="76" t="s">
        <v>35</v>
      </c>
      <c r="B454" s="194"/>
      <c r="C454" s="155"/>
      <c r="D454" s="78">
        <v>0</v>
      </c>
      <c r="E454" s="156">
        <v>0</v>
      </c>
      <c r="F454" s="157">
        <v>0</v>
      </c>
      <c r="G454" s="156">
        <v>0</v>
      </c>
      <c r="H454" s="159">
        <v>0</v>
      </c>
      <c r="I454" s="186">
        <f t="shared" si="114"/>
        <v>0</v>
      </c>
      <c r="J454" s="185">
        <f t="shared" si="109"/>
        <v>0</v>
      </c>
      <c r="K454" s="102">
        <f t="shared" si="115"/>
        <v>0</v>
      </c>
      <c r="L454" s="84">
        <f>ROUND(J454*VLOOKUP(A454,'Actual Load'!$A$4:$B$37,2,FALSE)/VLOOKUP(A454,'Projected Zonal Load'!$A$4:$N$37,14,FALSE),0)</f>
        <v>0</v>
      </c>
      <c r="M454" s="102">
        <f t="shared" si="110"/>
        <v>0</v>
      </c>
      <c r="N454" s="84">
        <f t="shared" si="116"/>
        <v>0</v>
      </c>
      <c r="O454" s="102">
        <f t="shared" si="122"/>
        <v>0</v>
      </c>
      <c r="P454" s="102">
        <f t="shared" si="112"/>
        <v>0</v>
      </c>
      <c r="Q454" s="49">
        <f>+H454*Interest!$D$18</f>
        <v>0</v>
      </c>
      <c r="R454" s="127">
        <f t="shared" si="123"/>
        <v>0</v>
      </c>
    </row>
    <row r="455" spans="1:18" x14ac:dyDescent="0.25">
      <c r="A455" s="77" t="s">
        <v>36</v>
      </c>
      <c r="B455" s="194"/>
      <c r="C455" s="155"/>
      <c r="D455" s="78">
        <v>0</v>
      </c>
      <c r="E455" s="156">
        <v>0</v>
      </c>
      <c r="F455" s="157">
        <v>0</v>
      </c>
      <c r="G455" s="156">
        <v>0</v>
      </c>
      <c r="H455" s="159">
        <v>0</v>
      </c>
      <c r="I455" s="186">
        <f t="shared" si="114"/>
        <v>0</v>
      </c>
      <c r="J455" s="185">
        <f t="shared" si="109"/>
        <v>0</v>
      </c>
      <c r="K455" s="102">
        <f t="shared" si="115"/>
        <v>0</v>
      </c>
      <c r="L455" s="84">
        <f>ROUND(J455*VLOOKUP(A455,'Actual Load'!$A$4:$B$37,2,FALSE)/VLOOKUP(A455,'Projected Zonal Load'!$A$4:$N$37,14,FALSE),0)</f>
        <v>0</v>
      </c>
      <c r="M455" s="102">
        <f t="shared" si="110"/>
        <v>0</v>
      </c>
      <c r="N455" s="84">
        <f t="shared" si="116"/>
        <v>0</v>
      </c>
      <c r="O455" s="102">
        <f t="shared" si="122"/>
        <v>0</v>
      </c>
      <c r="P455" s="102">
        <f t="shared" si="112"/>
        <v>0</v>
      </c>
      <c r="Q455" s="49">
        <f>+H455*Interest!$D$18</f>
        <v>0</v>
      </c>
      <c r="R455" s="127">
        <f t="shared" si="123"/>
        <v>0</v>
      </c>
    </row>
    <row r="456" spans="1:18" x14ac:dyDescent="0.25">
      <c r="A456" s="77" t="s">
        <v>91</v>
      </c>
      <c r="B456" s="194"/>
      <c r="C456" s="155"/>
      <c r="D456" s="78">
        <v>0</v>
      </c>
      <c r="E456" s="156">
        <v>0</v>
      </c>
      <c r="F456" s="157">
        <v>0</v>
      </c>
      <c r="G456" s="156">
        <v>0</v>
      </c>
      <c r="H456" s="159">
        <v>0</v>
      </c>
      <c r="I456" s="186">
        <f t="shared" si="114"/>
        <v>0</v>
      </c>
      <c r="J456" s="185">
        <f t="shared" si="109"/>
        <v>0</v>
      </c>
      <c r="K456" s="102">
        <f t="shared" si="115"/>
        <v>0</v>
      </c>
      <c r="L456" s="84">
        <f>ROUND(J456*VLOOKUP(A456,'Actual Load'!$A$4:$B$37,2,FALSE)/VLOOKUP(A456,'Projected Zonal Load'!$A$4:$N$37,14,FALSE),0)</f>
        <v>0</v>
      </c>
      <c r="M456" s="102">
        <f t="shared" si="110"/>
        <v>0</v>
      </c>
      <c r="N456" s="84">
        <f t="shared" si="116"/>
        <v>0</v>
      </c>
      <c r="O456" s="102">
        <f t="shared" si="122"/>
        <v>0</v>
      </c>
      <c r="P456" s="102">
        <f t="shared" si="112"/>
        <v>0</v>
      </c>
      <c r="Q456" s="49">
        <f>+H456*Interest!$D$18</f>
        <v>0</v>
      </c>
      <c r="R456" s="127">
        <f t="shared" si="123"/>
        <v>0</v>
      </c>
    </row>
    <row r="457" spans="1:18" x14ac:dyDescent="0.25">
      <c r="A457" s="77" t="s">
        <v>92</v>
      </c>
      <c r="B457" s="194"/>
      <c r="C457" s="155"/>
      <c r="D457" s="78">
        <v>0</v>
      </c>
      <c r="E457" s="156">
        <v>0</v>
      </c>
      <c r="F457" s="157">
        <v>0</v>
      </c>
      <c r="G457" s="156">
        <v>0</v>
      </c>
      <c r="H457" s="159">
        <v>0</v>
      </c>
      <c r="I457" s="186">
        <f t="shared" si="114"/>
        <v>0</v>
      </c>
      <c r="J457" s="185">
        <f t="shared" si="109"/>
        <v>0</v>
      </c>
      <c r="K457" s="102">
        <f t="shared" si="115"/>
        <v>0</v>
      </c>
      <c r="L457" s="84">
        <f>ROUND(J457*VLOOKUP(A457,'Actual Load'!$A$4:$B$37,2,FALSE)/VLOOKUP(A457,'Projected Zonal Load'!$A$4:$N$37,14,FALSE),0)</f>
        <v>0</v>
      </c>
      <c r="M457" s="102">
        <f t="shared" si="110"/>
        <v>0</v>
      </c>
      <c r="N457" s="84">
        <f t="shared" si="116"/>
        <v>0</v>
      </c>
      <c r="O457" s="102">
        <f t="shared" si="122"/>
        <v>0</v>
      </c>
      <c r="P457" s="102">
        <f t="shared" si="112"/>
        <v>0</v>
      </c>
      <c r="Q457" s="49">
        <f>+H457*Interest!$D$18</f>
        <v>0</v>
      </c>
      <c r="R457" s="127">
        <f t="shared" si="123"/>
        <v>0</v>
      </c>
    </row>
    <row r="458" spans="1:18" x14ac:dyDescent="0.25">
      <c r="A458" s="166" t="s">
        <v>93</v>
      </c>
      <c r="B458" s="194"/>
      <c r="C458" s="155"/>
      <c r="D458" s="78">
        <v>0</v>
      </c>
      <c r="E458" s="156">
        <v>0</v>
      </c>
      <c r="F458" s="224">
        <v>0</v>
      </c>
      <c r="G458" s="167">
        <v>0</v>
      </c>
      <c r="H458" s="222">
        <v>0</v>
      </c>
      <c r="I458" s="187">
        <f t="shared" si="114"/>
        <v>0</v>
      </c>
      <c r="J458" s="223">
        <f t="shared" si="109"/>
        <v>0</v>
      </c>
      <c r="K458" s="102">
        <f t="shared" si="115"/>
        <v>0</v>
      </c>
      <c r="L458" s="84">
        <f>ROUND(J458*VLOOKUP(A458,'Actual Load'!$A$4:$B$37,2,FALSE)/VLOOKUP(A458,'Projected Zonal Load'!$A$4:$N$37,14,FALSE),0)</f>
        <v>0</v>
      </c>
      <c r="M458" s="102">
        <f t="shared" si="110"/>
        <v>0</v>
      </c>
      <c r="N458" s="84">
        <f t="shared" si="116"/>
        <v>0</v>
      </c>
      <c r="O458" s="102">
        <f t="shared" si="122"/>
        <v>0</v>
      </c>
      <c r="P458" s="102">
        <f t="shared" si="112"/>
        <v>0</v>
      </c>
      <c r="Q458" s="49">
        <f>+H458*Interest!$D$18</f>
        <v>0</v>
      </c>
      <c r="R458" s="127">
        <f t="shared" si="123"/>
        <v>0</v>
      </c>
    </row>
    <row r="459" spans="1:18" x14ac:dyDescent="0.25">
      <c r="A459" s="170"/>
      <c r="B459" s="171"/>
      <c r="C459" s="172"/>
      <c r="D459" s="173">
        <v>0</v>
      </c>
      <c r="E459" s="174">
        <v>0</v>
      </c>
      <c r="F459" s="176">
        <v>1</v>
      </c>
      <c r="G459" s="177">
        <v>0</v>
      </c>
      <c r="H459" s="176">
        <v>1</v>
      </c>
      <c r="I459" s="177">
        <f t="shared" ref="I459:R459" si="124">SUM(I433:I458)</f>
        <v>0</v>
      </c>
      <c r="J459" s="177">
        <f t="shared" si="124"/>
        <v>13130.492540084642</v>
      </c>
      <c r="K459" s="120">
        <f t="shared" si="124"/>
        <v>455.47978649190736</v>
      </c>
      <c r="L459" s="107">
        <f t="shared" si="124"/>
        <v>12739</v>
      </c>
      <c r="M459" s="108">
        <f t="shared" si="124"/>
        <v>13336.749534378134</v>
      </c>
      <c r="N459" s="107">
        <f t="shared" si="124"/>
        <v>13130.492540084642</v>
      </c>
      <c r="O459" s="108">
        <f t="shared" si="124"/>
        <v>206.25699429349152</v>
      </c>
      <c r="P459" s="108">
        <f t="shared" si="124"/>
        <v>661.73678078539888</v>
      </c>
      <c r="Q459" s="108">
        <f t="shared" si="124"/>
        <v>43.96718484544671</v>
      </c>
      <c r="R459" s="128">
        <f t="shared" si="124"/>
        <v>705.70396563084557</v>
      </c>
    </row>
    <row r="460" spans="1:18" x14ac:dyDescent="0.25">
      <c r="H460" s="189"/>
      <c r="I460" s="190"/>
    </row>
    <row r="461" spans="1:18" x14ac:dyDescent="0.25">
      <c r="A461" s="199" t="s">
        <v>132</v>
      </c>
      <c r="O461" s="81"/>
      <c r="P461" s="81"/>
      <c r="Q461" s="81"/>
      <c r="R461" s="81"/>
    </row>
    <row r="462" spans="1:18" x14ac:dyDescent="0.25">
      <c r="H462" s="123" t="s">
        <v>175</v>
      </c>
      <c r="I462" s="191">
        <v>13517.492540084642</v>
      </c>
      <c r="K462" s="124"/>
      <c r="L462" s="123" t="s">
        <v>178</v>
      </c>
      <c r="M462" s="191">
        <v>13062.012753592735</v>
      </c>
      <c r="O462" s="81"/>
      <c r="P462" s="81"/>
      <c r="Q462" s="81"/>
      <c r="R462" s="81"/>
    </row>
    <row r="463" spans="1:18" x14ac:dyDescent="0.25">
      <c r="H463" s="83" t="s">
        <v>177</v>
      </c>
      <c r="I463" s="191">
        <v>-387</v>
      </c>
      <c r="K463" s="124"/>
      <c r="L463" s="83" t="s">
        <v>177</v>
      </c>
      <c r="M463" s="191">
        <v>-387</v>
      </c>
      <c r="O463" s="81"/>
      <c r="P463" s="81"/>
      <c r="Q463" s="81"/>
      <c r="R463" s="81"/>
    </row>
    <row r="464" spans="1:18" x14ac:dyDescent="0.25">
      <c r="G464" s="124"/>
      <c r="H464" s="125" t="s">
        <v>176</v>
      </c>
      <c r="I464" s="192">
        <f>SUM(I462:I463)</f>
        <v>13130.492540084642</v>
      </c>
      <c r="J464" s="126" t="s">
        <v>132</v>
      </c>
      <c r="K464" s="129"/>
      <c r="L464" s="125" t="s">
        <v>176</v>
      </c>
      <c r="M464" s="192">
        <f>SUM(M462:M463)</f>
        <v>12675.012753592735</v>
      </c>
      <c r="O464" s="74" t="s">
        <v>132</v>
      </c>
      <c r="P464" s="81"/>
      <c r="Q464" s="81"/>
      <c r="R464" s="81"/>
    </row>
    <row r="465" spans="1:18" x14ac:dyDescent="0.25">
      <c r="I465" s="193"/>
      <c r="O465" s="81"/>
      <c r="P465" s="81"/>
      <c r="Q465" s="81"/>
      <c r="R465" s="81"/>
    </row>
    <row r="467" spans="1:18" x14ac:dyDescent="0.25">
      <c r="A467" s="359" t="s">
        <v>0</v>
      </c>
      <c r="B467" s="360"/>
      <c r="C467" s="360" t="s">
        <v>245</v>
      </c>
      <c r="D467" s="360"/>
      <c r="E467" s="360"/>
      <c r="F467" s="360"/>
      <c r="G467" s="360"/>
      <c r="H467" s="361"/>
      <c r="I467" s="178"/>
    </row>
    <row r="468" spans="1:18" outlineLevel="1" x14ac:dyDescent="0.25">
      <c r="A468" s="179" t="s">
        <v>137</v>
      </c>
      <c r="B468" s="180"/>
      <c r="C468" s="181">
        <v>11</v>
      </c>
      <c r="D468" s="182"/>
      <c r="E468" s="182"/>
      <c r="F468" s="182"/>
      <c r="G468" s="182"/>
      <c r="H468" s="183"/>
      <c r="I468" s="178"/>
    </row>
    <row r="469" spans="1:18" x14ac:dyDescent="0.25">
      <c r="A469" s="362" t="s">
        <v>2</v>
      </c>
      <c r="B469" s="363"/>
      <c r="C469" s="364"/>
      <c r="D469" s="365"/>
      <c r="E469" s="365"/>
      <c r="F469" s="365"/>
      <c r="G469" s="365"/>
      <c r="H469" s="366"/>
      <c r="I469" s="178"/>
    </row>
    <row r="470" spans="1:18" x14ac:dyDescent="0.25">
      <c r="A470" s="362" t="s">
        <v>4</v>
      </c>
      <c r="B470" s="363"/>
      <c r="C470" s="364"/>
      <c r="D470" s="365"/>
      <c r="E470" s="365"/>
      <c r="F470" s="365"/>
      <c r="G470" s="365"/>
      <c r="H470" s="366"/>
      <c r="I470" s="178"/>
    </row>
    <row r="471" spans="1:18" x14ac:dyDescent="0.25">
      <c r="A471" s="362" t="s">
        <v>6</v>
      </c>
      <c r="B471" s="363"/>
      <c r="C471" s="367">
        <v>25233333</v>
      </c>
      <c r="D471" s="368"/>
      <c r="E471" s="368"/>
      <c r="F471" s="368"/>
      <c r="G471" s="368"/>
      <c r="H471" s="369"/>
      <c r="I471" s="178"/>
      <c r="M471" s="111"/>
      <c r="O471" s="111" t="s">
        <v>43</v>
      </c>
      <c r="P471" s="111" t="s">
        <v>39</v>
      </c>
      <c r="R471" s="111" t="s">
        <v>44</v>
      </c>
    </row>
    <row r="472" spans="1:18" x14ac:dyDescent="0.25">
      <c r="A472" s="370" t="s">
        <v>7</v>
      </c>
      <c r="B472" s="371"/>
      <c r="C472" s="372" t="s">
        <v>246</v>
      </c>
      <c r="D472" s="373"/>
      <c r="E472" s="373"/>
      <c r="F472" s="373"/>
      <c r="G472" s="373"/>
      <c r="H472" s="374"/>
      <c r="I472" s="178"/>
      <c r="K472" s="111" t="s">
        <v>41</v>
      </c>
      <c r="L472" s="112" t="s">
        <v>42</v>
      </c>
      <c r="M472" s="113" t="s">
        <v>182</v>
      </c>
      <c r="N472" s="113" t="s">
        <v>38</v>
      </c>
      <c r="O472" s="113" t="s">
        <v>183</v>
      </c>
      <c r="P472" s="113" t="s">
        <v>184</v>
      </c>
      <c r="Q472" s="113" t="s">
        <v>40</v>
      </c>
      <c r="R472" s="113" t="s">
        <v>185</v>
      </c>
    </row>
    <row r="473" spans="1:18" x14ac:dyDescent="0.25">
      <c r="A473" s="134"/>
      <c r="B473" s="134"/>
      <c r="C473" s="134"/>
      <c r="D473" s="134"/>
      <c r="E473" s="134"/>
      <c r="F473" s="134"/>
      <c r="G473" s="134"/>
      <c r="H473" s="134"/>
      <c r="I473" s="134"/>
      <c r="K473" s="90"/>
      <c r="L473" s="351" t="s">
        <v>45</v>
      </c>
      <c r="M473" s="352"/>
      <c r="N473" s="352"/>
      <c r="O473" s="353"/>
      <c r="P473" s="91" t="s">
        <v>46</v>
      </c>
      <c r="Q473" s="90"/>
      <c r="R473" s="91" t="s">
        <v>47</v>
      </c>
    </row>
    <row r="474" spans="1:18" x14ac:dyDescent="0.25">
      <c r="A474" s="135"/>
      <c r="B474" s="136"/>
      <c r="C474" s="137"/>
      <c r="D474" s="354">
        <v>0</v>
      </c>
      <c r="E474" s="355"/>
      <c r="F474" s="354">
        <v>1</v>
      </c>
      <c r="G474" s="355"/>
      <c r="H474" s="138"/>
      <c r="I474" s="139"/>
      <c r="J474" s="140" t="s">
        <v>9</v>
      </c>
      <c r="K474" s="92" t="s">
        <v>48</v>
      </c>
      <c r="L474" s="351" t="s">
        <v>49</v>
      </c>
      <c r="M474" s="352"/>
      <c r="N474" s="93"/>
      <c r="O474" s="91" t="s">
        <v>50</v>
      </c>
      <c r="P474" s="92" t="s">
        <v>51</v>
      </c>
      <c r="Q474" s="94"/>
      <c r="R474" s="92" t="s">
        <v>52</v>
      </c>
    </row>
    <row r="475" spans="1:18" x14ac:dyDescent="0.25">
      <c r="A475" s="141"/>
      <c r="B475" s="142"/>
      <c r="C475" s="143"/>
      <c r="D475" s="356" t="s">
        <v>10</v>
      </c>
      <c r="E475" s="357"/>
      <c r="F475" s="356" t="s">
        <v>11</v>
      </c>
      <c r="G475" s="357"/>
      <c r="H475" s="356" t="s">
        <v>12</v>
      </c>
      <c r="I475" s="358"/>
      <c r="J475" s="144" t="s">
        <v>13</v>
      </c>
      <c r="K475" s="95" t="s">
        <v>53</v>
      </c>
      <c r="L475" s="96" t="s">
        <v>179</v>
      </c>
      <c r="M475" s="97" t="s">
        <v>180</v>
      </c>
      <c r="N475" s="98" t="s">
        <v>54</v>
      </c>
      <c r="O475" s="98" t="s">
        <v>53</v>
      </c>
      <c r="P475" s="98" t="s">
        <v>53</v>
      </c>
      <c r="Q475" s="98" t="s">
        <v>55</v>
      </c>
      <c r="R475" s="98" t="s">
        <v>56</v>
      </c>
    </row>
    <row r="476" spans="1:18" ht="45" x14ac:dyDescent="0.25">
      <c r="A476" s="145" t="s">
        <v>14</v>
      </c>
      <c r="B476" s="146" t="s">
        <v>15</v>
      </c>
      <c r="C476" s="147" t="s">
        <v>16</v>
      </c>
      <c r="D476" s="148" t="s">
        <v>17</v>
      </c>
      <c r="E476" s="149" t="s">
        <v>18</v>
      </c>
      <c r="F476" s="148" t="s">
        <v>17</v>
      </c>
      <c r="G476" s="149" t="s">
        <v>18</v>
      </c>
      <c r="H476" s="150" t="s">
        <v>17</v>
      </c>
      <c r="I476" s="151" t="s">
        <v>18</v>
      </c>
      <c r="J476" s="147" t="s">
        <v>18</v>
      </c>
      <c r="K476" s="152" t="s">
        <v>57</v>
      </c>
      <c r="L476" s="99"/>
      <c r="M476" s="100"/>
      <c r="N476" s="99"/>
      <c r="O476" s="152" t="s">
        <v>57</v>
      </c>
      <c r="P476" s="100"/>
      <c r="Q476" s="100"/>
      <c r="R476" s="153" t="s">
        <v>57</v>
      </c>
    </row>
    <row r="477" spans="1:18" x14ac:dyDescent="0.25">
      <c r="A477" s="75" t="s">
        <v>195</v>
      </c>
      <c r="B477" s="194"/>
      <c r="C477" s="155"/>
      <c r="D477" s="78">
        <v>0</v>
      </c>
      <c r="E477" s="156">
        <v>0</v>
      </c>
      <c r="F477" s="157">
        <v>0</v>
      </c>
      <c r="G477" s="158">
        <v>0</v>
      </c>
      <c r="H477" s="78">
        <v>0</v>
      </c>
      <c r="I477" s="184">
        <f>H477*$C$427</f>
        <v>0</v>
      </c>
      <c r="J477" s="185">
        <f t="shared" ref="J477:J503" si="125">H477*I$509</f>
        <v>0</v>
      </c>
      <c r="K477" s="102">
        <f t="shared" ref="K477:K502" si="126">(I$509-M$509)*H477</f>
        <v>0</v>
      </c>
      <c r="L477" s="84">
        <f>ROUND(J477*VLOOKUP(A477,'Actual Load'!$A$4:$B$37,2,FALSE)/VLOOKUP(A477,'Projected Zonal Load'!$A$4:$N$37,14,FALSE),0)</f>
        <v>0</v>
      </c>
      <c r="M477" s="102">
        <f t="shared" ref="M477:M502" si="127">IF(NOT(L$43=0),M$6*L477/L$43,0)</f>
        <v>0</v>
      </c>
      <c r="N477" s="84">
        <f>+J477</f>
        <v>0</v>
      </c>
      <c r="O477" s="102">
        <f t="shared" ref="O477:O492" si="128">+M477-N477</f>
        <v>0</v>
      </c>
      <c r="P477" s="102">
        <f t="shared" ref="P477:P502" si="129">+K477+O477</f>
        <v>0</v>
      </c>
      <c r="Q477" s="49">
        <f>+H477*Interest!$D$23</f>
        <v>0</v>
      </c>
      <c r="R477" s="127">
        <f t="shared" ref="R477:R492" si="130">+P477+Q477</f>
        <v>0</v>
      </c>
    </row>
    <row r="478" spans="1:18" x14ac:dyDescent="0.25">
      <c r="A478" s="76" t="s">
        <v>19</v>
      </c>
      <c r="B478" s="194"/>
      <c r="C478" s="155"/>
      <c r="D478" s="78">
        <v>0</v>
      </c>
      <c r="E478" s="156">
        <v>0</v>
      </c>
      <c r="F478" s="157">
        <v>0</v>
      </c>
      <c r="G478" s="156">
        <v>0</v>
      </c>
      <c r="H478" s="78">
        <v>0</v>
      </c>
      <c r="I478" s="186">
        <f t="shared" ref="I478:I502" si="131">H478*$C$427</f>
        <v>0</v>
      </c>
      <c r="J478" s="185">
        <f t="shared" si="125"/>
        <v>0</v>
      </c>
      <c r="K478" s="102">
        <f t="shared" si="126"/>
        <v>0</v>
      </c>
      <c r="L478" s="84">
        <f>ROUND(J478*VLOOKUP(A478,'Actual Load'!$A$4:$B$37,2,FALSE)/VLOOKUP(A478,'Projected Zonal Load'!$A$4:$N$37,14,FALSE),0)</f>
        <v>0</v>
      </c>
      <c r="M478" s="102">
        <f t="shared" si="127"/>
        <v>0</v>
      </c>
      <c r="N478" s="84">
        <f t="shared" ref="N478:N502" si="132">+J478</f>
        <v>0</v>
      </c>
      <c r="O478" s="102">
        <f t="shared" si="128"/>
        <v>0</v>
      </c>
      <c r="P478" s="102">
        <f t="shared" si="129"/>
        <v>0</v>
      </c>
      <c r="Q478" s="49">
        <f>+H478*Interest!$D$23</f>
        <v>0</v>
      </c>
      <c r="R478" s="127">
        <f t="shared" si="130"/>
        <v>0</v>
      </c>
    </row>
    <row r="479" spans="1:18" x14ac:dyDescent="0.25">
      <c r="A479" s="76" t="s">
        <v>210</v>
      </c>
      <c r="B479" s="194"/>
      <c r="C479" s="155"/>
      <c r="D479" s="78">
        <v>0</v>
      </c>
      <c r="E479" s="156">
        <v>0</v>
      </c>
      <c r="F479" s="157">
        <v>0</v>
      </c>
      <c r="G479" s="156">
        <v>0</v>
      </c>
      <c r="H479" s="78">
        <v>0</v>
      </c>
      <c r="I479" s="186">
        <f t="shared" si="131"/>
        <v>0</v>
      </c>
      <c r="J479" s="185">
        <f t="shared" si="125"/>
        <v>0</v>
      </c>
      <c r="K479" s="102">
        <f t="shared" si="126"/>
        <v>0</v>
      </c>
      <c r="L479" s="84">
        <f>ROUND(J479*VLOOKUP(A479,'Actual Load'!$A$4:$B$37,2,FALSE)/VLOOKUP(A479,'Projected Zonal Load'!$A$4:$N$37,14,FALSE),0)</f>
        <v>0</v>
      </c>
      <c r="M479" s="102">
        <f t="shared" si="127"/>
        <v>0</v>
      </c>
      <c r="N479" s="84">
        <f t="shared" si="132"/>
        <v>0</v>
      </c>
      <c r="O479" s="102">
        <f t="shared" si="128"/>
        <v>0</v>
      </c>
      <c r="P479" s="102">
        <f t="shared" si="129"/>
        <v>0</v>
      </c>
      <c r="Q479" s="49">
        <f>+H479*Interest!$D$23</f>
        <v>0</v>
      </c>
      <c r="R479" s="127">
        <f t="shared" si="130"/>
        <v>0</v>
      </c>
    </row>
    <row r="480" spans="1:18" x14ac:dyDescent="0.25">
      <c r="A480" s="76" t="s">
        <v>211</v>
      </c>
      <c r="B480" s="194"/>
      <c r="C480" s="155"/>
      <c r="D480" s="78">
        <v>0</v>
      </c>
      <c r="E480" s="156">
        <v>0</v>
      </c>
      <c r="F480" s="157">
        <v>0</v>
      </c>
      <c r="G480" s="156">
        <v>0</v>
      </c>
      <c r="H480" s="78">
        <v>0</v>
      </c>
      <c r="I480" s="186">
        <f t="shared" si="131"/>
        <v>0</v>
      </c>
      <c r="J480" s="185">
        <f t="shared" si="125"/>
        <v>0</v>
      </c>
      <c r="K480" s="102">
        <f t="shared" si="126"/>
        <v>0</v>
      </c>
      <c r="L480" s="84">
        <f>ROUND(J480*VLOOKUP(A480,'Actual Load'!$A$4:$B$37,2,FALSE)/VLOOKUP(A480,'Projected Zonal Load'!$A$4:$N$37,14,FALSE),0)</f>
        <v>0</v>
      </c>
      <c r="M480" s="102">
        <f t="shared" si="127"/>
        <v>0</v>
      </c>
      <c r="N480" s="84">
        <f t="shared" si="132"/>
        <v>0</v>
      </c>
      <c r="O480" s="102">
        <f t="shared" si="128"/>
        <v>0</v>
      </c>
      <c r="P480" s="102">
        <f t="shared" si="129"/>
        <v>0</v>
      </c>
      <c r="Q480" s="49">
        <f>+H480*Interest!$D$23</f>
        <v>0</v>
      </c>
      <c r="R480" s="127">
        <f t="shared" si="130"/>
        <v>0</v>
      </c>
    </row>
    <row r="481" spans="1:18" x14ac:dyDescent="0.25">
      <c r="A481" s="76" t="s">
        <v>20</v>
      </c>
      <c r="B481" s="194"/>
      <c r="C481" s="155"/>
      <c r="D481" s="78">
        <v>0</v>
      </c>
      <c r="E481" s="156">
        <v>0</v>
      </c>
      <c r="F481" s="157">
        <v>0</v>
      </c>
      <c r="G481" s="156">
        <v>0</v>
      </c>
      <c r="H481" s="78">
        <v>0</v>
      </c>
      <c r="I481" s="186">
        <f t="shared" si="131"/>
        <v>0</v>
      </c>
      <c r="J481" s="185">
        <f t="shared" si="125"/>
        <v>0</v>
      </c>
      <c r="K481" s="102">
        <f t="shared" si="126"/>
        <v>0</v>
      </c>
      <c r="L481" s="84">
        <f>ROUND(J481*VLOOKUP(A481,'Actual Load'!$A$4:$B$37,2,FALSE)/VLOOKUP(A481,'Projected Zonal Load'!$A$4:$N$37,14,FALSE),0)</f>
        <v>0</v>
      </c>
      <c r="M481" s="102">
        <f t="shared" si="127"/>
        <v>0</v>
      </c>
      <c r="N481" s="84">
        <f t="shared" si="132"/>
        <v>0</v>
      </c>
      <c r="O481" s="102">
        <f t="shared" si="128"/>
        <v>0</v>
      </c>
      <c r="P481" s="102">
        <f t="shared" si="129"/>
        <v>0</v>
      </c>
      <c r="Q481" s="49">
        <f>+H481*Interest!$D$23</f>
        <v>0</v>
      </c>
      <c r="R481" s="127">
        <f t="shared" si="130"/>
        <v>0</v>
      </c>
    </row>
    <row r="482" spans="1:18" x14ac:dyDescent="0.25">
      <c r="A482" s="76" t="s">
        <v>21</v>
      </c>
      <c r="B482" s="194"/>
      <c r="C482" s="155"/>
      <c r="D482" s="78">
        <v>0</v>
      </c>
      <c r="E482" s="156">
        <v>0</v>
      </c>
      <c r="F482" s="157">
        <v>0</v>
      </c>
      <c r="G482" s="156">
        <v>0</v>
      </c>
      <c r="H482" s="78">
        <v>0</v>
      </c>
      <c r="I482" s="186">
        <f t="shared" si="131"/>
        <v>0</v>
      </c>
      <c r="J482" s="185">
        <f t="shared" si="125"/>
        <v>0</v>
      </c>
      <c r="K482" s="102">
        <f t="shared" si="126"/>
        <v>0</v>
      </c>
      <c r="L482" s="84">
        <f>ROUND(J482*VLOOKUP(A482,'Actual Load'!$A$4:$B$37,2,FALSE)/VLOOKUP(A482,'Projected Zonal Load'!$A$4:$N$37,14,FALSE),0)</f>
        <v>0</v>
      </c>
      <c r="M482" s="102">
        <f t="shared" si="127"/>
        <v>0</v>
      </c>
      <c r="N482" s="84">
        <f t="shared" si="132"/>
        <v>0</v>
      </c>
      <c r="O482" s="102">
        <f t="shared" si="128"/>
        <v>0</v>
      </c>
      <c r="P482" s="102">
        <f t="shared" si="129"/>
        <v>0</v>
      </c>
      <c r="Q482" s="49">
        <f>+H482*Interest!$D$23</f>
        <v>0</v>
      </c>
      <c r="R482" s="127">
        <f t="shared" si="130"/>
        <v>0</v>
      </c>
    </row>
    <row r="483" spans="1:18" x14ac:dyDescent="0.25">
      <c r="A483" s="76" t="s">
        <v>22</v>
      </c>
      <c r="B483" s="194"/>
      <c r="C483" s="155"/>
      <c r="D483" s="78">
        <v>0</v>
      </c>
      <c r="E483" s="156">
        <v>0</v>
      </c>
      <c r="F483" s="157">
        <v>0</v>
      </c>
      <c r="G483" s="156">
        <v>0</v>
      </c>
      <c r="H483" s="78">
        <v>0</v>
      </c>
      <c r="I483" s="186">
        <f t="shared" si="131"/>
        <v>0</v>
      </c>
      <c r="J483" s="185">
        <f t="shared" si="125"/>
        <v>0</v>
      </c>
      <c r="K483" s="102">
        <f t="shared" si="126"/>
        <v>0</v>
      </c>
      <c r="L483" s="84">
        <f>ROUND(J483*'Actual Load'!$B$17/'Projected Zonal Load'!$N$17,0)</f>
        <v>0</v>
      </c>
      <c r="M483" s="102">
        <f t="shared" si="127"/>
        <v>0</v>
      </c>
      <c r="N483" s="84">
        <f t="shared" si="132"/>
        <v>0</v>
      </c>
      <c r="O483" s="102">
        <f t="shared" si="128"/>
        <v>0</v>
      </c>
      <c r="P483" s="102">
        <f t="shared" si="129"/>
        <v>0</v>
      </c>
      <c r="Q483" s="49">
        <f>+H483*Interest!$D$23</f>
        <v>0</v>
      </c>
      <c r="R483" s="127">
        <f t="shared" si="130"/>
        <v>0</v>
      </c>
    </row>
    <row r="484" spans="1:18" x14ac:dyDescent="0.25">
      <c r="A484" s="76" t="s">
        <v>23</v>
      </c>
      <c r="B484" s="194"/>
      <c r="C484" s="155"/>
      <c r="D484" s="78">
        <v>0</v>
      </c>
      <c r="E484" s="156">
        <v>0</v>
      </c>
      <c r="F484" s="157">
        <v>0</v>
      </c>
      <c r="G484" s="156">
        <v>0</v>
      </c>
      <c r="H484" s="78">
        <v>0</v>
      </c>
      <c r="I484" s="186">
        <f t="shared" si="131"/>
        <v>0</v>
      </c>
      <c r="J484" s="185">
        <f t="shared" si="125"/>
        <v>0</v>
      </c>
      <c r="K484" s="102">
        <f t="shared" si="126"/>
        <v>0</v>
      </c>
      <c r="L484" s="84">
        <f>ROUND(J484*VLOOKUP(A484,'Actual Load'!$A$4:$B$37,2,FALSE)/VLOOKUP(A484,'Projected Zonal Load'!$A$4:$N$37,14,FALSE),0)</f>
        <v>0</v>
      </c>
      <c r="M484" s="102">
        <f t="shared" si="127"/>
        <v>0</v>
      </c>
      <c r="N484" s="84">
        <f t="shared" si="132"/>
        <v>0</v>
      </c>
      <c r="O484" s="102">
        <f t="shared" si="128"/>
        <v>0</v>
      </c>
      <c r="P484" s="102">
        <f t="shared" si="129"/>
        <v>0</v>
      </c>
      <c r="Q484" s="49">
        <f>+H484*Interest!$D$23</f>
        <v>0</v>
      </c>
      <c r="R484" s="127">
        <f t="shared" si="130"/>
        <v>0</v>
      </c>
    </row>
    <row r="485" spans="1:18" x14ac:dyDescent="0.25">
      <c r="A485" s="76" t="s">
        <v>24</v>
      </c>
      <c r="B485" s="194"/>
      <c r="C485" s="155"/>
      <c r="D485" s="78">
        <v>0</v>
      </c>
      <c r="E485" s="156">
        <v>0</v>
      </c>
      <c r="F485" s="157">
        <v>0</v>
      </c>
      <c r="G485" s="156">
        <v>0</v>
      </c>
      <c r="H485" s="78">
        <v>0</v>
      </c>
      <c r="I485" s="186">
        <f t="shared" si="131"/>
        <v>0</v>
      </c>
      <c r="J485" s="185">
        <f t="shared" si="125"/>
        <v>0</v>
      </c>
      <c r="K485" s="102">
        <f t="shared" si="126"/>
        <v>0</v>
      </c>
      <c r="L485" s="84">
        <f>ROUND(J485*VLOOKUP(A485,'Actual Load'!$A$4:$B$37,2,FALSE)/VLOOKUP(A485,'Projected Zonal Load'!$A$4:$N$37,14,FALSE),0)</f>
        <v>0</v>
      </c>
      <c r="M485" s="102">
        <f t="shared" si="127"/>
        <v>0</v>
      </c>
      <c r="N485" s="84">
        <f t="shared" si="132"/>
        <v>0</v>
      </c>
      <c r="O485" s="102">
        <f t="shared" si="128"/>
        <v>0</v>
      </c>
      <c r="P485" s="102">
        <f t="shared" si="129"/>
        <v>0</v>
      </c>
      <c r="Q485" s="49">
        <f>+H485*Interest!$D$23</f>
        <v>0</v>
      </c>
      <c r="R485" s="127">
        <f t="shared" si="130"/>
        <v>0</v>
      </c>
    </row>
    <row r="486" spans="1:18" x14ac:dyDescent="0.25">
      <c r="A486" s="76" t="s">
        <v>25</v>
      </c>
      <c r="B486" s="194"/>
      <c r="C486" s="155"/>
      <c r="D486" s="78">
        <v>0</v>
      </c>
      <c r="E486" s="156">
        <v>0</v>
      </c>
      <c r="F486" s="157">
        <v>0</v>
      </c>
      <c r="G486" s="156">
        <v>0</v>
      </c>
      <c r="H486" s="78">
        <v>0</v>
      </c>
      <c r="I486" s="186">
        <f t="shared" si="131"/>
        <v>0</v>
      </c>
      <c r="J486" s="185">
        <f t="shared" si="125"/>
        <v>0</v>
      </c>
      <c r="K486" s="102">
        <f t="shared" si="126"/>
        <v>0</v>
      </c>
      <c r="L486" s="84">
        <f>ROUND(J486*VLOOKUP(A486,'Actual Load'!$A$4:$B$37,2,FALSE)/VLOOKUP(A486,'Projected Zonal Load'!$A$4:$N$37,14,FALSE),0)</f>
        <v>0</v>
      </c>
      <c r="M486" s="102">
        <f t="shared" si="127"/>
        <v>0</v>
      </c>
      <c r="N486" s="84">
        <f t="shared" si="132"/>
        <v>0</v>
      </c>
      <c r="O486" s="102">
        <f t="shared" si="128"/>
        <v>0</v>
      </c>
      <c r="P486" s="102">
        <f t="shared" si="129"/>
        <v>0</v>
      </c>
      <c r="Q486" s="49">
        <f>+H486*Interest!$D$23</f>
        <v>0</v>
      </c>
      <c r="R486" s="127">
        <f t="shared" si="130"/>
        <v>0</v>
      </c>
    </row>
    <row r="487" spans="1:18" x14ac:dyDescent="0.25">
      <c r="A487" s="76" t="s">
        <v>27</v>
      </c>
      <c r="B487" s="194"/>
      <c r="C487" s="155"/>
      <c r="D487" s="78">
        <v>0</v>
      </c>
      <c r="E487" s="156">
        <v>0</v>
      </c>
      <c r="F487" s="157">
        <v>0</v>
      </c>
      <c r="G487" s="156">
        <v>0</v>
      </c>
      <c r="H487" s="78">
        <v>0</v>
      </c>
      <c r="I487" s="186">
        <f t="shared" si="131"/>
        <v>0</v>
      </c>
      <c r="J487" s="185">
        <f t="shared" si="125"/>
        <v>0</v>
      </c>
      <c r="K487" s="102">
        <f t="shared" si="126"/>
        <v>0</v>
      </c>
      <c r="L487" s="84">
        <f>ROUND(J487*VLOOKUP(A487,'Actual Load'!$A$4:$B$37,2,FALSE)/VLOOKUP(A487,'Projected Zonal Load'!$A$4:$N$37,14,FALSE),0)</f>
        <v>0</v>
      </c>
      <c r="M487" s="102">
        <f t="shared" si="127"/>
        <v>0</v>
      </c>
      <c r="N487" s="84">
        <f t="shared" si="132"/>
        <v>0</v>
      </c>
      <c r="O487" s="102">
        <f t="shared" si="128"/>
        <v>0</v>
      </c>
      <c r="P487" s="102">
        <f t="shared" si="129"/>
        <v>0</v>
      </c>
      <c r="Q487" s="49">
        <f>+H487*Interest!$D$23</f>
        <v>0</v>
      </c>
      <c r="R487" s="127">
        <f t="shared" si="130"/>
        <v>0</v>
      </c>
    </row>
    <row r="488" spans="1:18" x14ac:dyDescent="0.25">
      <c r="A488" s="76" t="s">
        <v>26</v>
      </c>
      <c r="B488" s="194"/>
      <c r="C488" s="155"/>
      <c r="D488" s="78">
        <v>0</v>
      </c>
      <c r="E488" s="156">
        <v>0</v>
      </c>
      <c r="F488" s="157">
        <v>0</v>
      </c>
      <c r="G488" s="156">
        <v>0</v>
      </c>
      <c r="H488" s="78">
        <v>0</v>
      </c>
      <c r="I488" s="186">
        <f t="shared" si="131"/>
        <v>0</v>
      </c>
      <c r="J488" s="185">
        <f t="shared" si="125"/>
        <v>0</v>
      </c>
      <c r="K488" s="102">
        <f t="shared" si="126"/>
        <v>0</v>
      </c>
      <c r="L488" s="84">
        <f>ROUND(J488*VLOOKUP(A488,'Actual Load'!$A$4:$B$37,2,FALSE)/VLOOKUP(A488,'Projected Zonal Load'!$A$4:$N$37,14,FALSE),0)</f>
        <v>0</v>
      </c>
      <c r="M488" s="102">
        <f t="shared" si="127"/>
        <v>0</v>
      </c>
      <c r="N488" s="84">
        <f t="shared" si="132"/>
        <v>0</v>
      </c>
      <c r="O488" s="102">
        <f t="shared" si="128"/>
        <v>0</v>
      </c>
      <c r="P488" s="102">
        <f t="shared" si="129"/>
        <v>0</v>
      </c>
      <c r="Q488" s="49">
        <f>+H488*Interest!$D$23</f>
        <v>0</v>
      </c>
      <c r="R488" s="127">
        <f t="shared" si="130"/>
        <v>0</v>
      </c>
    </row>
    <row r="489" spans="1:18" x14ac:dyDescent="0.25">
      <c r="A489" s="76" t="s">
        <v>69</v>
      </c>
      <c r="B489" s="194"/>
      <c r="C489" s="155"/>
      <c r="D489" s="78">
        <v>0</v>
      </c>
      <c r="E489" s="156">
        <v>0</v>
      </c>
      <c r="F489" s="157">
        <v>0</v>
      </c>
      <c r="G489" s="156">
        <v>0</v>
      </c>
      <c r="H489" s="78">
        <v>0</v>
      </c>
      <c r="I489" s="186">
        <f t="shared" si="131"/>
        <v>0</v>
      </c>
      <c r="J489" s="185">
        <f t="shared" si="125"/>
        <v>0</v>
      </c>
      <c r="K489" s="102">
        <f t="shared" si="126"/>
        <v>0</v>
      </c>
      <c r="L489" s="84">
        <f>ROUND(J489*'Actual Load'!$B$18/'Projected Zonal Load'!$N$18,0)</f>
        <v>0</v>
      </c>
      <c r="M489" s="118">
        <f t="shared" si="127"/>
        <v>0</v>
      </c>
      <c r="N489" s="84">
        <f t="shared" si="132"/>
        <v>0</v>
      </c>
      <c r="O489" s="102">
        <f t="shared" si="128"/>
        <v>0</v>
      </c>
      <c r="P489" s="102">
        <f t="shared" si="129"/>
        <v>0</v>
      </c>
      <c r="Q489" s="49">
        <f>+H489*Interest!$D$23</f>
        <v>0</v>
      </c>
      <c r="R489" s="127">
        <f t="shared" si="130"/>
        <v>0</v>
      </c>
    </row>
    <row r="490" spans="1:18" x14ac:dyDescent="0.25">
      <c r="A490" s="76" t="s">
        <v>70</v>
      </c>
      <c r="B490" s="194"/>
      <c r="C490" s="155"/>
      <c r="D490" s="78">
        <v>0</v>
      </c>
      <c r="E490" s="156">
        <v>0</v>
      </c>
      <c r="F490" s="157">
        <v>0</v>
      </c>
      <c r="G490" s="156">
        <v>0</v>
      </c>
      <c r="H490" s="78">
        <v>0</v>
      </c>
      <c r="I490" s="186">
        <f t="shared" si="131"/>
        <v>0</v>
      </c>
      <c r="J490" s="185">
        <f t="shared" si="125"/>
        <v>0</v>
      </c>
      <c r="K490" s="102">
        <f t="shared" si="126"/>
        <v>0</v>
      </c>
      <c r="L490" s="84">
        <f>ROUND(J490*'Actual Load'!$B$17/'Projected Zonal Load'!$N$17,0)</f>
        <v>0</v>
      </c>
      <c r="M490" s="118">
        <f t="shared" si="127"/>
        <v>0</v>
      </c>
      <c r="N490" s="84">
        <f t="shared" si="132"/>
        <v>0</v>
      </c>
      <c r="O490" s="102">
        <f t="shared" si="128"/>
        <v>0</v>
      </c>
      <c r="P490" s="102">
        <f t="shared" si="129"/>
        <v>0</v>
      </c>
      <c r="Q490" s="49">
        <f>+H490*Interest!$D$23</f>
        <v>0</v>
      </c>
      <c r="R490" s="127">
        <f t="shared" si="130"/>
        <v>0</v>
      </c>
    </row>
    <row r="491" spans="1:18" x14ac:dyDescent="0.25">
      <c r="A491" s="76" t="s">
        <v>28</v>
      </c>
      <c r="B491" s="194"/>
      <c r="C491" s="155"/>
      <c r="D491" s="78">
        <v>0</v>
      </c>
      <c r="E491" s="156">
        <v>0</v>
      </c>
      <c r="F491" s="157">
        <v>0</v>
      </c>
      <c r="G491" s="156">
        <v>0</v>
      </c>
      <c r="H491" s="78">
        <v>0</v>
      </c>
      <c r="I491" s="186">
        <f t="shared" si="131"/>
        <v>0</v>
      </c>
      <c r="J491" s="185">
        <f t="shared" si="125"/>
        <v>0</v>
      </c>
      <c r="K491" s="102">
        <f t="shared" si="126"/>
        <v>0</v>
      </c>
      <c r="L491" s="84">
        <f>ROUND(J491*VLOOKUP(A491,'Actual Load'!$A$4:$B$37,2,FALSE)/VLOOKUP(A491,'Projected Zonal Load'!$A$4:$N$37,14,FALSE),0)</f>
        <v>0</v>
      </c>
      <c r="M491" s="102">
        <f t="shared" si="127"/>
        <v>0</v>
      </c>
      <c r="N491" s="84">
        <f t="shared" si="132"/>
        <v>0</v>
      </c>
      <c r="O491" s="102">
        <f t="shared" si="128"/>
        <v>0</v>
      </c>
      <c r="P491" s="102">
        <f t="shared" si="129"/>
        <v>0</v>
      </c>
      <c r="Q491" s="49">
        <f>+H491*Interest!$D$23</f>
        <v>0</v>
      </c>
      <c r="R491" s="127">
        <f t="shared" si="130"/>
        <v>0</v>
      </c>
    </row>
    <row r="492" spans="1:18" x14ac:dyDescent="0.25">
      <c r="A492" s="76" t="s">
        <v>29</v>
      </c>
      <c r="B492" s="194"/>
      <c r="C492" s="155"/>
      <c r="D492" s="78">
        <v>0</v>
      </c>
      <c r="E492" s="156">
        <v>0</v>
      </c>
      <c r="F492" s="157">
        <v>0</v>
      </c>
      <c r="G492" s="156">
        <v>0</v>
      </c>
      <c r="H492" s="78">
        <v>0</v>
      </c>
      <c r="I492" s="186">
        <f t="shared" si="131"/>
        <v>0</v>
      </c>
      <c r="J492" s="185">
        <f t="shared" si="125"/>
        <v>0</v>
      </c>
      <c r="K492" s="102">
        <f t="shared" si="126"/>
        <v>0</v>
      </c>
      <c r="L492" s="84">
        <f>ROUND(J492*VLOOKUP(A492,'Actual Load'!$A$4:$B$37,2,FALSE)/VLOOKUP(A492,'Projected Zonal Load'!$A$4:$N$37,14,FALSE),0)</f>
        <v>0</v>
      </c>
      <c r="M492" s="102">
        <f t="shared" si="127"/>
        <v>0</v>
      </c>
      <c r="N492" s="84">
        <f t="shared" si="132"/>
        <v>0</v>
      </c>
      <c r="O492" s="102">
        <f t="shared" si="128"/>
        <v>0</v>
      </c>
      <c r="P492" s="102">
        <f t="shared" si="129"/>
        <v>0</v>
      </c>
      <c r="Q492" s="49">
        <f>+H492*Interest!$D$23</f>
        <v>0</v>
      </c>
      <c r="R492" s="127">
        <f t="shared" si="130"/>
        <v>0</v>
      </c>
    </row>
    <row r="493" spans="1:18" x14ac:dyDescent="0.25">
      <c r="A493" s="76" t="s">
        <v>30</v>
      </c>
      <c r="B493" s="194"/>
      <c r="C493" s="155"/>
      <c r="D493" s="78">
        <v>0</v>
      </c>
      <c r="E493" s="156">
        <v>0</v>
      </c>
      <c r="F493" s="157">
        <v>0</v>
      </c>
      <c r="G493" s="156">
        <v>0</v>
      </c>
      <c r="H493" s="78">
        <v>0</v>
      </c>
      <c r="I493" s="186">
        <f t="shared" si="131"/>
        <v>0</v>
      </c>
      <c r="J493" s="185">
        <f t="shared" si="125"/>
        <v>0</v>
      </c>
      <c r="K493" s="102">
        <f t="shared" si="126"/>
        <v>0</v>
      </c>
      <c r="L493" s="84">
        <f>ROUND(J493*VLOOKUP(A493,'Actual Load'!$A$4:$B$37,2,FALSE)/VLOOKUP(A493,'Projected Zonal Load'!$A$4:$N$37,14,FALSE),0)</f>
        <v>0</v>
      </c>
      <c r="M493" s="102">
        <f t="shared" si="127"/>
        <v>0</v>
      </c>
      <c r="N493" s="84">
        <f t="shared" si="132"/>
        <v>0</v>
      </c>
      <c r="O493" s="102">
        <f>+M493-N493</f>
        <v>0</v>
      </c>
      <c r="P493" s="102">
        <f t="shared" si="129"/>
        <v>0</v>
      </c>
      <c r="Q493" s="49">
        <f>+H493*Interest!$D$23</f>
        <v>0</v>
      </c>
      <c r="R493" s="127">
        <f>+P493+Q493</f>
        <v>0</v>
      </c>
    </row>
    <row r="494" spans="1:18" x14ac:dyDescent="0.25">
      <c r="A494" s="76" t="s">
        <v>31</v>
      </c>
      <c r="B494" s="194"/>
      <c r="C494" s="155"/>
      <c r="D494" s="78">
        <v>0</v>
      </c>
      <c r="E494" s="156">
        <v>0</v>
      </c>
      <c r="F494" s="157">
        <v>0</v>
      </c>
      <c r="G494" s="156">
        <v>0</v>
      </c>
      <c r="H494" s="78">
        <v>8.2648287902090542E-2</v>
      </c>
      <c r="I494" s="186">
        <f t="shared" si="131"/>
        <v>0</v>
      </c>
      <c r="J494" s="185">
        <f t="shared" si="125"/>
        <v>162382.21817024503</v>
      </c>
      <c r="K494" s="102">
        <f t="shared" si="126"/>
        <v>41002.831946186241</v>
      </c>
      <c r="L494" s="84">
        <f>ROUND(J494*VLOOKUP(A494,'Actual Load'!$A$4:$B$37,2,FALSE)/VLOOKUP(A494,'Projected Zonal Load'!$A$4:$N$37,14,FALSE),0)</f>
        <v>155122</v>
      </c>
      <c r="M494" s="102">
        <f t="shared" si="127"/>
        <v>162400.75840111508</v>
      </c>
      <c r="N494" s="84">
        <f t="shared" si="132"/>
        <v>162382.21817024503</v>
      </c>
      <c r="O494" s="102">
        <f>+M494-N494</f>
        <v>18.54023087004316</v>
      </c>
      <c r="P494" s="102">
        <f t="shared" si="129"/>
        <v>41021.372177056284</v>
      </c>
      <c r="Q494" s="49">
        <f>+H494*Interest!$D$23</f>
        <v>2483.3004558751609</v>
      </c>
      <c r="R494" s="127">
        <f>+P494+Q494</f>
        <v>43504.672632931448</v>
      </c>
    </row>
    <row r="495" spans="1:18" x14ac:dyDescent="0.25">
      <c r="A495" s="76" t="s">
        <v>32</v>
      </c>
      <c r="B495" s="194"/>
      <c r="C495" s="155"/>
      <c r="D495" s="78">
        <v>0</v>
      </c>
      <c r="E495" s="156">
        <v>0</v>
      </c>
      <c r="F495" s="157">
        <v>0</v>
      </c>
      <c r="G495" s="156">
        <v>0</v>
      </c>
      <c r="H495" s="78">
        <v>0.90143195057076908</v>
      </c>
      <c r="I495" s="186">
        <f t="shared" si="131"/>
        <v>0</v>
      </c>
      <c r="J495" s="185">
        <f t="shared" si="125"/>
        <v>1771077.458212049</v>
      </c>
      <c r="K495" s="102">
        <f t="shared" si="126"/>
        <v>447211.47549919417</v>
      </c>
      <c r="L495" s="84">
        <f>ROUND(J495*VLOOKUP(A495,'Actual Load'!$A$4:$B$37,2,FALSE)/VLOOKUP(A495,'Projected Zonal Load'!$A$4:$N$37,14,FALSE),0)</f>
        <v>1648883</v>
      </c>
      <c r="M495" s="102">
        <f t="shared" si="127"/>
        <v>1726253.2053139193</v>
      </c>
      <c r="N495" s="84">
        <f t="shared" si="132"/>
        <v>1771077.458212049</v>
      </c>
      <c r="O495" s="102">
        <f t="shared" ref="O495:O502" si="133">+M495-N495</f>
        <v>-44824.252898129635</v>
      </c>
      <c r="P495" s="102">
        <f t="shared" si="129"/>
        <v>402387.22260106454</v>
      </c>
      <c r="Q495" s="49">
        <f>+H495*Interest!$D$23</f>
        <v>27084.969702514602</v>
      </c>
      <c r="R495" s="127">
        <f t="shared" ref="R495:R502" si="134">+P495+Q495</f>
        <v>429472.19230357913</v>
      </c>
    </row>
    <row r="496" spans="1:18" x14ac:dyDescent="0.25">
      <c r="A496" s="76" t="s">
        <v>33</v>
      </c>
      <c r="B496" s="194"/>
      <c r="C496" s="155"/>
      <c r="D496" s="78">
        <v>0</v>
      </c>
      <c r="E496" s="156">
        <v>0</v>
      </c>
      <c r="F496" s="157">
        <v>0</v>
      </c>
      <c r="G496" s="156">
        <v>0</v>
      </c>
      <c r="H496" s="78">
        <v>0</v>
      </c>
      <c r="I496" s="186">
        <f t="shared" si="131"/>
        <v>0</v>
      </c>
      <c r="J496" s="185">
        <f t="shared" si="125"/>
        <v>0</v>
      </c>
      <c r="K496" s="102">
        <f t="shared" si="126"/>
        <v>0</v>
      </c>
      <c r="L496" s="84">
        <f>ROUND(J496*VLOOKUP(A496,'Actual Load'!$A$4:$B$37,2,FALSE)/VLOOKUP(A496,'Projected Zonal Load'!$A$4:$N$37,14,FALSE),0)</f>
        <v>0</v>
      </c>
      <c r="M496" s="102">
        <f t="shared" si="127"/>
        <v>0</v>
      </c>
      <c r="N496" s="84">
        <f t="shared" si="132"/>
        <v>0</v>
      </c>
      <c r="O496" s="102">
        <f t="shared" si="133"/>
        <v>0</v>
      </c>
      <c r="P496" s="102">
        <f t="shared" si="129"/>
        <v>0</v>
      </c>
      <c r="Q496" s="49">
        <f>+H496*Interest!$D$23</f>
        <v>0</v>
      </c>
      <c r="R496" s="127">
        <f t="shared" si="134"/>
        <v>0</v>
      </c>
    </row>
    <row r="497" spans="1:18" x14ac:dyDescent="0.25">
      <c r="A497" s="76" t="s">
        <v>34</v>
      </c>
      <c r="B497" s="194"/>
      <c r="C497" s="155"/>
      <c r="D497" s="78">
        <v>0</v>
      </c>
      <c r="E497" s="156">
        <v>0</v>
      </c>
      <c r="F497" s="157">
        <v>0</v>
      </c>
      <c r="G497" s="156">
        <v>0</v>
      </c>
      <c r="H497" s="78">
        <v>8.7195342073222038E-3</v>
      </c>
      <c r="I497" s="186">
        <f t="shared" si="131"/>
        <v>0</v>
      </c>
      <c r="J497" s="185">
        <f t="shared" si="125"/>
        <v>17131.598753426741</v>
      </c>
      <c r="K497" s="102">
        <f t="shared" si="126"/>
        <v>4325.8681435167537</v>
      </c>
      <c r="L497" s="84">
        <f>ROUND(J497*VLOOKUP(A497,'Actual Load'!$A$4:$B$37,2,FALSE)/VLOOKUP(A497,'Projected Zonal Load'!$A$4:$N$37,14,FALSE),0)</f>
        <v>16621</v>
      </c>
      <c r="M497" s="102">
        <f t="shared" si="127"/>
        <v>17400.903839461414</v>
      </c>
      <c r="N497" s="84">
        <f t="shared" si="132"/>
        <v>17131.598753426741</v>
      </c>
      <c r="O497" s="102">
        <f t="shared" si="133"/>
        <v>269.30508603467388</v>
      </c>
      <c r="P497" s="102">
        <f t="shared" si="129"/>
        <v>4595.1732295514275</v>
      </c>
      <c r="Q497" s="49">
        <f>+H497*Interest!$D$23</f>
        <v>261.9923996213185</v>
      </c>
      <c r="R497" s="127">
        <f t="shared" si="134"/>
        <v>4857.1656291727459</v>
      </c>
    </row>
    <row r="498" spans="1:18" x14ac:dyDescent="0.25">
      <c r="A498" s="76" t="s">
        <v>35</v>
      </c>
      <c r="B498" s="194"/>
      <c r="C498" s="155"/>
      <c r="D498" s="78">
        <v>0</v>
      </c>
      <c r="E498" s="156">
        <v>0</v>
      </c>
      <c r="F498" s="157">
        <v>0</v>
      </c>
      <c r="G498" s="156">
        <v>0</v>
      </c>
      <c r="H498" s="78">
        <v>7.2002273198182969E-3</v>
      </c>
      <c r="I498" s="186">
        <f t="shared" si="131"/>
        <v>0</v>
      </c>
      <c r="J498" s="185">
        <f t="shared" si="125"/>
        <v>14146.559029839496</v>
      </c>
      <c r="K498" s="102">
        <f t="shared" si="126"/>
        <v>3572.1213138570165</v>
      </c>
      <c r="L498" s="84">
        <f>ROUND(J498*VLOOKUP(A498,'Actual Load'!$A$4:$B$37,2,FALSE)/VLOOKUP(A498,'Projected Zonal Load'!$A$4:$N$37,14,FALSE),0)</f>
        <v>14130</v>
      </c>
      <c r="M498" s="102">
        <f t="shared" si="127"/>
        <v>14793.0191475597</v>
      </c>
      <c r="N498" s="84">
        <f t="shared" si="132"/>
        <v>14146.559029839496</v>
      </c>
      <c r="O498" s="102">
        <f t="shared" si="133"/>
        <v>646.46011772020393</v>
      </c>
      <c r="P498" s="102">
        <f t="shared" si="129"/>
        <v>4218.5814315772204</v>
      </c>
      <c r="Q498" s="49">
        <f>+H498*Interest!$D$23</f>
        <v>216.34238578410157</v>
      </c>
      <c r="R498" s="127">
        <f t="shared" si="134"/>
        <v>4434.9238173613221</v>
      </c>
    </row>
    <row r="499" spans="1:18" x14ac:dyDescent="0.25">
      <c r="A499" s="77" t="s">
        <v>36</v>
      </c>
      <c r="B499" s="194"/>
      <c r="C499" s="155"/>
      <c r="D499" s="78">
        <v>0</v>
      </c>
      <c r="E499" s="156">
        <v>0</v>
      </c>
      <c r="F499" s="157">
        <v>0</v>
      </c>
      <c r="G499" s="156">
        <v>0</v>
      </c>
      <c r="H499" s="78">
        <v>0</v>
      </c>
      <c r="I499" s="186">
        <f t="shared" si="131"/>
        <v>0</v>
      </c>
      <c r="J499" s="185">
        <f t="shared" si="125"/>
        <v>0</v>
      </c>
      <c r="K499" s="102">
        <f t="shared" si="126"/>
        <v>0</v>
      </c>
      <c r="L499" s="84">
        <f>ROUND(J499*VLOOKUP(A499,'Actual Load'!$A$4:$B$37,2,FALSE)/VLOOKUP(A499,'Projected Zonal Load'!$A$4:$N$37,14,FALSE),0)</f>
        <v>0</v>
      </c>
      <c r="M499" s="102">
        <f t="shared" si="127"/>
        <v>0</v>
      </c>
      <c r="N499" s="84">
        <f t="shared" si="132"/>
        <v>0</v>
      </c>
      <c r="O499" s="102">
        <f t="shared" si="133"/>
        <v>0</v>
      </c>
      <c r="P499" s="102">
        <f t="shared" si="129"/>
        <v>0</v>
      </c>
      <c r="Q499" s="49">
        <f>+H499*Interest!$D$23</f>
        <v>0</v>
      </c>
      <c r="R499" s="127">
        <f t="shared" si="134"/>
        <v>0</v>
      </c>
    </row>
    <row r="500" spans="1:18" x14ac:dyDescent="0.25">
      <c r="A500" s="77" t="s">
        <v>91</v>
      </c>
      <c r="B500" s="194"/>
      <c r="C500" s="155"/>
      <c r="D500" s="78">
        <v>0</v>
      </c>
      <c r="E500" s="156">
        <v>0</v>
      </c>
      <c r="F500" s="157">
        <v>0</v>
      </c>
      <c r="G500" s="156">
        <v>0</v>
      </c>
      <c r="H500" s="78">
        <v>0</v>
      </c>
      <c r="I500" s="186">
        <f t="shared" si="131"/>
        <v>0</v>
      </c>
      <c r="J500" s="185">
        <f t="shared" si="125"/>
        <v>0</v>
      </c>
      <c r="K500" s="102">
        <f t="shared" si="126"/>
        <v>0</v>
      </c>
      <c r="L500" s="84">
        <f>ROUND(J500*VLOOKUP(A500,'Actual Load'!$A$4:$B$37,2,FALSE)/VLOOKUP(A500,'Projected Zonal Load'!$A$4:$N$37,14,FALSE),0)</f>
        <v>0</v>
      </c>
      <c r="M500" s="102">
        <f t="shared" si="127"/>
        <v>0</v>
      </c>
      <c r="N500" s="84">
        <f t="shared" si="132"/>
        <v>0</v>
      </c>
      <c r="O500" s="102">
        <f t="shared" si="133"/>
        <v>0</v>
      </c>
      <c r="P500" s="102">
        <f t="shared" si="129"/>
        <v>0</v>
      </c>
      <c r="Q500" s="49">
        <f>+H500*Interest!$D$23</f>
        <v>0</v>
      </c>
      <c r="R500" s="127">
        <f t="shared" si="134"/>
        <v>0</v>
      </c>
    </row>
    <row r="501" spans="1:18" x14ac:dyDescent="0.25">
      <c r="A501" s="77" t="s">
        <v>92</v>
      </c>
      <c r="B501" s="194"/>
      <c r="C501" s="155"/>
      <c r="D501" s="78">
        <v>0</v>
      </c>
      <c r="E501" s="156">
        <v>0</v>
      </c>
      <c r="F501" s="157">
        <v>0</v>
      </c>
      <c r="G501" s="156">
        <v>0</v>
      </c>
      <c r="H501" s="78">
        <v>0</v>
      </c>
      <c r="I501" s="186">
        <f t="shared" si="131"/>
        <v>0</v>
      </c>
      <c r="J501" s="185">
        <f t="shared" si="125"/>
        <v>0</v>
      </c>
      <c r="K501" s="102">
        <f t="shared" si="126"/>
        <v>0</v>
      </c>
      <c r="L501" s="84">
        <f>ROUND(J501*VLOOKUP(A501,'Actual Load'!$A$4:$B$37,2,FALSE)/VLOOKUP(A501,'Projected Zonal Load'!$A$4:$N$37,14,FALSE),0)</f>
        <v>0</v>
      </c>
      <c r="M501" s="102">
        <f t="shared" si="127"/>
        <v>0</v>
      </c>
      <c r="N501" s="84">
        <f t="shared" si="132"/>
        <v>0</v>
      </c>
      <c r="O501" s="102">
        <f t="shared" si="133"/>
        <v>0</v>
      </c>
      <c r="P501" s="102">
        <f t="shared" si="129"/>
        <v>0</v>
      </c>
      <c r="Q501" s="49">
        <f>+H501*Interest!$D$23</f>
        <v>0</v>
      </c>
      <c r="R501" s="127">
        <f t="shared" si="134"/>
        <v>0</v>
      </c>
    </row>
    <row r="502" spans="1:18" x14ac:dyDescent="0.25">
      <c r="A502" s="76" t="s">
        <v>93</v>
      </c>
      <c r="B502" s="194"/>
      <c r="C502" s="155"/>
      <c r="D502" s="78">
        <v>0</v>
      </c>
      <c r="E502" s="156">
        <v>0</v>
      </c>
      <c r="F502" s="224">
        <v>0</v>
      </c>
      <c r="G502" s="167">
        <v>0</v>
      </c>
      <c r="H502" s="219">
        <v>0</v>
      </c>
      <c r="I502" s="187">
        <f t="shared" si="131"/>
        <v>0</v>
      </c>
      <c r="J502" s="223">
        <f t="shared" si="125"/>
        <v>0</v>
      </c>
      <c r="K502" s="102">
        <f t="shared" si="126"/>
        <v>0</v>
      </c>
      <c r="L502" s="84">
        <f>ROUND(J502*VLOOKUP(A502,'Actual Load'!$A$4:$B$37,2,FALSE)/VLOOKUP(A502,'Projected Zonal Load'!$A$4:$N$37,14,FALSE),0)</f>
        <v>0</v>
      </c>
      <c r="M502" s="102">
        <f t="shared" si="127"/>
        <v>0</v>
      </c>
      <c r="N502" s="84">
        <f t="shared" si="132"/>
        <v>0</v>
      </c>
      <c r="O502" s="102">
        <f t="shared" si="133"/>
        <v>0</v>
      </c>
      <c r="P502" s="102">
        <f t="shared" si="129"/>
        <v>0</v>
      </c>
      <c r="Q502" s="49">
        <f>+H502*Interest!$D$23</f>
        <v>0</v>
      </c>
      <c r="R502" s="127">
        <f t="shared" si="134"/>
        <v>0</v>
      </c>
    </row>
    <row r="503" spans="1:18" x14ac:dyDescent="0.25">
      <c r="A503" s="76" t="s">
        <v>94</v>
      </c>
      <c r="B503" s="225"/>
      <c r="C503" s="226"/>
      <c r="D503" s="78">
        <v>0</v>
      </c>
      <c r="E503" s="156">
        <v>0</v>
      </c>
      <c r="F503" s="224">
        <v>0</v>
      </c>
      <c r="G503" s="167">
        <v>0</v>
      </c>
      <c r="H503" s="219">
        <v>0</v>
      </c>
      <c r="I503" s="187">
        <f t="shared" ref="I503" si="135">H503*$C$427</f>
        <v>0</v>
      </c>
      <c r="J503" s="223">
        <f t="shared" si="125"/>
        <v>0</v>
      </c>
      <c r="K503" s="102"/>
      <c r="L503" s="84"/>
      <c r="M503" s="102"/>
      <c r="N503" s="84"/>
      <c r="O503" s="102"/>
      <c r="P503" s="102"/>
      <c r="Q503" s="49"/>
      <c r="R503" s="127"/>
    </row>
    <row r="504" spans="1:18" x14ac:dyDescent="0.25">
      <c r="A504" s="170"/>
      <c r="B504" s="171"/>
      <c r="C504" s="172"/>
      <c r="D504" s="177">
        <f t="shared" ref="D504:I504" si="136">SUM(D477:D503)</f>
        <v>0</v>
      </c>
      <c r="E504" s="177">
        <f t="shared" si="136"/>
        <v>0</v>
      </c>
      <c r="F504" s="177">
        <f t="shared" si="136"/>
        <v>0</v>
      </c>
      <c r="G504" s="177">
        <f t="shared" si="136"/>
        <v>0</v>
      </c>
      <c r="H504" s="177">
        <f t="shared" si="136"/>
        <v>1.0000000000000002</v>
      </c>
      <c r="I504" s="177">
        <f t="shared" si="136"/>
        <v>0</v>
      </c>
      <c r="J504" s="177">
        <f>SUM(J477:J503)</f>
        <v>1964737.8341655601</v>
      </c>
      <c r="K504" s="120">
        <f t="shared" ref="K504:R504" si="137">SUM(K477:K502)</f>
        <v>496112.29690275423</v>
      </c>
      <c r="L504" s="107">
        <f t="shared" si="137"/>
        <v>1834756</v>
      </c>
      <c r="M504" s="108">
        <f t="shared" si="137"/>
        <v>1920847.8867020558</v>
      </c>
      <c r="N504" s="107">
        <f t="shared" si="137"/>
        <v>1964737.8341655601</v>
      </c>
      <c r="O504" s="108">
        <f t="shared" si="137"/>
        <v>-43889.947463504715</v>
      </c>
      <c r="P504" s="108">
        <f t="shared" si="137"/>
        <v>452222.34943924943</v>
      </c>
      <c r="Q504" s="108">
        <f t="shared" si="137"/>
        <v>30046.604943795181</v>
      </c>
      <c r="R504" s="128">
        <f t="shared" si="137"/>
        <v>482268.95438304462</v>
      </c>
    </row>
    <row r="505" spans="1:18" x14ac:dyDescent="0.25">
      <c r="H505" s="189"/>
      <c r="I505" s="190"/>
    </row>
    <row r="506" spans="1:18" x14ac:dyDescent="0.25">
      <c r="A506" s="199" t="s">
        <v>132</v>
      </c>
      <c r="O506" s="81"/>
      <c r="P506" s="81"/>
      <c r="Q506" s="81"/>
      <c r="R506" s="81"/>
    </row>
    <row r="507" spans="1:18" x14ac:dyDescent="0.25">
      <c r="H507" s="123" t="s">
        <v>175</v>
      </c>
      <c r="I507" s="191">
        <v>1964737.8341655601</v>
      </c>
      <c r="K507" s="124"/>
      <c r="L507" s="123" t="s">
        <v>178</v>
      </c>
      <c r="M507" s="191">
        <v>1468625.537262806</v>
      </c>
      <c r="O507" s="81"/>
      <c r="P507" s="81"/>
      <c r="Q507" s="81"/>
      <c r="R507" s="81"/>
    </row>
    <row r="508" spans="1:18" x14ac:dyDescent="0.25">
      <c r="H508" s="83" t="s">
        <v>177</v>
      </c>
      <c r="I508" s="191">
        <v>0</v>
      </c>
      <c r="K508" s="124"/>
      <c r="L508" s="83" t="s">
        <v>177</v>
      </c>
      <c r="M508" s="191">
        <v>0</v>
      </c>
      <c r="O508" s="81"/>
      <c r="P508" s="81"/>
      <c r="Q508" s="81"/>
      <c r="R508" s="81"/>
    </row>
    <row r="509" spans="1:18" x14ac:dyDescent="0.25">
      <c r="G509" s="124"/>
      <c r="H509" s="125" t="s">
        <v>176</v>
      </c>
      <c r="I509" s="192">
        <f>SUM(I507:I508)</f>
        <v>1964737.8341655601</v>
      </c>
      <c r="J509" s="126" t="s">
        <v>132</v>
      </c>
      <c r="K509" s="129"/>
      <c r="L509" s="125" t="s">
        <v>176</v>
      </c>
      <c r="M509" s="192">
        <f>SUM(M507:M508)</f>
        <v>1468625.537262806</v>
      </c>
      <c r="O509" s="74" t="s">
        <v>132</v>
      </c>
      <c r="P509" s="81"/>
      <c r="Q509" s="81"/>
      <c r="R509" s="81"/>
    </row>
  </sheetData>
  <mergeCells count="195">
    <mergeCell ref="A51:B51"/>
    <mergeCell ref="C51:H51"/>
    <mergeCell ref="A52:B52"/>
    <mergeCell ref="C52:H52"/>
    <mergeCell ref="D55:E55"/>
    <mergeCell ref="F55:G55"/>
    <mergeCell ref="A47:B47"/>
    <mergeCell ref="C47:H47"/>
    <mergeCell ref="A49:B49"/>
    <mergeCell ref="C49:H49"/>
    <mergeCell ref="A50:B50"/>
    <mergeCell ref="C50:H50"/>
    <mergeCell ref="A128:B128"/>
    <mergeCell ref="C128:H128"/>
    <mergeCell ref="A92:B92"/>
    <mergeCell ref="C92:H92"/>
    <mergeCell ref="A93:B93"/>
    <mergeCell ref="C93:H93"/>
    <mergeCell ref="A94:B94"/>
    <mergeCell ref="C94:H94"/>
    <mergeCell ref="L54:O54"/>
    <mergeCell ref="L55:M55"/>
    <mergeCell ref="A89:B89"/>
    <mergeCell ref="C89:H89"/>
    <mergeCell ref="A91:B91"/>
    <mergeCell ref="C91:H91"/>
    <mergeCell ref="D56:E56"/>
    <mergeCell ref="F56:G56"/>
    <mergeCell ref="H56:I56"/>
    <mergeCell ref="A133:B133"/>
    <mergeCell ref="C133:H133"/>
    <mergeCell ref="D135:E135"/>
    <mergeCell ref="F135:G135"/>
    <mergeCell ref="D136:E136"/>
    <mergeCell ref="F136:G136"/>
    <mergeCell ref="H136:I136"/>
    <mergeCell ref="A130:B130"/>
    <mergeCell ref="C130:H130"/>
    <mergeCell ref="A131:B131"/>
    <mergeCell ref="C131:H131"/>
    <mergeCell ref="A132:B132"/>
    <mergeCell ref="C132:H132"/>
    <mergeCell ref="A170:B170"/>
    <mergeCell ref="C170:H170"/>
    <mergeCell ref="A172:B172"/>
    <mergeCell ref="C172:H172"/>
    <mergeCell ref="A173:B173"/>
    <mergeCell ref="C173:H173"/>
    <mergeCell ref="A174:B174"/>
    <mergeCell ref="D177:E177"/>
    <mergeCell ref="C174:H174"/>
    <mergeCell ref="A175:B175"/>
    <mergeCell ref="C175:H175"/>
    <mergeCell ref="A255:B255"/>
    <mergeCell ref="C255:H255"/>
    <mergeCell ref="A215:B215"/>
    <mergeCell ref="C215:H215"/>
    <mergeCell ref="A216:B216"/>
    <mergeCell ref="C216:H216"/>
    <mergeCell ref="A217:B217"/>
    <mergeCell ref="C217:H217"/>
    <mergeCell ref="F177:G177"/>
    <mergeCell ref="H178:I178"/>
    <mergeCell ref="A212:B212"/>
    <mergeCell ref="C212:H212"/>
    <mergeCell ref="A214:B214"/>
    <mergeCell ref="C214:H214"/>
    <mergeCell ref="D178:E178"/>
    <mergeCell ref="F178:G178"/>
    <mergeCell ref="A260:B260"/>
    <mergeCell ref="C260:H260"/>
    <mergeCell ref="D262:E262"/>
    <mergeCell ref="F262:G262"/>
    <mergeCell ref="D263:E263"/>
    <mergeCell ref="F263:G263"/>
    <mergeCell ref="H263:I263"/>
    <mergeCell ref="A257:B257"/>
    <mergeCell ref="C257:H257"/>
    <mergeCell ref="A258:B258"/>
    <mergeCell ref="C258:H258"/>
    <mergeCell ref="A259:B259"/>
    <mergeCell ref="C259:H259"/>
    <mergeCell ref="A299:B299"/>
    <mergeCell ref="C299:H299"/>
    <mergeCell ref="A300:B300"/>
    <mergeCell ref="C300:H300"/>
    <mergeCell ref="D302:E302"/>
    <mergeCell ref="F302:G302"/>
    <mergeCell ref="A295:B295"/>
    <mergeCell ref="C295:H295"/>
    <mergeCell ref="A297:B297"/>
    <mergeCell ref="C297:H297"/>
    <mergeCell ref="A298:B298"/>
    <mergeCell ref="C298:H298"/>
    <mergeCell ref="L261:O261"/>
    <mergeCell ref="L262:M262"/>
    <mergeCell ref="L301:O301"/>
    <mergeCell ref="L302:M302"/>
    <mergeCell ref="D303:E303"/>
    <mergeCell ref="F303:G303"/>
    <mergeCell ref="H303:I303"/>
    <mergeCell ref="L95:O95"/>
    <mergeCell ref="L96:M96"/>
    <mergeCell ref="L134:O134"/>
    <mergeCell ref="L135:M135"/>
    <mergeCell ref="L176:O176"/>
    <mergeCell ref="L177:M177"/>
    <mergeCell ref="L218:O218"/>
    <mergeCell ref="D219:E219"/>
    <mergeCell ref="F219:G219"/>
    <mergeCell ref="D220:E220"/>
    <mergeCell ref="F220:G220"/>
    <mergeCell ref="H220:I220"/>
    <mergeCell ref="D96:E96"/>
    <mergeCell ref="F96:G96"/>
    <mergeCell ref="D97:E97"/>
    <mergeCell ref="F97:G97"/>
    <mergeCell ref="H97:I97"/>
    <mergeCell ref="D10:J10"/>
    <mergeCell ref="L12:O12"/>
    <mergeCell ref="D13:E13"/>
    <mergeCell ref="F13:G13"/>
    <mergeCell ref="L13:M13"/>
    <mergeCell ref="D14:E14"/>
    <mergeCell ref="F14:G14"/>
    <mergeCell ref="H14:I14"/>
    <mergeCell ref="L219:M219"/>
    <mergeCell ref="A334:B334"/>
    <mergeCell ref="C334:H334"/>
    <mergeCell ref="A336:B336"/>
    <mergeCell ref="C336:H336"/>
    <mergeCell ref="A337:B337"/>
    <mergeCell ref="C337:H337"/>
    <mergeCell ref="A338:B338"/>
    <mergeCell ref="C338:H338"/>
    <mergeCell ref="A339:B339"/>
    <mergeCell ref="C339:H339"/>
    <mergeCell ref="L385:O385"/>
    <mergeCell ref="L340:O340"/>
    <mergeCell ref="D341:E341"/>
    <mergeCell ref="F341:G341"/>
    <mergeCell ref="L341:M341"/>
    <mergeCell ref="D342:E342"/>
    <mergeCell ref="F342:G342"/>
    <mergeCell ref="H342:I342"/>
    <mergeCell ref="A379:B379"/>
    <mergeCell ref="C379:H379"/>
    <mergeCell ref="A423:B423"/>
    <mergeCell ref="C423:H423"/>
    <mergeCell ref="A425:B425"/>
    <mergeCell ref="C425:H425"/>
    <mergeCell ref="A381:B381"/>
    <mergeCell ref="C381:H381"/>
    <mergeCell ref="A382:B382"/>
    <mergeCell ref="C382:H382"/>
    <mergeCell ref="A383:B383"/>
    <mergeCell ref="C383:H383"/>
    <mergeCell ref="A384:B384"/>
    <mergeCell ref="C384:H384"/>
    <mergeCell ref="L429:O429"/>
    <mergeCell ref="D430:E430"/>
    <mergeCell ref="F430:G430"/>
    <mergeCell ref="L430:M430"/>
    <mergeCell ref="D386:E386"/>
    <mergeCell ref="F386:G386"/>
    <mergeCell ref="L386:M386"/>
    <mergeCell ref="D387:E387"/>
    <mergeCell ref="F387:G387"/>
    <mergeCell ref="H387:I387"/>
    <mergeCell ref="D431:E431"/>
    <mergeCell ref="F431:G431"/>
    <mergeCell ref="H431:I431"/>
    <mergeCell ref="A426:B426"/>
    <mergeCell ref="C426:H426"/>
    <mergeCell ref="A427:B427"/>
    <mergeCell ref="C427:H427"/>
    <mergeCell ref="A428:B428"/>
    <mergeCell ref="C428:H428"/>
    <mergeCell ref="L473:O473"/>
    <mergeCell ref="D474:E474"/>
    <mergeCell ref="F474:G474"/>
    <mergeCell ref="L474:M474"/>
    <mergeCell ref="D475:E475"/>
    <mergeCell ref="F475:G475"/>
    <mergeCell ref="H475:I475"/>
    <mergeCell ref="A467:B467"/>
    <mergeCell ref="C467:H467"/>
    <mergeCell ref="A469:B469"/>
    <mergeCell ref="C469:H469"/>
    <mergeCell ref="A470:B470"/>
    <mergeCell ref="C470:H470"/>
    <mergeCell ref="A471:B471"/>
    <mergeCell ref="C471:H471"/>
    <mergeCell ref="A472:B472"/>
    <mergeCell ref="C472:H472"/>
  </mergeCells>
  <conditionalFormatting sqref="C130:H130 C131 C133 A173:A175 A172:H172 C173:C175 C217 C214:C215">
    <cfRule type="cellIs" dxfId="0" priority="4" stopIfTrue="1" operator="equal">
      <formula>0</formula>
    </cfRule>
  </conditionalFormatting>
  <pageMargins left="0.2" right="0.2" top="0.75" bottom="0.75" header="0.3" footer="0.3"/>
  <pageSetup scale="47" orientation="landscape" r:id="rId1"/>
  <rowBreaks count="10" manualBreakCount="10">
    <brk id="45" max="16383" man="1"/>
    <brk id="86" max="16383" man="1"/>
    <brk id="126" max="16383" man="1"/>
    <brk id="167" max="16383" man="1"/>
    <brk id="210" max="16383" man="1"/>
    <brk id="252" max="16383" man="1"/>
    <brk id="292" max="16383" man="1"/>
    <brk id="332" max="16383" man="1"/>
    <brk id="377" max="16383" man="1"/>
    <brk id="42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zoomScaleNormal="100" workbookViewId="0">
      <pane xSplit="1" ySplit="3" topLeftCell="B4" activePane="bottomRight" state="frozen"/>
      <selection activeCell="C97" sqref="C97"/>
      <selection pane="topRight" activeCell="C97" sqref="C97"/>
      <selection pane="bottomLeft" activeCell="C97" sqref="C97"/>
      <selection pane="bottomRight" activeCell="A4" sqref="A4:A27"/>
    </sheetView>
  </sheetViews>
  <sheetFormatPr defaultColWidth="9.140625" defaultRowHeight="15" x14ac:dyDescent="0.25"/>
  <cols>
    <col min="1" max="1" width="39.7109375" style="79" customWidth="1"/>
    <col min="2" max="2" width="15.85546875" style="79" customWidth="1"/>
    <col min="3" max="3" width="15.42578125" style="79" customWidth="1"/>
    <col min="4" max="4" width="15.7109375" style="79" customWidth="1"/>
    <col min="5" max="5" width="15.85546875" style="79" customWidth="1"/>
    <col min="6" max="7" width="15.140625" style="79" customWidth="1"/>
    <col min="8" max="8" width="15.7109375" style="79" customWidth="1"/>
    <col min="9" max="11" width="15.5703125" style="79" customWidth="1"/>
    <col min="12" max="12" width="16" style="79" customWidth="1"/>
    <col min="13" max="13" width="15.5703125" style="79" bestFit="1" customWidth="1"/>
    <col min="14" max="14" width="17.5703125" style="79" bestFit="1" customWidth="1"/>
    <col min="15" max="16" width="9.140625" style="79"/>
    <col min="17" max="18" width="12.42578125" style="79" bestFit="1" customWidth="1"/>
    <col min="19" max="16384" width="9.140625" style="79"/>
  </cols>
  <sheetData>
    <row r="1" spans="1:18" ht="15.75" x14ac:dyDescent="0.25">
      <c r="A1" s="238"/>
      <c r="B1" s="239" t="s">
        <v>284</v>
      </c>
      <c r="C1" s="240"/>
      <c r="D1" s="241"/>
      <c r="E1" s="240"/>
      <c r="F1" s="240"/>
      <c r="G1" s="240"/>
      <c r="H1" s="240"/>
      <c r="I1" s="240"/>
      <c r="J1" s="240"/>
      <c r="K1" s="240"/>
      <c r="L1" s="240"/>
      <c r="M1" s="240"/>
      <c r="N1" s="240"/>
    </row>
    <row r="2" spans="1:18" ht="15.75" x14ac:dyDescent="0.25">
      <c r="A2" s="242"/>
      <c r="B2" s="241" t="s">
        <v>247</v>
      </c>
      <c r="C2" s="241"/>
      <c r="D2" s="241"/>
      <c r="E2" s="241"/>
      <c r="F2" s="241"/>
      <c r="G2" s="241"/>
      <c r="H2" s="241"/>
      <c r="I2" s="241"/>
      <c r="J2" s="241"/>
      <c r="K2" s="241"/>
      <c r="L2" s="241"/>
      <c r="M2" s="241"/>
      <c r="N2" s="241"/>
      <c r="O2" s="228"/>
    </row>
    <row r="3" spans="1:18" ht="15.75" x14ac:dyDescent="0.25">
      <c r="A3" s="243" t="s">
        <v>248</v>
      </c>
      <c r="B3" s="244" t="s">
        <v>78</v>
      </c>
      <c r="C3" s="244" t="s">
        <v>79</v>
      </c>
      <c r="D3" s="244" t="s">
        <v>80</v>
      </c>
      <c r="E3" s="244" t="s">
        <v>81</v>
      </c>
      <c r="F3" s="244" t="s">
        <v>82</v>
      </c>
      <c r="G3" s="244" t="s">
        <v>83</v>
      </c>
      <c r="H3" s="244" t="s">
        <v>84</v>
      </c>
      <c r="I3" s="244" t="s">
        <v>85</v>
      </c>
      <c r="J3" s="244" t="s">
        <v>86</v>
      </c>
      <c r="K3" s="244" t="s">
        <v>87</v>
      </c>
      <c r="L3" s="244" t="s">
        <v>88</v>
      </c>
      <c r="M3" s="244" t="s">
        <v>222</v>
      </c>
      <c r="N3" s="245" t="s">
        <v>89</v>
      </c>
      <c r="O3" s="228"/>
    </row>
    <row r="4" spans="1:18" ht="15.75" x14ac:dyDescent="0.25">
      <c r="A4" s="229" t="s">
        <v>24</v>
      </c>
      <c r="B4" s="247">
        <f t="shared" ref="B4:F4" si="0">+B72</f>
        <v>2898000</v>
      </c>
      <c r="C4" s="247">
        <f t="shared" si="0"/>
        <v>2898000</v>
      </c>
      <c r="D4" s="247">
        <f t="shared" si="0"/>
        <v>2898000</v>
      </c>
      <c r="E4" s="247">
        <f t="shared" si="0"/>
        <v>2898000</v>
      </c>
      <c r="F4" s="247">
        <f t="shared" si="0"/>
        <v>2898000</v>
      </c>
      <c r="G4" s="247">
        <f>+G72</f>
        <v>2898000</v>
      </c>
      <c r="H4" s="247">
        <f t="shared" ref="H4:M4" si="1">+H72</f>
        <v>2898000</v>
      </c>
      <c r="I4" s="247">
        <f t="shared" si="1"/>
        <v>2898000</v>
      </c>
      <c r="J4" s="247">
        <f t="shared" si="1"/>
        <v>2898000</v>
      </c>
      <c r="K4" s="247">
        <f t="shared" si="1"/>
        <v>2898000</v>
      </c>
      <c r="L4" s="247">
        <f t="shared" si="1"/>
        <v>2898000</v>
      </c>
      <c r="M4" s="247">
        <f t="shared" si="1"/>
        <v>2898000</v>
      </c>
      <c r="N4" s="248">
        <f t="shared" ref="N4:N37" si="2">SUM(B4:M4)/12</f>
        <v>2898000</v>
      </c>
      <c r="O4" s="228"/>
    </row>
    <row r="5" spans="1:18" ht="15.75" x14ac:dyDescent="0.25">
      <c r="A5" s="229" t="s">
        <v>30</v>
      </c>
      <c r="B5" s="249">
        <v>9973483</v>
      </c>
      <c r="C5" s="250">
        <f>+B5</f>
        <v>9973483</v>
      </c>
      <c r="D5" s="250">
        <f t="shared" ref="D5:M5" si="3">+C5</f>
        <v>9973483</v>
      </c>
      <c r="E5" s="250">
        <f t="shared" si="3"/>
        <v>9973483</v>
      </c>
      <c r="F5" s="250">
        <f t="shared" si="3"/>
        <v>9973483</v>
      </c>
      <c r="G5" s="250">
        <f t="shared" si="3"/>
        <v>9973483</v>
      </c>
      <c r="H5" s="250">
        <f t="shared" si="3"/>
        <v>9973483</v>
      </c>
      <c r="I5" s="250">
        <f t="shared" si="3"/>
        <v>9973483</v>
      </c>
      <c r="J5" s="250">
        <f t="shared" si="3"/>
        <v>9973483</v>
      </c>
      <c r="K5" s="250">
        <f t="shared" si="3"/>
        <v>9973483</v>
      </c>
      <c r="L5" s="250">
        <f t="shared" si="3"/>
        <v>9973483</v>
      </c>
      <c r="M5" s="250">
        <f t="shared" si="3"/>
        <v>9973483</v>
      </c>
      <c r="N5" s="248">
        <f t="shared" si="2"/>
        <v>9973483</v>
      </c>
      <c r="O5" s="228"/>
    </row>
    <row r="6" spans="1:18" ht="15.75" x14ac:dyDescent="0.25">
      <c r="A6" s="229" t="s">
        <v>26</v>
      </c>
      <c r="B6" s="250">
        <f>+B109</f>
        <v>7095336</v>
      </c>
      <c r="C6" s="250">
        <f t="shared" ref="C6:M6" si="4">+C109</f>
        <v>7095336</v>
      </c>
      <c r="D6" s="250">
        <f t="shared" si="4"/>
        <v>7095336</v>
      </c>
      <c r="E6" s="250">
        <f t="shared" si="4"/>
        <v>7095336</v>
      </c>
      <c r="F6" s="250">
        <f t="shared" si="4"/>
        <v>7095336</v>
      </c>
      <c r="G6" s="250">
        <f t="shared" si="4"/>
        <v>7095336</v>
      </c>
      <c r="H6" s="250">
        <f t="shared" si="4"/>
        <v>7095336</v>
      </c>
      <c r="I6" s="250">
        <f t="shared" si="4"/>
        <v>7095336</v>
      </c>
      <c r="J6" s="250">
        <f t="shared" si="4"/>
        <v>7095336</v>
      </c>
      <c r="K6" s="250">
        <f t="shared" si="4"/>
        <v>7095336</v>
      </c>
      <c r="L6" s="250">
        <f t="shared" si="4"/>
        <v>7095336</v>
      </c>
      <c r="M6" s="250">
        <f t="shared" si="4"/>
        <v>7095336</v>
      </c>
      <c r="N6" s="248">
        <f t="shared" si="2"/>
        <v>7095336</v>
      </c>
      <c r="O6" s="228"/>
    </row>
    <row r="7" spans="1:18" ht="15.75" x14ac:dyDescent="0.25">
      <c r="A7" s="229" t="s">
        <v>27</v>
      </c>
      <c r="B7" s="249">
        <v>6900307</v>
      </c>
      <c r="C7" s="249">
        <v>6900307</v>
      </c>
      <c r="D7" s="249">
        <v>6900307</v>
      </c>
      <c r="E7" s="249">
        <v>6900307</v>
      </c>
      <c r="F7" s="249">
        <v>6900307</v>
      </c>
      <c r="G7" s="249">
        <v>6996822</v>
      </c>
      <c r="H7" s="249">
        <v>6996822</v>
      </c>
      <c r="I7" s="249">
        <v>6996822</v>
      </c>
      <c r="J7" s="249">
        <v>6996822</v>
      </c>
      <c r="K7" s="249">
        <v>6996822</v>
      </c>
      <c r="L7" s="249">
        <v>6949405</v>
      </c>
      <c r="M7" s="249">
        <v>6949405</v>
      </c>
      <c r="N7" s="248">
        <f t="shared" si="2"/>
        <v>6948704.583333333</v>
      </c>
      <c r="O7" s="228"/>
    </row>
    <row r="8" spans="1:18" ht="15.75" x14ac:dyDescent="0.25">
      <c r="A8" s="229" t="s">
        <v>195</v>
      </c>
      <c r="B8" s="249">
        <v>1</v>
      </c>
      <c r="C8" s="249">
        <v>1</v>
      </c>
      <c r="D8" s="249">
        <v>1</v>
      </c>
      <c r="E8" s="249">
        <v>1</v>
      </c>
      <c r="F8" s="249">
        <v>1</v>
      </c>
      <c r="G8" s="249">
        <v>1</v>
      </c>
      <c r="H8" s="249">
        <v>1</v>
      </c>
      <c r="I8" s="249">
        <v>1</v>
      </c>
      <c r="J8" s="249">
        <v>1</v>
      </c>
      <c r="K8" s="249">
        <v>1</v>
      </c>
      <c r="L8" s="249">
        <v>1</v>
      </c>
      <c r="M8" s="249">
        <v>1</v>
      </c>
      <c r="N8" s="248">
        <f t="shared" si="2"/>
        <v>1</v>
      </c>
      <c r="O8" s="228"/>
    </row>
    <row r="9" spans="1:18" ht="15.75" x14ac:dyDescent="0.25">
      <c r="A9" s="229" t="s">
        <v>207</v>
      </c>
      <c r="B9" s="249">
        <v>1</v>
      </c>
      <c r="C9" s="249">
        <v>1</v>
      </c>
      <c r="D9" s="249">
        <v>1</v>
      </c>
      <c r="E9" s="249">
        <v>1</v>
      </c>
      <c r="F9" s="249">
        <v>1</v>
      </c>
      <c r="G9" s="249">
        <v>1</v>
      </c>
      <c r="H9" s="249">
        <v>1</v>
      </c>
      <c r="I9" s="249">
        <v>1</v>
      </c>
      <c r="J9" s="249">
        <v>1</v>
      </c>
      <c r="K9" s="249">
        <v>1</v>
      </c>
      <c r="L9" s="249">
        <v>1</v>
      </c>
      <c r="M9" s="249">
        <v>1</v>
      </c>
      <c r="N9" s="248">
        <f t="shared" si="2"/>
        <v>1</v>
      </c>
      <c r="O9" s="228"/>
    </row>
    <row r="10" spans="1:18" ht="15.75" x14ac:dyDescent="0.25">
      <c r="A10" s="229" t="s">
        <v>210</v>
      </c>
      <c r="B10" s="247">
        <f t="shared" ref="B10:F10" si="5">+B45</f>
        <v>5819678</v>
      </c>
      <c r="C10" s="247">
        <f t="shared" si="5"/>
        <v>5819678</v>
      </c>
      <c r="D10" s="247">
        <f t="shared" si="5"/>
        <v>5819678</v>
      </c>
      <c r="E10" s="247">
        <f t="shared" si="5"/>
        <v>5819678</v>
      </c>
      <c r="F10" s="247">
        <f t="shared" si="5"/>
        <v>5819678</v>
      </c>
      <c r="G10" s="247">
        <f>+G45</f>
        <v>6395303</v>
      </c>
      <c r="H10" s="247">
        <f t="shared" ref="H10:M10" si="6">+H45</f>
        <v>6395303</v>
      </c>
      <c r="I10" s="247">
        <f t="shared" si="6"/>
        <v>6395303</v>
      </c>
      <c r="J10" s="247">
        <f t="shared" si="6"/>
        <v>6395303</v>
      </c>
      <c r="K10" s="247">
        <f t="shared" si="6"/>
        <v>6395303</v>
      </c>
      <c r="L10" s="247">
        <f t="shared" si="6"/>
        <v>6395303</v>
      </c>
      <c r="M10" s="247">
        <f t="shared" si="6"/>
        <v>6395303</v>
      </c>
      <c r="N10" s="248">
        <f t="shared" si="2"/>
        <v>6155459.25</v>
      </c>
      <c r="O10" s="228"/>
    </row>
    <row r="11" spans="1:18" ht="15.75" x14ac:dyDescent="0.25">
      <c r="A11" s="229" t="s">
        <v>25</v>
      </c>
      <c r="B11" s="249">
        <v>263750</v>
      </c>
      <c r="C11" s="249">
        <v>263750</v>
      </c>
      <c r="D11" s="249">
        <v>263750</v>
      </c>
      <c r="E11" s="249">
        <v>263750</v>
      </c>
      <c r="F11" s="249">
        <v>263750</v>
      </c>
      <c r="G11" s="249">
        <v>277000</v>
      </c>
      <c r="H11" s="249">
        <v>277000</v>
      </c>
      <c r="I11" s="249">
        <v>277000</v>
      </c>
      <c r="J11" s="249">
        <v>277000</v>
      </c>
      <c r="K11" s="249">
        <v>277000</v>
      </c>
      <c r="L11" s="249">
        <v>277000</v>
      </c>
      <c r="M11" s="249">
        <v>277000</v>
      </c>
      <c r="N11" s="248">
        <f t="shared" si="2"/>
        <v>271479.16666666669</v>
      </c>
      <c r="O11" s="228"/>
    </row>
    <row r="12" spans="1:18" ht="15.75" x14ac:dyDescent="0.25">
      <c r="A12" s="229" t="s">
        <v>28</v>
      </c>
      <c r="B12" s="249">
        <v>313000</v>
      </c>
      <c r="C12" s="249">
        <v>313000</v>
      </c>
      <c r="D12" s="249">
        <v>313000</v>
      </c>
      <c r="E12" s="249">
        <v>313000</v>
      </c>
      <c r="F12" s="249">
        <v>313000</v>
      </c>
      <c r="G12" s="249">
        <v>314000</v>
      </c>
      <c r="H12" s="249">
        <v>314000</v>
      </c>
      <c r="I12" s="249">
        <v>314000</v>
      </c>
      <c r="J12" s="249">
        <v>314000</v>
      </c>
      <c r="K12" s="249">
        <v>314000</v>
      </c>
      <c r="L12" s="249">
        <v>314000</v>
      </c>
      <c r="M12" s="249">
        <v>314000</v>
      </c>
      <c r="N12" s="248">
        <f t="shared" si="2"/>
        <v>313583.33333333331</v>
      </c>
      <c r="O12" s="228"/>
    </row>
    <row r="13" spans="1:18" ht="15.75" x14ac:dyDescent="0.25">
      <c r="A13" s="229" t="s">
        <v>34</v>
      </c>
      <c r="B13" s="247">
        <f t="shared" ref="B13:F13" si="7">+B64</f>
        <v>1050559</v>
      </c>
      <c r="C13" s="247">
        <f t="shared" si="7"/>
        <v>1050559</v>
      </c>
      <c r="D13" s="247">
        <f t="shared" si="7"/>
        <v>1050559</v>
      </c>
      <c r="E13" s="247">
        <f t="shared" si="7"/>
        <v>1050559</v>
      </c>
      <c r="F13" s="247">
        <f t="shared" si="7"/>
        <v>1050559</v>
      </c>
      <c r="G13" s="247">
        <f>+G64</f>
        <v>1043734</v>
      </c>
      <c r="H13" s="247">
        <f t="shared" ref="H13:M13" si="8">+H64</f>
        <v>1043734</v>
      </c>
      <c r="I13" s="247">
        <f t="shared" si="8"/>
        <v>1043734</v>
      </c>
      <c r="J13" s="247">
        <f t="shared" si="8"/>
        <v>1043734</v>
      </c>
      <c r="K13" s="247">
        <f t="shared" si="8"/>
        <v>1043734</v>
      </c>
      <c r="L13" s="247">
        <f t="shared" si="8"/>
        <v>1043734</v>
      </c>
      <c r="M13" s="247">
        <f t="shared" si="8"/>
        <v>1043734</v>
      </c>
      <c r="N13" s="248">
        <f t="shared" si="2"/>
        <v>1046577.75</v>
      </c>
      <c r="O13" s="228"/>
      <c r="Q13" s="230"/>
      <c r="R13" s="230"/>
    </row>
    <row r="14" spans="1:18" ht="15.75" x14ac:dyDescent="0.25">
      <c r="A14" s="229" t="s">
        <v>19</v>
      </c>
      <c r="B14" s="249">
        <v>580838</v>
      </c>
      <c r="C14" s="249">
        <v>580838</v>
      </c>
      <c r="D14" s="249">
        <v>580838</v>
      </c>
      <c r="E14" s="249">
        <v>580838</v>
      </c>
      <c r="F14" s="249">
        <v>580838</v>
      </c>
      <c r="G14" s="249">
        <v>594580</v>
      </c>
      <c r="H14" s="249">
        <v>594580</v>
      </c>
      <c r="I14" s="249">
        <v>594580</v>
      </c>
      <c r="J14" s="249">
        <v>594580</v>
      </c>
      <c r="K14" s="249">
        <v>594580</v>
      </c>
      <c r="L14" s="249">
        <v>594580</v>
      </c>
      <c r="M14" s="249">
        <v>594580</v>
      </c>
      <c r="N14" s="248">
        <f t="shared" si="2"/>
        <v>588854.16666666663</v>
      </c>
      <c r="O14" s="228"/>
    </row>
    <row r="15" spans="1:18" ht="15.75" x14ac:dyDescent="0.25">
      <c r="A15" s="229" t="s">
        <v>23</v>
      </c>
      <c r="B15" s="247">
        <f t="shared" ref="B15:F15" si="9">+B58</f>
        <v>8580000</v>
      </c>
      <c r="C15" s="247">
        <f t="shared" si="9"/>
        <v>8580000</v>
      </c>
      <c r="D15" s="247">
        <f t="shared" si="9"/>
        <v>8580000</v>
      </c>
      <c r="E15" s="247">
        <f t="shared" si="9"/>
        <v>8580000</v>
      </c>
      <c r="F15" s="247">
        <f t="shared" si="9"/>
        <v>8580000</v>
      </c>
      <c r="G15" s="247">
        <f>+G58</f>
        <v>8580000</v>
      </c>
      <c r="H15" s="247">
        <f t="shared" ref="H15:L15" si="10">+H58</f>
        <v>8580000</v>
      </c>
      <c r="I15" s="247">
        <f t="shared" si="10"/>
        <v>8580000</v>
      </c>
      <c r="J15" s="247">
        <f t="shared" si="10"/>
        <v>8580000</v>
      </c>
      <c r="K15" s="247">
        <f t="shared" si="10"/>
        <v>8580000</v>
      </c>
      <c r="L15" s="247">
        <f t="shared" si="10"/>
        <v>8580000</v>
      </c>
      <c r="M15" s="247">
        <f>+M58</f>
        <v>8580000</v>
      </c>
      <c r="N15" s="248">
        <f t="shared" si="2"/>
        <v>8580000</v>
      </c>
      <c r="O15" s="228"/>
    </row>
    <row r="16" spans="1:18" ht="15.75" x14ac:dyDescent="0.25">
      <c r="A16" s="229" t="s">
        <v>20</v>
      </c>
      <c r="B16" s="249">
        <v>2461500</v>
      </c>
      <c r="C16" s="249">
        <v>2461500</v>
      </c>
      <c r="D16" s="249">
        <v>2461500</v>
      </c>
      <c r="E16" s="249">
        <v>2461500</v>
      </c>
      <c r="F16" s="249">
        <v>2461500</v>
      </c>
      <c r="G16" s="249">
        <v>2431583</v>
      </c>
      <c r="H16" s="249">
        <v>2431583</v>
      </c>
      <c r="I16" s="249">
        <v>2431583</v>
      </c>
      <c r="J16" s="249">
        <v>2431583</v>
      </c>
      <c r="K16" s="249">
        <v>2431583</v>
      </c>
      <c r="L16" s="249">
        <v>2431583</v>
      </c>
      <c r="M16" s="249">
        <v>2431583</v>
      </c>
      <c r="N16" s="248">
        <f t="shared" si="2"/>
        <v>2444048.4166666665</v>
      </c>
      <c r="O16" s="228"/>
    </row>
    <row r="17" spans="1:18" ht="15.75" x14ac:dyDescent="0.25">
      <c r="A17" s="229" t="s">
        <v>208</v>
      </c>
      <c r="B17" s="247">
        <f>B117</f>
        <v>6762500</v>
      </c>
      <c r="C17" s="247">
        <f t="shared" ref="C17:M17" si="11">C117</f>
        <v>6762500</v>
      </c>
      <c r="D17" s="247">
        <f t="shared" si="11"/>
        <v>6762500</v>
      </c>
      <c r="E17" s="247">
        <f t="shared" si="11"/>
        <v>6762500</v>
      </c>
      <c r="F17" s="247">
        <f t="shared" si="11"/>
        <v>6762500</v>
      </c>
      <c r="G17" s="247">
        <f t="shared" si="11"/>
        <v>6762500</v>
      </c>
      <c r="H17" s="247">
        <f t="shared" si="11"/>
        <v>6762500</v>
      </c>
      <c r="I17" s="247">
        <f t="shared" si="11"/>
        <v>6762500</v>
      </c>
      <c r="J17" s="247">
        <f t="shared" si="11"/>
        <v>6762500</v>
      </c>
      <c r="K17" s="247">
        <f t="shared" si="11"/>
        <v>6762500</v>
      </c>
      <c r="L17" s="247">
        <f t="shared" si="11"/>
        <v>6762500</v>
      </c>
      <c r="M17" s="247">
        <f t="shared" si="11"/>
        <v>6762500</v>
      </c>
      <c r="N17" s="248">
        <f t="shared" si="2"/>
        <v>6762500</v>
      </c>
      <c r="O17" s="228"/>
    </row>
    <row r="18" spans="1:18" ht="15.75" x14ac:dyDescent="0.25">
      <c r="A18" s="229" t="s">
        <v>209</v>
      </c>
      <c r="B18" s="250">
        <f t="shared" ref="B18:F18" si="12">+B55</f>
        <v>7244891</v>
      </c>
      <c r="C18" s="250">
        <f t="shared" si="12"/>
        <v>7244891</v>
      </c>
      <c r="D18" s="250">
        <f t="shared" si="12"/>
        <v>7244891</v>
      </c>
      <c r="E18" s="250">
        <f t="shared" si="12"/>
        <v>7244891</v>
      </c>
      <c r="F18" s="250">
        <f t="shared" si="12"/>
        <v>7244891</v>
      </c>
      <c r="G18" s="250">
        <f>+G55</f>
        <v>7244891</v>
      </c>
      <c r="H18" s="250">
        <f t="shared" ref="H18:M18" si="13">+H55</f>
        <v>7244891</v>
      </c>
      <c r="I18" s="250">
        <f t="shared" si="13"/>
        <v>7244891</v>
      </c>
      <c r="J18" s="250">
        <f t="shared" si="13"/>
        <v>7244891</v>
      </c>
      <c r="K18" s="250">
        <f t="shared" si="13"/>
        <v>7244891</v>
      </c>
      <c r="L18" s="250">
        <f t="shared" si="13"/>
        <v>7244891</v>
      </c>
      <c r="M18" s="250">
        <f t="shared" si="13"/>
        <v>7244891</v>
      </c>
      <c r="N18" s="248">
        <f t="shared" si="2"/>
        <v>7244891</v>
      </c>
      <c r="O18" s="228"/>
    </row>
    <row r="19" spans="1:18" ht="15.75" x14ac:dyDescent="0.25">
      <c r="A19" s="229" t="s">
        <v>32</v>
      </c>
      <c r="B19" s="247">
        <f t="shared" ref="B19:F19" si="14">+B75</f>
        <v>1749876</v>
      </c>
      <c r="C19" s="247">
        <f t="shared" si="14"/>
        <v>1749876</v>
      </c>
      <c r="D19" s="247">
        <f t="shared" si="14"/>
        <v>1749876</v>
      </c>
      <c r="E19" s="247">
        <f t="shared" si="14"/>
        <v>1749876</v>
      </c>
      <c r="F19" s="247">
        <f t="shared" si="14"/>
        <v>1749876</v>
      </c>
      <c r="G19" s="247">
        <f>+G75</f>
        <v>1749876</v>
      </c>
      <c r="H19" s="247">
        <f t="shared" ref="H19:M19" si="15">+H75</f>
        <v>1749876</v>
      </c>
      <c r="I19" s="247">
        <f t="shared" si="15"/>
        <v>1749876</v>
      </c>
      <c r="J19" s="247">
        <f t="shared" si="15"/>
        <v>1749876</v>
      </c>
      <c r="K19" s="247">
        <f t="shared" si="15"/>
        <v>1749876</v>
      </c>
      <c r="L19" s="247">
        <f t="shared" si="15"/>
        <v>1749876</v>
      </c>
      <c r="M19" s="247">
        <f t="shared" si="15"/>
        <v>1749876</v>
      </c>
      <c r="N19" s="248">
        <f t="shared" si="2"/>
        <v>1749876</v>
      </c>
      <c r="O19" s="228"/>
    </row>
    <row r="20" spans="1:18" ht="15.75" x14ac:dyDescent="0.25">
      <c r="A20" s="229" t="s">
        <v>36</v>
      </c>
      <c r="B20" s="249">
        <v>514467</v>
      </c>
      <c r="C20" s="249">
        <v>514467</v>
      </c>
      <c r="D20" s="249">
        <v>514467</v>
      </c>
      <c r="E20" s="249">
        <v>514467</v>
      </c>
      <c r="F20" s="249">
        <v>514467</v>
      </c>
      <c r="G20" s="249">
        <v>514467</v>
      </c>
      <c r="H20" s="249">
        <v>514467</v>
      </c>
      <c r="I20" s="249">
        <v>514467</v>
      </c>
      <c r="J20" s="249">
        <v>514467</v>
      </c>
      <c r="K20" s="249">
        <v>514467</v>
      </c>
      <c r="L20" s="249">
        <v>514467</v>
      </c>
      <c r="M20" s="249">
        <v>514467</v>
      </c>
      <c r="N20" s="248">
        <f t="shared" si="2"/>
        <v>514467</v>
      </c>
      <c r="O20" s="228"/>
    </row>
    <row r="21" spans="1:18" ht="15.75" x14ac:dyDescent="0.25">
      <c r="A21" s="229" t="s">
        <v>31</v>
      </c>
      <c r="B21" s="247">
        <f>+B92</f>
        <v>7935567</v>
      </c>
      <c r="C21" s="247">
        <f t="shared" ref="C21:M21" si="16">+C92</f>
        <v>7935567</v>
      </c>
      <c r="D21" s="247">
        <f t="shared" si="16"/>
        <v>7935567</v>
      </c>
      <c r="E21" s="247">
        <f t="shared" si="16"/>
        <v>7935567</v>
      </c>
      <c r="F21" s="247">
        <f t="shared" si="16"/>
        <v>7935567</v>
      </c>
      <c r="G21" s="247">
        <f t="shared" si="16"/>
        <v>7932067</v>
      </c>
      <c r="H21" s="247">
        <f t="shared" si="16"/>
        <v>7932067</v>
      </c>
      <c r="I21" s="247">
        <f t="shared" si="16"/>
        <v>7932067</v>
      </c>
      <c r="J21" s="247">
        <f t="shared" si="16"/>
        <v>7932067</v>
      </c>
      <c r="K21" s="247">
        <f t="shared" si="16"/>
        <v>7932067</v>
      </c>
      <c r="L21" s="247">
        <f t="shared" si="16"/>
        <v>7932067</v>
      </c>
      <c r="M21" s="247">
        <f t="shared" si="16"/>
        <v>7932067</v>
      </c>
      <c r="N21" s="248">
        <f t="shared" si="2"/>
        <v>7933525.333333333</v>
      </c>
      <c r="O21" s="228"/>
      <c r="R21" s="230"/>
    </row>
    <row r="22" spans="1:18" ht="15.75" x14ac:dyDescent="0.25">
      <c r="A22" s="229" t="s">
        <v>21</v>
      </c>
      <c r="B22" s="249">
        <v>2943583</v>
      </c>
      <c r="C22" s="249">
        <v>2943583</v>
      </c>
      <c r="D22" s="249">
        <v>2943583</v>
      </c>
      <c r="E22" s="249">
        <v>2943583</v>
      </c>
      <c r="F22" s="249">
        <v>2943583</v>
      </c>
      <c r="G22" s="249">
        <v>2943583</v>
      </c>
      <c r="H22" s="249">
        <v>2943583</v>
      </c>
      <c r="I22" s="249">
        <v>2943583</v>
      </c>
      <c r="J22" s="249">
        <v>2943583</v>
      </c>
      <c r="K22" s="249">
        <v>2943583</v>
      </c>
      <c r="L22" s="249">
        <v>2943583</v>
      </c>
      <c r="M22" s="249">
        <v>2943583</v>
      </c>
      <c r="N22" s="248">
        <f t="shared" si="2"/>
        <v>2943583</v>
      </c>
      <c r="O22" s="228"/>
    </row>
    <row r="23" spans="1:18" ht="15.75" x14ac:dyDescent="0.25">
      <c r="A23" s="229" t="s">
        <v>35</v>
      </c>
      <c r="B23" s="247">
        <f>+B81</f>
        <v>1284842</v>
      </c>
      <c r="C23" s="247">
        <f t="shared" ref="C23:M23" si="17">+C81</f>
        <v>1284842</v>
      </c>
      <c r="D23" s="247">
        <f t="shared" si="17"/>
        <v>1284842</v>
      </c>
      <c r="E23" s="247">
        <f t="shared" si="17"/>
        <v>1284842</v>
      </c>
      <c r="F23" s="247">
        <f t="shared" si="17"/>
        <v>1284842</v>
      </c>
      <c r="G23" s="247">
        <f t="shared" si="17"/>
        <v>1284842</v>
      </c>
      <c r="H23" s="247">
        <f t="shared" si="17"/>
        <v>1284842</v>
      </c>
      <c r="I23" s="247">
        <f t="shared" si="17"/>
        <v>1284842</v>
      </c>
      <c r="J23" s="247">
        <f t="shared" si="17"/>
        <v>1284842</v>
      </c>
      <c r="K23" s="247">
        <f t="shared" si="17"/>
        <v>1284842</v>
      </c>
      <c r="L23" s="247">
        <f t="shared" si="17"/>
        <v>1284842</v>
      </c>
      <c r="M23" s="247">
        <f t="shared" si="17"/>
        <v>1284842</v>
      </c>
      <c r="N23" s="248">
        <f t="shared" si="2"/>
        <v>1284842</v>
      </c>
      <c r="O23" s="228"/>
    </row>
    <row r="24" spans="1:18" ht="15.75" x14ac:dyDescent="0.25">
      <c r="A24" s="229" t="s">
        <v>29</v>
      </c>
      <c r="B24" s="249">
        <v>449083</v>
      </c>
      <c r="C24" s="249">
        <v>449083</v>
      </c>
      <c r="D24" s="249">
        <v>449083</v>
      </c>
      <c r="E24" s="249">
        <v>449083</v>
      </c>
      <c r="F24" s="249">
        <v>449083</v>
      </c>
      <c r="G24" s="249">
        <v>476667</v>
      </c>
      <c r="H24" s="249">
        <v>476667</v>
      </c>
      <c r="I24" s="249">
        <v>476667</v>
      </c>
      <c r="J24" s="249">
        <v>476667</v>
      </c>
      <c r="K24" s="249">
        <v>476667</v>
      </c>
      <c r="L24" s="249">
        <v>476667</v>
      </c>
      <c r="M24" s="249">
        <v>476667</v>
      </c>
      <c r="N24" s="248">
        <f t="shared" si="2"/>
        <v>465173.66666666669</v>
      </c>
      <c r="O24" s="228"/>
    </row>
    <row r="25" spans="1:18" ht="15.75" x14ac:dyDescent="0.25">
      <c r="A25" s="229" t="s">
        <v>33</v>
      </c>
      <c r="B25" s="250">
        <f>+B113</f>
        <v>263369</v>
      </c>
      <c r="C25" s="250">
        <f t="shared" ref="C25:M25" si="18">+C113</f>
        <v>263369</v>
      </c>
      <c r="D25" s="250">
        <f t="shared" si="18"/>
        <v>263369</v>
      </c>
      <c r="E25" s="250">
        <f t="shared" si="18"/>
        <v>263369</v>
      </c>
      <c r="F25" s="250">
        <f t="shared" si="18"/>
        <v>263369</v>
      </c>
      <c r="G25" s="250">
        <f t="shared" si="18"/>
        <v>264669</v>
      </c>
      <c r="H25" s="250">
        <f t="shared" si="18"/>
        <v>264669</v>
      </c>
      <c r="I25" s="250">
        <f t="shared" si="18"/>
        <v>264669</v>
      </c>
      <c r="J25" s="250">
        <f t="shared" si="18"/>
        <v>264669</v>
      </c>
      <c r="K25" s="250">
        <f t="shared" si="18"/>
        <v>264669</v>
      </c>
      <c r="L25" s="250">
        <f t="shared" si="18"/>
        <v>264669</v>
      </c>
      <c r="M25" s="250">
        <f t="shared" si="18"/>
        <v>264669</v>
      </c>
      <c r="N25" s="248">
        <f t="shared" si="2"/>
        <v>264127.33333333331</v>
      </c>
      <c r="O25" s="228"/>
    </row>
    <row r="26" spans="1:18" ht="15.75" x14ac:dyDescent="0.25">
      <c r="A26" s="229" t="s">
        <v>211</v>
      </c>
      <c r="B26" s="249">
        <v>1002434</v>
      </c>
      <c r="C26" s="250">
        <f>+B26</f>
        <v>1002434</v>
      </c>
      <c r="D26" s="250">
        <f t="shared" ref="D26:M26" si="19">+C26</f>
        <v>1002434</v>
      </c>
      <c r="E26" s="250">
        <f t="shared" si="19"/>
        <v>1002434</v>
      </c>
      <c r="F26" s="250">
        <f t="shared" si="19"/>
        <v>1002434</v>
      </c>
      <c r="G26" s="250">
        <f t="shared" si="19"/>
        <v>1002434</v>
      </c>
      <c r="H26" s="250">
        <f t="shared" si="19"/>
        <v>1002434</v>
      </c>
      <c r="I26" s="250">
        <f t="shared" si="19"/>
        <v>1002434</v>
      </c>
      <c r="J26" s="250">
        <f t="shared" si="19"/>
        <v>1002434</v>
      </c>
      <c r="K26" s="250">
        <f t="shared" si="19"/>
        <v>1002434</v>
      </c>
      <c r="L26" s="250">
        <f t="shared" si="19"/>
        <v>1002434</v>
      </c>
      <c r="M26" s="250">
        <f t="shared" si="19"/>
        <v>1002434</v>
      </c>
      <c r="N26" s="248">
        <f t="shared" si="2"/>
        <v>1002434</v>
      </c>
      <c r="O26" s="228"/>
    </row>
    <row r="27" spans="1:18" ht="15.75" x14ac:dyDescent="0.25">
      <c r="A27" s="229" t="s">
        <v>91</v>
      </c>
      <c r="B27" s="247">
        <f>+B102</f>
        <v>4248040</v>
      </c>
      <c r="C27" s="247">
        <f t="shared" ref="C27:M27" si="20">+C102</f>
        <v>4248040</v>
      </c>
      <c r="D27" s="247">
        <f t="shared" si="20"/>
        <v>4248040</v>
      </c>
      <c r="E27" s="247">
        <f t="shared" si="20"/>
        <v>4248040</v>
      </c>
      <c r="F27" s="247">
        <f t="shared" si="20"/>
        <v>4248040</v>
      </c>
      <c r="G27" s="247">
        <f t="shared" si="20"/>
        <v>4252668</v>
      </c>
      <c r="H27" s="247">
        <f t="shared" si="20"/>
        <v>4252668</v>
      </c>
      <c r="I27" s="247">
        <f t="shared" si="20"/>
        <v>4252668</v>
      </c>
      <c r="J27" s="247">
        <f t="shared" si="20"/>
        <v>4252668</v>
      </c>
      <c r="K27" s="247">
        <f t="shared" si="20"/>
        <v>4252668</v>
      </c>
      <c r="L27" s="247">
        <f t="shared" si="20"/>
        <v>4252668</v>
      </c>
      <c r="M27" s="247">
        <f t="shared" si="20"/>
        <v>4252668</v>
      </c>
      <c r="N27" s="248">
        <f t="shared" si="2"/>
        <v>4250739.666666667</v>
      </c>
      <c r="O27" s="228"/>
    </row>
    <row r="28" spans="1:18" ht="15.75" x14ac:dyDescent="0.25">
      <c r="A28" s="229" t="s">
        <v>92</v>
      </c>
      <c r="B28" s="249">
        <v>122262</v>
      </c>
      <c r="C28" s="249">
        <v>122262</v>
      </c>
      <c r="D28" s="249">
        <v>122262</v>
      </c>
      <c r="E28" s="249">
        <v>122262</v>
      </c>
      <c r="F28" s="249">
        <v>122262</v>
      </c>
      <c r="G28" s="249">
        <v>120458</v>
      </c>
      <c r="H28" s="249">
        <v>120458</v>
      </c>
      <c r="I28" s="249">
        <v>120458</v>
      </c>
      <c r="J28" s="249">
        <v>120458</v>
      </c>
      <c r="K28" s="249">
        <v>120458</v>
      </c>
      <c r="L28" s="249">
        <v>120458</v>
      </c>
      <c r="M28" s="249">
        <v>120458</v>
      </c>
      <c r="N28" s="248">
        <f t="shared" si="2"/>
        <v>121209.66666666667</v>
      </c>
      <c r="O28" s="228"/>
    </row>
    <row r="29" spans="1:18" ht="15.75" x14ac:dyDescent="0.25">
      <c r="A29" s="229" t="s">
        <v>93</v>
      </c>
      <c r="B29" s="247">
        <f>+B105</f>
        <v>876525</v>
      </c>
      <c r="C29" s="247">
        <f t="shared" ref="C29:M29" si="21">+C105</f>
        <v>876525</v>
      </c>
      <c r="D29" s="247">
        <f t="shared" si="21"/>
        <v>876525</v>
      </c>
      <c r="E29" s="247">
        <f t="shared" si="21"/>
        <v>876525</v>
      </c>
      <c r="F29" s="247">
        <f t="shared" si="21"/>
        <v>876525</v>
      </c>
      <c r="G29" s="247">
        <f t="shared" si="21"/>
        <v>876525</v>
      </c>
      <c r="H29" s="247">
        <f t="shared" si="21"/>
        <v>876525</v>
      </c>
      <c r="I29" s="247">
        <f t="shared" si="21"/>
        <v>876525</v>
      </c>
      <c r="J29" s="247">
        <f t="shared" si="21"/>
        <v>876525</v>
      </c>
      <c r="K29" s="247">
        <f t="shared" si="21"/>
        <v>876525</v>
      </c>
      <c r="L29" s="247">
        <f t="shared" si="21"/>
        <v>876525</v>
      </c>
      <c r="M29" s="247">
        <f t="shared" si="21"/>
        <v>876525</v>
      </c>
      <c r="N29" s="248">
        <f t="shared" si="2"/>
        <v>876525</v>
      </c>
      <c r="O29" s="228"/>
    </row>
    <row r="30" spans="1:18" ht="15.75" x14ac:dyDescent="0.25">
      <c r="A30" s="229" t="s">
        <v>94</v>
      </c>
      <c r="B30" s="249">
        <v>1455000</v>
      </c>
      <c r="C30" s="249">
        <v>1455000</v>
      </c>
      <c r="D30" s="249">
        <v>1455000</v>
      </c>
      <c r="E30" s="249">
        <v>1455000</v>
      </c>
      <c r="F30" s="249">
        <v>1455000</v>
      </c>
      <c r="G30" s="249">
        <v>1468250</v>
      </c>
      <c r="H30" s="249">
        <v>1501167</v>
      </c>
      <c r="I30" s="249">
        <v>1501167</v>
      </c>
      <c r="J30" s="249">
        <v>1501167</v>
      </c>
      <c r="K30" s="249">
        <v>1501167</v>
      </c>
      <c r="L30" s="249">
        <v>1501167</v>
      </c>
      <c r="M30" s="249">
        <v>1501167</v>
      </c>
      <c r="N30" s="248">
        <f t="shared" si="2"/>
        <v>1479187.6666666667</v>
      </c>
      <c r="O30" s="228"/>
    </row>
    <row r="31" spans="1:18" s="81" customFormat="1" ht="15.75" x14ac:dyDescent="0.25">
      <c r="A31" s="229" t="s">
        <v>223</v>
      </c>
      <c r="B31" s="251">
        <f>B123</f>
        <v>5932879</v>
      </c>
      <c r="C31" s="251">
        <f t="shared" ref="C31:M31" si="22">C123</f>
        <v>5932879</v>
      </c>
      <c r="D31" s="251">
        <f t="shared" si="22"/>
        <v>5932879</v>
      </c>
      <c r="E31" s="251">
        <f t="shared" si="22"/>
        <v>5932879</v>
      </c>
      <c r="F31" s="251">
        <f t="shared" si="22"/>
        <v>5932879</v>
      </c>
      <c r="G31" s="251">
        <f t="shared" si="22"/>
        <v>5732703</v>
      </c>
      <c r="H31" s="251">
        <f t="shared" si="22"/>
        <v>5732703</v>
      </c>
      <c r="I31" s="251">
        <f t="shared" si="22"/>
        <v>5732703</v>
      </c>
      <c r="J31" s="251">
        <f t="shared" si="22"/>
        <v>5732703</v>
      </c>
      <c r="K31" s="251">
        <f t="shared" si="22"/>
        <v>5732703</v>
      </c>
      <c r="L31" s="251">
        <f t="shared" si="22"/>
        <v>5844083</v>
      </c>
      <c r="M31" s="251">
        <f t="shared" si="22"/>
        <v>5844083</v>
      </c>
      <c r="N31" s="252">
        <f t="shared" si="2"/>
        <v>5834673</v>
      </c>
      <c r="O31" s="231"/>
    </row>
    <row r="32" spans="1:18" s="81" customFormat="1" ht="15.75" x14ac:dyDescent="0.25">
      <c r="A32" s="229" t="s">
        <v>224</v>
      </c>
      <c r="B32" s="251">
        <f>B129</f>
        <v>11124019</v>
      </c>
      <c r="C32" s="251">
        <f t="shared" ref="C32:L32" si="23">C129</f>
        <v>11124019</v>
      </c>
      <c r="D32" s="251">
        <f t="shared" si="23"/>
        <v>11124019</v>
      </c>
      <c r="E32" s="251">
        <f t="shared" si="23"/>
        <v>11124019</v>
      </c>
      <c r="F32" s="251">
        <f t="shared" si="23"/>
        <v>11124019</v>
      </c>
      <c r="G32" s="251">
        <f t="shared" si="23"/>
        <v>11124019</v>
      </c>
      <c r="H32" s="251">
        <f t="shared" si="23"/>
        <v>11124019</v>
      </c>
      <c r="I32" s="251">
        <f t="shared" si="23"/>
        <v>11124019</v>
      </c>
      <c r="J32" s="251">
        <f t="shared" si="23"/>
        <v>11124019</v>
      </c>
      <c r="K32" s="251">
        <f t="shared" si="23"/>
        <v>11124019</v>
      </c>
      <c r="L32" s="251">
        <f t="shared" si="23"/>
        <v>11650500</v>
      </c>
      <c r="M32" s="253">
        <f>M129</f>
        <v>11650500</v>
      </c>
      <c r="N32" s="252">
        <f t="shared" si="2"/>
        <v>11211765.833333334</v>
      </c>
      <c r="O32" s="231"/>
    </row>
    <row r="33" spans="1:15" s="81" customFormat="1" ht="15.75" x14ac:dyDescent="0.25">
      <c r="A33" s="229" t="s">
        <v>225</v>
      </c>
      <c r="B33" s="251">
        <f>B132</f>
        <v>3144299</v>
      </c>
      <c r="C33" s="251">
        <f t="shared" ref="C33:M33" si="24">C132</f>
        <v>3144299</v>
      </c>
      <c r="D33" s="251">
        <f t="shared" si="24"/>
        <v>3144299</v>
      </c>
      <c r="E33" s="251">
        <f t="shared" si="24"/>
        <v>3144299</v>
      </c>
      <c r="F33" s="251">
        <f t="shared" si="24"/>
        <v>3144299</v>
      </c>
      <c r="G33" s="251">
        <f t="shared" si="24"/>
        <v>3140632</v>
      </c>
      <c r="H33" s="251">
        <f t="shared" si="24"/>
        <v>3140632</v>
      </c>
      <c r="I33" s="251">
        <f t="shared" si="24"/>
        <v>3140632</v>
      </c>
      <c r="J33" s="251">
        <f t="shared" si="24"/>
        <v>3140632</v>
      </c>
      <c r="K33" s="251">
        <f t="shared" si="24"/>
        <v>3140632</v>
      </c>
      <c r="L33" s="251">
        <f t="shared" si="24"/>
        <v>3047784</v>
      </c>
      <c r="M33" s="251">
        <f t="shared" si="24"/>
        <v>3047784</v>
      </c>
      <c r="N33" s="252">
        <f t="shared" si="2"/>
        <v>3126685.25</v>
      </c>
      <c r="O33" s="231"/>
    </row>
    <row r="34" spans="1:15" s="81" customFormat="1" ht="15.75" x14ac:dyDescent="0.25">
      <c r="A34" s="229" t="s">
        <v>226</v>
      </c>
      <c r="B34" s="251">
        <f>B138</f>
        <v>3481183</v>
      </c>
      <c r="C34" s="251">
        <f t="shared" ref="C34:M34" si="25">C138</f>
        <v>3481183</v>
      </c>
      <c r="D34" s="251">
        <f t="shared" si="25"/>
        <v>3481183</v>
      </c>
      <c r="E34" s="251">
        <f t="shared" si="25"/>
        <v>3481183</v>
      </c>
      <c r="F34" s="251">
        <f t="shared" si="25"/>
        <v>3481183</v>
      </c>
      <c r="G34" s="251">
        <f t="shared" si="25"/>
        <v>3481183</v>
      </c>
      <c r="H34" s="251">
        <f t="shared" si="25"/>
        <v>3481183</v>
      </c>
      <c r="I34" s="251">
        <f t="shared" si="25"/>
        <v>3481183</v>
      </c>
      <c r="J34" s="251">
        <f t="shared" si="25"/>
        <v>3481183</v>
      </c>
      <c r="K34" s="251">
        <f t="shared" si="25"/>
        <v>3481183</v>
      </c>
      <c r="L34" s="251">
        <f t="shared" si="25"/>
        <v>3563667</v>
      </c>
      <c r="M34" s="251">
        <f t="shared" si="25"/>
        <v>3563667</v>
      </c>
      <c r="N34" s="252">
        <f t="shared" si="2"/>
        <v>3494930.3333333335</v>
      </c>
      <c r="O34" s="231"/>
    </row>
    <row r="35" spans="1:15" s="81" customFormat="1" ht="15.75" x14ac:dyDescent="0.25">
      <c r="A35" s="229" t="s">
        <v>227</v>
      </c>
      <c r="B35" s="251">
        <f>B141</f>
        <v>1736525</v>
      </c>
      <c r="C35" s="251">
        <f t="shared" ref="C35:M35" si="26">C141</f>
        <v>1736525</v>
      </c>
      <c r="D35" s="251">
        <f t="shared" si="26"/>
        <v>1736525</v>
      </c>
      <c r="E35" s="251">
        <f t="shared" si="26"/>
        <v>1736525</v>
      </c>
      <c r="F35" s="251">
        <f t="shared" si="26"/>
        <v>1736525</v>
      </c>
      <c r="G35" s="251">
        <f t="shared" si="26"/>
        <v>1670417</v>
      </c>
      <c r="H35" s="251">
        <f t="shared" si="26"/>
        <v>1670417</v>
      </c>
      <c r="I35" s="251">
        <f t="shared" si="26"/>
        <v>1670417</v>
      </c>
      <c r="J35" s="251">
        <f t="shared" si="26"/>
        <v>1670417</v>
      </c>
      <c r="K35" s="251">
        <f t="shared" si="26"/>
        <v>1670417</v>
      </c>
      <c r="L35" s="251">
        <f t="shared" si="26"/>
        <v>1670417</v>
      </c>
      <c r="M35" s="251">
        <f t="shared" si="26"/>
        <v>1670417</v>
      </c>
      <c r="N35" s="252">
        <f t="shared" si="2"/>
        <v>1697962</v>
      </c>
      <c r="O35" s="231"/>
    </row>
    <row r="36" spans="1:15" s="81" customFormat="1" ht="15.75" x14ac:dyDescent="0.25">
      <c r="A36" s="229" t="s">
        <v>228</v>
      </c>
      <c r="B36" s="249">
        <v>680834</v>
      </c>
      <c r="C36" s="249">
        <v>680834</v>
      </c>
      <c r="D36" s="249">
        <v>680834</v>
      </c>
      <c r="E36" s="249">
        <v>680834</v>
      </c>
      <c r="F36" s="249">
        <v>680834</v>
      </c>
      <c r="G36" s="249">
        <v>726333</v>
      </c>
      <c r="H36" s="249">
        <v>726333</v>
      </c>
      <c r="I36" s="249">
        <v>726333</v>
      </c>
      <c r="J36" s="249">
        <v>726333</v>
      </c>
      <c r="K36" s="249">
        <v>726333</v>
      </c>
      <c r="L36" s="249">
        <v>726333</v>
      </c>
      <c r="M36" s="249">
        <v>726333</v>
      </c>
      <c r="N36" s="252">
        <f t="shared" si="2"/>
        <v>707375.08333333337</v>
      </c>
      <c r="O36" s="231"/>
    </row>
    <row r="37" spans="1:15" s="81" customFormat="1" ht="15.75" x14ac:dyDescent="0.25">
      <c r="A37" s="229" t="s">
        <v>229</v>
      </c>
      <c r="B37" s="249">
        <v>367750</v>
      </c>
      <c r="C37" s="249">
        <v>367750</v>
      </c>
      <c r="D37" s="249">
        <v>367750</v>
      </c>
      <c r="E37" s="249">
        <v>367750</v>
      </c>
      <c r="F37" s="249">
        <v>367750</v>
      </c>
      <c r="G37" s="249">
        <v>377667</v>
      </c>
      <c r="H37" s="249">
        <v>377667</v>
      </c>
      <c r="I37" s="249">
        <v>377667</v>
      </c>
      <c r="J37" s="249">
        <v>377667</v>
      </c>
      <c r="K37" s="249">
        <v>377667</v>
      </c>
      <c r="L37" s="249">
        <v>377667</v>
      </c>
      <c r="M37" s="249">
        <v>377667</v>
      </c>
      <c r="N37" s="252">
        <f t="shared" si="2"/>
        <v>373534.91666666669</v>
      </c>
      <c r="O37" s="231"/>
    </row>
    <row r="38" spans="1:15" ht="15.75" x14ac:dyDescent="0.25">
      <c r="A38" s="246"/>
      <c r="B38" s="247"/>
      <c r="C38" s="247"/>
      <c r="D38" s="247"/>
      <c r="E38" s="247"/>
      <c r="F38" s="247"/>
      <c r="G38" s="247"/>
      <c r="H38" s="247"/>
      <c r="I38" s="247"/>
      <c r="J38" s="254"/>
      <c r="K38" s="254"/>
      <c r="L38" s="254"/>
      <c r="M38" s="254"/>
      <c r="N38" s="255"/>
      <c r="O38" s="228"/>
    </row>
    <row r="39" spans="1:15" ht="16.5" thickBot="1" x14ac:dyDescent="0.3">
      <c r="A39" s="256" t="s">
        <v>249</v>
      </c>
      <c r="B39" s="257">
        <f>SUM(B4:B38)-B18-B8-B9</f>
        <v>102011488</v>
      </c>
      <c r="C39" s="257">
        <f t="shared" ref="C39:L39" si="27">SUM(C4:C38)-C18-C8-C9</f>
        <v>102011488</v>
      </c>
      <c r="D39" s="257">
        <f t="shared" si="27"/>
        <v>102011488</v>
      </c>
      <c r="E39" s="257">
        <f t="shared" si="27"/>
        <v>102011488</v>
      </c>
      <c r="F39" s="257">
        <f t="shared" si="27"/>
        <v>102011488</v>
      </c>
      <c r="G39" s="257">
        <f t="shared" si="27"/>
        <v>102501801</v>
      </c>
      <c r="H39" s="257">
        <f t="shared" si="27"/>
        <v>102534718</v>
      </c>
      <c r="I39" s="257">
        <f t="shared" si="27"/>
        <v>102534718</v>
      </c>
      <c r="J39" s="257">
        <f t="shared" si="27"/>
        <v>102534718</v>
      </c>
      <c r="K39" s="257">
        <f t="shared" si="27"/>
        <v>102534718</v>
      </c>
      <c r="L39" s="257">
        <f t="shared" si="27"/>
        <v>103114798</v>
      </c>
      <c r="M39" s="257">
        <f t="shared" ref="M39" si="28">SUM(M4:M38)-M18-M8-M9</f>
        <v>103114798</v>
      </c>
      <c r="N39" s="258">
        <f>SUM(N4:N38)-N18-N8-N9</f>
        <v>102410642.41666667</v>
      </c>
      <c r="O39" s="228"/>
    </row>
    <row r="40" spans="1:15" ht="16.5" thickTop="1" x14ac:dyDescent="0.25">
      <c r="A40" s="259"/>
      <c r="B40" s="259"/>
      <c r="C40" s="259"/>
      <c r="D40" s="259"/>
      <c r="E40" s="259"/>
      <c r="F40" s="259"/>
      <c r="G40" s="259"/>
      <c r="H40" s="259"/>
      <c r="I40" s="259"/>
      <c r="J40" s="259"/>
      <c r="K40" s="259"/>
      <c r="L40" s="259"/>
      <c r="M40" s="259"/>
      <c r="N40" s="259"/>
      <c r="O40" s="228"/>
    </row>
    <row r="41" spans="1:15" ht="15.75" x14ac:dyDescent="0.25">
      <c r="A41" s="241"/>
      <c r="B41" s="260" t="s">
        <v>250</v>
      </c>
      <c r="C41" s="241"/>
      <c r="D41" s="241"/>
      <c r="E41" s="241"/>
      <c r="F41" s="241"/>
      <c r="G41" s="241"/>
      <c r="H41" s="241"/>
      <c r="I41" s="241"/>
      <c r="J41" s="241"/>
      <c r="K41" s="241"/>
      <c r="L41" s="241"/>
      <c r="M41" s="241"/>
      <c r="N41" s="259"/>
      <c r="O41" s="228"/>
    </row>
    <row r="42" spans="1:15" ht="15.75" x14ac:dyDescent="0.25">
      <c r="A42" s="261" t="s">
        <v>90</v>
      </c>
      <c r="B42" s="262">
        <v>4821167</v>
      </c>
      <c r="C42" s="262">
        <v>4821167</v>
      </c>
      <c r="D42" s="262">
        <v>4821167</v>
      </c>
      <c r="E42" s="262">
        <v>4821167</v>
      </c>
      <c r="F42" s="262">
        <v>4821167</v>
      </c>
      <c r="G42" s="262">
        <v>5385333</v>
      </c>
      <c r="H42" s="262">
        <v>5385333</v>
      </c>
      <c r="I42" s="262">
        <v>5385333</v>
      </c>
      <c r="J42" s="262">
        <v>5385333</v>
      </c>
      <c r="K42" s="262">
        <v>5385333</v>
      </c>
      <c r="L42" s="262">
        <v>5385333</v>
      </c>
      <c r="M42" s="262">
        <v>5385333</v>
      </c>
      <c r="N42" s="259"/>
      <c r="O42" s="228"/>
    </row>
    <row r="43" spans="1:15" ht="15.75" x14ac:dyDescent="0.25">
      <c r="A43" s="263" t="s">
        <v>96</v>
      </c>
      <c r="B43" s="262">
        <v>495917</v>
      </c>
      <c r="C43" s="262">
        <v>495917</v>
      </c>
      <c r="D43" s="262">
        <v>495917</v>
      </c>
      <c r="E43" s="262">
        <v>495917</v>
      </c>
      <c r="F43" s="262">
        <v>495917</v>
      </c>
      <c r="G43" s="262">
        <v>513333</v>
      </c>
      <c r="H43" s="262">
        <v>513333</v>
      </c>
      <c r="I43" s="262">
        <v>513333</v>
      </c>
      <c r="J43" s="262">
        <v>513333</v>
      </c>
      <c r="K43" s="262">
        <v>513333</v>
      </c>
      <c r="L43" s="262">
        <v>513333</v>
      </c>
      <c r="M43" s="262">
        <v>513333</v>
      </c>
      <c r="N43" s="259"/>
      <c r="O43" s="228"/>
    </row>
    <row r="44" spans="1:15" ht="15.75" x14ac:dyDescent="0.25">
      <c r="A44" s="263" t="s">
        <v>97</v>
      </c>
      <c r="B44" s="264">
        <v>502594</v>
      </c>
      <c r="C44" s="264">
        <v>502594</v>
      </c>
      <c r="D44" s="264">
        <v>502594</v>
      </c>
      <c r="E44" s="264">
        <v>502594</v>
      </c>
      <c r="F44" s="264">
        <v>502594</v>
      </c>
      <c r="G44" s="264">
        <v>496637</v>
      </c>
      <c r="H44" s="264">
        <v>496637</v>
      </c>
      <c r="I44" s="264">
        <v>496637</v>
      </c>
      <c r="J44" s="264">
        <v>496637</v>
      </c>
      <c r="K44" s="264">
        <v>496637</v>
      </c>
      <c r="L44" s="264">
        <v>496637</v>
      </c>
      <c r="M44" s="264">
        <v>496637</v>
      </c>
      <c r="N44" s="259"/>
      <c r="O44" s="228"/>
    </row>
    <row r="45" spans="1:15" ht="15.75" x14ac:dyDescent="0.25">
      <c r="A45" s="265" t="s">
        <v>98</v>
      </c>
      <c r="B45" s="266">
        <f t="shared" ref="B45:F45" si="29">SUM(B42:B44)</f>
        <v>5819678</v>
      </c>
      <c r="C45" s="266">
        <f t="shared" si="29"/>
        <v>5819678</v>
      </c>
      <c r="D45" s="266">
        <f t="shared" si="29"/>
        <v>5819678</v>
      </c>
      <c r="E45" s="266">
        <f t="shared" si="29"/>
        <v>5819678</v>
      </c>
      <c r="F45" s="266">
        <f t="shared" si="29"/>
        <v>5819678</v>
      </c>
      <c r="G45" s="266">
        <f>SUM(G42:G44)</f>
        <v>6395303</v>
      </c>
      <c r="H45" s="266">
        <f t="shared" ref="H45:M45" si="30">SUM(H42:H44)</f>
        <v>6395303</v>
      </c>
      <c r="I45" s="266">
        <f t="shared" si="30"/>
        <v>6395303</v>
      </c>
      <c r="J45" s="266">
        <f t="shared" si="30"/>
        <v>6395303</v>
      </c>
      <c r="K45" s="266">
        <f t="shared" si="30"/>
        <v>6395303</v>
      </c>
      <c r="L45" s="266">
        <f t="shared" si="30"/>
        <v>6395303</v>
      </c>
      <c r="M45" s="266">
        <f t="shared" si="30"/>
        <v>6395303</v>
      </c>
      <c r="N45" s="259"/>
      <c r="O45" s="228"/>
    </row>
    <row r="46" spans="1:15" ht="15.75" x14ac:dyDescent="0.25">
      <c r="A46" s="267" t="s">
        <v>22</v>
      </c>
      <c r="B46" s="262"/>
      <c r="C46" s="262"/>
      <c r="D46" s="262"/>
      <c r="E46" s="262"/>
      <c r="F46" s="262"/>
      <c r="G46" s="262"/>
      <c r="H46" s="262"/>
      <c r="I46" s="262"/>
      <c r="J46" s="262"/>
      <c r="K46" s="262"/>
      <c r="L46" s="262"/>
      <c r="M46" s="262"/>
      <c r="N46" s="259"/>
      <c r="O46" s="228"/>
    </row>
    <row r="47" spans="1:15" ht="15.75" x14ac:dyDescent="0.25">
      <c r="A47" s="268" t="s">
        <v>99</v>
      </c>
      <c r="B47" s="262"/>
      <c r="C47" s="262"/>
      <c r="D47" s="262"/>
      <c r="E47" s="262"/>
      <c r="F47" s="262"/>
      <c r="G47" s="262"/>
      <c r="H47" s="262"/>
      <c r="I47" s="262"/>
      <c r="J47" s="262"/>
      <c r="K47" s="262"/>
      <c r="L47" s="262"/>
      <c r="M47" s="262"/>
      <c r="N47" s="259"/>
      <c r="O47" s="228"/>
    </row>
    <row r="48" spans="1:15" ht="15.75" x14ac:dyDescent="0.25">
      <c r="A48" s="269" t="s">
        <v>100</v>
      </c>
      <c r="B48" s="266">
        <f t="shared" ref="B48:M48" si="31">SUM(B46:B47)</f>
        <v>0</v>
      </c>
      <c r="C48" s="266">
        <f t="shared" si="31"/>
        <v>0</v>
      </c>
      <c r="D48" s="266">
        <f t="shared" si="31"/>
        <v>0</v>
      </c>
      <c r="E48" s="266">
        <f t="shared" si="31"/>
        <v>0</v>
      </c>
      <c r="F48" s="266">
        <f t="shared" si="31"/>
        <v>0</v>
      </c>
      <c r="G48" s="266">
        <f t="shared" si="31"/>
        <v>0</v>
      </c>
      <c r="H48" s="266">
        <f t="shared" si="31"/>
        <v>0</v>
      </c>
      <c r="I48" s="266">
        <f t="shared" si="31"/>
        <v>0</v>
      </c>
      <c r="J48" s="266">
        <f t="shared" si="31"/>
        <v>0</v>
      </c>
      <c r="K48" s="266">
        <f t="shared" si="31"/>
        <v>0</v>
      </c>
      <c r="L48" s="266">
        <f t="shared" si="31"/>
        <v>0</v>
      </c>
      <c r="M48" s="266">
        <f t="shared" si="31"/>
        <v>0</v>
      </c>
      <c r="N48" s="259"/>
      <c r="O48" s="228"/>
    </row>
    <row r="49" spans="1:15" ht="15.75" x14ac:dyDescent="0.25">
      <c r="A49" s="270" t="s">
        <v>101</v>
      </c>
      <c r="B49" s="262">
        <v>0</v>
      </c>
      <c r="C49" s="262">
        <v>0</v>
      </c>
      <c r="D49" s="262">
        <v>0</v>
      </c>
      <c r="E49" s="262">
        <v>0</v>
      </c>
      <c r="F49" s="262">
        <v>0</v>
      </c>
      <c r="G49" s="262">
        <v>0</v>
      </c>
      <c r="H49" s="262">
        <v>0</v>
      </c>
      <c r="I49" s="262">
        <v>0</v>
      </c>
      <c r="J49" s="262">
        <v>0</v>
      </c>
      <c r="K49" s="262">
        <v>0</v>
      </c>
      <c r="L49" s="262">
        <v>0</v>
      </c>
      <c r="M49" s="262">
        <v>0</v>
      </c>
      <c r="N49" s="259"/>
      <c r="O49" s="228"/>
    </row>
    <row r="50" spans="1:15" ht="15.75" x14ac:dyDescent="0.25">
      <c r="A50" s="270" t="s">
        <v>102</v>
      </c>
      <c r="B50" s="262">
        <v>0</v>
      </c>
      <c r="C50" s="262">
        <v>0</v>
      </c>
      <c r="D50" s="262">
        <v>0</v>
      </c>
      <c r="E50" s="262">
        <v>0</v>
      </c>
      <c r="F50" s="262">
        <v>0</v>
      </c>
      <c r="G50" s="262">
        <v>0</v>
      </c>
      <c r="H50" s="262">
        <v>0</v>
      </c>
      <c r="I50" s="262">
        <v>0</v>
      </c>
      <c r="J50" s="262">
        <v>0</v>
      </c>
      <c r="K50" s="262">
        <v>0</v>
      </c>
      <c r="L50" s="262">
        <v>0</v>
      </c>
      <c r="M50" s="262">
        <v>0</v>
      </c>
      <c r="N50" s="259"/>
      <c r="O50" s="228"/>
    </row>
    <row r="51" spans="1:15" ht="15.75" x14ac:dyDescent="0.25">
      <c r="A51" s="270" t="s">
        <v>103</v>
      </c>
      <c r="B51" s="262">
        <v>0</v>
      </c>
      <c r="C51" s="262">
        <v>0</v>
      </c>
      <c r="D51" s="262">
        <v>0</v>
      </c>
      <c r="E51" s="262">
        <v>0</v>
      </c>
      <c r="F51" s="262">
        <v>0</v>
      </c>
      <c r="G51" s="262">
        <v>0</v>
      </c>
      <c r="H51" s="262">
        <v>0</v>
      </c>
      <c r="I51" s="262">
        <v>0</v>
      </c>
      <c r="J51" s="262">
        <v>0</v>
      </c>
      <c r="K51" s="262">
        <v>0</v>
      </c>
      <c r="L51" s="262">
        <v>0</v>
      </c>
      <c r="M51" s="262">
        <v>0</v>
      </c>
      <c r="N51" s="259"/>
      <c r="O51" s="228"/>
    </row>
    <row r="52" spans="1:15" ht="15.75" x14ac:dyDescent="0.25">
      <c r="A52" s="270" t="s">
        <v>104</v>
      </c>
      <c r="B52" s="262">
        <v>0</v>
      </c>
      <c r="C52" s="262">
        <v>0</v>
      </c>
      <c r="D52" s="262">
        <v>0</v>
      </c>
      <c r="E52" s="262">
        <v>0</v>
      </c>
      <c r="F52" s="262">
        <v>0</v>
      </c>
      <c r="G52" s="262">
        <v>0</v>
      </c>
      <c r="H52" s="262">
        <v>0</v>
      </c>
      <c r="I52" s="262">
        <v>0</v>
      </c>
      <c r="J52" s="262">
        <v>0</v>
      </c>
      <c r="K52" s="262">
        <v>0</v>
      </c>
      <c r="L52" s="262">
        <v>0</v>
      </c>
      <c r="M52" s="262">
        <v>0</v>
      </c>
      <c r="N52" s="259"/>
      <c r="O52" s="228"/>
    </row>
    <row r="53" spans="1:15" ht="15.75" x14ac:dyDescent="0.25">
      <c r="A53" s="270" t="s">
        <v>105</v>
      </c>
      <c r="B53" s="262">
        <v>0</v>
      </c>
      <c r="C53" s="262">
        <v>0</v>
      </c>
      <c r="D53" s="262">
        <v>0</v>
      </c>
      <c r="E53" s="262">
        <v>0</v>
      </c>
      <c r="F53" s="262">
        <v>0</v>
      </c>
      <c r="G53" s="262">
        <v>0</v>
      </c>
      <c r="H53" s="262">
        <v>0</v>
      </c>
      <c r="I53" s="262">
        <v>0</v>
      </c>
      <c r="J53" s="262">
        <v>0</v>
      </c>
      <c r="K53" s="262">
        <v>0</v>
      </c>
      <c r="L53" s="262">
        <v>0</v>
      </c>
      <c r="M53" s="262">
        <v>0</v>
      </c>
      <c r="N53" s="259"/>
      <c r="O53" s="228"/>
    </row>
    <row r="54" spans="1:15" ht="15.75" x14ac:dyDescent="0.25">
      <c r="A54" s="270" t="s">
        <v>106</v>
      </c>
      <c r="B54" s="262">
        <v>0</v>
      </c>
      <c r="C54" s="262">
        <v>0</v>
      </c>
      <c r="D54" s="262">
        <v>0</v>
      </c>
      <c r="E54" s="262">
        <v>0</v>
      </c>
      <c r="F54" s="262">
        <v>0</v>
      </c>
      <c r="G54" s="262">
        <v>0</v>
      </c>
      <c r="H54" s="262">
        <v>0</v>
      </c>
      <c r="I54" s="262">
        <v>0</v>
      </c>
      <c r="J54" s="262">
        <v>0</v>
      </c>
      <c r="K54" s="262">
        <v>0</v>
      </c>
      <c r="L54" s="262">
        <v>0</v>
      </c>
      <c r="M54" s="262">
        <v>0</v>
      </c>
      <c r="N54" s="259"/>
      <c r="O54" s="228"/>
    </row>
    <row r="55" spans="1:15" ht="15.75" x14ac:dyDescent="0.25">
      <c r="A55" s="271" t="s">
        <v>107</v>
      </c>
      <c r="B55" s="272">
        <f t="shared" ref="B55:M55" si="32">B120</f>
        <v>7244891</v>
      </c>
      <c r="C55" s="272">
        <f t="shared" si="32"/>
        <v>7244891</v>
      </c>
      <c r="D55" s="272">
        <f t="shared" si="32"/>
        <v>7244891</v>
      </c>
      <c r="E55" s="272">
        <f t="shared" si="32"/>
        <v>7244891</v>
      </c>
      <c r="F55" s="272">
        <f t="shared" si="32"/>
        <v>7244891</v>
      </c>
      <c r="G55" s="272">
        <f t="shared" si="32"/>
        <v>7244891</v>
      </c>
      <c r="H55" s="272">
        <f t="shared" si="32"/>
        <v>7244891</v>
      </c>
      <c r="I55" s="272">
        <f t="shared" si="32"/>
        <v>7244891</v>
      </c>
      <c r="J55" s="272">
        <f t="shared" si="32"/>
        <v>7244891</v>
      </c>
      <c r="K55" s="272">
        <f t="shared" si="32"/>
        <v>7244891</v>
      </c>
      <c r="L55" s="272">
        <f t="shared" si="32"/>
        <v>7244891</v>
      </c>
      <c r="M55" s="272">
        <f t="shared" si="32"/>
        <v>7244891</v>
      </c>
      <c r="N55" s="259"/>
      <c r="O55" s="228"/>
    </row>
    <row r="56" spans="1:15" ht="15.75" x14ac:dyDescent="0.25">
      <c r="A56" s="273" t="s">
        <v>108</v>
      </c>
      <c r="B56" s="262">
        <v>8580000</v>
      </c>
      <c r="C56" s="274">
        <f>+B56</f>
        <v>8580000</v>
      </c>
      <c r="D56" s="274">
        <f t="shared" ref="D56:M56" si="33">+C56</f>
        <v>8580000</v>
      </c>
      <c r="E56" s="274">
        <f t="shared" si="33"/>
        <v>8580000</v>
      </c>
      <c r="F56" s="274">
        <f t="shared" si="33"/>
        <v>8580000</v>
      </c>
      <c r="G56" s="274">
        <f t="shared" si="33"/>
        <v>8580000</v>
      </c>
      <c r="H56" s="274">
        <f t="shared" si="33"/>
        <v>8580000</v>
      </c>
      <c r="I56" s="274">
        <f t="shared" si="33"/>
        <v>8580000</v>
      </c>
      <c r="J56" s="274">
        <f t="shared" si="33"/>
        <v>8580000</v>
      </c>
      <c r="K56" s="274">
        <f t="shared" si="33"/>
        <v>8580000</v>
      </c>
      <c r="L56" s="274">
        <f t="shared" si="33"/>
        <v>8580000</v>
      </c>
      <c r="M56" s="274">
        <f t="shared" si="33"/>
        <v>8580000</v>
      </c>
      <c r="N56" s="259"/>
      <c r="O56" s="228"/>
    </row>
    <row r="57" spans="1:15" ht="15.75" x14ac:dyDescent="0.25">
      <c r="A57" s="268" t="s">
        <v>101</v>
      </c>
      <c r="B57" s="275">
        <v>0</v>
      </c>
      <c r="C57" s="275">
        <v>0</v>
      </c>
      <c r="D57" s="275">
        <v>0</v>
      </c>
      <c r="E57" s="275">
        <v>0</v>
      </c>
      <c r="F57" s="275">
        <v>0</v>
      </c>
      <c r="G57" s="275">
        <v>0</v>
      </c>
      <c r="H57" s="275">
        <v>0</v>
      </c>
      <c r="I57" s="275">
        <v>0</v>
      </c>
      <c r="J57" s="275">
        <v>0</v>
      </c>
      <c r="K57" s="275">
        <v>0</v>
      </c>
      <c r="L57" s="275">
        <v>0</v>
      </c>
      <c r="M57" s="275">
        <v>0</v>
      </c>
      <c r="N57" s="259"/>
      <c r="O57" s="228"/>
    </row>
    <row r="58" spans="1:15" ht="15.75" x14ac:dyDescent="0.25">
      <c r="A58" s="271" t="s">
        <v>23</v>
      </c>
      <c r="B58" s="266">
        <f t="shared" ref="B58:F58" si="34">SUM(B56:B57)</f>
        <v>8580000</v>
      </c>
      <c r="C58" s="266">
        <f t="shared" si="34"/>
        <v>8580000</v>
      </c>
      <c r="D58" s="266">
        <f t="shared" si="34"/>
        <v>8580000</v>
      </c>
      <c r="E58" s="266">
        <f t="shared" si="34"/>
        <v>8580000</v>
      </c>
      <c r="F58" s="266">
        <f t="shared" si="34"/>
        <v>8580000</v>
      </c>
      <c r="G58" s="266">
        <f>SUM(G56:G57)</f>
        <v>8580000</v>
      </c>
      <c r="H58" s="266">
        <f t="shared" ref="H58:L58" si="35">SUM(H56:H57)</f>
        <v>8580000</v>
      </c>
      <c r="I58" s="266">
        <f t="shared" si="35"/>
        <v>8580000</v>
      </c>
      <c r="J58" s="266">
        <f t="shared" si="35"/>
        <v>8580000</v>
      </c>
      <c r="K58" s="266">
        <f t="shared" si="35"/>
        <v>8580000</v>
      </c>
      <c r="L58" s="266">
        <f t="shared" si="35"/>
        <v>8580000</v>
      </c>
      <c r="M58" s="266">
        <f>SUM(M56:M57)</f>
        <v>8580000</v>
      </c>
      <c r="N58" s="259"/>
      <c r="O58" s="228"/>
    </row>
    <row r="59" spans="1:15" ht="15.75" x14ac:dyDescent="0.25">
      <c r="A59" s="273" t="s">
        <v>109</v>
      </c>
      <c r="B59" s="262">
        <v>889617</v>
      </c>
      <c r="C59" s="262">
        <v>889617</v>
      </c>
      <c r="D59" s="262">
        <v>889617</v>
      </c>
      <c r="E59" s="262">
        <v>889617</v>
      </c>
      <c r="F59" s="262">
        <v>889617</v>
      </c>
      <c r="G59" s="262">
        <v>885559</v>
      </c>
      <c r="H59" s="262">
        <v>885559</v>
      </c>
      <c r="I59" s="262">
        <v>885559</v>
      </c>
      <c r="J59" s="262">
        <v>885559</v>
      </c>
      <c r="K59" s="262">
        <v>885559</v>
      </c>
      <c r="L59" s="262">
        <v>885559</v>
      </c>
      <c r="M59" s="262">
        <v>885559</v>
      </c>
      <c r="N59" s="259"/>
      <c r="O59" s="228"/>
    </row>
    <row r="60" spans="1:15" ht="15.75" x14ac:dyDescent="0.25">
      <c r="A60" s="268" t="s">
        <v>33</v>
      </c>
      <c r="B60" s="262">
        <v>44100</v>
      </c>
      <c r="C60" s="262">
        <v>44100</v>
      </c>
      <c r="D60" s="262">
        <v>44100</v>
      </c>
      <c r="E60" s="262">
        <v>44100</v>
      </c>
      <c r="F60" s="262">
        <v>44100</v>
      </c>
      <c r="G60" s="276">
        <v>41800</v>
      </c>
      <c r="H60" s="276">
        <v>41800</v>
      </c>
      <c r="I60" s="276">
        <v>41800</v>
      </c>
      <c r="J60" s="276">
        <v>41800</v>
      </c>
      <c r="K60" s="276">
        <v>41800</v>
      </c>
      <c r="L60" s="276">
        <v>41800</v>
      </c>
      <c r="M60" s="276">
        <v>41800</v>
      </c>
      <c r="N60" s="259"/>
      <c r="O60" s="228"/>
    </row>
    <row r="61" spans="1:15" ht="15.75" x14ac:dyDescent="0.25">
      <c r="A61" s="268" t="s">
        <v>110</v>
      </c>
      <c r="B61" s="262">
        <v>0</v>
      </c>
      <c r="C61" s="262">
        <v>0</v>
      </c>
      <c r="D61" s="262">
        <v>0</v>
      </c>
      <c r="E61" s="262">
        <v>0</v>
      </c>
      <c r="F61" s="262">
        <v>0</v>
      </c>
      <c r="G61" s="262">
        <v>0</v>
      </c>
      <c r="H61" s="262">
        <v>0</v>
      </c>
      <c r="I61" s="262">
        <v>0</v>
      </c>
      <c r="J61" s="262">
        <v>0</v>
      </c>
      <c r="K61" s="262">
        <v>0</v>
      </c>
      <c r="L61" s="262">
        <v>0</v>
      </c>
      <c r="M61" s="262">
        <v>0</v>
      </c>
      <c r="N61" s="259"/>
      <c r="O61" s="228"/>
    </row>
    <row r="62" spans="1:15" ht="15.75" x14ac:dyDescent="0.25">
      <c r="A62" s="268" t="s">
        <v>196</v>
      </c>
      <c r="B62" s="262">
        <v>46592</v>
      </c>
      <c r="C62" s="262">
        <v>46592</v>
      </c>
      <c r="D62" s="262">
        <v>46592</v>
      </c>
      <c r="E62" s="262">
        <v>46592</v>
      </c>
      <c r="F62" s="262">
        <v>46592</v>
      </c>
      <c r="G62" s="262">
        <v>46125</v>
      </c>
      <c r="H62" s="262">
        <v>46125</v>
      </c>
      <c r="I62" s="262">
        <v>46125</v>
      </c>
      <c r="J62" s="262">
        <v>46125</v>
      </c>
      <c r="K62" s="262">
        <v>46125</v>
      </c>
      <c r="L62" s="262">
        <v>46125</v>
      </c>
      <c r="M62" s="262">
        <v>46125</v>
      </c>
      <c r="N62" s="259"/>
      <c r="O62" s="228"/>
    </row>
    <row r="63" spans="1:15" ht="15.75" x14ac:dyDescent="0.25">
      <c r="A63" s="268" t="s">
        <v>111</v>
      </c>
      <c r="B63" s="264">
        <v>70250</v>
      </c>
      <c r="C63" s="277">
        <f>+B63</f>
        <v>70250</v>
      </c>
      <c r="D63" s="277">
        <f t="shared" ref="D63:M63" si="36">+C63</f>
        <v>70250</v>
      </c>
      <c r="E63" s="277">
        <f t="shared" si="36"/>
        <v>70250</v>
      </c>
      <c r="F63" s="277">
        <f t="shared" si="36"/>
        <v>70250</v>
      </c>
      <c r="G63" s="277">
        <f t="shared" si="36"/>
        <v>70250</v>
      </c>
      <c r="H63" s="277">
        <f t="shared" si="36"/>
        <v>70250</v>
      </c>
      <c r="I63" s="277">
        <f t="shared" si="36"/>
        <v>70250</v>
      </c>
      <c r="J63" s="277">
        <f t="shared" si="36"/>
        <v>70250</v>
      </c>
      <c r="K63" s="277">
        <f t="shared" si="36"/>
        <v>70250</v>
      </c>
      <c r="L63" s="277">
        <f t="shared" si="36"/>
        <v>70250</v>
      </c>
      <c r="M63" s="277">
        <f t="shared" si="36"/>
        <v>70250</v>
      </c>
      <c r="N63" s="259"/>
      <c r="O63" s="228"/>
    </row>
    <row r="64" spans="1:15" ht="15.75" x14ac:dyDescent="0.25">
      <c r="A64" s="271" t="s">
        <v>34</v>
      </c>
      <c r="B64" s="266">
        <f t="shared" ref="B64:F64" si="37">SUM(B59:B63)</f>
        <v>1050559</v>
      </c>
      <c r="C64" s="266">
        <f t="shared" si="37"/>
        <v>1050559</v>
      </c>
      <c r="D64" s="266">
        <f t="shared" si="37"/>
        <v>1050559</v>
      </c>
      <c r="E64" s="266">
        <f t="shared" si="37"/>
        <v>1050559</v>
      </c>
      <c r="F64" s="266">
        <f t="shared" si="37"/>
        <v>1050559</v>
      </c>
      <c r="G64" s="266">
        <f>SUM(G59:G63)</f>
        <v>1043734</v>
      </c>
      <c r="H64" s="266">
        <f t="shared" ref="H64:M64" si="38">SUM(H59:H63)</f>
        <v>1043734</v>
      </c>
      <c r="I64" s="266">
        <f t="shared" si="38"/>
        <v>1043734</v>
      </c>
      <c r="J64" s="266">
        <f t="shared" si="38"/>
        <v>1043734</v>
      </c>
      <c r="K64" s="266">
        <f t="shared" si="38"/>
        <v>1043734</v>
      </c>
      <c r="L64" s="266">
        <f t="shared" si="38"/>
        <v>1043734</v>
      </c>
      <c r="M64" s="266">
        <f t="shared" si="38"/>
        <v>1043734</v>
      </c>
      <c r="N64" s="259"/>
      <c r="O64" s="228"/>
    </row>
    <row r="65" spans="1:15" ht="15.75" x14ac:dyDescent="0.25">
      <c r="A65" s="268" t="s">
        <v>112</v>
      </c>
      <c r="B65" s="262">
        <v>2696454</v>
      </c>
      <c r="C65" s="262">
        <v>2696454</v>
      </c>
      <c r="D65" s="262">
        <v>2696454</v>
      </c>
      <c r="E65" s="262">
        <v>2696454</v>
      </c>
      <c r="F65" s="262">
        <v>2696454</v>
      </c>
      <c r="G65" s="262">
        <v>2733561</v>
      </c>
      <c r="H65" s="262">
        <v>2733561</v>
      </c>
      <c r="I65" s="262">
        <v>2733561</v>
      </c>
      <c r="J65" s="262">
        <v>2733561</v>
      </c>
      <c r="K65" s="262">
        <v>2733561</v>
      </c>
      <c r="L65" s="262">
        <v>2733561</v>
      </c>
      <c r="M65" s="262">
        <v>2733561</v>
      </c>
      <c r="N65" s="259"/>
      <c r="O65" s="228"/>
    </row>
    <row r="66" spans="1:15" ht="15.75" x14ac:dyDescent="0.25">
      <c r="A66" s="268" t="s">
        <v>33</v>
      </c>
      <c r="B66" s="262">
        <v>29600</v>
      </c>
      <c r="C66" s="262">
        <v>29600</v>
      </c>
      <c r="D66" s="262">
        <v>29600</v>
      </c>
      <c r="E66" s="262">
        <v>29600</v>
      </c>
      <c r="F66" s="262">
        <v>29600</v>
      </c>
      <c r="G66" s="262">
        <v>28000</v>
      </c>
      <c r="H66" s="262">
        <v>28000</v>
      </c>
      <c r="I66" s="262">
        <v>28000</v>
      </c>
      <c r="J66" s="262">
        <v>28000</v>
      </c>
      <c r="K66" s="262">
        <v>28000</v>
      </c>
      <c r="L66" s="262">
        <v>28000</v>
      </c>
      <c r="M66" s="262">
        <v>28000</v>
      </c>
      <c r="N66" s="259"/>
      <c r="O66" s="228"/>
    </row>
    <row r="67" spans="1:15" ht="15.75" x14ac:dyDescent="0.25">
      <c r="A67" s="268" t="s">
        <v>113</v>
      </c>
      <c r="B67" s="262">
        <v>5014</v>
      </c>
      <c r="C67" s="262">
        <v>5014</v>
      </c>
      <c r="D67" s="262">
        <v>5014</v>
      </c>
      <c r="E67" s="262">
        <v>5014</v>
      </c>
      <c r="F67" s="262">
        <v>5014</v>
      </c>
      <c r="G67" s="276">
        <v>5438</v>
      </c>
      <c r="H67" s="276">
        <v>5438</v>
      </c>
      <c r="I67" s="276">
        <v>5438</v>
      </c>
      <c r="J67" s="276">
        <v>5438</v>
      </c>
      <c r="K67" s="276">
        <v>5438</v>
      </c>
      <c r="L67" s="276">
        <v>5438</v>
      </c>
      <c r="M67" s="276">
        <v>5438</v>
      </c>
      <c r="N67" s="259"/>
      <c r="O67" s="228"/>
    </row>
    <row r="68" spans="1:15" ht="15.75" x14ac:dyDescent="0.25">
      <c r="A68" s="278" t="s">
        <v>114</v>
      </c>
      <c r="B68" s="262">
        <v>3340</v>
      </c>
      <c r="C68" s="262">
        <v>3340</v>
      </c>
      <c r="D68" s="262">
        <v>3340</v>
      </c>
      <c r="E68" s="262">
        <v>3340</v>
      </c>
      <c r="F68" s="262">
        <v>3340</v>
      </c>
      <c r="G68" s="276">
        <v>3512</v>
      </c>
      <c r="H68" s="276">
        <v>3512</v>
      </c>
      <c r="I68" s="276">
        <v>3512</v>
      </c>
      <c r="J68" s="276">
        <v>3512</v>
      </c>
      <c r="K68" s="276">
        <v>3512</v>
      </c>
      <c r="L68" s="276">
        <v>3512</v>
      </c>
      <c r="M68" s="276">
        <v>3512</v>
      </c>
      <c r="N68" s="259"/>
      <c r="O68" s="228"/>
    </row>
    <row r="69" spans="1:15" ht="15.75" x14ac:dyDescent="0.25">
      <c r="A69" s="268" t="s">
        <v>115</v>
      </c>
      <c r="B69" s="262">
        <v>10720</v>
      </c>
      <c r="C69" s="262">
        <v>10720</v>
      </c>
      <c r="D69" s="262">
        <v>10720</v>
      </c>
      <c r="E69" s="262">
        <v>10720</v>
      </c>
      <c r="F69" s="262">
        <v>10720</v>
      </c>
      <c r="G69" s="276">
        <v>10681</v>
      </c>
      <c r="H69" s="276">
        <v>10681</v>
      </c>
      <c r="I69" s="276">
        <v>10681</v>
      </c>
      <c r="J69" s="276">
        <v>10681</v>
      </c>
      <c r="K69" s="276">
        <v>10681</v>
      </c>
      <c r="L69" s="276">
        <v>10681</v>
      </c>
      <c r="M69" s="276">
        <v>10681</v>
      </c>
      <c r="N69" s="259"/>
      <c r="O69" s="228"/>
    </row>
    <row r="70" spans="1:15" ht="15.75" x14ac:dyDescent="0.25">
      <c r="A70" s="268" t="s">
        <v>34</v>
      </c>
      <c r="B70" s="249">
        <v>116808</v>
      </c>
      <c r="C70" s="249">
        <v>116808</v>
      </c>
      <c r="D70" s="249">
        <v>116808</v>
      </c>
      <c r="E70" s="249">
        <v>116808</v>
      </c>
      <c r="F70" s="249">
        <v>116808</v>
      </c>
      <c r="G70" s="249">
        <v>116808</v>
      </c>
      <c r="H70" s="249">
        <v>116808</v>
      </c>
      <c r="I70" s="249">
        <v>116808</v>
      </c>
      <c r="J70" s="249">
        <v>116808</v>
      </c>
      <c r="K70" s="249">
        <v>116808</v>
      </c>
      <c r="L70" s="249">
        <v>116808</v>
      </c>
      <c r="M70" s="249">
        <v>116808</v>
      </c>
      <c r="N70" s="259"/>
      <c r="O70" s="228"/>
    </row>
    <row r="71" spans="1:15" s="81" customFormat="1" ht="15.75" x14ac:dyDescent="0.25">
      <c r="A71" s="268" t="s">
        <v>230</v>
      </c>
      <c r="B71" s="264">
        <v>36064</v>
      </c>
      <c r="C71" s="264">
        <v>36064</v>
      </c>
      <c r="D71" s="264">
        <v>36064</v>
      </c>
      <c r="E71" s="264">
        <v>36064</v>
      </c>
      <c r="F71" s="264">
        <v>36064</v>
      </c>
      <c r="G71" s="264">
        <v>0</v>
      </c>
      <c r="H71" s="264">
        <v>0</v>
      </c>
      <c r="I71" s="264">
        <v>0</v>
      </c>
      <c r="J71" s="264">
        <v>0</v>
      </c>
      <c r="K71" s="264">
        <v>0</v>
      </c>
      <c r="L71" s="264">
        <v>0</v>
      </c>
      <c r="M71" s="264">
        <v>0</v>
      </c>
      <c r="N71" s="279"/>
      <c r="O71" s="231"/>
    </row>
    <row r="72" spans="1:15" ht="15.75" x14ac:dyDescent="0.25">
      <c r="A72" s="271" t="s">
        <v>24</v>
      </c>
      <c r="B72" s="266">
        <f>SUM(B65:B71)</f>
        <v>2898000</v>
      </c>
      <c r="C72" s="266">
        <f>SUM(C65:C71)</f>
        <v>2898000</v>
      </c>
      <c r="D72" s="266">
        <f>SUM(D65:D71)</f>
        <v>2898000</v>
      </c>
      <c r="E72" s="266">
        <f>SUM(E65:E71)</f>
        <v>2898000</v>
      </c>
      <c r="F72" s="266">
        <f>SUM(F65:F71)</f>
        <v>2898000</v>
      </c>
      <c r="G72" s="266">
        <f t="shared" ref="G72:M72" si="39">SUM(G65:G71)</f>
        <v>2898000</v>
      </c>
      <c r="H72" s="266">
        <f t="shared" si="39"/>
        <v>2898000</v>
      </c>
      <c r="I72" s="266">
        <f t="shared" si="39"/>
        <v>2898000</v>
      </c>
      <c r="J72" s="266">
        <f t="shared" si="39"/>
        <v>2898000</v>
      </c>
      <c r="K72" s="266">
        <f t="shared" si="39"/>
        <v>2898000</v>
      </c>
      <c r="L72" s="266">
        <f t="shared" si="39"/>
        <v>2898000</v>
      </c>
      <c r="M72" s="266">
        <f t="shared" si="39"/>
        <v>2898000</v>
      </c>
      <c r="N72" s="259"/>
      <c r="O72" s="228"/>
    </row>
    <row r="73" spans="1:15" ht="15.75" x14ac:dyDescent="0.25">
      <c r="A73" s="268" t="s">
        <v>116</v>
      </c>
      <c r="B73" s="262">
        <v>1556000</v>
      </c>
      <c r="C73" s="274">
        <f>+B73</f>
        <v>1556000</v>
      </c>
      <c r="D73" s="274">
        <f t="shared" ref="D73:M74" si="40">+C73</f>
        <v>1556000</v>
      </c>
      <c r="E73" s="274">
        <f t="shared" si="40"/>
        <v>1556000</v>
      </c>
      <c r="F73" s="274">
        <f t="shared" si="40"/>
        <v>1556000</v>
      </c>
      <c r="G73" s="274">
        <f t="shared" si="40"/>
        <v>1556000</v>
      </c>
      <c r="H73" s="274">
        <f t="shared" si="40"/>
        <v>1556000</v>
      </c>
      <c r="I73" s="274">
        <f t="shared" si="40"/>
        <v>1556000</v>
      </c>
      <c r="J73" s="274">
        <f t="shared" si="40"/>
        <v>1556000</v>
      </c>
      <c r="K73" s="274">
        <f t="shared" si="40"/>
        <v>1556000</v>
      </c>
      <c r="L73" s="274">
        <f t="shared" si="40"/>
        <v>1556000</v>
      </c>
      <c r="M73" s="274">
        <f t="shared" si="40"/>
        <v>1556000</v>
      </c>
      <c r="N73" s="259"/>
      <c r="O73" s="228"/>
    </row>
    <row r="74" spans="1:15" ht="15.75" x14ac:dyDescent="0.25">
      <c r="A74" s="268" t="s">
        <v>34</v>
      </c>
      <c r="B74" s="264">
        <v>193876</v>
      </c>
      <c r="C74" s="277">
        <f>+B74</f>
        <v>193876</v>
      </c>
      <c r="D74" s="277">
        <f t="shared" si="40"/>
        <v>193876</v>
      </c>
      <c r="E74" s="277">
        <f t="shared" si="40"/>
        <v>193876</v>
      </c>
      <c r="F74" s="277">
        <f t="shared" si="40"/>
        <v>193876</v>
      </c>
      <c r="G74" s="277">
        <f t="shared" si="40"/>
        <v>193876</v>
      </c>
      <c r="H74" s="277">
        <f t="shared" si="40"/>
        <v>193876</v>
      </c>
      <c r="I74" s="277">
        <f t="shared" si="40"/>
        <v>193876</v>
      </c>
      <c r="J74" s="277">
        <f t="shared" si="40"/>
        <v>193876</v>
      </c>
      <c r="K74" s="277">
        <f t="shared" si="40"/>
        <v>193876</v>
      </c>
      <c r="L74" s="277">
        <f t="shared" si="40"/>
        <v>193876</v>
      </c>
      <c r="M74" s="277">
        <f t="shared" si="40"/>
        <v>193876</v>
      </c>
      <c r="N74" s="259"/>
      <c r="O74" s="228"/>
    </row>
    <row r="75" spans="1:15" ht="15.75" x14ac:dyDescent="0.25">
      <c r="A75" s="280" t="s">
        <v>32</v>
      </c>
      <c r="B75" s="266">
        <f t="shared" ref="B75:F75" si="41">SUM(B73:B74)</f>
        <v>1749876</v>
      </c>
      <c r="C75" s="266">
        <f t="shared" si="41"/>
        <v>1749876</v>
      </c>
      <c r="D75" s="266">
        <f t="shared" si="41"/>
        <v>1749876</v>
      </c>
      <c r="E75" s="266">
        <f t="shared" si="41"/>
        <v>1749876</v>
      </c>
      <c r="F75" s="266">
        <f t="shared" si="41"/>
        <v>1749876</v>
      </c>
      <c r="G75" s="266">
        <f>SUM(G73:G74)</f>
        <v>1749876</v>
      </c>
      <c r="H75" s="266">
        <f t="shared" ref="H75:M75" si="42">SUM(H73:H74)</f>
        <v>1749876</v>
      </c>
      <c r="I75" s="266">
        <f t="shared" si="42"/>
        <v>1749876</v>
      </c>
      <c r="J75" s="266">
        <f t="shared" si="42"/>
        <v>1749876</v>
      </c>
      <c r="K75" s="266">
        <f t="shared" si="42"/>
        <v>1749876</v>
      </c>
      <c r="L75" s="266">
        <f t="shared" si="42"/>
        <v>1749876</v>
      </c>
      <c r="M75" s="266">
        <f t="shared" si="42"/>
        <v>1749876</v>
      </c>
      <c r="N75" s="259"/>
      <c r="O75" s="228"/>
    </row>
    <row r="76" spans="1:15" ht="15.75" x14ac:dyDescent="0.25">
      <c r="A76" s="268" t="s">
        <v>117</v>
      </c>
      <c r="B76" s="262">
        <f>704967+316113</f>
        <v>1021080</v>
      </c>
      <c r="C76" s="274">
        <f>+B76</f>
        <v>1021080</v>
      </c>
      <c r="D76" s="274">
        <f t="shared" ref="D76:M77" si="43">+C76</f>
        <v>1021080</v>
      </c>
      <c r="E76" s="274">
        <f t="shared" si="43"/>
        <v>1021080</v>
      </c>
      <c r="F76" s="274">
        <f t="shared" si="43"/>
        <v>1021080</v>
      </c>
      <c r="G76" s="274">
        <f t="shared" si="43"/>
        <v>1021080</v>
      </c>
      <c r="H76" s="274">
        <f t="shared" si="43"/>
        <v>1021080</v>
      </c>
      <c r="I76" s="274">
        <f t="shared" si="43"/>
        <v>1021080</v>
      </c>
      <c r="J76" s="274">
        <f t="shared" si="43"/>
        <v>1021080</v>
      </c>
      <c r="K76" s="274">
        <f t="shared" si="43"/>
        <v>1021080</v>
      </c>
      <c r="L76" s="274">
        <f t="shared" si="43"/>
        <v>1021080</v>
      </c>
      <c r="M76" s="274">
        <f t="shared" si="43"/>
        <v>1021080</v>
      </c>
      <c r="N76" s="259"/>
      <c r="O76" s="228"/>
    </row>
    <row r="77" spans="1:15" ht="15.75" x14ac:dyDescent="0.25">
      <c r="A77" s="268" t="s">
        <v>118</v>
      </c>
      <c r="B77" s="262">
        <v>101909</v>
      </c>
      <c r="C77" s="274">
        <f>+B77</f>
        <v>101909</v>
      </c>
      <c r="D77" s="274">
        <f t="shared" si="43"/>
        <v>101909</v>
      </c>
      <c r="E77" s="274">
        <f t="shared" si="43"/>
        <v>101909</v>
      </c>
      <c r="F77" s="274">
        <f t="shared" si="43"/>
        <v>101909</v>
      </c>
      <c r="G77" s="274">
        <f t="shared" si="43"/>
        <v>101909</v>
      </c>
      <c r="H77" s="274">
        <f t="shared" si="43"/>
        <v>101909</v>
      </c>
      <c r="I77" s="274">
        <f t="shared" si="43"/>
        <v>101909</v>
      </c>
      <c r="J77" s="274">
        <f t="shared" si="43"/>
        <v>101909</v>
      </c>
      <c r="K77" s="274">
        <f t="shared" si="43"/>
        <v>101909</v>
      </c>
      <c r="L77" s="274">
        <f t="shared" si="43"/>
        <v>101909</v>
      </c>
      <c r="M77" s="274">
        <f t="shared" si="43"/>
        <v>101909</v>
      </c>
      <c r="N77" s="259"/>
      <c r="O77" s="228"/>
    </row>
    <row r="78" spans="1:15" s="81" customFormat="1" ht="15.75" x14ac:dyDescent="0.25">
      <c r="A78" s="268" t="s">
        <v>231</v>
      </c>
      <c r="B78" s="262"/>
      <c r="C78" s="281"/>
      <c r="D78" s="281"/>
      <c r="E78" s="281"/>
      <c r="F78" s="281"/>
      <c r="G78" s="281"/>
      <c r="H78" s="281"/>
      <c r="I78" s="281"/>
      <c r="J78" s="281"/>
      <c r="K78" s="281"/>
      <c r="L78" s="281"/>
      <c r="M78" s="281"/>
      <c r="N78" s="279"/>
      <c r="O78" s="231"/>
    </row>
    <row r="79" spans="1:15" s="81" customFormat="1" ht="15.75" x14ac:dyDescent="0.25">
      <c r="A79" s="268" t="s">
        <v>232</v>
      </c>
      <c r="B79" s="262"/>
      <c r="C79" s="281"/>
      <c r="D79" s="281"/>
      <c r="E79" s="281"/>
      <c r="F79" s="281"/>
      <c r="G79" s="281"/>
      <c r="H79" s="281"/>
      <c r="I79" s="281"/>
      <c r="J79" s="281"/>
      <c r="K79" s="281"/>
      <c r="L79" s="281"/>
      <c r="M79" s="281"/>
      <c r="N79" s="279"/>
      <c r="O79" s="231"/>
    </row>
    <row r="80" spans="1:15" ht="15.75" x14ac:dyDescent="0.25">
      <c r="A80" s="268" t="s">
        <v>34</v>
      </c>
      <c r="B80" s="264">
        <v>161853</v>
      </c>
      <c r="C80" s="277">
        <f>+B80</f>
        <v>161853</v>
      </c>
      <c r="D80" s="277">
        <f t="shared" ref="D80:M80" si="44">+C80</f>
        <v>161853</v>
      </c>
      <c r="E80" s="277">
        <f t="shared" si="44"/>
        <v>161853</v>
      </c>
      <c r="F80" s="277">
        <f t="shared" si="44"/>
        <v>161853</v>
      </c>
      <c r="G80" s="277">
        <f t="shared" si="44"/>
        <v>161853</v>
      </c>
      <c r="H80" s="277">
        <f t="shared" si="44"/>
        <v>161853</v>
      </c>
      <c r="I80" s="277">
        <f t="shared" si="44"/>
        <v>161853</v>
      </c>
      <c r="J80" s="277">
        <f t="shared" si="44"/>
        <v>161853</v>
      </c>
      <c r="K80" s="277">
        <f t="shared" si="44"/>
        <v>161853</v>
      </c>
      <c r="L80" s="277">
        <f t="shared" si="44"/>
        <v>161853</v>
      </c>
      <c r="M80" s="277">
        <f t="shared" si="44"/>
        <v>161853</v>
      </c>
      <c r="N80" s="259"/>
      <c r="O80" s="228"/>
    </row>
    <row r="81" spans="1:15" ht="15.75" x14ac:dyDescent="0.25">
      <c r="A81" s="280" t="s">
        <v>35</v>
      </c>
      <c r="B81" s="266">
        <f t="shared" ref="B81:M81" si="45">SUM(B76:B80)</f>
        <v>1284842</v>
      </c>
      <c r="C81" s="266">
        <f t="shared" si="45"/>
        <v>1284842</v>
      </c>
      <c r="D81" s="266">
        <f t="shared" si="45"/>
        <v>1284842</v>
      </c>
      <c r="E81" s="266">
        <f t="shared" si="45"/>
        <v>1284842</v>
      </c>
      <c r="F81" s="266">
        <f t="shared" si="45"/>
        <v>1284842</v>
      </c>
      <c r="G81" s="266">
        <f t="shared" si="45"/>
        <v>1284842</v>
      </c>
      <c r="H81" s="266">
        <f t="shared" si="45"/>
        <v>1284842</v>
      </c>
      <c r="I81" s="266">
        <f t="shared" si="45"/>
        <v>1284842</v>
      </c>
      <c r="J81" s="266">
        <f t="shared" si="45"/>
        <v>1284842</v>
      </c>
      <c r="K81" s="266">
        <f t="shared" si="45"/>
        <v>1284842</v>
      </c>
      <c r="L81" s="266">
        <f t="shared" si="45"/>
        <v>1284842</v>
      </c>
      <c r="M81" s="266">
        <f t="shared" si="45"/>
        <v>1284842</v>
      </c>
      <c r="N81" s="259"/>
      <c r="O81" s="228"/>
    </row>
    <row r="82" spans="1:15" ht="15.75" x14ac:dyDescent="0.25">
      <c r="A82" s="268" t="s">
        <v>111</v>
      </c>
      <c r="B82" s="262">
        <f>7255993-316113</f>
        <v>6939880</v>
      </c>
      <c r="C82" s="262">
        <f t="shared" ref="C82:F82" si="46">7255993-316113</f>
        <v>6939880</v>
      </c>
      <c r="D82" s="262">
        <f t="shared" si="46"/>
        <v>6939880</v>
      </c>
      <c r="E82" s="262">
        <f t="shared" si="46"/>
        <v>6939880</v>
      </c>
      <c r="F82" s="262">
        <f t="shared" si="46"/>
        <v>6939880</v>
      </c>
      <c r="G82" s="262">
        <f>7255559-316113</f>
        <v>6939446</v>
      </c>
      <c r="H82" s="262">
        <f t="shared" ref="H82:M82" si="47">7255559-316113</f>
        <v>6939446</v>
      </c>
      <c r="I82" s="262">
        <f t="shared" si="47"/>
        <v>6939446</v>
      </c>
      <c r="J82" s="262">
        <f t="shared" si="47"/>
        <v>6939446</v>
      </c>
      <c r="K82" s="262">
        <f t="shared" si="47"/>
        <v>6939446</v>
      </c>
      <c r="L82" s="262">
        <f t="shared" si="47"/>
        <v>6939446</v>
      </c>
      <c r="M82" s="262">
        <f t="shared" si="47"/>
        <v>6939446</v>
      </c>
      <c r="N82" s="259"/>
      <c r="O82" s="228"/>
    </row>
    <row r="83" spans="1:15" ht="15.75" x14ac:dyDescent="0.25">
      <c r="A83" s="268" t="s">
        <v>33</v>
      </c>
      <c r="B83" s="262">
        <v>130500</v>
      </c>
      <c r="C83" s="262">
        <v>130500</v>
      </c>
      <c r="D83" s="262">
        <v>130500</v>
      </c>
      <c r="E83" s="262">
        <v>130500</v>
      </c>
      <c r="F83" s="262">
        <v>130500</v>
      </c>
      <c r="G83" s="276">
        <v>127000</v>
      </c>
      <c r="H83" s="276">
        <v>127000</v>
      </c>
      <c r="I83" s="276">
        <v>127000</v>
      </c>
      <c r="J83" s="276">
        <v>127000</v>
      </c>
      <c r="K83" s="276">
        <v>127000</v>
      </c>
      <c r="L83" s="276">
        <v>127000</v>
      </c>
      <c r="M83" s="276">
        <v>127000</v>
      </c>
      <c r="N83" s="259"/>
      <c r="O83" s="228"/>
    </row>
    <row r="84" spans="1:15" ht="15.75" x14ac:dyDescent="0.25">
      <c r="A84" s="268" t="s">
        <v>119</v>
      </c>
      <c r="B84" s="262">
        <v>6125</v>
      </c>
      <c r="C84" s="262">
        <v>6125</v>
      </c>
      <c r="D84" s="262">
        <v>6125</v>
      </c>
      <c r="E84" s="262">
        <v>6125</v>
      </c>
      <c r="F84" s="262">
        <v>6125</v>
      </c>
      <c r="G84" s="276">
        <v>6549</v>
      </c>
      <c r="H84" s="276">
        <v>6549</v>
      </c>
      <c r="I84" s="276">
        <v>6549</v>
      </c>
      <c r="J84" s="276">
        <v>6549</v>
      </c>
      <c r="K84" s="276">
        <v>6549</v>
      </c>
      <c r="L84" s="276">
        <v>6549</v>
      </c>
      <c r="M84" s="276">
        <v>6549</v>
      </c>
      <c r="N84" s="259"/>
      <c r="O84" s="228"/>
    </row>
    <row r="85" spans="1:15" ht="15.75" x14ac:dyDescent="0.25">
      <c r="A85" s="268" t="s">
        <v>233</v>
      </c>
      <c r="B85" s="262"/>
      <c r="C85" s="262"/>
      <c r="D85" s="262"/>
      <c r="E85" s="262"/>
      <c r="F85" s="262"/>
      <c r="G85" s="276"/>
      <c r="H85" s="276"/>
      <c r="I85" s="276"/>
      <c r="J85" s="276"/>
      <c r="K85" s="276"/>
      <c r="L85" s="276"/>
      <c r="M85" s="276"/>
      <c r="N85" s="259"/>
      <c r="O85" s="228"/>
    </row>
    <row r="86" spans="1:15" ht="15.75" x14ac:dyDescent="0.25">
      <c r="A86" s="268" t="s">
        <v>120</v>
      </c>
      <c r="B86" s="262">
        <v>9248</v>
      </c>
      <c r="C86" s="262">
        <v>9248</v>
      </c>
      <c r="D86" s="262">
        <v>9248</v>
      </c>
      <c r="E86" s="262">
        <v>9248</v>
      </c>
      <c r="F86" s="262">
        <v>9248</v>
      </c>
      <c r="G86" s="276">
        <v>9713</v>
      </c>
      <c r="H86" s="276">
        <v>9713</v>
      </c>
      <c r="I86" s="276">
        <v>9713</v>
      </c>
      <c r="J86" s="276">
        <v>9713</v>
      </c>
      <c r="K86" s="276">
        <v>9713</v>
      </c>
      <c r="L86" s="276">
        <v>9713</v>
      </c>
      <c r="M86" s="276">
        <v>9713</v>
      </c>
      <c r="N86" s="259"/>
      <c r="O86" s="228"/>
    </row>
    <row r="87" spans="1:15" ht="15.75" x14ac:dyDescent="0.25">
      <c r="A87" s="268" t="s">
        <v>121</v>
      </c>
      <c r="B87" s="262">
        <v>9379</v>
      </c>
      <c r="C87" s="262">
        <v>9379</v>
      </c>
      <c r="D87" s="262">
        <v>9379</v>
      </c>
      <c r="E87" s="262">
        <v>9379</v>
      </c>
      <c r="F87" s="262">
        <v>9379</v>
      </c>
      <c r="G87" s="276">
        <v>9565</v>
      </c>
      <c r="H87" s="276">
        <v>9565</v>
      </c>
      <c r="I87" s="276">
        <v>9565</v>
      </c>
      <c r="J87" s="276">
        <v>9565</v>
      </c>
      <c r="K87" s="276">
        <v>9565</v>
      </c>
      <c r="L87" s="276">
        <v>9565</v>
      </c>
      <c r="M87" s="276">
        <v>9565</v>
      </c>
      <c r="N87" s="259"/>
      <c r="O87" s="228"/>
    </row>
    <row r="88" spans="1:15" ht="15.75" x14ac:dyDescent="0.25">
      <c r="A88" s="268" t="s">
        <v>251</v>
      </c>
      <c r="B88" s="262">
        <v>12505</v>
      </c>
      <c r="C88" s="262">
        <v>12505</v>
      </c>
      <c r="D88" s="262">
        <v>12505</v>
      </c>
      <c r="E88" s="262">
        <v>12505</v>
      </c>
      <c r="F88" s="262">
        <v>12505</v>
      </c>
      <c r="G88" s="276">
        <v>11864</v>
      </c>
      <c r="H88" s="276">
        <v>11864</v>
      </c>
      <c r="I88" s="276">
        <v>11864</v>
      </c>
      <c r="J88" s="276">
        <v>11864</v>
      </c>
      <c r="K88" s="276">
        <v>11864</v>
      </c>
      <c r="L88" s="276">
        <v>11864</v>
      </c>
      <c r="M88" s="276">
        <v>11864</v>
      </c>
      <c r="N88" s="259"/>
      <c r="O88" s="228"/>
    </row>
    <row r="89" spans="1:15" s="81" customFormat="1" ht="15.75" x14ac:dyDescent="0.25">
      <c r="A89" s="282" t="s">
        <v>285</v>
      </c>
      <c r="B89" s="262">
        <v>79348</v>
      </c>
      <c r="C89" s="262">
        <v>79348</v>
      </c>
      <c r="D89" s="262">
        <v>79348</v>
      </c>
      <c r="E89" s="262">
        <v>79348</v>
      </c>
      <c r="F89" s="262">
        <v>79348</v>
      </c>
      <c r="G89" s="276">
        <v>79348</v>
      </c>
      <c r="H89" s="276">
        <v>79348</v>
      </c>
      <c r="I89" s="276">
        <v>79348</v>
      </c>
      <c r="J89" s="276">
        <v>79348</v>
      </c>
      <c r="K89" s="276">
        <v>79348</v>
      </c>
      <c r="L89" s="276">
        <v>79348</v>
      </c>
      <c r="M89" s="276">
        <v>79348</v>
      </c>
      <c r="N89" s="259"/>
      <c r="O89" s="231"/>
    </row>
    <row r="90" spans="1:15" ht="15.75" x14ac:dyDescent="0.25">
      <c r="A90" s="268" t="s">
        <v>234</v>
      </c>
      <c r="B90" s="262"/>
      <c r="C90" s="262"/>
      <c r="D90" s="262"/>
      <c r="E90" s="262"/>
      <c r="F90" s="262"/>
      <c r="G90" s="276"/>
      <c r="H90" s="276"/>
      <c r="I90" s="276"/>
      <c r="J90" s="276"/>
      <c r="K90" s="276"/>
      <c r="L90" s="276"/>
      <c r="M90" s="276"/>
      <c r="N90" s="279"/>
      <c r="O90" s="228"/>
    </row>
    <row r="91" spans="1:15" ht="15.75" x14ac:dyDescent="0.25">
      <c r="A91" s="268" t="s">
        <v>34</v>
      </c>
      <c r="B91" s="264">
        <v>748582</v>
      </c>
      <c r="C91" s="277">
        <f>+B91</f>
        <v>748582</v>
      </c>
      <c r="D91" s="277">
        <f t="shared" ref="D91:M91" si="48">+C91</f>
        <v>748582</v>
      </c>
      <c r="E91" s="277">
        <f t="shared" si="48"/>
        <v>748582</v>
      </c>
      <c r="F91" s="277">
        <f t="shared" si="48"/>
        <v>748582</v>
      </c>
      <c r="G91" s="277">
        <f t="shared" si="48"/>
        <v>748582</v>
      </c>
      <c r="H91" s="277">
        <f t="shared" si="48"/>
        <v>748582</v>
      </c>
      <c r="I91" s="277">
        <f t="shared" si="48"/>
        <v>748582</v>
      </c>
      <c r="J91" s="277">
        <f t="shared" si="48"/>
        <v>748582</v>
      </c>
      <c r="K91" s="277">
        <f t="shared" si="48"/>
        <v>748582</v>
      </c>
      <c r="L91" s="277">
        <f t="shared" si="48"/>
        <v>748582</v>
      </c>
      <c r="M91" s="277">
        <f t="shared" si="48"/>
        <v>748582</v>
      </c>
      <c r="N91" s="259"/>
      <c r="O91" s="228"/>
    </row>
    <row r="92" spans="1:15" ht="15.75" x14ac:dyDescent="0.25">
      <c r="A92" s="280" t="s">
        <v>31</v>
      </c>
      <c r="B92" s="266">
        <f t="shared" ref="B92:F92" si="49">SUM(B82:B91)</f>
        <v>7935567</v>
      </c>
      <c r="C92" s="266">
        <f t="shared" si="49"/>
        <v>7935567</v>
      </c>
      <c r="D92" s="266">
        <f t="shared" si="49"/>
        <v>7935567</v>
      </c>
      <c r="E92" s="266">
        <f t="shared" si="49"/>
        <v>7935567</v>
      </c>
      <c r="F92" s="266">
        <f t="shared" si="49"/>
        <v>7935567</v>
      </c>
      <c r="G92" s="266">
        <f>SUM(G82:G91)</f>
        <v>7932067</v>
      </c>
      <c r="H92" s="266">
        <f t="shared" ref="H92:M92" si="50">SUM(H82:H91)</f>
        <v>7932067</v>
      </c>
      <c r="I92" s="266">
        <f t="shared" si="50"/>
        <v>7932067</v>
      </c>
      <c r="J92" s="266">
        <f t="shared" si="50"/>
        <v>7932067</v>
      </c>
      <c r="K92" s="266">
        <f t="shared" si="50"/>
        <v>7932067</v>
      </c>
      <c r="L92" s="266">
        <f t="shared" si="50"/>
        <v>7932067</v>
      </c>
      <c r="M92" s="266">
        <f t="shared" si="50"/>
        <v>7932067</v>
      </c>
      <c r="N92" s="259"/>
      <c r="O92" s="228"/>
    </row>
    <row r="93" spans="1:15" ht="15.75" x14ac:dyDescent="0.25">
      <c r="A93" s="268" t="s">
        <v>91</v>
      </c>
      <c r="B93" s="276">
        <v>3995607</v>
      </c>
      <c r="C93" s="283">
        <f>+B93</f>
        <v>3995607</v>
      </c>
      <c r="D93" s="283">
        <f t="shared" ref="D93:M93" si="51">+C93</f>
        <v>3995607</v>
      </c>
      <c r="E93" s="283">
        <f t="shared" si="51"/>
        <v>3995607</v>
      </c>
      <c r="F93" s="283">
        <f t="shared" si="51"/>
        <v>3995607</v>
      </c>
      <c r="G93" s="283">
        <f t="shared" si="51"/>
        <v>3995607</v>
      </c>
      <c r="H93" s="283">
        <f t="shared" si="51"/>
        <v>3995607</v>
      </c>
      <c r="I93" s="283">
        <f t="shared" si="51"/>
        <v>3995607</v>
      </c>
      <c r="J93" s="283">
        <f t="shared" si="51"/>
        <v>3995607</v>
      </c>
      <c r="K93" s="283">
        <f t="shared" si="51"/>
        <v>3995607</v>
      </c>
      <c r="L93" s="283">
        <f t="shared" si="51"/>
        <v>3995607</v>
      </c>
      <c r="M93" s="283">
        <f t="shared" si="51"/>
        <v>3995607</v>
      </c>
      <c r="N93" s="259"/>
      <c r="O93" s="228"/>
    </row>
    <row r="94" spans="1:15" ht="15.75" x14ac:dyDescent="0.25">
      <c r="A94" s="268" t="s">
        <v>122</v>
      </c>
      <c r="B94" s="276">
        <v>85435</v>
      </c>
      <c r="C94" s="276">
        <v>85435</v>
      </c>
      <c r="D94" s="276">
        <v>85435</v>
      </c>
      <c r="E94" s="276">
        <v>85435</v>
      </c>
      <c r="F94" s="276">
        <v>85435</v>
      </c>
      <c r="G94" s="276">
        <v>85295</v>
      </c>
      <c r="H94" s="276">
        <v>85295</v>
      </c>
      <c r="I94" s="276">
        <v>85295</v>
      </c>
      <c r="J94" s="276">
        <v>85295</v>
      </c>
      <c r="K94" s="276">
        <v>85295</v>
      </c>
      <c r="L94" s="276">
        <v>85295</v>
      </c>
      <c r="M94" s="276">
        <v>85295</v>
      </c>
      <c r="N94" s="259"/>
      <c r="O94" s="228"/>
    </row>
    <row r="95" spans="1:15" ht="15.75" x14ac:dyDescent="0.25">
      <c r="A95" s="268" t="s">
        <v>252</v>
      </c>
      <c r="B95" s="276">
        <v>102654</v>
      </c>
      <c r="C95" s="276">
        <v>102654</v>
      </c>
      <c r="D95" s="276">
        <v>102654</v>
      </c>
      <c r="E95" s="276">
        <v>102654</v>
      </c>
      <c r="F95" s="276">
        <v>102654</v>
      </c>
      <c r="G95" s="276">
        <v>106512</v>
      </c>
      <c r="H95" s="276">
        <v>106512</v>
      </c>
      <c r="I95" s="276">
        <v>106512</v>
      </c>
      <c r="J95" s="276">
        <v>106512</v>
      </c>
      <c r="K95" s="276">
        <v>106512</v>
      </c>
      <c r="L95" s="276">
        <v>106512</v>
      </c>
      <c r="M95" s="276">
        <v>106512</v>
      </c>
      <c r="N95" s="259"/>
      <c r="O95" s="228"/>
    </row>
    <row r="96" spans="1:15" ht="15.75" x14ac:dyDescent="0.25">
      <c r="A96" s="268" t="s">
        <v>123</v>
      </c>
      <c r="B96" s="276">
        <v>19327</v>
      </c>
      <c r="C96" s="276">
        <v>19327</v>
      </c>
      <c r="D96" s="276">
        <v>19327</v>
      </c>
      <c r="E96" s="276">
        <v>19327</v>
      </c>
      <c r="F96" s="276">
        <v>19327</v>
      </c>
      <c r="G96" s="276">
        <v>19689</v>
      </c>
      <c r="H96" s="276">
        <v>19689</v>
      </c>
      <c r="I96" s="276">
        <v>19689</v>
      </c>
      <c r="J96" s="276">
        <v>19689</v>
      </c>
      <c r="K96" s="276">
        <v>19689</v>
      </c>
      <c r="L96" s="276">
        <v>19689</v>
      </c>
      <c r="M96" s="276">
        <v>19689</v>
      </c>
      <c r="N96" s="259"/>
      <c r="O96" s="228"/>
    </row>
    <row r="97" spans="1:15" ht="15.75" x14ac:dyDescent="0.25">
      <c r="A97" s="268" t="s">
        <v>124</v>
      </c>
      <c r="B97" s="276"/>
      <c r="C97" s="276"/>
      <c r="D97" s="276"/>
      <c r="E97" s="276"/>
      <c r="F97" s="276"/>
      <c r="G97" s="276"/>
      <c r="H97" s="276"/>
      <c r="I97" s="276"/>
      <c r="J97" s="276"/>
      <c r="K97" s="276"/>
      <c r="L97" s="276"/>
      <c r="M97" s="276"/>
      <c r="N97" s="259"/>
      <c r="O97" s="228"/>
    </row>
    <row r="98" spans="1:15" ht="15.75" x14ac:dyDescent="0.25">
      <c r="A98" s="268" t="s">
        <v>125</v>
      </c>
      <c r="B98" s="276">
        <v>7351</v>
      </c>
      <c r="C98" s="276">
        <v>7351</v>
      </c>
      <c r="D98" s="276">
        <v>7351</v>
      </c>
      <c r="E98" s="276">
        <v>7351</v>
      </c>
      <c r="F98" s="276">
        <v>7351</v>
      </c>
      <c r="G98" s="276">
        <v>7790</v>
      </c>
      <c r="H98" s="276">
        <v>7790</v>
      </c>
      <c r="I98" s="276">
        <v>7790</v>
      </c>
      <c r="J98" s="276">
        <v>7790</v>
      </c>
      <c r="K98" s="276">
        <v>7790</v>
      </c>
      <c r="L98" s="276">
        <v>7790</v>
      </c>
      <c r="M98" s="276">
        <v>7790</v>
      </c>
      <c r="N98" s="259"/>
      <c r="O98" s="228"/>
    </row>
    <row r="99" spans="1:15" ht="15.75" x14ac:dyDescent="0.25">
      <c r="A99" s="268" t="s">
        <v>126</v>
      </c>
      <c r="B99" s="276">
        <v>33017</v>
      </c>
      <c r="C99" s="276">
        <v>33017</v>
      </c>
      <c r="D99" s="276">
        <v>33017</v>
      </c>
      <c r="E99" s="276">
        <v>33017</v>
      </c>
      <c r="F99" s="276">
        <v>33017</v>
      </c>
      <c r="G99" s="276">
        <v>32943</v>
      </c>
      <c r="H99" s="276">
        <v>32943</v>
      </c>
      <c r="I99" s="276">
        <v>32943</v>
      </c>
      <c r="J99" s="276">
        <v>32943</v>
      </c>
      <c r="K99" s="276">
        <v>32943</v>
      </c>
      <c r="L99" s="276">
        <v>32943</v>
      </c>
      <c r="M99" s="276">
        <v>32943</v>
      </c>
      <c r="N99" s="259"/>
      <c r="O99" s="228"/>
    </row>
    <row r="100" spans="1:15" ht="15.75" x14ac:dyDescent="0.25">
      <c r="A100" s="268" t="s">
        <v>127</v>
      </c>
      <c r="B100" s="276">
        <v>4649</v>
      </c>
      <c r="C100" s="276">
        <v>4649</v>
      </c>
      <c r="D100" s="276">
        <v>4649</v>
      </c>
      <c r="E100" s="276">
        <v>4649</v>
      </c>
      <c r="F100" s="276">
        <v>4649</v>
      </c>
      <c r="G100" s="276">
        <v>4832</v>
      </c>
      <c r="H100" s="276">
        <v>4832</v>
      </c>
      <c r="I100" s="276">
        <v>4832</v>
      </c>
      <c r="J100" s="276">
        <v>4832</v>
      </c>
      <c r="K100" s="276">
        <v>4832</v>
      </c>
      <c r="L100" s="276">
        <v>4832</v>
      </c>
      <c r="M100" s="276">
        <v>4832</v>
      </c>
      <c r="N100" s="259"/>
      <c r="O100" s="228"/>
    </row>
    <row r="101" spans="1:15" ht="15.75" x14ac:dyDescent="0.25">
      <c r="A101" s="268" t="s">
        <v>113</v>
      </c>
      <c r="B101" s="264">
        <v>0</v>
      </c>
      <c r="C101" s="264">
        <v>0</v>
      </c>
      <c r="D101" s="264">
        <v>0</v>
      </c>
      <c r="E101" s="264">
        <v>0</v>
      </c>
      <c r="F101" s="264">
        <v>0</v>
      </c>
      <c r="G101" s="264">
        <v>0</v>
      </c>
      <c r="H101" s="264">
        <v>0</v>
      </c>
      <c r="I101" s="264">
        <v>0</v>
      </c>
      <c r="J101" s="264">
        <v>0</v>
      </c>
      <c r="K101" s="264">
        <v>0</v>
      </c>
      <c r="L101" s="264">
        <v>0</v>
      </c>
      <c r="M101" s="275">
        <v>0</v>
      </c>
      <c r="N101" s="259"/>
      <c r="O101" s="228"/>
    </row>
    <row r="102" spans="1:15" ht="15.75" x14ac:dyDescent="0.25">
      <c r="A102" s="280" t="s">
        <v>91</v>
      </c>
      <c r="B102" s="266">
        <f>SUM(B93:B101)</f>
        <v>4248040</v>
      </c>
      <c r="C102" s="266">
        <f t="shared" ref="C102:M102" si="52">SUM(C93:C101)</f>
        <v>4248040</v>
      </c>
      <c r="D102" s="266">
        <f t="shared" si="52"/>
        <v>4248040</v>
      </c>
      <c r="E102" s="266">
        <f t="shared" si="52"/>
        <v>4248040</v>
      </c>
      <c r="F102" s="266">
        <f t="shared" si="52"/>
        <v>4248040</v>
      </c>
      <c r="G102" s="266">
        <f t="shared" si="52"/>
        <v>4252668</v>
      </c>
      <c r="H102" s="266">
        <f t="shared" si="52"/>
        <v>4252668</v>
      </c>
      <c r="I102" s="266">
        <f t="shared" si="52"/>
        <v>4252668</v>
      </c>
      <c r="J102" s="266">
        <f t="shared" si="52"/>
        <v>4252668</v>
      </c>
      <c r="K102" s="266">
        <f t="shared" si="52"/>
        <v>4252668</v>
      </c>
      <c r="L102" s="266">
        <f t="shared" si="52"/>
        <v>4252668</v>
      </c>
      <c r="M102" s="266">
        <f t="shared" si="52"/>
        <v>4252668</v>
      </c>
      <c r="N102" s="259"/>
      <c r="O102" s="228"/>
    </row>
    <row r="103" spans="1:15" ht="15.75" x14ac:dyDescent="0.25">
      <c r="A103" s="268" t="s">
        <v>93</v>
      </c>
      <c r="B103" s="276">
        <v>852308</v>
      </c>
      <c r="C103" s="276">
        <v>852308</v>
      </c>
      <c r="D103" s="276">
        <v>852308</v>
      </c>
      <c r="E103" s="276">
        <v>852308</v>
      </c>
      <c r="F103" s="276">
        <v>852308</v>
      </c>
      <c r="G103" s="276">
        <v>853790</v>
      </c>
      <c r="H103" s="276">
        <v>853790</v>
      </c>
      <c r="I103" s="276">
        <v>853790</v>
      </c>
      <c r="J103" s="276">
        <v>853790</v>
      </c>
      <c r="K103" s="276">
        <v>853790</v>
      </c>
      <c r="L103" s="276">
        <v>853790</v>
      </c>
      <c r="M103" s="276">
        <v>853790</v>
      </c>
      <c r="N103" s="259"/>
      <c r="O103" s="228"/>
    </row>
    <row r="104" spans="1:15" ht="15.75" x14ac:dyDescent="0.25">
      <c r="A104" s="268" t="s">
        <v>119</v>
      </c>
      <c r="B104" s="264">
        <v>24217</v>
      </c>
      <c r="C104" s="264">
        <v>24217</v>
      </c>
      <c r="D104" s="264">
        <v>24217</v>
      </c>
      <c r="E104" s="264">
        <v>24217</v>
      </c>
      <c r="F104" s="264">
        <v>24217</v>
      </c>
      <c r="G104" s="275">
        <v>22735</v>
      </c>
      <c r="H104" s="275">
        <v>22735</v>
      </c>
      <c r="I104" s="275">
        <v>22735</v>
      </c>
      <c r="J104" s="275">
        <v>22735</v>
      </c>
      <c r="K104" s="275">
        <v>22735</v>
      </c>
      <c r="L104" s="275">
        <v>22735</v>
      </c>
      <c r="M104" s="275">
        <v>22735</v>
      </c>
      <c r="N104" s="259"/>
      <c r="O104" s="228"/>
    </row>
    <row r="105" spans="1:15" ht="15.75" x14ac:dyDescent="0.25">
      <c r="A105" s="280" t="s">
        <v>93</v>
      </c>
      <c r="B105" s="266">
        <f>SUM(B103:B104)</f>
        <v>876525</v>
      </c>
      <c r="C105" s="266">
        <f t="shared" ref="C105:M105" si="53">SUM(C103:C104)</f>
        <v>876525</v>
      </c>
      <c r="D105" s="266">
        <f t="shared" si="53"/>
        <v>876525</v>
      </c>
      <c r="E105" s="266">
        <f t="shared" si="53"/>
        <v>876525</v>
      </c>
      <c r="F105" s="266">
        <f t="shared" si="53"/>
        <v>876525</v>
      </c>
      <c r="G105" s="266">
        <f t="shared" si="53"/>
        <v>876525</v>
      </c>
      <c r="H105" s="266">
        <f t="shared" si="53"/>
        <v>876525</v>
      </c>
      <c r="I105" s="266">
        <f t="shared" si="53"/>
        <v>876525</v>
      </c>
      <c r="J105" s="266">
        <f t="shared" si="53"/>
        <v>876525</v>
      </c>
      <c r="K105" s="266">
        <f t="shared" si="53"/>
        <v>876525</v>
      </c>
      <c r="L105" s="266">
        <f t="shared" si="53"/>
        <v>876525</v>
      </c>
      <c r="M105" s="266">
        <f t="shared" si="53"/>
        <v>876525</v>
      </c>
      <c r="N105" s="259"/>
      <c r="O105" s="228"/>
    </row>
    <row r="106" spans="1:15" ht="15.75" x14ac:dyDescent="0.25">
      <c r="A106" s="268" t="s">
        <v>26</v>
      </c>
      <c r="B106" s="276">
        <v>7095336</v>
      </c>
      <c r="C106" s="276">
        <v>7095336</v>
      </c>
      <c r="D106" s="276">
        <v>7095336</v>
      </c>
      <c r="E106" s="276">
        <v>7095336</v>
      </c>
      <c r="F106" s="276">
        <v>7095336</v>
      </c>
      <c r="G106" s="276">
        <v>7095336</v>
      </c>
      <c r="H106" s="276">
        <v>7095336</v>
      </c>
      <c r="I106" s="276">
        <v>7095336</v>
      </c>
      <c r="J106" s="276">
        <v>7095336</v>
      </c>
      <c r="K106" s="276">
        <v>7095336</v>
      </c>
      <c r="L106" s="276">
        <v>7095336</v>
      </c>
      <c r="M106" s="276">
        <v>7095336</v>
      </c>
      <c r="N106" s="259"/>
      <c r="O106" s="228"/>
    </row>
    <row r="107" spans="1:15" s="81" customFormat="1" ht="15.75" x14ac:dyDescent="0.25">
      <c r="A107" s="268" t="s">
        <v>212</v>
      </c>
      <c r="B107" s="249">
        <v>0</v>
      </c>
      <c r="C107" s="249">
        <v>0</v>
      </c>
      <c r="D107" s="249">
        <v>0</v>
      </c>
      <c r="E107" s="249">
        <v>0</v>
      </c>
      <c r="F107" s="249">
        <v>0</v>
      </c>
      <c r="G107" s="249">
        <v>0</v>
      </c>
      <c r="H107" s="249">
        <v>0</v>
      </c>
      <c r="I107" s="249">
        <v>0</v>
      </c>
      <c r="J107" s="249">
        <v>0</v>
      </c>
      <c r="K107" s="249">
        <v>0</v>
      </c>
      <c r="L107" s="249">
        <v>0</v>
      </c>
      <c r="M107" s="249">
        <v>0</v>
      </c>
      <c r="N107" s="259"/>
      <c r="O107" s="231"/>
    </row>
    <row r="108" spans="1:15" ht="15.75" x14ac:dyDescent="0.25">
      <c r="A108" s="268" t="s">
        <v>235</v>
      </c>
      <c r="B108" s="264">
        <v>0</v>
      </c>
      <c r="C108" s="264">
        <v>0</v>
      </c>
      <c r="D108" s="264">
        <v>0</v>
      </c>
      <c r="E108" s="264">
        <v>0</v>
      </c>
      <c r="F108" s="264">
        <v>0</v>
      </c>
      <c r="G108" s="264">
        <v>0</v>
      </c>
      <c r="H108" s="264">
        <v>0</v>
      </c>
      <c r="I108" s="264">
        <v>0</v>
      </c>
      <c r="J108" s="264">
        <v>0</v>
      </c>
      <c r="K108" s="264">
        <v>0</v>
      </c>
      <c r="L108" s="264">
        <v>0</v>
      </c>
      <c r="M108" s="264">
        <v>0</v>
      </c>
      <c r="N108" s="279"/>
      <c r="O108" s="228"/>
    </row>
    <row r="109" spans="1:15" ht="15.75" x14ac:dyDescent="0.25">
      <c r="A109" s="280" t="s">
        <v>26</v>
      </c>
      <c r="B109" s="266">
        <f t="shared" ref="B109:M109" si="54">SUM(B106:B108)</f>
        <v>7095336</v>
      </c>
      <c r="C109" s="266">
        <f t="shared" si="54"/>
        <v>7095336</v>
      </c>
      <c r="D109" s="266">
        <f t="shared" si="54"/>
        <v>7095336</v>
      </c>
      <c r="E109" s="266">
        <f t="shared" si="54"/>
        <v>7095336</v>
      </c>
      <c r="F109" s="266">
        <f t="shared" si="54"/>
        <v>7095336</v>
      </c>
      <c r="G109" s="266">
        <f t="shared" si="54"/>
        <v>7095336</v>
      </c>
      <c r="H109" s="266">
        <f t="shared" si="54"/>
        <v>7095336</v>
      </c>
      <c r="I109" s="266">
        <f t="shared" si="54"/>
        <v>7095336</v>
      </c>
      <c r="J109" s="266">
        <f t="shared" si="54"/>
        <v>7095336</v>
      </c>
      <c r="K109" s="266">
        <f t="shared" si="54"/>
        <v>7095336</v>
      </c>
      <c r="L109" s="266">
        <f t="shared" si="54"/>
        <v>7095336</v>
      </c>
      <c r="M109" s="266">
        <f t="shared" si="54"/>
        <v>7095336</v>
      </c>
      <c r="N109" s="259"/>
      <c r="O109" s="228"/>
    </row>
    <row r="110" spans="1:15" ht="15.75" x14ac:dyDescent="0.25">
      <c r="A110" s="268" t="s">
        <v>33</v>
      </c>
      <c r="B110" s="262">
        <v>239600</v>
      </c>
      <c r="C110" s="262">
        <v>239600</v>
      </c>
      <c r="D110" s="262">
        <v>239600</v>
      </c>
      <c r="E110" s="262">
        <v>239600</v>
      </c>
      <c r="F110" s="262">
        <v>239600</v>
      </c>
      <c r="G110" s="262">
        <v>240900</v>
      </c>
      <c r="H110" s="262">
        <v>240900</v>
      </c>
      <c r="I110" s="262">
        <v>240900</v>
      </c>
      <c r="J110" s="262">
        <v>240900</v>
      </c>
      <c r="K110" s="262">
        <v>240900</v>
      </c>
      <c r="L110" s="262">
        <v>240900</v>
      </c>
      <c r="M110" s="262">
        <v>240900</v>
      </c>
      <c r="N110" s="259"/>
      <c r="O110" s="228"/>
    </row>
    <row r="111" spans="1:15" ht="15.75" x14ac:dyDescent="0.25">
      <c r="A111" s="268" t="s">
        <v>34</v>
      </c>
      <c r="B111" s="249">
        <v>3943</v>
      </c>
      <c r="C111" s="249">
        <v>3943</v>
      </c>
      <c r="D111" s="249">
        <v>3943</v>
      </c>
      <c r="E111" s="249">
        <v>3943</v>
      </c>
      <c r="F111" s="249">
        <v>3943</v>
      </c>
      <c r="G111" s="276">
        <v>3943</v>
      </c>
      <c r="H111" s="276">
        <v>3943</v>
      </c>
      <c r="I111" s="276">
        <v>3943</v>
      </c>
      <c r="J111" s="276">
        <v>3943</v>
      </c>
      <c r="K111" s="276">
        <v>3943</v>
      </c>
      <c r="L111" s="276">
        <v>3943</v>
      </c>
      <c r="M111" s="276">
        <v>3943</v>
      </c>
      <c r="N111" s="259"/>
      <c r="O111" s="228"/>
    </row>
    <row r="112" spans="1:15" ht="15.75" x14ac:dyDescent="0.25">
      <c r="A112" s="268" t="s">
        <v>253</v>
      </c>
      <c r="B112" s="264">
        <v>19826</v>
      </c>
      <c r="C112" s="264">
        <v>19826</v>
      </c>
      <c r="D112" s="264">
        <v>19826</v>
      </c>
      <c r="E112" s="264">
        <v>19826</v>
      </c>
      <c r="F112" s="264">
        <v>19826</v>
      </c>
      <c r="G112" s="275">
        <v>19826</v>
      </c>
      <c r="H112" s="275">
        <v>19826</v>
      </c>
      <c r="I112" s="275">
        <v>19826</v>
      </c>
      <c r="J112" s="275">
        <v>19826</v>
      </c>
      <c r="K112" s="275">
        <v>19826</v>
      </c>
      <c r="L112" s="275">
        <v>19826</v>
      </c>
      <c r="M112" s="275">
        <v>19826</v>
      </c>
      <c r="N112" s="259"/>
      <c r="O112" s="228"/>
    </row>
    <row r="113" spans="1:15" ht="15.75" x14ac:dyDescent="0.25">
      <c r="A113" s="280" t="s">
        <v>33</v>
      </c>
      <c r="B113" s="266">
        <f>SUM(B110:B112)</f>
        <v>263369</v>
      </c>
      <c r="C113" s="266">
        <f t="shared" ref="C113:M113" si="55">SUM(C110:C112)</f>
        <v>263369</v>
      </c>
      <c r="D113" s="266">
        <f t="shared" si="55"/>
        <v>263369</v>
      </c>
      <c r="E113" s="266">
        <f t="shared" si="55"/>
        <v>263369</v>
      </c>
      <c r="F113" s="266">
        <f t="shared" si="55"/>
        <v>263369</v>
      </c>
      <c r="G113" s="266">
        <f t="shared" si="55"/>
        <v>264669</v>
      </c>
      <c r="H113" s="266">
        <f t="shared" si="55"/>
        <v>264669</v>
      </c>
      <c r="I113" s="266">
        <f t="shared" si="55"/>
        <v>264669</v>
      </c>
      <c r="J113" s="266">
        <f t="shared" si="55"/>
        <v>264669</v>
      </c>
      <c r="K113" s="266">
        <f t="shared" si="55"/>
        <v>264669</v>
      </c>
      <c r="L113" s="266">
        <f t="shared" si="55"/>
        <v>264669</v>
      </c>
      <c r="M113" s="266">
        <f t="shared" si="55"/>
        <v>264669</v>
      </c>
      <c r="N113" s="259"/>
      <c r="O113" s="228"/>
    </row>
    <row r="114" spans="1:15" ht="15.75" x14ac:dyDescent="0.25">
      <c r="A114" s="268"/>
      <c r="B114" s="283"/>
      <c r="C114" s="283"/>
      <c r="D114" s="283"/>
      <c r="E114" s="283"/>
      <c r="F114" s="283"/>
      <c r="G114" s="283"/>
      <c r="H114" s="283"/>
      <c r="I114" s="283"/>
      <c r="J114" s="283"/>
      <c r="K114" s="283"/>
      <c r="L114" s="283"/>
      <c r="M114" s="283"/>
      <c r="N114" s="259"/>
      <c r="O114" s="228"/>
    </row>
    <row r="115" spans="1:15" ht="15.75" x14ac:dyDescent="0.25">
      <c r="A115" s="268" t="s">
        <v>22</v>
      </c>
      <c r="B115" s="262">
        <v>6636000</v>
      </c>
      <c r="C115" s="274">
        <f>+B115</f>
        <v>6636000</v>
      </c>
      <c r="D115" s="274">
        <f t="shared" ref="D115:M115" si="56">+C115</f>
        <v>6636000</v>
      </c>
      <c r="E115" s="274">
        <f t="shared" si="56"/>
        <v>6636000</v>
      </c>
      <c r="F115" s="274">
        <f t="shared" si="56"/>
        <v>6636000</v>
      </c>
      <c r="G115" s="274">
        <f t="shared" si="56"/>
        <v>6636000</v>
      </c>
      <c r="H115" s="274">
        <f t="shared" si="56"/>
        <v>6636000</v>
      </c>
      <c r="I115" s="274">
        <f t="shared" si="56"/>
        <v>6636000</v>
      </c>
      <c r="J115" s="274">
        <f t="shared" si="56"/>
        <v>6636000</v>
      </c>
      <c r="K115" s="274">
        <f t="shared" si="56"/>
        <v>6636000</v>
      </c>
      <c r="L115" s="274">
        <f t="shared" si="56"/>
        <v>6636000</v>
      </c>
      <c r="M115" s="274">
        <f t="shared" si="56"/>
        <v>6636000</v>
      </c>
      <c r="N115" s="259"/>
      <c r="O115" s="228"/>
    </row>
    <row r="116" spans="1:15" ht="15.75" x14ac:dyDescent="0.25">
      <c r="A116" s="268" t="s">
        <v>128</v>
      </c>
      <c r="B116" s="264">
        <v>126500</v>
      </c>
      <c r="C116" s="264">
        <v>126500</v>
      </c>
      <c r="D116" s="264">
        <v>126500</v>
      </c>
      <c r="E116" s="264">
        <v>126500</v>
      </c>
      <c r="F116" s="264">
        <v>126500</v>
      </c>
      <c r="G116" s="264">
        <v>126500</v>
      </c>
      <c r="H116" s="264">
        <v>126500</v>
      </c>
      <c r="I116" s="264">
        <v>126500</v>
      </c>
      <c r="J116" s="264">
        <v>126500</v>
      </c>
      <c r="K116" s="264">
        <v>126500</v>
      </c>
      <c r="L116" s="264">
        <v>126500</v>
      </c>
      <c r="M116" s="264">
        <v>126500</v>
      </c>
      <c r="N116" s="259"/>
    </row>
    <row r="117" spans="1:15" ht="15.75" x14ac:dyDescent="0.25">
      <c r="A117" s="280" t="s">
        <v>129</v>
      </c>
      <c r="B117" s="284">
        <f>B115+B116</f>
        <v>6762500</v>
      </c>
      <c r="C117" s="284">
        <f t="shared" ref="C117:M117" si="57">C115+C116</f>
        <v>6762500</v>
      </c>
      <c r="D117" s="284">
        <f t="shared" si="57"/>
        <v>6762500</v>
      </c>
      <c r="E117" s="284">
        <f t="shared" si="57"/>
        <v>6762500</v>
      </c>
      <c r="F117" s="284">
        <f t="shared" si="57"/>
        <v>6762500</v>
      </c>
      <c r="G117" s="284">
        <f t="shared" si="57"/>
        <v>6762500</v>
      </c>
      <c r="H117" s="284">
        <f t="shared" si="57"/>
        <v>6762500</v>
      </c>
      <c r="I117" s="284">
        <f t="shared" si="57"/>
        <v>6762500</v>
      </c>
      <c r="J117" s="284">
        <f t="shared" si="57"/>
        <v>6762500</v>
      </c>
      <c r="K117" s="284">
        <f t="shared" si="57"/>
        <v>6762500</v>
      </c>
      <c r="L117" s="284">
        <f t="shared" si="57"/>
        <v>6762500</v>
      </c>
      <c r="M117" s="284">
        <f t="shared" si="57"/>
        <v>6762500</v>
      </c>
      <c r="N117" s="259"/>
    </row>
    <row r="118" spans="1:15" ht="15.75" x14ac:dyDescent="0.25">
      <c r="A118" s="268" t="str">
        <f>A117</f>
        <v>Mi Joint Zone (Zone 13)</v>
      </c>
      <c r="B118" s="285">
        <f>B117</f>
        <v>6762500</v>
      </c>
      <c r="C118" s="285">
        <f t="shared" ref="C118:M118" si="58">C117</f>
        <v>6762500</v>
      </c>
      <c r="D118" s="285">
        <f t="shared" si="58"/>
        <v>6762500</v>
      </c>
      <c r="E118" s="285">
        <f t="shared" si="58"/>
        <v>6762500</v>
      </c>
      <c r="F118" s="285">
        <f t="shared" si="58"/>
        <v>6762500</v>
      </c>
      <c r="G118" s="285">
        <f t="shared" si="58"/>
        <v>6762500</v>
      </c>
      <c r="H118" s="285">
        <f t="shared" si="58"/>
        <v>6762500</v>
      </c>
      <c r="I118" s="285">
        <f t="shared" si="58"/>
        <v>6762500</v>
      </c>
      <c r="J118" s="285">
        <f t="shared" si="58"/>
        <v>6762500</v>
      </c>
      <c r="K118" s="285">
        <f t="shared" si="58"/>
        <v>6762500</v>
      </c>
      <c r="L118" s="285">
        <f t="shared" si="58"/>
        <v>6762500</v>
      </c>
      <c r="M118" s="285">
        <f t="shared" si="58"/>
        <v>6762500</v>
      </c>
      <c r="N118" s="259"/>
    </row>
    <row r="119" spans="1:15" ht="15.75" x14ac:dyDescent="0.25">
      <c r="A119" s="268" t="s">
        <v>130</v>
      </c>
      <c r="B119" s="264">
        <v>482391</v>
      </c>
      <c r="C119" s="264">
        <v>482391</v>
      </c>
      <c r="D119" s="264">
        <v>482391</v>
      </c>
      <c r="E119" s="264">
        <v>482391</v>
      </c>
      <c r="F119" s="264">
        <v>482391</v>
      </c>
      <c r="G119" s="264">
        <v>482391</v>
      </c>
      <c r="H119" s="264">
        <v>482391</v>
      </c>
      <c r="I119" s="264">
        <v>482391</v>
      </c>
      <c r="J119" s="264">
        <v>482391</v>
      </c>
      <c r="K119" s="264">
        <v>482391</v>
      </c>
      <c r="L119" s="264">
        <v>482391</v>
      </c>
      <c r="M119" s="264">
        <v>482391</v>
      </c>
      <c r="N119"/>
    </row>
    <row r="120" spans="1:15" s="81" customFormat="1" ht="15.75" x14ac:dyDescent="0.25">
      <c r="A120" s="286" t="s">
        <v>131</v>
      </c>
      <c r="B120" s="287">
        <f>B118+B119</f>
        <v>7244891</v>
      </c>
      <c r="C120" s="287">
        <f t="shared" ref="C120:M120" si="59">C118+C119</f>
        <v>7244891</v>
      </c>
      <c r="D120" s="287">
        <f t="shared" si="59"/>
        <v>7244891</v>
      </c>
      <c r="E120" s="287">
        <f t="shared" si="59"/>
        <v>7244891</v>
      </c>
      <c r="F120" s="287">
        <f t="shared" si="59"/>
        <v>7244891</v>
      </c>
      <c r="G120" s="287">
        <f t="shared" si="59"/>
        <v>7244891</v>
      </c>
      <c r="H120" s="287">
        <f t="shared" si="59"/>
        <v>7244891</v>
      </c>
      <c r="I120" s="287">
        <f t="shared" si="59"/>
        <v>7244891</v>
      </c>
      <c r="J120" s="287">
        <f t="shared" si="59"/>
        <v>7244891</v>
      </c>
      <c r="K120" s="287">
        <f t="shared" si="59"/>
        <v>7244891</v>
      </c>
      <c r="L120" s="287">
        <f t="shared" si="59"/>
        <v>7244891</v>
      </c>
      <c r="M120" s="287">
        <f t="shared" si="59"/>
        <v>7244891</v>
      </c>
      <c r="N120"/>
    </row>
    <row r="121" spans="1:15" s="81" customFormat="1" ht="15.75" x14ac:dyDescent="0.25">
      <c r="A121" s="268" t="s">
        <v>223</v>
      </c>
      <c r="B121" s="262">
        <v>5732703</v>
      </c>
      <c r="C121" s="262">
        <v>5732703</v>
      </c>
      <c r="D121" s="262">
        <v>5732703</v>
      </c>
      <c r="E121" s="262">
        <v>5732703</v>
      </c>
      <c r="F121" s="262">
        <v>5732703</v>
      </c>
      <c r="G121" s="262">
        <v>5732703</v>
      </c>
      <c r="H121" s="262">
        <v>5732703</v>
      </c>
      <c r="I121" s="262">
        <v>5732703</v>
      </c>
      <c r="J121" s="262">
        <v>5732703</v>
      </c>
      <c r="K121" s="262">
        <v>5732703</v>
      </c>
      <c r="L121" s="262">
        <v>5844083</v>
      </c>
      <c r="M121" s="262">
        <v>5844083</v>
      </c>
      <c r="N121" s="18"/>
    </row>
    <row r="122" spans="1:15" s="81" customFormat="1" ht="15.75" x14ac:dyDescent="0.25">
      <c r="A122" s="268" t="s">
        <v>236</v>
      </c>
      <c r="B122" s="264">
        <v>200176</v>
      </c>
      <c r="C122" s="264">
        <v>200176</v>
      </c>
      <c r="D122" s="264">
        <v>200176</v>
      </c>
      <c r="E122" s="264">
        <v>200176</v>
      </c>
      <c r="F122" s="264">
        <v>200176</v>
      </c>
      <c r="G122" s="264">
        <v>0</v>
      </c>
      <c r="H122" s="264">
        <v>0</v>
      </c>
      <c r="I122" s="264">
        <v>0</v>
      </c>
      <c r="J122" s="264">
        <v>0</v>
      </c>
      <c r="K122" s="264">
        <v>0</v>
      </c>
      <c r="L122" s="264">
        <v>0</v>
      </c>
      <c r="M122" s="264">
        <v>0</v>
      </c>
      <c r="N122" s="18"/>
    </row>
    <row r="123" spans="1:15" s="81" customFormat="1" ht="15.75" x14ac:dyDescent="0.25">
      <c r="A123" s="280" t="s">
        <v>223</v>
      </c>
      <c r="B123" s="288">
        <f>SUM(B121:B122)</f>
        <v>5932879</v>
      </c>
      <c r="C123" s="288">
        <f t="shared" ref="C123:M123" si="60">SUM(C121:C122)</f>
        <v>5932879</v>
      </c>
      <c r="D123" s="288">
        <f t="shared" si="60"/>
        <v>5932879</v>
      </c>
      <c r="E123" s="288">
        <f t="shared" si="60"/>
        <v>5932879</v>
      </c>
      <c r="F123" s="288">
        <f t="shared" si="60"/>
        <v>5932879</v>
      </c>
      <c r="G123" s="288">
        <f t="shared" si="60"/>
        <v>5732703</v>
      </c>
      <c r="H123" s="288">
        <f t="shared" si="60"/>
        <v>5732703</v>
      </c>
      <c r="I123" s="288">
        <f t="shared" si="60"/>
        <v>5732703</v>
      </c>
      <c r="J123" s="288">
        <f t="shared" si="60"/>
        <v>5732703</v>
      </c>
      <c r="K123" s="288">
        <f t="shared" si="60"/>
        <v>5732703</v>
      </c>
      <c r="L123" s="288">
        <f t="shared" si="60"/>
        <v>5844083</v>
      </c>
      <c r="M123" s="288">
        <f t="shared" si="60"/>
        <v>5844083</v>
      </c>
      <c r="N123" s="18"/>
    </row>
    <row r="124" spans="1:15" s="81" customFormat="1" ht="15.75" x14ac:dyDescent="0.25">
      <c r="A124" s="268" t="s">
        <v>286</v>
      </c>
      <c r="B124" s="289">
        <v>0</v>
      </c>
      <c r="C124" s="289">
        <v>0</v>
      </c>
      <c r="D124" s="289">
        <v>0</v>
      </c>
      <c r="E124" s="289">
        <v>0</v>
      </c>
      <c r="F124" s="289">
        <v>0</v>
      </c>
      <c r="G124" s="289">
        <v>0</v>
      </c>
      <c r="H124" s="289">
        <v>0</v>
      </c>
      <c r="I124" s="289">
        <v>0</v>
      </c>
      <c r="J124" s="289">
        <v>0</v>
      </c>
      <c r="K124" s="289">
        <v>0</v>
      </c>
      <c r="L124" s="289">
        <v>11650500</v>
      </c>
      <c r="M124" s="289">
        <v>11650500</v>
      </c>
      <c r="N124" s="18"/>
    </row>
    <row r="125" spans="1:15" s="81" customFormat="1" ht="15.75" x14ac:dyDescent="0.25">
      <c r="A125" s="268" t="s">
        <v>224</v>
      </c>
      <c r="B125" s="249">
        <v>6078523</v>
      </c>
      <c r="C125" s="249">
        <v>6078523</v>
      </c>
      <c r="D125" s="249">
        <v>6078523</v>
      </c>
      <c r="E125" s="249">
        <v>6078523</v>
      </c>
      <c r="F125" s="249">
        <v>6078523</v>
      </c>
      <c r="G125" s="249">
        <v>6078523</v>
      </c>
      <c r="H125" s="249">
        <v>6078523</v>
      </c>
      <c r="I125" s="249">
        <v>6078523</v>
      </c>
      <c r="J125" s="249">
        <v>6078523</v>
      </c>
      <c r="K125" s="249">
        <v>6078523</v>
      </c>
      <c r="L125" s="249">
        <v>0</v>
      </c>
      <c r="M125" s="249">
        <v>0</v>
      </c>
      <c r="N125" s="18"/>
    </row>
    <row r="126" spans="1:15" s="81" customFormat="1" ht="15.75" x14ac:dyDescent="0.25">
      <c r="A126" s="268" t="s">
        <v>227</v>
      </c>
      <c r="B126" s="262">
        <v>0</v>
      </c>
      <c r="C126" s="262">
        <v>0</v>
      </c>
      <c r="D126" s="262">
        <v>0</v>
      </c>
      <c r="E126" s="262">
        <v>0</v>
      </c>
      <c r="F126" s="262">
        <v>0</v>
      </c>
      <c r="G126" s="262">
        <v>0</v>
      </c>
      <c r="H126" s="262">
        <v>0</v>
      </c>
      <c r="I126" s="262">
        <v>0</v>
      </c>
      <c r="J126" s="262">
        <v>0</v>
      </c>
      <c r="K126" s="262">
        <v>0</v>
      </c>
      <c r="L126" s="262">
        <v>0</v>
      </c>
      <c r="M126" s="262">
        <v>0</v>
      </c>
      <c r="N126" s="18"/>
    </row>
    <row r="127" spans="1:15" s="81" customFormat="1" ht="15.75" x14ac:dyDescent="0.25">
      <c r="A127" s="268" t="s">
        <v>237</v>
      </c>
      <c r="B127" s="262">
        <v>813746</v>
      </c>
      <c r="C127" s="262">
        <v>813746</v>
      </c>
      <c r="D127" s="262">
        <v>813746</v>
      </c>
      <c r="E127" s="262">
        <v>813746</v>
      </c>
      <c r="F127" s="262">
        <v>813746</v>
      </c>
      <c r="G127" s="262">
        <v>813746</v>
      </c>
      <c r="H127" s="262">
        <v>813746</v>
      </c>
      <c r="I127" s="262">
        <v>813746</v>
      </c>
      <c r="J127" s="262">
        <v>813746</v>
      </c>
      <c r="K127" s="262">
        <v>813746</v>
      </c>
      <c r="L127" s="262">
        <v>0</v>
      </c>
      <c r="M127" s="262">
        <v>0</v>
      </c>
      <c r="N127" s="18"/>
    </row>
    <row r="128" spans="1:15" s="81" customFormat="1" ht="15.75" x14ac:dyDescent="0.25">
      <c r="A128" s="268" t="s">
        <v>238</v>
      </c>
      <c r="B128" s="262">
        <v>4231750</v>
      </c>
      <c r="C128" s="262">
        <v>4231750</v>
      </c>
      <c r="D128" s="262">
        <v>4231750</v>
      </c>
      <c r="E128" s="262">
        <v>4231750</v>
      </c>
      <c r="F128" s="262">
        <v>4231750</v>
      </c>
      <c r="G128" s="262">
        <v>4231750</v>
      </c>
      <c r="H128" s="262">
        <v>4231750</v>
      </c>
      <c r="I128" s="262">
        <v>4231750</v>
      </c>
      <c r="J128" s="262">
        <v>4231750</v>
      </c>
      <c r="K128" s="262">
        <v>4231750</v>
      </c>
      <c r="L128" s="262">
        <v>0</v>
      </c>
      <c r="M128" s="262">
        <v>0</v>
      </c>
      <c r="N128" s="18"/>
    </row>
    <row r="129" spans="1:14" s="81" customFormat="1" ht="15.75" x14ac:dyDescent="0.25">
      <c r="A129" s="280" t="s">
        <v>224</v>
      </c>
      <c r="B129" s="287">
        <f t="shared" ref="B129:L129" si="61">SUM(B124:B128)</f>
        <v>11124019</v>
      </c>
      <c r="C129" s="287">
        <f t="shared" si="61"/>
        <v>11124019</v>
      </c>
      <c r="D129" s="287">
        <f t="shared" si="61"/>
        <v>11124019</v>
      </c>
      <c r="E129" s="287">
        <f t="shared" si="61"/>
        <v>11124019</v>
      </c>
      <c r="F129" s="287">
        <f t="shared" si="61"/>
        <v>11124019</v>
      </c>
      <c r="G129" s="287">
        <f t="shared" si="61"/>
        <v>11124019</v>
      </c>
      <c r="H129" s="287">
        <f t="shared" si="61"/>
        <v>11124019</v>
      </c>
      <c r="I129" s="287">
        <f t="shared" si="61"/>
        <v>11124019</v>
      </c>
      <c r="J129" s="287">
        <f t="shared" si="61"/>
        <v>11124019</v>
      </c>
      <c r="K129" s="287">
        <f t="shared" si="61"/>
        <v>11124019</v>
      </c>
      <c r="L129" s="287">
        <f t="shared" si="61"/>
        <v>11650500</v>
      </c>
      <c r="M129" s="287">
        <f>SUM(M124:M128)</f>
        <v>11650500</v>
      </c>
      <c r="N129" s="18"/>
    </row>
    <row r="130" spans="1:14" s="81" customFormat="1" ht="15.75" x14ac:dyDescent="0.25">
      <c r="A130" s="268" t="s">
        <v>287</v>
      </c>
      <c r="B130" s="262">
        <v>2575549</v>
      </c>
      <c r="C130" s="262">
        <v>2575549</v>
      </c>
      <c r="D130" s="262">
        <v>2575549</v>
      </c>
      <c r="E130" s="262">
        <v>2575549</v>
      </c>
      <c r="F130" s="262">
        <v>2575549</v>
      </c>
      <c r="G130" s="262">
        <v>2575549</v>
      </c>
      <c r="H130" s="262">
        <v>2575549</v>
      </c>
      <c r="I130" s="262">
        <v>2575549</v>
      </c>
      <c r="J130" s="262">
        <v>2575549</v>
      </c>
      <c r="K130" s="262">
        <v>2575549</v>
      </c>
      <c r="L130" s="262">
        <v>2482701</v>
      </c>
      <c r="M130" s="262">
        <v>2482701</v>
      </c>
      <c r="N130" s="18"/>
    </row>
    <row r="131" spans="1:14" s="81" customFormat="1" ht="15.75" x14ac:dyDescent="0.25">
      <c r="A131" s="268" t="s">
        <v>228</v>
      </c>
      <c r="B131" s="262">
        <v>568750</v>
      </c>
      <c r="C131" s="262">
        <v>568750</v>
      </c>
      <c r="D131" s="262">
        <v>568750</v>
      </c>
      <c r="E131" s="262">
        <v>568750</v>
      </c>
      <c r="F131" s="262">
        <v>568750</v>
      </c>
      <c r="G131" s="262">
        <v>565083</v>
      </c>
      <c r="H131" s="262">
        <v>565083</v>
      </c>
      <c r="I131" s="262">
        <v>565083</v>
      </c>
      <c r="J131" s="262">
        <v>565083</v>
      </c>
      <c r="K131" s="262">
        <v>565083</v>
      </c>
      <c r="L131" s="262">
        <v>565083</v>
      </c>
      <c r="M131" s="262">
        <v>565083</v>
      </c>
      <c r="N131" s="18"/>
    </row>
    <row r="132" spans="1:14" s="81" customFormat="1" ht="15.75" x14ac:dyDescent="0.25">
      <c r="A132" s="290" t="s">
        <v>225</v>
      </c>
      <c r="B132" s="291">
        <f t="shared" ref="B132:L132" si="62">SUM(B130:B131)</f>
        <v>3144299</v>
      </c>
      <c r="C132" s="291">
        <f t="shared" si="62"/>
        <v>3144299</v>
      </c>
      <c r="D132" s="291">
        <f t="shared" si="62"/>
        <v>3144299</v>
      </c>
      <c r="E132" s="291">
        <f t="shared" si="62"/>
        <v>3144299</v>
      </c>
      <c r="F132" s="291">
        <f t="shared" si="62"/>
        <v>3144299</v>
      </c>
      <c r="G132" s="291">
        <f t="shared" si="62"/>
        <v>3140632</v>
      </c>
      <c r="H132" s="291">
        <f t="shared" si="62"/>
        <v>3140632</v>
      </c>
      <c r="I132" s="291">
        <f t="shared" si="62"/>
        <v>3140632</v>
      </c>
      <c r="J132" s="291">
        <f t="shared" si="62"/>
        <v>3140632</v>
      </c>
      <c r="K132" s="291">
        <f t="shared" si="62"/>
        <v>3140632</v>
      </c>
      <c r="L132" s="291">
        <f t="shared" si="62"/>
        <v>3047784</v>
      </c>
      <c r="M132" s="291">
        <f>SUM(M130:M131)</f>
        <v>3047784</v>
      </c>
      <c r="N132" s="18"/>
    </row>
    <row r="133" spans="1:14" s="81" customFormat="1" ht="15.75" x14ac:dyDescent="0.25">
      <c r="A133" s="268" t="s">
        <v>226</v>
      </c>
      <c r="B133" s="262">
        <v>3481183</v>
      </c>
      <c r="C133" s="262">
        <v>3481183</v>
      </c>
      <c r="D133" s="262">
        <v>3481183</v>
      </c>
      <c r="E133" s="262">
        <v>3481183</v>
      </c>
      <c r="F133" s="262">
        <v>3481183</v>
      </c>
      <c r="G133" s="262">
        <v>3481183</v>
      </c>
      <c r="H133" s="262">
        <v>3481183</v>
      </c>
      <c r="I133" s="262">
        <v>3481183</v>
      </c>
      <c r="J133" s="262">
        <v>3481183</v>
      </c>
      <c r="K133" s="262">
        <v>3481183</v>
      </c>
      <c r="L133" s="262">
        <v>3563667</v>
      </c>
      <c r="M133" s="262">
        <v>3563667</v>
      </c>
      <c r="N133" s="18"/>
    </row>
    <row r="134" spans="1:14" s="81" customFormat="1" ht="15.75" x14ac:dyDescent="0.25">
      <c r="A134" s="268" t="s">
        <v>239</v>
      </c>
      <c r="B134" s="232"/>
      <c r="C134" s="232"/>
      <c r="D134" s="232"/>
      <c r="E134" s="232"/>
      <c r="F134" s="232"/>
      <c r="G134" s="232"/>
      <c r="H134" s="232"/>
      <c r="I134" s="232"/>
      <c r="J134" s="232"/>
      <c r="K134" s="232"/>
      <c r="L134" s="232"/>
      <c r="M134" s="262">
        <v>0</v>
      </c>
      <c r="N134" s="18"/>
    </row>
    <row r="135" spans="1:14" s="81" customFormat="1" ht="15.75" x14ac:dyDescent="0.25">
      <c r="A135" s="268" t="s">
        <v>240</v>
      </c>
      <c r="B135" s="232"/>
      <c r="C135" s="232"/>
      <c r="D135" s="232"/>
      <c r="E135" s="232"/>
      <c r="F135" s="232"/>
      <c r="G135" s="232"/>
      <c r="H135" s="232"/>
      <c r="I135" s="232"/>
      <c r="J135" s="232"/>
      <c r="K135" s="232"/>
      <c r="L135" s="232"/>
      <c r="M135" s="262">
        <v>0</v>
      </c>
      <c r="N135" s="18"/>
    </row>
    <row r="136" spans="1:14" s="81" customFormat="1" ht="15.75" x14ac:dyDescent="0.25">
      <c r="A136" s="268" t="s">
        <v>241</v>
      </c>
      <c r="B136" s="232"/>
      <c r="C136" s="232"/>
      <c r="D136" s="232"/>
      <c r="E136" s="232"/>
      <c r="F136" s="232"/>
      <c r="G136" s="232"/>
      <c r="H136" s="232"/>
      <c r="I136" s="232"/>
      <c r="J136" s="232"/>
      <c r="K136" s="232"/>
      <c r="L136" s="232"/>
      <c r="M136" s="262">
        <v>0</v>
      </c>
      <c r="N136" s="18"/>
    </row>
    <row r="137" spans="1:14" ht="15.75" x14ac:dyDescent="0.25">
      <c r="A137" s="268" t="s">
        <v>242</v>
      </c>
      <c r="B137" s="232"/>
      <c r="C137" s="232"/>
      <c r="D137" s="232"/>
      <c r="E137" s="232"/>
      <c r="F137" s="232"/>
      <c r="G137" s="232"/>
      <c r="H137" s="232"/>
      <c r="I137" s="232"/>
      <c r="J137" s="232"/>
      <c r="K137" s="232"/>
      <c r="L137" s="232"/>
      <c r="M137" s="262">
        <v>0</v>
      </c>
      <c r="N137" s="18"/>
    </row>
    <row r="138" spans="1:14" ht="15.75" x14ac:dyDescent="0.25">
      <c r="A138" s="280" t="s">
        <v>226</v>
      </c>
      <c r="B138" s="287">
        <f t="shared" ref="B138:L138" si="63">SUM(B133:B137)</f>
        <v>3481183</v>
      </c>
      <c r="C138" s="287">
        <f t="shared" si="63"/>
        <v>3481183</v>
      </c>
      <c r="D138" s="287">
        <f t="shared" si="63"/>
        <v>3481183</v>
      </c>
      <c r="E138" s="287">
        <f t="shared" si="63"/>
        <v>3481183</v>
      </c>
      <c r="F138" s="287">
        <f t="shared" si="63"/>
        <v>3481183</v>
      </c>
      <c r="G138" s="287">
        <f t="shared" si="63"/>
        <v>3481183</v>
      </c>
      <c r="H138" s="287">
        <f t="shared" si="63"/>
        <v>3481183</v>
      </c>
      <c r="I138" s="287">
        <f t="shared" si="63"/>
        <v>3481183</v>
      </c>
      <c r="J138" s="287">
        <f t="shared" si="63"/>
        <v>3481183</v>
      </c>
      <c r="K138" s="287">
        <f t="shared" si="63"/>
        <v>3481183</v>
      </c>
      <c r="L138" s="287">
        <f t="shared" si="63"/>
        <v>3563667</v>
      </c>
      <c r="M138" s="287">
        <f>SUM(M133:M137)</f>
        <v>3563667</v>
      </c>
      <c r="N138" s="18"/>
    </row>
    <row r="139" spans="1:14" ht="15.75" x14ac:dyDescent="0.25">
      <c r="A139" s="268" t="s">
        <v>254</v>
      </c>
      <c r="B139" s="249">
        <v>1736525</v>
      </c>
      <c r="C139" s="249">
        <v>1736525</v>
      </c>
      <c r="D139" s="249">
        <v>1736525</v>
      </c>
      <c r="E139" s="249">
        <v>1736525</v>
      </c>
      <c r="F139" s="249">
        <v>1736525</v>
      </c>
      <c r="G139" s="249">
        <v>1670417</v>
      </c>
      <c r="H139" s="249">
        <v>1670417</v>
      </c>
      <c r="I139" s="249">
        <v>1670417</v>
      </c>
      <c r="J139" s="249">
        <v>1670417</v>
      </c>
      <c r="K139" s="249">
        <v>1670417</v>
      </c>
      <c r="L139" s="249">
        <v>1670417</v>
      </c>
      <c r="M139" s="249">
        <v>1670417</v>
      </c>
      <c r="N139"/>
    </row>
    <row r="140" spans="1:14" ht="15.75" x14ac:dyDescent="0.25">
      <c r="A140" s="268" t="s">
        <v>255</v>
      </c>
      <c r="B140" s="232"/>
      <c r="C140" s="232"/>
      <c r="D140" s="232"/>
      <c r="E140" s="232"/>
      <c r="F140" s="232"/>
      <c r="G140" s="232"/>
      <c r="H140" s="232"/>
      <c r="I140" s="232"/>
      <c r="J140" s="232"/>
      <c r="K140" s="232"/>
      <c r="L140" s="232"/>
      <c r="M140" s="262">
        <v>0</v>
      </c>
      <c r="N140"/>
    </row>
    <row r="141" spans="1:14" ht="15.75" x14ac:dyDescent="0.25">
      <c r="A141" s="292" t="s">
        <v>254</v>
      </c>
      <c r="B141" s="291">
        <f t="shared" ref="B141:L141" si="64">SUM(B139:B140)</f>
        <v>1736525</v>
      </c>
      <c r="C141" s="291">
        <f t="shared" si="64"/>
        <v>1736525</v>
      </c>
      <c r="D141" s="291">
        <f t="shared" si="64"/>
        <v>1736525</v>
      </c>
      <c r="E141" s="291">
        <f t="shared" si="64"/>
        <v>1736525</v>
      </c>
      <c r="F141" s="291">
        <f t="shared" si="64"/>
        <v>1736525</v>
      </c>
      <c r="G141" s="291">
        <f t="shared" si="64"/>
        <v>1670417</v>
      </c>
      <c r="H141" s="291">
        <f t="shared" si="64"/>
        <v>1670417</v>
      </c>
      <c r="I141" s="291">
        <f t="shared" si="64"/>
        <v>1670417</v>
      </c>
      <c r="J141" s="291">
        <f t="shared" si="64"/>
        <v>1670417</v>
      </c>
      <c r="K141" s="291">
        <f t="shared" si="64"/>
        <v>1670417</v>
      </c>
      <c r="L141" s="291">
        <f t="shared" si="64"/>
        <v>1670417</v>
      </c>
      <c r="M141" s="291">
        <f>SUM(M139:M140)</f>
        <v>1670417</v>
      </c>
      <c r="N141"/>
    </row>
  </sheetData>
  <pageMargins left="0.2" right="0.2" top="0.75" bottom="0.75" header="0.3" footer="0.3"/>
  <pageSetup scale="57" orientation="landscape" r:id="rId1"/>
  <headerFooter>
    <oddFooter>&amp;R&amp;Z&amp;F</oddFooter>
  </headerFooter>
  <rowBreaks count="2" manualBreakCount="2">
    <brk id="34" max="16383" man="1"/>
    <brk id="8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1"/>
  <sheetViews>
    <sheetView zoomScale="90" zoomScaleNormal="90" workbookViewId="0">
      <selection activeCell="A4" sqref="A4:A37"/>
    </sheetView>
  </sheetViews>
  <sheetFormatPr defaultColWidth="9.140625" defaultRowHeight="15" x14ac:dyDescent="0.25"/>
  <cols>
    <col min="1" max="1" width="35.7109375" style="79" customWidth="1"/>
    <col min="2" max="2" width="20.42578125" style="79" customWidth="1"/>
    <col min="3" max="3" width="20.5703125" style="79" customWidth="1"/>
    <col min="4" max="4" width="10.5703125" style="79" bestFit="1" customWidth="1"/>
    <col min="5" max="5" width="9.140625" style="79"/>
    <col min="6" max="6" width="11.28515625" style="79" bestFit="1" customWidth="1"/>
    <col min="7" max="7" width="9.140625" style="79"/>
    <col min="8" max="8" width="9.140625" style="79" customWidth="1"/>
    <col min="9" max="16384" width="9.140625" style="79"/>
  </cols>
  <sheetData>
    <row r="1" spans="1:4" ht="15.75" x14ac:dyDescent="0.25">
      <c r="A1" s="238" t="s">
        <v>288</v>
      </c>
      <c r="B1" s="240"/>
      <c r="C1"/>
      <c r="D1"/>
    </row>
    <row r="2" spans="1:4" ht="63.75" x14ac:dyDescent="0.25">
      <c r="A2" s="411" t="s">
        <v>256</v>
      </c>
      <c r="B2" s="411"/>
      <c r="C2" s="293" t="s">
        <v>257</v>
      </c>
      <c r="D2"/>
    </row>
    <row r="3" spans="1:4" ht="16.5" thickBot="1" x14ac:dyDescent="0.3">
      <c r="A3" s="294" t="s">
        <v>248</v>
      </c>
      <c r="B3" s="295" t="s">
        <v>258</v>
      </c>
      <c r="C3"/>
      <c r="D3"/>
    </row>
    <row r="4" spans="1:4" ht="16.5" thickTop="1" x14ac:dyDescent="0.25">
      <c r="A4" s="233" t="s">
        <v>24</v>
      </c>
      <c r="B4" s="285">
        <f t="shared" ref="B4" si="0">+B75</f>
        <v>2850083</v>
      </c>
      <c r="C4"/>
      <c r="D4"/>
    </row>
    <row r="5" spans="1:4" ht="15.75" x14ac:dyDescent="0.25">
      <c r="A5" s="233" t="s">
        <v>30</v>
      </c>
      <c r="B5" s="296">
        <v>9677000</v>
      </c>
      <c r="C5"/>
      <c r="D5"/>
    </row>
    <row r="6" spans="1:4" ht="15.75" x14ac:dyDescent="0.25">
      <c r="A6" s="233" t="s">
        <v>26</v>
      </c>
      <c r="B6" s="274">
        <f>+B112</f>
        <v>6922407</v>
      </c>
      <c r="C6"/>
      <c r="D6"/>
    </row>
    <row r="7" spans="1:4" ht="15.75" x14ac:dyDescent="0.25">
      <c r="A7" s="229" t="s">
        <v>27</v>
      </c>
      <c r="B7" s="297">
        <v>6518000</v>
      </c>
      <c r="C7"/>
      <c r="D7"/>
    </row>
    <row r="8" spans="1:4" ht="15.75" x14ac:dyDescent="0.25">
      <c r="A8" s="229" t="s">
        <v>195</v>
      </c>
      <c r="B8" s="297">
        <v>1</v>
      </c>
      <c r="C8"/>
      <c r="D8"/>
    </row>
    <row r="9" spans="1:4" ht="15.75" x14ac:dyDescent="0.25">
      <c r="A9" s="229" t="s">
        <v>207</v>
      </c>
      <c r="B9" s="297">
        <v>1</v>
      </c>
      <c r="C9"/>
      <c r="D9" s="298"/>
    </row>
    <row r="10" spans="1:4" ht="15.75" x14ac:dyDescent="0.25">
      <c r="A10" s="229" t="s">
        <v>210</v>
      </c>
      <c r="B10" s="285">
        <f>B47</f>
        <v>6174646</v>
      </c>
      <c r="C10"/>
      <c r="D10"/>
    </row>
    <row r="11" spans="1:4" ht="15.75" x14ac:dyDescent="0.25">
      <c r="A11" s="229" t="s">
        <v>25</v>
      </c>
      <c r="B11" s="297">
        <v>267083</v>
      </c>
      <c r="C11"/>
      <c r="D11"/>
    </row>
    <row r="12" spans="1:4" ht="15.75" x14ac:dyDescent="0.25">
      <c r="A12" s="229" t="s">
        <v>28</v>
      </c>
      <c r="B12" s="297">
        <v>315000</v>
      </c>
      <c r="C12"/>
      <c r="D12"/>
    </row>
    <row r="13" spans="1:4" ht="15.75" x14ac:dyDescent="0.25">
      <c r="A13" s="233" t="s">
        <v>34</v>
      </c>
      <c r="B13" s="299">
        <f t="shared" ref="B13" si="1">+B67</f>
        <v>1015363</v>
      </c>
      <c r="C13"/>
      <c r="D13"/>
    </row>
    <row r="14" spans="1:4" ht="15.75" x14ac:dyDescent="0.25">
      <c r="A14" s="229" t="s">
        <v>19</v>
      </c>
      <c r="B14" s="297">
        <v>568945</v>
      </c>
      <c r="C14"/>
      <c r="D14"/>
    </row>
    <row r="15" spans="1:4" ht="15.75" x14ac:dyDescent="0.25">
      <c r="A15" s="233" t="s">
        <v>23</v>
      </c>
      <c r="B15" s="299">
        <f t="shared" ref="B15" si="2">+B60</f>
        <v>8194500</v>
      </c>
      <c r="C15"/>
      <c r="D15"/>
    </row>
    <row r="16" spans="1:4" ht="15.75" x14ac:dyDescent="0.25">
      <c r="A16" s="229" t="s">
        <v>20</v>
      </c>
      <c r="B16" s="297">
        <v>2322500</v>
      </c>
      <c r="C16"/>
      <c r="D16"/>
    </row>
    <row r="17" spans="1:4" ht="15.75" x14ac:dyDescent="0.25">
      <c r="A17" s="234" t="s">
        <v>208</v>
      </c>
      <c r="B17" s="281">
        <f>B120</f>
        <v>6588833</v>
      </c>
      <c r="C17"/>
      <c r="D17"/>
    </row>
    <row r="18" spans="1:4" ht="15.75" x14ac:dyDescent="0.25">
      <c r="A18" s="234" t="s">
        <v>209</v>
      </c>
      <c r="B18" s="281">
        <f>+B57</f>
        <v>7071214</v>
      </c>
      <c r="C18"/>
      <c r="D18"/>
    </row>
    <row r="19" spans="1:4" ht="15.75" x14ac:dyDescent="0.25">
      <c r="A19" s="233" t="s">
        <v>32</v>
      </c>
      <c r="B19" s="299">
        <f>B78</f>
        <v>1629144</v>
      </c>
      <c r="C19"/>
      <c r="D19"/>
    </row>
    <row r="20" spans="1:4" ht="15.75" x14ac:dyDescent="0.25">
      <c r="A20" s="233" t="s">
        <v>36</v>
      </c>
      <c r="B20" s="297">
        <v>511134</v>
      </c>
      <c r="C20"/>
      <c r="D20"/>
    </row>
    <row r="21" spans="1:4" ht="15.75" x14ac:dyDescent="0.25">
      <c r="A21" s="233" t="s">
        <v>31</v>
      </c>
      <c r="B21" s="299">
        <f t="shared" ref="B21" si="3">+B95</f>
        <v>7578836</v>
      </c>
      <c r="C21"/>
      <c r="D21"/>
    </row>
    <row r="22" spans="1:4" ht="15.75" x14ac:dyDescent="0.25">
      <c r="A22" s="233" t="s">
        <v>21</v>
      </c>
      <c r="B22" s="297">
        <v>2819667</v>
      </c>
      <c r="C22"/>
      <c r="D22"/>
    </row>
    <row r="23" spans="1:4" ht="15.75" x14ac:dyDescent="0.25">
      <c r="A23" s="233" t="s">
        <v>35</v>
      </c>
      <c r="B23" s="299">
        <f t="shared" ref="B23" si="4">+B84</f>
        <v>1283335</v>
      </c>
      <c r="C23"/>
      <c r="D23"/>
    </row>
    <row r="24" spans="1:4" ht="15.75" x14ac:dyDescent="0.25">
      <c r="A24" s="229" t="s">
        <v>29</v>
      </c>
      <c r="B24" s="297">
        <v>462000</v>
      </c>
      <c r="C24"/>
      <c r="D24"/>
    </row>
    <row r="25" spans="1:4" ht="15.75" x14ac:dyDescent="0.25">
      <c r="A25" s="233" t="s">
        <v>33</v>
      </c>
      <c r="B25" s="281">
        <f>+B116</f>
        <v>252256</v>
      </c>
      <c r="C25"/>
      <c r="D25"/>
    </row>
    <row r="26" spans="1:4" ht="15.75" x14ac:dyDescent="0.25">
      <c r="A26" s="233" t="s">
        <v>211</v>
      </c>
      <c r="B26" s="297">
        <v>987683</v>
      </c>
      <c r="C26"/>
      <c r="D26"/>
    </row>
    <row r="27" spans="1:4" ht="15.75" x14ac:dyDescent="0.25">
      <c r="A27" s="233" t="s">
        <v>91</v>
      </c>
      <c r="B27" s="274">
        <f>+B105</f>
        <v>4036359</v>
      </c>
      <c r="C27"/>
      <c r="D27"/>
    </row>
    <row r="28" spans="1:4" ht="15.75" x14ac:dyDescent="0.25">
      <c r="A28" s="229" t="s">
        <v>92</v>
      </c>
      <c r="B28" s="297">
        <v>121537</v>
      </c>
      <c r="C28"/>
      <c r="D28"/>
    </row>
    <row r="29" spans="1:4" ht="15.75" x14ac:dyDescent="0.25">
      <c r="A29" s="233" t="s">
        <v>93</v>
      </c>
      <c r="B29" s="281">
        <f>+B108</f>
        <v>819836</v>
      </c>
      <c r="C29"/>
      <c r="D29"/>
    </row>
    <row r="30" spans="1:4" ht="15.75" x14ac:dyDescent="0.25">
      <c r="A30" s="229" t="s">
        <v>94</v>
      </c>
      <c r="B30" s="297">
        <v>1403083</v>
      </c>
      <c r="C30"/>
      <c r="D30"/>
    </row>
    <row r="31" spans="1:4" ht="15.75" x14ac:dyDescent="0.25">
      <c r="A31" s="229" t="s">
        <v>223</v>
      </c>
      <c r="B31" s="281">
        <f>B126</f>
        <v>5580833</v>
      </c>
      <c r="C31"/>
      <c r="D31"/>
    </row>
    <row r="32" spans="1:4" ht="15.75" x14ac:dyDescent="0.25">
      <c r="A32" s="229" t="s">
        <v>224</v>
      </c>
      <c r="B32" s="281">
        <f>B131</f>
        <v>11630500</v>
      </c>
      <c r="C32"/>
      <c r="D32"/>
    </row>
    <row r="33" spans="1:6" ht="15.75" x14ac:dyDescent="0.25">
      <c r="A33" s="229" t="s">
        <v>225</v>
      </c>
      <c r="B33" s="281">
        <f>B134</f>
        <v>3049076</v>
      </c>
      <c r="C33"/>
      <c r="D33"/>
    </row>
    <row r="34" spans="1:6" ht="15.75" x14ac:dyDescent="0.25">
      <c r="A34" s="229" t="s">
        <v>226</v>
      </c>
      <c r="B34" s="281">
        <f>B140</f>
        <v>3556667</v>
      </c>
      <c r="C34"/>
      <c r="D34"/>
    </row>
    <row r="35" spans="1:6" ht="15.75" x14ac:dyDescent="0.25">
      <c r="A35" s="229" t="s">
        <v>227</v>
      </c>
      <c r="B35" s="281">
        <f>B143</f>
        <v>1662666</v>
      </c>
      <c r="C35"/>
      <c r="D35"/>
    </row>
    <row r="36" spans="1:6" ht="15.75" x14ac:dyDescent="0.25">
      <c r="A36" s="229" t="s">
        <v>228</v>
      </c>
      <c r="B36" s="296">
        <v>725500</v>
      </c>
      <c r="C36"/>
      <c r="D36"/>
    </row>
    <row r="37" spans="1:6" ht="15.75" x14ac:dyDescent="0.25">
      <c r="A37" s="229" t="s">
        <v>229</v>
      </c>
      <c r="B37" s="296">
        <v>382667</v>
      </c>
      <c r="C37"/>
      <c r="D37"/>
    </row>
    <row r="38" spans="1:6" ht="15.75" x14ac:dyDescent="0.25">
      <c r="A38" s="246"/>
      <c r="B38" s="297"/>
      <c r="C38"/>
      <c r="D38"/>
      <c r="F38" s="235"/>
    </row>
    <row r="39" spans="1:6" ht="16.5" thickBot="1" x14ac:dyDescent="0.3">
      <c r="A39" s="243" t="s">
        <v>249</v>
      </c>
      <c r="B39" s="300">
        <f>SUM(B4:B38)-B18-B8-B9</f>
        <v>99907139</v>
      </c>
      <c r="C39"/>
      <c r="D39"/>
    </row>
    <row r="40" spans="1:6" ht="16.5" thickTop="1" x14ac:dyDescent="0.25">
      <c r="A40" s="301"/>
      <c r="B40" s="247"/>
      <c r="C40"/>
      <c r="D40"/>
    </row>
    <row r="41" spans="1:6" ht="15.75" x14ac:dyDescent="0.25">
      <c r="A41" s="301"/>
      <c r="B41" s="247"/>
      <c r="C41"/>
      <c r="D41"/>
    </row>
    <row r="42" spans="1:6" ht="15.75" x14ac:dyDescent="0.25">
      <c r="A42" s="238" t="s">
        <v>250</v>
      </c>
      <c r="B42" s="238"/>
      <c r="C42" s="238"/>
      <c r="D42" s="238"/>
      <c r="E42" s="227"/>
    </row>
    <row r="43" spans="1:6" ht="16.5" thickBot="1" x14ac:dyDescent="0.3">
      <c r="A43" s="294" t="s">
        <v>259</v>
      </c>
      <c r="B43" s="295" t="s">
        <v>258</v>
      </c>
      <c r="C43" s="238"/>
      <c r="D43" s="238"/>
      <c r="E43" s="227"/>
    </row>
    <row r="44" spans="1:6" ht="16.5" thickTop="1" x14ac:dyDescent="0.25">
      <c r="A44" s="302" t="s">
        <v>90</v>
      </c>
      <c r="B44" s="297">
        <v>5212000</v>
      </c>
      <c r="C44"/>
      <c r="D44"/>
    </row>
    <row r="45" spans="1:6" ht="15.75" x14ac:dyDescent="0.25">
      <c r="A45" s="303" t="s">
        <v>96</v>
      </c>
      <c r="B45" s="297">
        <v>491583</v>
      </c>
      <c r="C45"/>
      <c r="D45"/>
    </row>
    <row r="46" spans="1:6" ht="15.75" x14ac:dyDescent="0.25">
      <c r="A46" s="303" t="s">
        <v>97</v>
      </c>
      <c r="B46" s="304">
        <v>471063</v>
      </c>
      <c r="C46"/>
      <c r="D46"/>
    </row>
    <row r="47" spans="1:6" ht="15.75" x14ac:dyDescent="0.25">
      <c r="A47" s="305" t="s">
        <v>98</v>
      </c>
      <c r="B47" s="306">
        <f t="shared" ref="B47" si="5">SUM(B44:B46)</f>
        <v>6174646</v>
      </c>
      <c r="C47"/>
      <c r="D47"/>
    </row>
    <row r="48" spans="1:6" ht="15.75" x14ac:dyDescent="0.25">
      <c r="A48" s="267" t="s">
        <v>22</v>
      </c>
      <c r="B48" s="296">
        <v>0</v>
      </c>
      <c r="C48"/>
      <c r="D48"/>
    </row>
    <row r="49" spans="1:6" ht="15.75" x14ac:dyDescent="0.25">
      <c r="A49" s="268" t="s">
        <v>99</v>
      </c>
      <c r="B49" s="307"/>
      <c r="C49"/>
      <c r="D49"/>
    </row>
    <row r="50" spans="1:6" ht="15.75" x14ac:dyDescent="0.25">
      <c r="A50" s="308" t="s">
        <v>260</v>
      </c>
      <c r="B50" s="306">
        <f>B120</f>
        <v>6588833</v>
      </c>
      <c r="C50"/>
      <c r="D50"/>
    </row>
    <row r="51" spans="1:6" ht="15.75" x14ac:dyDescent="0.25">
      <c r="A51" s="270" t="s">
        <v>101</v>
      </c>
      <c r="B51" s="299">
        <v>0</v>
      </c>
      <c r="C51"/>
      <c r="D51"/>
    </row>
    <row r="52" spans="1:6" ht="15.75" x14ac:dyDescent="0.25">
      <c r="A52" s="270" t="s">
        <v>102</v>
      </c>
      <c r="B52" s="299">
        <v>0</v>
      </c>
      <c r="C52"/>
      <c r="D52"/>
    </row>
    <row r="53" spans="1:6" ht="15.75" x14ac:dyDescent="0.25">
      <c r="A53" s="270" t="s">
        <v>103</v>
      </c>
      <c r="B53" s="299">
        <v>0</v>
      </c>
      <c r="C53"/>
      <c r="D53"/>
    </row>
    <row r="54" spans="1:6" ht="15.75" x14ac:dyDescent="0.25">
      <c r="A54" s="270" t="s">
        <v>104</v>
      </c>
      <c r="B54" s="299">
        <v>0</v>
      </c>
      <c r="C54"/>
      <c r="D54"/>
    </row>
    <row r="55" spans="1:6" ht="15.75" x14ac:dyDescent="0.25">
      <c r="A55" s="270" t="s">
        <v>105</v>
      </c>
      <c r="B55" s="299">
        <v>0</v>
      </c>
      <c r="C55"/>
      <c r="D55"/>
    </row>
    <row r="56" spans="1:6" ht="15.75" x14ac:dyDescent="0.25">
      <c r="A56" s="270" t="s">
        <v>106</v>
      </c>
      <c r="B56" s="299">
        <v>0</v>
      </c>
      <c r="C56"/>
      <c r="D56"/>
    </row>
    <row r="57" spans="1:6" ht="15.75" x14ac:dyDescent="0.25">
      <c r="A57" s="305" t="s">
        <v>261</v>
      </c>
      <c r="B57" s="309">
        <f>B123</f>
        <v>7071214</v>
      </c>
      <c r="C57"/>
      <c r="D57"/>
    </row>
    <row r="58" spans="1:6" ht="15.75" x14ac:dyDescent="0.25">
      <c r="A58" s="310" t="s">
        <v>108</v>
      </c>
      <c r="B58" s="296">
        <v>8194500</v>
      </c>
      <c r="C58"/>
      <c r="D58"/>
    </row>
    <row r="59" spans="1:6" ht="15.75" x14ac:dyDescent="0.25">
      <c r="A59" s="311" t="s">
        <v>101</v>
      </c>
      <c r="B59" s="312">
        <v>0</v>
      </c>
      <c r="C59"/>
      <c r="D59"/>
    </row>
    <row r="60" spans="1:6" ht="15.75" x14ac:dyDescent="0.25">
      <c r="A60" s="313" t="s">
        <v>262</v>
      </c>
      <c r="B60" s="309">
        <f t="shared" ref="B60" si="6">SUM(B58:B59)</f>
        <v>8194500</v>
      </c>
      <c r="C60"/>
      <c r="D60"/>
    </row>
    <row r="61" spans="1:6" ht="15.75" x14ac:dyDescent="0.25">
      <c r="A61" s="314" t="s">
        <v>109</v>
      </c>
      <c r="B61" s="296">
        <v>822746</v>
      </c>
      <c r="C61"/>
      <c r="D61"/>
      <c r="F61" s="235"/>
    </row>
    <row r="62" spans="1:6" ht="15.75" x14ac:dyDescent="0.25">
      <c r="A62" s="311" t="s">
        <v>33</v>
      </c>
      <c r="B62" s="297">
        <v>42300</v>
      </c>
      <c r="C62"/>
      <c r="D62"/>
    </row>
    <row r="63" spans="1:6" ht="15.75" x14ac:dyDescent="0.25">
      <c r="A63" s="311" t="s">
        <v>110</v>
      </c>
      <c r="B63" s="297">
        <v>0</v>
      </c>
      <c r="C63"/>
      <c r="D63"/>
    </row>
    <row r="64" spans="1:6" ht="15.75" x14ac:dyDescent="0.25">
      <c r="A64" s="311" t="s">
        <v>289</v>
      </c>
      <c r="B64" s="297">
        <v>39400</v>
      </c>
      <c r="C64"/>
      <c r="D64"/>
    </row>
    <row r="65" spans="1:4" ht="15.75" x14ac:dyDescent="0.25">
      <c r="A65" s="311" t="s">
        <v>196</v>
      </c>
      <c r="B65" s="297">
        <v>46417</v>
      </c>
      <c r="C65"/>
      <c r="D65"/>
    </row>
    <row r="66" spans="1:4" ht="15.75" x14ac:dyDescent="0.25">
      <c r="A66" s="314" t="s">
        <v>111</v>
      </c>
      <c r="B66" s="315">
        <v>64500</v>
      </c>
      <c r="C66"/>
      <c r="D66"/>
    </row>
    <row r="67" spans="1:4" ht="15.75" x14ac:dyDescent="0.25">
      <c r="A67" s="313" t="s">
        <v>263</v>
      </c>
      <c r="B67" s="309">
        <f>SUM(B61:B66)</f>
        <v>1015363</v>
      </c>
      <c r="C67"/>
      <c r="D67"/>
    </row>
    <row r="68" spans="1:4" ht="15.75" x14ac:dyDescent="0.25">
      <c r="A68" s="314" t="s">
        <v>112</v>
      </c>
      <c r="B68" s="316">
        <f>2850083-B69-B70-B71-B72-B73-B74</f>
        <v>2688862</v>
      </c>
      <c r="C68"/>
      <c r="D68"/>
    </row>
    <row r="69" spans="1:4" ht="15.75" x14ac:dyDescent="0.25">
      <c r="A69" s="311" t="s">
        <v>33</v>
      </c>
      <c r="B69" s="296">
        <v>28400</v>
      </c>
      <c r="C69"/>
      <c r="D69"/>
    </row>
    <row r="70" spans="1:4" ht="15.75" x14ac:dyDescent="0.25">
      <c r="A70" s="311" t="s">
        <v>113</v>
      </c>
      <c r="B70" s="297">
        <v>5353</v>
      </c>
      <c r="C70"/>
      <c r="D70"/>
    </row>
    <row r="71" spans="1:4" ht="15.75" x14ac:dyDescent="0.25">
      <c r="A71" s="317" t="s">
        <v>114</v>
      </c>
      <c r="B71" s="297">
        <v>3244</v>
      </c>
      <c r="C71"/>
      <c r="D71"/>
    </row>
    <row r="72" spans="1:4" ht="15.75" x14ac:dyDescent="0.25">
      <c r="A72" s="311" t="s">
        <v>115</v>
      </c>
      <c r="B72" s="297">
        <v>10319</v>
      </c>
      <c r="C72"/>
      <c r="D72"/>
    </row>
    <row r="73" spans="1:4" ht="15.75" x14ac:dyDescent="0.25">
      <c r="A73" s="314" t="s">
        <v>34</v>
      </c>
      <c r="B73" s="318">
        <v>113905</v>
      </c>
      <c r="C73"/>
      <c r="D73"/>
    </row>
    <row r="74" spans="1:4" ht="15.75" x14ac:dyDescent="0.25">
      <c r="A74" s="268" t="s">
        <v>230</v>
      </c>
      <c r="B74" s="315">
        <v>0</v>
      </c>
      <c r="C74"/>
      <c r="D74"/>
    </row>
    <row r="75" spans="1:4" ht="15.75" x14ac:dyDescent="0.25">
      <c r="A75" s="313" t="s">
        <v>264</v>
      </c>
      <c r="B75" s="309">
        <f>SUM(B68:B74)</f>
        <v>2850083</v>
      </c>
      <c r="C75"/>
      <c r="D75"/>
    </row>
    <row r="76" spans="1:4" ht="15.75" x14ac:dyDescent="0.25">
      <c r="A76" s="319" t="s">
        <v>116</v>
      </c>
      <c r="B76" s="297">
        <v>1445000</v>
      </c>
      <c r="C76"/>
      <c r="D76"/>
    </row>
    <row r="77" spans="1:4" ht="15.75" x14ac:dyDescent="0.25">
      <c r="A77" s="320" t="s">
        <v>34</v>
      </c>
      <c r="B77" s="315">
        <v>184144</v>
      </c>
      <c r="C77"/>
      <c r="D77"/>
    </row>
    <row r="78" spans="1:4" ht="15.75" x14ac:dyDescent="0.25">
      <c r="A78" s="313" t="s">
        <v>265</v>
      </c>
      <c r="B78" s="309">
        <f t="shared" ref="B78" si="7">SUM(B76:B77)</f>
        <v>1629144</v>
      </c>
      <c r="C78"/>
      <c r="D78"/>
    </row>
    <row r="79" spans="1:4" ht="15.75" x14ac:dyDescent="0.25">
      <c r="A79" s="321" t="s">
        <v>117</v>
      </c>
      <c r="B79" s="297">
        <f>730451+310500</f>
        <v>1040951</v>
      </c>
      <c r="C79"/>
      <c r="D79"/>
    </row>
    <row r="80" spans="1:4" ht="15.75" x14ac:dyDescent="0.25">
      <c r="A80" s="322" t="s">
        <v>118</v>
      </c>
      <c r="B80" s="297">
        <v>106486</v>
      </c>
      <c r="C80"/>
      <c r="D80"/>
    </row>
    <row r="81" spans="1:4" ht="15.75" x14ac:dyDescent="0.25">
      <c r="A81" s="278" t="s">
        <v>231</v>
      </c>
      <c r="B81" s="296">
        <v>0</v>
      </c>
      <c r="C81"/>
      <c r="D81"/>
    </row>
    <row r="82" spans="1:4" ht="15.75" x14ac:dyDescent="0.25">
      <c r="A82" s="268" t="s">
        <v>232</v>
      </c>
      <c r="B82" s="296">
        <v>0</v>
      </c>
      <c r="C82"/>
      <c r="D82"/>
    </row>
    <row r="83" spans="1:4" ht="15.75" x14ac:dyDescent="0.25">
      <c r="A83" s="322" t="s">
        <v>34</v>
      </c>
      <c r="B83" s="318">
        <v>135898</v>
      </c>
      <c r="C83"/>
      <c r="D83"/>
    </row>
    <row r="84" spans="1:4" ht="15.75" x14ac:dyDescent="0.25">
      <c r="A84" s="313" t="s">
        <v>266</v>
      </c>
      <c r="B84" s="309">
        <f>SUM(B79:B83)</f>
        <v>1283335</v>
      </c>
      <c r="C84"/>
      <c r="D84"/>
    </row>
    <row r="85" spans="1:4" ht="15.75" x14ac:dyDescent="0.25">
      <c r="A85" s="323" t="s">
        <v>111</v>
      </c>
      <c r="B85" s="316">
        <f>7052250-64500-6660-8928-9285-12261-310500</f>
        <v>6640116</v>
      </c>
      <c r="C85"/>
      <c r="D85" s="324"/>
    </row>
    <row r="86" spans="1:4" ht="15.75" x14ac:dyDescent="0.25">
      <c r="A86" s="317" t="s">
        <v>33</v>
      </c>
      <c r="B86" s="296">
        <v>126200</v>
      </c>
      <c r="C86"/>
      <c r="D86"/>
    </row>
    <row r="87" spans="1:4" ht="15.75" x14ac:dyDescent="0.25">
      <c r="A87" s="317" t="s">
        <v>119</v>
      </c>
      <c r="B87" s="297">
        <v>6660</v>
      </c>
      <c r="C87"/>
      <c r="D87"/>
    </row>
    <row r="88" spans="1:4" ht="15.75" x14ac:dyDescent="0.25">
      <c r="A88" s="325" t="s">
        <v>233</v>
      </c>
      <c r="B88" s="297">
        <v>0</v>
      </c>
      <c r="C88"/>
      <c r="D88"/>
    </row>
    <row r="89" spans="1:4" ht="15.75" x14ac:dyDescent="0.25">
      <c r="A89" s="317" t="s">
        <v>120</v>
      </c>
      <c r="B89" s="297">
        <v>8928</v>
      </c>
      <c r="C89"/>
      <c r="D89"/>
    </row>
    <row r="90" spans="1:4" ht="15.75" x14ac:dyDescent="0.25">
      <c r="A90" s="317" t="s">
        <v>121</v>
      </c>
      <c r="B90" s="297">
        <v>9285</v>
      </c>
      <c r="C90"/>
      <c r="D90"/>
    </row>
    <row r="91" spans="1:4" ht="15.75" x14ac:dyDescent="0.25">
      <c r="A91" s="317" t="s">
        <v>251</v>
      </c>
      <c r="B91" s="297">
        <v>12261</v>
      </c>
      <c r="C91"/>
      <c r="D91"/>
    </row>
    <row r="92" spans="1:4" ht="15.75" x14ac:dyDescent="0.25">
      <c r="A92" s="322" t="s">
        <v>285</v>
      </c>
      <c r="B92" s="326">
        <v>77864</v>
      </c>
      <c r="C92"/>
      <c r="D92"/>
    </row>
    <row r="93" spans="1:4" ht="15.75" x14ac:dyDescent="0.25">
      <c r="A93" s="278" t="s">
        <v>234</v>
      </c>
      <c r="B93" s="318">
        <v>0</v>
      </c>
      <c r="C93"/>
      <c r="D93"/>
    </row>
    <row r="94" spans="1:4" ht="15.75" x14ac:dyDescent="0.25">
      <c r="A94" s="322" t="s">
        <v>34</v>
      </c>
      <c r="B94" s="304">
        <v>697522</v>
      </c>
      <c r="C94"/>
      <c r="D94"/>
    </row>
    <row r="95" spans="1:4" ht="15.75" x14ac:dyDescent="0.25">
      <c r="A95" s="313" t="s">
        <v>267</v>
      </c>
      <c r="B95" s="309">
        <f>SUM(B85:B94)</f>
        <v>7578836</v>
      </c>
      <c r="C95"/>
      <c r="D95" s="324"/>
    </row>
    <row r="96" spans="1:4" ht="15.75" x14ac:dyDescent="0.25">
      <c r="A96" s="321" t="s">
        <v>91</v>
      </c>
      <c r="B96" s="327">
        <v>3785839</v>
      </c>
      <c r="C96"/>
      <c r="D96" s="324"/>
    </row>
    <row r="97" spans="1:4" ht="15.75" x14ac:dyDescent="0.25">
      <c r="A97" s="317" t="s">
        <v>122</v>
      </c>
      <c r="B97" s="327">
        <v>85295</v>
      </c>
      <c r="C97"/>
      <c r="D97" s="324"/>
    </row>
    <row r="98" spans="1:4" ht="15.75" x14ac:dyDescent="0.25">
      <c r="A98" s="278" t="s">
        <v>252</v>
      </c>
      <c r="B98" s="312">
        <v>102416</v>
      </c>
      <c r="C98"/>
      <c r="D98" s="324"/>
    </row>
    <row r="99" spans="1:4" ht="15.75" x14ac:dyDescent="0.25">
      <c r="A99" s="317" t="s">
        <v>123</v>
      </c>
      <c r="B99" s="327">
        <v>18683</v>
      </c>
      <c r="C99"/>
      <c r="D99" s="324"/>
    </row>
    <row r="100" spans="1:4" ht="15.75" x14ac:dyDescent="0.25">
      <c r="A100" s="317" t="s">
        <v>124</v>
      </c>
      <c r="B100" s="327">
        <v>0</v>
      </c>
      <c r="C100"/>
      <c r="D100" s="324"/>
    </row>
    <row r="101" spans="1:4" ht="15.75" x14ac:dyDescent="0.25">
      <c r="A101" s="317" t="s">
        <v>125</v>
      </c>
      <c r="B101" s="327">
        <v>7236</v>
      </c>
      <c r="C101"/>
      <c r="D101" s="324"/>
    </row>
    <row r="102" spans="1:4" ht="15.75" x14ac:dyDescent="0.25">
      <c r="A102" s="317" t="s">
        <v>126</v>
      </c>
      <c r="B102" s="327">
        <v>32291</v>
      </c>
      <c r="C102"/>
      <c r="D102" s="324"/>
    </row>
    <row r="103" spans="1:4" ht="15.75" x14ac:dyDescent="0.25">
      <c r="A103" s="317" t="s">
        <v>127</v>
      </c>
      <c r="B103" s="327">
        <v>4599</v>
      </c>
      <c r="C103"/>
      <c r="D103" s="324"/>
    </row>
    <row r="104" spans="1:4" ht="15.75" x14ac:dyDescent="0.25">
      <c r="A104" s="317" t="s">
        <v>113</v>
      </c>
      <c r="B104" s="304">
        <v>0</v>
      </c>
      <c r="C104"/>
      <c r="D104" s="324"/>
    </row>
    <row r="105" spans="1:4" ht="15.75" x14ac:dyDescent="0.25">
      <c r="A105" s="313" t="s">
        <v>268</v>
      </c>
      <c r="B105" s="309">
        <f>SUM(B96:B104)</f>
        <v>4036359</v>
      </c>
      <c r="C105"/>
      <c r="D105" s="324"/>
    </row>
    <row r="106" spans="1:4" ht="15.75" x14ac:dyDescent="0.25">
      <c r="A106" s="325" t="s">
        <v>93</v>
      </c>
      <c r="B106" s="327">
        <f>819836-22758</f>
        <v>797078</v>
      </c>
      <c r="C106"/>
      <c r="D106" s="324"/>
    </row>
    <row r="107" spans="1:4" ht="15.75" x14ac:dyDescent="0.25">
      <c r="A107" s="317" t="s">
        <v>119</v>
      </c>
      <c r="B107" s="304">
        <v>22758</v>
      </c>
      <c r="C107"/>
      <c r="D107" s="324"/>
    </row>
    <row r="108" spans="1:4" ht="15.75" x14ac:dyDescent="0.25">
      <c r="A108" s="313" t="s">
        <v>269</v>
      </c>
      <c r="B108" s="309">
        <f>SUM(B106:B107)</f>
        <v>819836</v>
      </c>
      <c r="C108"/>
      <c r="D108" s="324"/>
    </row>
    <row r="109" spans="1:4" ht="15.75" x14ac:dyDescent="0.25">
      <c r="A109" s="325" t="s">
        <v>26</v>
      </c>
      <c r="B109" s="327">
        <v>6922407</v>
      </c>
      <c r="C109"/>
      <c r="D109" s="324"/>
    </row>
    <row r="110" spans="1:4" ht="15.75" x14ac:dyDescent="0.25">
      <c r="A110" s="325" t="s">
        <v>212</v>
      </c>
      <c r="B110" s="327">
        <v>0</v>
      </c>
      <c r="C110"/>
      <c r="D110" s="324"/>
    </row>
    <row r="111" spans="1:4" ht="15.75" x14ac:dyDescent="0.25">
      <c r="A111" s="278" t="s">
        <v>235</v>
      </c>
      <c r="B111" s="315">
        <v>0</v>
      </c>
      <c r="C111"/>
      <c r="D111" s="324"/>
    </row>
    <row r="112" spans="1:4" ht="15.75" x14ac:dyDescent="0.25">
      <c r="A112" s="328" t="s">
        <v>270</v>
      </c>
      <c r="B112" s="306">
        <f>SUM(B109:B111)</f>
        <v>6922407</v>
      </c>
      <c r="C112"/>
      <c r="D112" s="324"/>
    </row>
    <row r="113" spans="1:4" ht="15.75" x14ac:dyDescent="0.25">
      <c r="A113" s="317" t="s">
        <v>33</v>
      </c>
      <c r="B113" s="297">
        <v>55600</v>
      </c>
      <c r="C113"/>
      <c r="D113" s="324"/>
    </row>
    <row r="114" spans="1:4" ht="15.75" x14ac:dyDescent="0.25">
      <c r="A114" s="322" t="s">
        <v>34</v>
      </c>
      <c r="B114" s="329">
        <v>3540</v>
      </c>
      <c r="C114"/>
      <c r="D114" s="324"/>
    </row>
    <row r="115" spans="1:4" ht="15.75" x14ac:dyDescent="0.25">
      <c r="A115" s="322" t="s">
        <v>253</v>
      </c>
      <c r="B115" s="315">
        <v>193116</v>
      </c>
      <c r="C115"/>
      <c r="D115" s="324"/>
    </row>
    <row r="116" spans="1:4" ht="15.75" x14ac:dyDescent="0.25">
      <c r="A116" s="328" t="s">
        <v>271</v>
      </c>
      <c r="B116" s="306">
        <f>SUM(B113:B115)</f>
        <v>252256</v>
      </c>
      <c r="C116"/>
      <c r="D116" s="324"/>
    </row>
    <row r="117" spans="1:4" ht="15.75" x14ac:dyDescent="0.25">
      <c r="A117" s="330"/>
      <c r="B117" s="283"/>
      <c r="C117"/>
      <c r="D117" s="324"/>
    </row>
    <row r="118" spans="1:4" ht="15.75" x14ac:dyDescent="0.25">
      <c r="A118" s="322" t="s">
        <v>22</v>
      </c>
      <c r="B118" s="318">
        <v>6462333</v>
      </c>
      <c r="C118"/>
      <c r="D118"/>
    </row>
    <row r="119" spans="1:4" ht="15.75" x14ac:dyDescent="0.25">
      <c r="A119" s="278" t="s">
        <v>128</v>
      </c>
      <c r="B119" s="315">
        <v>126500</v>
      </c>
      <c r="C119"/>
      <c r="D119"/>
    </row>
    <row r="120" spans="1:4" ht="15.75" x14ac:dyDescent="0.25">
      <c r="A120" s="328" t="s">
        <v>272</v>
      </c>
      <c r="B120" s="306">
        <f>B118+B119</f>
        <v>6588833</v>
      </c>
      <c r="C120"/>
      <c r="D120"/>
    </row>
    <row r="121" spans="1:4" ht="15.75" x14ac:dyDescent="0.25">
      <c r="A121" s="331" t="str">
        <f>A120</f>
        <v>13 Mi Joint Zone</v>
      </c>
      <c r="B121" s="285">
        <f>B120</f>
        <v>6588833</v>
      </c>
      <c r="C121"/>
      <c r="D121"/>
    </row>
    <row r="122" spans="1:4" ht="15.75" x14ac:dyDescent="0.25">
      <c r="A122" s="332" t="s">
        <v>130</v>
      </c>
      <c r="B122" s="304">
        <v>482381</v>
      </c>
      <c r="C122"/>
      <c r="D122"/>
    </row>
    <row r="123" spans="1:4" ht="15.75" x14ac:dyDescent="0.25">
      <c r="A123" s="328" t="s">
        <v>273</v>
      </c>
      <c r="B123" s="306">
        <f>B121+B122</f>
        <v>7071214</v>
      </c>
      <c r="C123"/>
      <c r="D123"/>
    </row>
    <row r="124" spans="1:4" ht="15.75" x14ac:dyDescent="0.25">
      <c r="A124" s="278" t="s">
        <v>223</v>
      </c>
      <c r="B124" s="296">
        <v>5580833</v>
      </c>
      <c r="C124"/>
      <c r="D124"/>
    </row>
    <row r="125" spans="1:4" ht="15.75" x14ac:dyDescent="0.25">
      <c r="A125" s="278" t="s">
        <v>236</v>
      </c>
      <c r="B125" s="315">
        <v>0</v>
      </c>
      <c r="C125"/>
      <c r="D125"/>
    </row>
    <row r="126" spans="1:4" ht="15.75" x14ac:dyDescent="0.25">
      <c r="A126" s="328" t="s">
        <v>274</v>
      </c>
      <c r="B126" s="306">
        <f>SUM(B124:B125)</f>
        <v>5580833</v>
      </c>
      <c r="C126"/>
      <c r="D126"/>
    </row>
    <row r="127" spans="1:4" ht="15.75" x14ac:dyDescent="0.25">
      <c r="A127" s="278" t="s">
        <v>286</v>
      </c>
      <c r="B127" s="296">
        <v>10690098</v>
      </c>
      <c r="C127"/>
      <c r="D127" s="324"/>
    </row>
    <row r="128" spans="1:4" ht="15.75" x14ac:dyDescent="0.25">
      <c r="A128" s="278" t="s">
        <v>227</v>
      </c>
      <c r="B128" s="296">
        <v>0</v>
      </c>
      <c r="C128"/>
      <c r="D128" s="324"/>
    </row>
    <row r="129" spans="1:4" ht="15.75" x14ac:dyDescent="0.25">
      <c r="A129" s="278" t="s">
        <v>237</v>
      </c>
      <c r="B129" s="296">
        <v>940402</v>
      </c>
      <c r="C129"/>
      <c r="D129" s="324"/>
    </row>
    <row r="130" spans="1:4" ht="15.75" x14ac:dyDescent="0.25">
      <c r="A130" s="278" t="s">
        <v>238</v>
      </c>
      <c r="B130" s="333">
        <v>0</v>
      </c>
      <c r="C130"/>
      <c r="D130" s="324"/>
    </row>
    <row r="131" spans="1:4" ht="15.75" x14ac:dyDescent="0.25">
      <c r="A131" s="328" t="s">
        <v>275</v>
      </c>
      <c r="B131" s="306">
        <f>SUM(B127:B130)</f>
        <v>11630500</v>
      </c>
      <c r="C131"/>
      <c r="D131" s="324"/>
    </row>
    <row r="132" spans="1:4" ht="15.75" x14ac:dyDescent="0.25">
      <c r="A132" s="278" t="s">
        <v>287</v>
      </c>
      <c r="B132" s="296">
        <v>2491076</v>
      </c>
      <c r="C132"/>
      <c r="D132" s="324"/>
    </row>
    <row r="133" spans="1:4" ht="15.75" x14ac:dyDescent="0.25">
      <c r="A133" s="278" t="s">
        <v>228</v>
      </c>
      <c r="B133" s="315">
        <v>558000</v>
      </c>
      <c r="C133"/>
      <c r="D133" s="324"/>
    </row>
    <row r="134" spans="1:4" ht="15.75" x14ac:dyDescent="0.25">
      <c r="A134" s="328" t="s">
        <v>276</v>
      </c>
      <c r="B134" s="306">
        <f>SUM(B132:B133)</f>
        <v>3049076</v>
      </c>
      <c r="C134"/>
      <c r="D134" s="324"/>
    </row>
    <row r="135" spans="1:4" ht="15.75" x14ac:dyDescent="0.25">
      <c r="A135" s="278" t="s">
        <v>290</v>
      </c>
      <c r="B135" s="318">
        <v>3556667</v>
      </c>
      <c r="C135"/>
      <c r="D135" s="324"/>
    </row>
    <row r="136" spans="1:4" ht="15.75" x14ac:dyDescent="0.25">
      <c r="A136" s="278" t="s">
        <v>239</v>
      </c>
      <c r="B136" s="334">
        <v>0</v>
      </c>
      <c r="C136"/>
      <c r="D136" s="324"/>
    </row>
    <row r="137" spans="1:4" ht="15.75" x14ac:dyDescent="0.25">
      <c r="A137" s="278" t="s">
        <v>240</v>
      </c>
      <c r="B137" s="334">
        <v>0</v>
      </c>
      <c r="C137"/>
      <c r="D137" s="324"/>
    </row>
    <row r="138" spans="1:4" ht="15.75" x14ac:dyDescent="0.25">
      <c r="A138" s="278" t="s">
        <v>243</v>
      </c>
      <c r="B138" s="334">
        <v>0</v>
      </c>
      <c r="C138"/>
      <c r="D138" s="324"/>
    </row>
    <row r="139" spans="1:4" ht="15.75" x14ac:dyDescent="0.25">
      <c r="A139" s="278" t="s">
        <v>242</v>
      </c>
      <c r="B139" s="335">
        <v>0</v>
      </c>
      <c r="C139"/>
      <c r="D139" s="324"/>
    </row>
    <row r="140" spans="1:4" ht="15.75" x14ac:dyDescent="0.25">
      <c r="A140" s="328" t="s">
        <v>277</v>
      </c>
      <c r="B140" s="306">
        <f>SUM(B135:B139)</f>
        <v>3556667</v>
      </c>
      <c r="C140"/>
      <c r="D140" s="324"/>
    </row>
    <row r="141" spans="1:4" ht="15.75" x14ac:dyDescent="0.25">
      <c r="A141" s="268" t="s">
        <v>254</v>
      </c>
      <c r="B141" s="334">
        <v>1662666</v>
      </c>
      <c r="C141"/>
      <c r="D141" s="324"/>
    </row>
    <row r="142" spans="1:4" ht="15.75" x14ac:dyDescent="0.25">
      <c r="A142" s="268" t="s">
        <v>255</v>
      </c>
      <c r="B142" s="335">
        <v>0</v>
      </c>
      <c r="C142"/>
      <c r="D142" s="324"/>
    </row>
    <row r="143" spans="1:4" ht="15.75" x14ac:dyDescent="0.25">
      <c r="A143" s="328" t="s">
        <v>278</v>
      </c>
      <c r="B143" s="306">
        <f>B141+B142</f>
        <v>1662666</v>
      </c>
      <c r="C143"/>
      <c r="D143" s="324"/>
    </row>
    <row r="144" spans="1:4" ht="15.75" x14ac:dyDescent="0.25">
      <c r="A144" s="330"/>
      <c r="B144" s="283"/>
      <c r="C144"/>
      <c r="D144" s="324"/>
    </row>
    <row r="145" spans="1:4" ht="60.75" x14ac:dyDescent="0.25">
      <c r="A145" s="336" t="s">
        <v>279</v>
      </c>
      <c r="B145" s="337" t="s">
        <v>280</v>
      </c>
      <c r="C145" s="338" t="s">
        <v>291</v>
      </c>
      <c r="D145" s="324"/>
    </row>
    <row r="146" spans="1:4" x14ac:dyDescent="0.25">
      <c r="A146" s="48" t="s">
        <v>213</v>
      </c>
      <c r="B146" s="324">
        <f>+B62+B69+B86+B113</f>
        <v>252500</v>
      </c>
      <c r="C146"/>
      <c r="D146" s="324"/>
    </row>
    <row r="147" spans="1:4" x14ac:dyDescent="0.25">
      <c r="A147" s="339" t="s">
        <v>214</v>
      </c>
      <c r="B147" s="340">
        <f>+B66+B95-B94-B86-B92</f>
        <v>6741750</v>
      </c>
      <c r="C147" s="341">
        <v>310500</v>
      </c>
      <c r="D147" s="342">
        <f>B147+C147</f>
        <v>7052250</v>
      </c>
    </row>
    <row r="148" spans="1:4" x14ac:dyDescent="0.25">
      <c r="A148" s="48" t="s">
        <v>197</v>
      </c>
      <c r="B148" s="324">
        <f>+B61+B73+B83+B94+B77+B114</f>
        <v>1957755</v>
      </c>
      <c r="C148"/>
      <c r="D148"/>
    </row>
    <row r="149" spans="1:4" x14ac:dyDescent="0.25">
      <c r="A149" s="343" t="s">
        <v>281</v>
      </c>
      <c r="B149" s="324">
        <f>B133+B36</f>
        <v>1283500</v>
      </c>
      <c r="C149"/>
      <c r="D149"/>
    </row>
    <row r="150" spans="1:4" x14ac:dyDescent="0.25">
      <c r="A150" s="343" t="s">
        <v>292</v>
      </c>
      <c r="B150" s="324">
        <f>B107+B87</f>
        <v>29418</v>
      </c>
      <c r="C150"/>
      <c r="D150"/>
    </row>
    <row r="151" spans="1:4" x14ac:dyDescent="0.25">
      <c r="A151" s="343" t="s">
        <v>293</v>
      </c>
      <c r="B151" s="324">
        <f>B141+B128</f>
        <v>1662666</v>
      </c>
      <c r="C151"/>
      <c r="D151"/>
    </row>
  </sheetData>
  <mergeCells count="1">
    <mergeCell ref="A2:B2"/>
  </mergeCells>
  <pageMargins left="0.7" right="0.7" top="0.25" bottom="0.5" header="0.3" footer="0.25"/>
  <pageSetup scale="85" orientation="portrait" r:id="rId1"/>
  <headerFooter>
    <oddFooter>&amp;R&amp;Z&amp;F</oddFooter>
  </headerFooter>
  <rowBreaks count="1" manualBreakCount="1">
    <brk id="55"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abSelected="1" topLeftCell="A22" workbookViewId="0">
      <selection activeCell="L49" sqref="L49"/>
    </sheetView>
  </sheetViews>
  <sheetFormatPr defaultRowHeight="15" x14ac:dyDescent="0.25"/>
  <cols>
    <col min="1" max="1" width="10.5703125" customWidth="1"/>
    <col min="2" max="2" width="15.7109375" customWidth="1"/>
    <col min="3" max="3" width="22.85546875" customWidth="1"/>
    <col min="4" max="4" width="16.140625" customWidth="1"/>
    <col min="5" max="5" width="13.7109375" bestFit="1" customWidth="1"/>
  </cols>
  <sheetData>
    <row r="1" spans="1:5" x14ac:dyDescent="0.25">
      <c r="A1" t="s">
        <v>215</v>
      </c>
    </row>
    <row r="3" spans="1:5" x14ac:dyDescent="0.25">
      <c r="A3" t="s">
        <v>132</v>
      </c>
    </row>
    <row r="7" spans="1:5" x14ac:dyDescent="0.25">
      <c r="B7" s="64"/>
    </row>
    <row r="8" spans="1:5" x14ac:dyDescent="0.25">
      <c r="B8" s="64" t="s">
        <v>132</v>
      </c>
    </row>
    <row r="9" spans="1:5" x14ac:dyDescent="0.25">
      <c r="B9" s="64"/>
    </row>
    <row r="10" spans="1:5" x14ac:dyDescent="0.25">
      <c r="B10" s="64"/>
    </row>
    <row r="11" spans="1:5" x14ac:dyDescent="0.25">
      <c r="B11" s="35"/>
    </row>
    <row r="12" spans="1:5" x14ac:dyDescent="0.25">
      <c r="A12" s="50" t="s">
        <v>216</v>
      </c>
      <c r="B12" s="347" t="s">
        <v>217</v>
      </c>
      <c r="C12" s="51" t="s">
        <v>218</v>
      </c>
      <c r="D12" s="51" t="s">
        <v>219</v>
      </c>
    </row>
    <row r="13" spans="1:5" x14ac:dyDescent="0.25">
      <c r="A13" s="1">
        <v>279</v>
      </c>
      <c r="B13" s="52">
        <f>'True-up'!P79</f>
        <v>134257.72957083158</v>
      </c>
      <c r="C13" s="53">
        <f t="shared" ref="C13:C23" si="0">IF(B13&lt;0,$D$51,$C$51)</f>
        <v>3.3221052631578943E-2</v>
      </c>
      <c r="D13" s="54">
        <f>B13*C13*2</f>
        <v>8920.3662005377773</v>
      </c>
      <c r="E13" s="18" t="str">
        <f>IF(B13&lt;0,"Under recover", "Over recover")</f>
        <v>Over recover</v>
      </c>
    </row>
    <row r="14" spans="1:5" x14ac:dyDescent="0.25">
      <c r="A14" s="1" t="s">
        <v>220</v>
      </c>
      <c r="B14" s="55">
        <f>'True-up'!P120</f>
        <v>19696.354699604606</v>
      </c>
      <c r="C14" s="53">
        <f t="shared" si="0"/>
        <v>3.3221052631578943E-2</v>
      </c>
      <c r="D14" s="54">
        <f t="shared" ref="D14:D23" si="1">B14*C14*2</f>
        <v>1308.6672722516237</v>
      </c>
      <c r="E14" s="18" t="str">
        <f t="shared" ref="E14:E23" si="2">IF(B14&lt;0,"Under recover", "Over recover")</f>
        <v>Over recover</v>
      </c>
    </row>
    <row r="15" spans="1:5" x14ac:dyDescent="0.25">
      <c r="A15" s="1">
        <v>286</v>
      </c>
      <c r="B15" s="55">
        <f>'True-up'!P204</f>
        <v>2350608.7832944188</v>
      </c>
      <c r="C15" s="53">
        <f t="shared" si="0"/>
        <v>3.3221052631578943E-2</v>
      </c>
      <c r="D15" s="54">
        <f t="shared" si="1"/>
        <v>156179.39621215124</v>
      </c>
      <c r="E15" s="18" t="str">
        <f t="shared" si="2"/>
        <v>Over recover</v>
      </c>
    </row>
    <row r="16" spans="1:5" x14ac:dyDescent="0.25">
      <c r="A16" s="1">
        <v>1471</v>
      </c>
      <c r="B16" s="52">
        <f>'True-up'!P286</f>
        <v>280.14737566338863</v>
      </c>
      <c r="C16" s="53">
        <f t="shared" si="0"/>
        <v>3.3221052631578943E-2</v>
      </c>
      <c r="D16" s="54">
        <f t="shared" si="1"/>
        <v>18.613581423024304</v>
      </c>
      <c r="E16" s="18" t="str">
        <f t="shared" si="2"/>
        <v>Over recover</v>
      </c>
    </row>
    <row r="17" spans="1:5" x14ac:dyDescent="0.25">
      <c r="A17" s="1">
        <v>1472</v>
      </c>
      <c r="B17" s="52">
        <f>'True-up'!P326</f>
        <v>308.55247352323204</v>
      </c>
      <c r="C17" s="53">
        <f t="shared" si="0"/>
        <v>3.3221052631578943E-2</v>
      </c>
      <c r="D17" s="54">
        <f t="shared" si="1"/>
        <v>20.500875925038319</v>
      </c>
      <c r="E17" s="18" t="str">
        <f t="shared" si="2"/>
        <v>Over recover</v>
      </c>
    </row>
    <row r="18" spans="1:5" x14ac:dyDescent="0.25">
      <c r="A18" s="1">
        <v>1542</v>
      </c>
      <c r="B18" s="52">
        <f>'True-up'!P459</f>
        <v>661.73678078539888</v>
      </c>
      <c r="C18" s="53">
        <f t="shared" si="0"/>
        <v>3.3221052631578943E-2</v>
      </c>
      <c r="D18" s="54">
        <f t="shared" si="1"/>
        <v>43.96718484544671</v>
      </c>
      <c r="E18" s="18" t="str">
        <f t="shared" si="2"/>
        <v>Over recover</v>
      </c>
    </row>
    <row r="19" spans="1:5" x14ac:dyDescent="0.25">
      <c r="A19" s="1">
        <v>2097</v>
      </c>
      <c r="B19" s="52">
        <f>'True-up'!P161</f>
        <v>48122.652748511762</v>
      </c>
      <c r="C19" s="53">
        <f t="shared" si="0"/>
        <v>3.3221052631578943E-2</v>
      </c>
      <c r="D19" s="54">
        <f t="shared" si="1"/>
        <v>3197.3703594590124</v>
      </c>
      <c r="E19" s="18" t="str">
        <f t="shared" si="2"/>
        <v>Over recover</v>
      </c>
    </row>
    <row r="20" spans="1:5" x14ac:dyDescent="0.25">
      <c r="A20" s="1">
        <v>2562</v>
      </c>
      <c r="B20" s="52">
        <f>'True-up'!P245</f>
        <v>35414.807014512953</v>
      </c>
      <c r="C20" s="53">
        <f t="shared" si="0"/>
        <v>3.3221052631578943E-2</v>
      </c>
      <c r="D20" s="54">
        <f t="shared" si="1"/>
        <v>2353.0343355326918</v>
      </c>
      <c r="E20" s="18" t="str">
        <f t="shared" si="2"/>
        <v>Over recover</v>
      </c>
    </row>
    <row r="21" spans="1:5" x14ac:dyDescent="0.25">
      <c r="A21" s="1">
        <v>3104</v>
      </c>
      <c r="B21" s="52">
        <f>'True-up'!P371</f>
        <v>-232.41506910115356</v>
      </c>
      <c r="C21" s="53">
        <f t="shared" si="0"/>
        <v>1.551407894736842E-2</v>
      </c>
      <c r="D21" s="54">
        <f t="shared" si="1"/>
        <v>-7.2114114611867661</v>
      </c>
      <c r="E21" s="18" t="str">
        <f t="shared" si="2"/>
        <v>Under recover</v>
      </c>
    </row>
    <row r="22" spans="1:5" x14ac:dyDescent="0.25">
      <c r="A22" s="60">
        <v>3105</v>
      </c>
      <c r="B22" s="61">
        <f>'True-up'!P415</f>
        <v>605.07660052832398</v>
      </c>
      <c r="C22" s="62">
        <f t="shared" si="0"/>
        <v>3.3221052631578943E-2</v>
      </c>
      <c r="D22" s="63">
        <f t="shared" si="1"/>
        <v>40.202563184576633</v>
      </c>
      <c r="E22" s="18" t="str">
        <f t="shared" si="2"/>
        <v>Over recover</v>
      </c>
    </row>
    <row r="23" spans="1:5" x14ac:dyDescent="0.25">
      <c r="A23" s="56">
        <v>2634</v>
      </c>
      <c r="B23" s="57">
        <f>'True-up'!P504</f>
        <v>452222.34943924943</v>
      </c>
      <c r="C23" s="58">
        <f t="shared" si="0"/>
        <v>3.3221052631578943E-2</v>
      </c>
      <c r="D23" s="59">
        <f t="shared" si="1"/>
        <v>30046.604943795181</v>
      </c>
      <c r="E23" s="18" t="str">
        <f t="shared" si="2"/>
        <v>Over recover</v>
      </c>
    </row>
    <row r="24" spans="1:5" x14ac:dyDescent="0.25">
      <c r="A24" s="60"/>
      <c r="B24" s="61"/>
      <c r="C24" s="62"/>
      <c r="D24" s="63"/>
      <c r="E24" s="64"/>
    </row>
    <row r="25" spans="1:5" x14ac:dyDescent="0.25">
      <c r="B25" s="54">
        <f>SUM(B13:B23)</f>
        <v>3041945.7749285279</v>
      </c>
      <c r="C25" s="18"/>
      <c r="D25" s="54">
        <f>SUM(D13:D23)</f>
        <v>202121.51211764445</v>
      </c>
      <c r="E25" s="18"/>
    </row>
    <row r="26" spans="1:5" x14ac:dyDescent="0.25">
      <c r="C26" s="1"/>
      <c r="D26" s="13"/>
      <c r="E26" s="65"/>
    </row>
    <row r="27" spans="1:5" x14ac:dyDescent="0.25">
      <c r="A27" s="14" t="s">
        <v>186</v>
      </c>
    </row>
    <row r="28" spans="1:5" x14ac:dyDescent="0.25">
      <c r="D28" s="41"/>
    </row>
    <row r="29" spans="1:5" ht="45.75" thickBot="1" x14ac:dyDescent="0.3">
      <c r="A29" s="15" t="s">
        <v>151</v>
      </c>
      <c r="B29" s="15" t="s">
        <v>152</v>
      </c>
      <c r="C29" s="16" t="s">
        <v>153</v>
      </c>
      <c r="D29" s="43" t="s">
        <v>221</v>
      </c>
    </row>
    <row r="30" spans="1:5" x14ac:dyDescent="0.25">
      <c r="A30" t="s">
        <v>154</v>
      </c>
      <c r="B30">
        <v>2015</v>
      </c>
      <c r="C30" s="53">
        <v>2.8E-3</v>
      </c>
      <c r="D30" s="344">
        <v>1.1833333333333333E-3</v>
      </c>
      <c r="E30" s="71"/>
    </row>
    <row r="31" spans="1:5" x14ac:dyDescent="0.25">
      <c r="A31" t="s">
        <v>155</v>
      </c>
      <c r="B31">
        <v>2015</v>
      </c>
      <c r="C31" s="53">
        <v>2.5000000000000001E-3</v>
      </c>
      <c r="D31" s="344">
        <v>1.1829166666666668E-3</v>
      </c>
      <c r="E31" s="71"/>
    </row>
    <row r="32" spans="1:5" x14ac:dyDescent="0.25">
      <c r="A32" t="s">
        <v>156</v>
      </c>
      <c r="B32">
        <v>2015</v>
      </c>
      <c r="C32" s="53">
        <v>2.8E-3</v>
      </c>
      <c r="D32" s="344">
        <v>1.1855833333333334E-3</v>
      </c>
      <c r="E32" s="71"/>
    </row>
    <row r="33" spans="1:5" x14ac:dyDescent="0.25">
      <c r="A33" t="s">
        <v>157</v>
      </c>
      <c r="B33">
        <v>2015</v>
      </c>
      <c r="C33" s="53">
        <v>2.7000000000000001E-3</v>
      </c>
      <c r="D33" s="344">
        <v>1.1896249999999999E-3</v>
      </c>
      <c r="E33" s="71"/>
    </row>
    <row r="34" spans="1:5" x14ac:dyDescent="0.25">
      <c r="A34" t="s">
        <v>82</v>
      </c>
      <c r="B34">
        <v>2015</v>
      </c>
      <c r="C34" s="53">
        <v>2.8E-3</v>
      </c>
      <c r="D34" s="344">
        <v>1.1935416666666668E-3</v>
      </c>
      <c r="E34" s="71"/>
    </row>
    <row r="35" spans="1:5" x14ac:dyDescent="0.25">
      <c r="A35" t="s">
        <v>158</v>
      </c>
      <c r="B35">
        <v>2015</v>
      </c>
      <c r="C35" s="53">
        <v>2.7000000000000001E-3</v>
      </c>
      <c r="D35" s="344">
        <v>1.1941666666666667E-3</v>
      </c>
      <c r="E35" s="71"/>
    </row>
    <row r="36" spans="1:5" x14ac:dyDescent="0.25">
      <c r="A36" t="s">
        <v>159</v>
      </c>
      <c r="B36">
        <v>2015</v>
      </c>
      <c r="C36" s="53">
        <v>2.8E-3</v>
      </c>
      <c r="D36" s="344">
        <v>1.1999999999999999E-3</v>
      </c>
      <c r="E36" s="71"/>
    </row>
    <row r="37" spans="1:5" x14ac:dyDescent="0.25">
      <c r="A37" t="s">
        <v>160</v>
      </c>
      <c r="B37">
        <v>2015</v>
      </c>
      <c r="C37" s="53">
        <v>2.8E-3</v>
      </c>
      <c r="D37" s="344">
        <v>1.2083333333333334E-3</v>
      </c>
      <c r="E37" s="71"/>
    </row>
    <row r="38" spans="1:5" x14ac:dyDescent="0.25">
      <c r="A38" t="s">
        <v>161</v>
      </c>
      <c r="B38">
        <v>2015</v>
      </c>
      <c r="C38" s="53">
        <v>2.7000000000000001E-3</v>
      </c>
      <c r="D38" s="344">
        <v>1.2083333333333334E-3</v>
      </c>
      <c r="E38" s="71"/>
    </row>
    <row r="39" spans="1:5" x14ac:dyDescent="0.25">
      <c r="A39" t="s">
        <v>162</v>
      </c>
      <c r="B39">
        <v>2015</v>
      </c>
      <c r="C39" s="53">
        <v>2.8E-3</v>
      </c>
      <c r="D39" s="344">
        <v>1.2033333333333334E-3</v>
      </c>
      <c r="E39" s="71"/>
    </row>
    <row r="40" spans="1:5" x14ac:dyDescent="0.25">
      <c r="A40" t="s">
        <v>163</v>
      </c>
      <c r="B40">
        <v>2015</v>
      </c>
      <c r="C40" s="53">
        <v>2.7000000000000001E-3</v>
      </c>
      <c r="D40" s="344">
        <v>1.2000000000000001E-3</v>
      </c>
      <c r="E40" s="71"/>
    </row>
    <row r="41" spans="1:5" x14ac:dyDescent="0.25">
      <c r="A41" t="s">
        <v>164</v>
      </c>
      <c r="B41">
        <v>2015</v>
      </c>
      <c r="C41" s="53">
        <v>2.8E-3</v>
      </c>
      <c r="D41" s="344">
        <v>1.2447916666666668E-3</v>
      </c>
      <c r="E41" s="71"/>
    </row>
    <row r="42" spans="1:5" x14ac:dyDescent="0.25">
      <c r="A42" t="s">
        <v>154</v>
      </c>
      <c r="B42">
        <v>2016</v>
      </c>
      <c r="C42" s="53">
        <v>2.8E-3</v>
      </c>
      <c r="D42" s="344">
        <v>1.4E-3</v>
      </c>
      <c r="E42" s="71"/>
    </row>
    <row r="43" spans="1:5" x14ac:dyDescent="0.25">
      <c r="A43" t="s">
        <v>155</v>
      </c>
      <c r="B43">
        <v>2016</v>
      </c>
      <c r="C43" s="53">
        <v>2.5999999999999999E-3</v>
      </c>
      <c r="D43" s="344">
        <v>1.4E-3</v>
      </c>
      <c r="E43" s="71"/>
    </row>
    <row r="44" spans="1:5" x14ac:dyDescent="0.25">
      <c r="A44" t="s">
        <v>156</v>
      </c>
      <c r="B44">
        <v>2016</v>
      </c>
      <c r="C44" s="53">
        <v>2.8E-3</v>
      </c>
      <c r="D44" s="344">
        <v>1.4083333333333333E-3</v>
      </c>
      <c r="E44" s="71"/>
    </row>
    <row r="45" spans="1:5" x14ac:dyDescent="0.25">
      <c r="A45" t="s">
        <v>157</v>
      </c>
      <c r="B45">
        <v>2016</v>
      </c>
      <c r="C45" s="53">
        <v>2.8E-3</v>
      </c>
      <c r="D45" s="344">
        <v>1.4083333333333333E-3</v>
      </c>
      <c r="E45" s="71"/>
    </row>
    <row r="46" spans="1:5" x14ac:dyDescent="0.25">
      <c r="A46" t="s">
        <v>82</v>
      </c>
      <c r="B46">
        <v>2016</v>
      </c>
      <c r="C46" s="53">
        <v>2.8999999999999998E-3</v>
      </c>
      <c r="D46" s="344">
        <v>1.4083333333333333E-3</v>
      </c>
      <c r="E46" s="71"/>
    </row>
    <row r="47" spans="1:5" x14ac:dyDescent="0.25">
      <c r="A47" s="18" t="s">
        <v>158</v>
      </c>
      <c r="B47">
        <v>2016</v>
      </c>
      <c r="C47" s="53">
        <v>2.8E-3</v>
      </c>
      <c r="D47" s="344">
        <v>1.4250000000000001E-3</v>
      </c>
      <c r="E47" s="71"/>
    </row>
    <row r="48" spans="1:5" x14ac:dyDescent="0.25">
      <c r="A48" s="35" t="s">
        <v>244</v>
      </c>
      <c r="B48" s="73">
        <v>2016</v>
      </c>
      <c r="C48" s="345">
        <v>3.0000000000000001E-3</v>
      </c>
      <c r="D48" s="346">
        <v>1.72E-3</v>
      </c>
      <c r="E48" s="71"/>
    </row>
    <row r="49" spans="2:4" x14ac:dyDescent="0.25">
      <c r="B49" s="48" t="s">
        <v>165</v>
      </c>
      <c r="C49" s="70">
        <f>AVERAGE(C30:C48)</f>
        <v>2.7684210526315784E-3</v>
      </c>
      <c r="D49" s="70">
        <f>AVERAGE(D30:D48)</f>
        <v>1.2928399122807018E-3</v>
      </c>
    </row>
    <row r="50" spans="2:4" x14ac:dyDescent="0.25">
      <c r="B50" s="48" t="s">
        <v>166</v>
      </c>
      <c r="C50" s="17">
        <v>12</v>
      </c>
      <c r="D50" s="44">
        <v>12</v>
      </c>
    </row>
    <row r="51" spans="2:4" x14ac:dyDescent="0.25">
      <c r="B51" s="48" t="s">
        <v>167</v>
      </c>
      <c r="C51" s="70">
        <f>C49*C50</f>
        <v>3.3221052631578943E-2</v>
      </c>
      <c r="D51" s="70">
        <f>D49*D50</f>
        <v>1.551407894736842E-2</v>
      </c>
    </row>
    <row r="52" spans="2:4" x14ac:dyDescent="0.25">
      <c r="C52" s="1"/>
      <c r="D52" s="45"/>
    </row>
    <row r="53" spans="2:4" x14ac:dyDescent="0.25">
      <c r="D53" s="41"/>
    </row>
  </sheetData>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True-up</vt:lpstr>
      <vt:lpstr>Projected Zonal Load</vt:lpstr>
      <vt:lpstr>Actual Load</vt:lpstr>
      <vt:lpstr>Interest</vt:lpstr>
      <vt:lpstr>Summary!Print_Area</vt:lpstr>
      <vt:lpstr>'Projected Zonal Load'!Print_Titles</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u4083</dc:creator>
  <cp:lastModifiedBy>mcsaer</cp:lastModifiedBy>
  <cp:lastPrinted>2014-07-28T17:55:27Z</cp:lastPrinted>
  <dcterms:created xsi:type="dcterms:W3CDTF">2011-05-12T14:45:19Z</dcterms:created>
  <dcterms:modified xsi:type="dcterms:W3CDTF">2016-12-09T21:22:09Z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{660D5CB2-01F2-41DC-907E-3CF032A68E7C}</vt:lpwstr>
  </property>
</Properties>
</file>