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5" yWindow="15" windowWidth="15345" windowHeight="4395" tabRatio="417"/>
  </bookViews>
  <sheets>
    <sheet name="Nonlevelized RUS 12" sheetId="1" r:id="rId1"/>
    <sheet name="Trans Revenue" sheetId="2" r:id="rId2"/>
  </sheets>
  <externalReferences>
    <externalReference r:id="rId3"/>
  </externalReferences>
  <definedNames>
    <definedName name="CH_COS">#REF!</definedName>
    <definedName name="CUSTAR">#REF!</definedName>
    <definedName name="CUYAHOGA_FALLS">#REF!</definedName>
    <definedName name="EDGERTON">#REF!</definedName>
    <definedName name="Ellwood_City">#REF!</definedName>
    <definedName name="ELMORE">#REF!</definedName>
    <definedName name="GALION">#REF!</definedName>
    <definedName name="GENOA">#REF!</definedName>
    <definedName name="GENOA_NORTH">#REF!</definedName>
    <definedName name="GENOA_SOUTH">#REF!</definedName>
    <definedName name="GRAFTON">#REF!</definedName>
    <definedName name="Grove_City">#REF!</definedName>
    <definedName name="HASKINS">#REF!</definedName>
    <definedName name="hourending">#REF!</definedName>
    <definedName name="HUBBARD">#REF!</definedName>
    <definedName name="LODI">#REF!</definedName>
    <definedName name="LUCAS">#REF!</definedName>
    <definedName name="MILAN">#REF!</definedName>
    <definedName name="MONROEVILLE">#REF!</definedName>
    <definedName name="NAPOLEON">#REF!</definedName>
    <definedName name="NEASG">#REF!</definedName>
    <definedName name="New_Wilmington">#REF!</definedName>
    <definedName name="NEWTON_FALLS">#REF!</definedName>
    <definedName name="NILES">#REF!</definedName>
    <definedName name="NSP_COS">#REF!</definedName>
    <definedName name="NWASG">#REF!</definedName>
    <definedName name="OAK_HARBOR">#REF!</definedName>
    <definedName name="OBERLIN">#REF!</definedName>
    <definedName name="PEMBERVILLE">#REF!</definedName>
    <definedName name="PIONEER">#REF!</definedName>
    <definedName name="_xlnm.Print_Area" localSheetId="0">'Nonlevelized RUS 12'!$A$1:$K$322</definedName>
    <definedName name="_xlnm.Print_Area">#REF!</definedName>
    <definedName name="Print1">#REF!</definedName>
    <definedName name="Print3">#REF!</definedName>
    <definedName name="Print4">#REF!</definedName>
    <definedName name="Print5">#REF!</definedName>
    <definedName name="ProjIDList">#REF!</definedName>
    <definedName name="PROSPECT">#REF!</definedName>
    <definedName name="PSCo_COS">#REF!</definedName>
    <definedName name="q_MTEP06_App_AB_Facility">#REF!</definedName>
    <definedName name="q_MTEP06_App_AB_Projects">#REF!</definedName>
    <definedName name="revreq">#REF!</definedName>
    <definedName name="SEVILLE">#REF!</definedName>
    <definedName name="SOUTH_VIENNA">#REF!</definedName>
    <definedName name="SPS_COS">#REF!</definedName>
    <definedName name="TOTAL_COLUMBIANA">#REF!</definedName>
    <definedName name="Total_Grove_City">#REF!</definedName>
    <definedName name="TOTAL_HUDSON">#REF!</definedName>
    <definedName name="TOTAL_MONTPELIER">#REF!</definedName>
    <definedName name="TOTAL_WOODVILLE">#REF!</definedName>
    <definedName name="WADSWORTH">#REF!</definedName>
    <definedName name="Xcel">'[1]Data Entry and Forecaster'!#REF!</definedName>
    <definedName name="Xcel_COS">#REF!</definedName>
  </definedNames>
  <calcPr calcId="145621"/>
</workbook>
</file>

<file path=xl/calcChain.xml><?xml version="1.0" encoding="utf-8"?>
<calcChain xmlns="http://schemas.openxmlformats.org/spreadsheetml/2006/main">
  <c r="N222" i="1" l="1"/>
  <c r="I195" i="1" l="1"/>
  <c r="I271" i="1"/>
  <c r="D146" i="1" l="1"/>
  <c r="D144" i="1"/>
  <c r="D145" i="1" l="1"/>
  <c r="I270" i="1" l="1"/>
  <c r="D232" i="1"/>
  <c r="D26" i="2" l="1"/>
  <c r="B23" i="2" l="1"/>
  <c r="D29" i="2" l="1"/>
  <c r="C25" i="2"/>
  <c r="D25" i="2" s="1"/>
  <c r="C22" i="2"/>
  <c r="D22" i="2" s="1"/>
  <c r="C21" i="2"/>
  <c r="D21" i="2" s="1"/>
  <c r="C20" i="2"/>
  <c r="D20" i="2" s="1"/>
  <c r="C19" i="2"/>
  <c r="D19" i="2" s="1"/>
  <c r="C18" i="2"/>
  <c r="D18" i="2" s="1"/>
  <c r="C17" i="2"/>
  <c r="D17" i="2" s="1"/>
  <c r="C16" i="2"/>
  <c r="D16" i="2" s="1"/>
  <c r="C15" i="2"/>
  <c r="D15" i="2" s="1"/>
  <c r="D14" i="2"/>
  <c r="C14" i="2"/>
  <c r="C13" i="2"/>
  <c r="D13" i="2" s="1"/>
  <c r="C12" i="2"/>
  <c r="D12" i="2" s="1"/>
  <c r="D11" i="2"/>
  <c r="C10" i="2"/>
  <c r="D10" i="2" s="1"/>
  <c r="C9" i="2"/>
  <c r="D9" i="2" s="1"/>
  <c r="C8" i="2"/>
  <c r="D8" i="2" s="1"/>
  <c r="C7" i="2"/>
  <c r="D7" i="2" s="1"/>
  <c r="C6" i="2"/>
  <c r="D6" i="2" s="1"/>
  <c r="C5" i="2"/>
  <c r="D5" i="2" s="1"/>
  <c r="C4" i="2"/>
  <c r="D4" i="2" s="1"/>
  <c r="C23" i="2" l="1"/>
  <c r="D23" i="2" s="1"/>
  <c r="D27" i="2" s="1"/>
  <c r="G249" i="1"/>
  <c r="G257" i="1"/>
  <c r="D123" i="1" l="1"/>
  <c r="G248" i="1"/>
  <c r="G256" i="1" s="1"/>
  <c r="D84" i="1" l="1"/>
  <c r="D14" i="1" l="1"/>
  <c r="E258" i="1" l="1"/>
  <c r="D159" i="1"/>
  <c r="I156" i="1"/>
  <c r="D111" i="1" l="1"/>
  <c r="D98" i="1" l="1"/>
  <c r="I89" i="1"/>
  <c r="I80" i="1"/>
  <c r="I26" i="1"/>
  <c r="I28" i="1" s="1"/>
  <c r="I22" i="1"/>
  <c r="I98" i="1" l="1"/>
  <c r="I274" i="1"/>
  <c r="D15" i="1" s="1"/>
  <c r="N224" i="1"/>
  <c r="N229" i="1"/>
  <c r="I213" i="1"/>
  <c r="I216" i="1" s="1"/>
  <c r="I227" i="1" s="1"/>
  <c r="G231" i="1"/>
  <c r="G233" i="1"/>
  <c r="G234" i="1"/>
  <c r="D235" i="1"/>
  <c r="D241" i="1"/>
  <c r="G239" i="1" s="1"/>
  <c r="I222" i="1"/>
  <c r="D97" i="1"/>
  <c r="D99" i="1"/>
  <c r="D100" i="1"/>
  <c r="D96" i="1"/>
  <c r="I256" i="1"/>
  <c r="D250" i="1"/>
  <c r="E249" i="1" s="1"/>
  <c r="I249" i="1" s="1"/>
  <c r="I257" i="1"/>
  <c r="I42" i="1"/>
  <c r="I151" i="1"/>
  <c r="D173" i="1"/>
  <c r="D177" i="1" s="1"/>
  <c r="D181" i="1" s="1"/>
  <c r="D152" i="1"/>
  <c r="D116" i="1" s="1"/>
  <c r="D119" i="1" s="1"/>
  <c r="D101" i="1"/>
  <c r="D170" i="1"/>
  <c r="F168" i="1"/>
  <c r="F149" i="1"/>
  <c r="F108" i="1"/>
  <c r="F109" i="1" s="1"/>
  <c r="K280" i="1"/>
  <c r="D283" i="1"/>
  <c r="D281" i="1"/>
  <c r="D280" i="1"/>
  <c r="B280" i="1"/>
  <c r="I265" i="1"/>
  <c r="D207" i="1"/>
  <c r="D206" i="1"/>
  <c r="K206" i="1"/>
  <c r="B206" i="1"/>
  <c r="K135" i="1"/>
  <c r="D136" i="1"/>
  <c r="D135" i="1"/>
  <c r="B135" i="1"/>
  <c r="K69" i="1"/>
  <c r="D70" i="1"/>
  <c r="D69" i="1"/>
  <c r="B69" i="1"/>
  <c r="I54" i="1"/>
  <c r="I53" i="1"/>
  <c r="F88" i="1"/>
  <c r="D209" i="1"/>
  <c r="D138" i="1"/>
  <c r="D72" i="1"/>
  <c r="F164" i="1"/>
  <c r="B158" i="1"/>
  <c r="B155" i="1"/>
  <c r="F147" i="1"/>
  <c r="F148" i="1" s="1"/>
  <c r="F113" i="1"/>
  <c r="B92" i="1"/>
  <c r="B101" i="1" s="1"/>
  <c r="B91" i="1"/>
  <c r="B100" i="1" s="1"/>
  <c r="B90" i="1"/>
  <c r="B99" i="1" s="1"/>
  <c r="B88" i="1"/>
  <c r="B97" i="1" s="1"/>
  <c r="B87" i="1"/>
  <c r="B96" i="1" s="1"/>
  <c r="D93" i="1"/>
  <c r="F92" i="1"/>
  <c r="F91" i="1"/>
  <c r="G90" i="1"/>
  <c r="F90" i="1"/>
  <c r="G87" i="1"/>
  <c r="F87" i="1"/>
  <c r="F15" i="1"/>
  <c r="G14" i="1" l="1"/>
  <c r="G79" i="1"/>
  <c r="G88" i="1"/>
  <c r="I88" i="1" s="1"/>
  <c r="I224" i="1"/>
  <c r="I226" i="1" s="1"/>
  <c r="I258" i="1"/>
  <c r="E248" i="1"/>
  <c r="I248" i="1" s="1"/>
  <c r="I250" i="1" s="1"/>
  <c r="D102" i="1"/>
  <c r="D121" i="1" s="1"/>
  <c r="I218" i="1"/>
  <c r="N230" i="1"/>
  <c r="E250" i="1"/>
  <c r="I79" i="1" l="1"/>
  <c r="D174" i="1"/>
  <c r="D184" i="1"/>
  <c r="D188" i="1"/>
  <c r="I188" i="1" s="1"/>
  <c r="I253" i="1"/>
  <c r="I228" i="1"/>
  <c r="G144" i="1" s="1"/>
  <c r="E232" i="1"/>
  <c r="G232" i="1" s="1"/>
  <c r="G235" i="1" s="1"/>
  <c r="I14" i="1"/>
  <c r="G113" i="1"/>
  <c r="I235" i="1" l="1"/>
  <c r="G82" i="1" s="1"/>
  <c r="I82" i="1" s="1"/>
  <c r="G17" i="1"/>
  <c r="I17" i="1" s="1"/>
  <c r="D180" i="1"/>
  <c r="D182" i="1" s="1"/>
  <c r="D190" i="1" s="1"/>
  <c r="D201" i="1" s="1"/>
  <c r="G117" i="1"/>
  <c r="I117" i="1" s="1"/>
  <c r="I97" i="1"/>
  <c r="G15" i="1"/>
  <c r="I15" i="1" s="1"/>
  <c r="G16" i="1"/>
  <c r="I16" i="1" s="1"/>
  <c r="G149" i="1"/>
  <c r="I149" i="1" s="1"/>
  <c r="G145" i="1"/>
  <c r="I145" i="1" s="1"/>
  <c r="I144" i="1"/>
  <c r="G155" i="1"/>
  <c r="I155" i="1" s="1"/>
  <c r="I113" i="1"/>
  <c r="G148" i="1" l="1"/>
  <c r="I148" i="1" s="1"/>
  <c r="G146" i="1"/>
  <c r="I146" i="1" s="1"/>
  <c r="G147" i="1"/>
  <c r="I147" i="1" s="1"/>
  <c r="I239" i="1"/>
  <c r="G91" i="1"/>
  <c r="I91" i="1" s="1"/>
  <c r="I100" i="1" s="1"/>
  <c r="I18" i="1"/>
  <c r="G157" i="1" l="1"/>
  <c r="G163" i="1" s="1"/>
  <c r="G164" i="1" s="1"/>
  <c r="I164" i="1" s="1"/>
  <c r="K239" i="1"/>
  <c r="G150" i="1" s="1"/>
  <c r="G83" i="1"/>
  <c r="I83" i="1" s="1"/>
  <c r="I84" i="1" s="1"/>
  <c r="G84" i="1" s="1"/>
  <c r="I157" i="1"/>
  <c r="G92" i="1" l="1"/>
  <c r="I92" i="1" s="1"/>
  <c r="I93" i="1" s="1"/>
  <c r="I163" i="1"/>
  <c r="G158" i="1"/>
  <c r="I158" i="1" s="1"/>
  <c r="I159" i="1" s="1"/>
  <c r="I150" i="1"/>
  <c r="I152" i="1" s="1"/>
  <c r="G166" i="1"/>
  <c r="G118" i="1"/>
  <c r="I118" i="1" s="1"/>
  <c r="I116" i="1" l="1"/>
  <c r="I101" i="1"/>
  <c r="I102" i="1" s="1"/>
  <c r="G102" i="1" s="1"/>
  <c r="I119" i="1"/>
  <c r="I166" i="1"/>
  <c r="G168" i="1"/>
  <c r="G106" i="1" l="1"/>
  <c r="G181" i="1"/>
  <c r="I181" i="1" s="1"/>
  <c r="G169" i="1"/>
  <c r="I169" i="1" s="1"/>
  <c r="I168" i="1"/>
  <c r="I110" i="1"/>
  <c r="I123" i="1" s="1"/>
  <c r="I106" i="1" l="1"/>
  <c r="G107" i="1"/>
  <c r="I170" i="1"/>
  <c r="G108" i="1" l="1"/>
  <c r="I107" i="1"/>
  <c r="G109" i="1" l="1"/>
  <c r="I109" i="1" s="1"/>
  <c r="I108" i="1"/>
  <c r="I111" i="1" l="1"/>
  <c r="I121" i="1" s="1"/>
  <c r="I184" i="1" s="1"/>
  <c r="I180" i="1" l="1"/>
  <c r="I182" i="1" s="1"/>
  <c r="I190" i="1" s="1"/>
  <c r="I201" i="1" l="1"/>
  <c r="I11" i="1" s="1"/>
  <c r="I32" i="1" l="1"/>
  <c r="D44" i="1" l="1"/>
  <c r="D49" i="1" s="1"/>
  <c r="I48" i="1" l="1"/>
  <c r="D45" i="1"/>
  <c r="D48" i="1"/>
  <c r="D50" i="1"/>
  <c r="I50" i="1"/>
  <c r="I49" i="1"/>
</calcChain>
</file>

<file path=xl/sharedStrings.xml><?xml version="1.0" encoding="utf-8"?>
<sst xmlns="http://schemas.openxmlformats.org/spreadsheetml/2006/main" count="501" uniqueCount="399">
  <si>
    <t xml:space="preserve">Formula Rate - Non-Levelized </t>
  </si>
  <si>
    <t xml:space="preserve">     Rate Formula Template</t>
  </si>
  <si>
    <t xml:space="preserve"> </t>
  </si>
  <si>
    <t xml:space="preserve"> Utilizing RUS Form 12 Data</t>
  </si>
  <si>
    <t>Line</t>
  </si>
  <si>
    <t>Allocated</t>
  </si>
  <si>
    <t>No.</t>
  </si>
  <si>
    <t>Amount</t>
  </si>
  <si>
    <t xml:space="preserve">REVENUE CREDITS </t>
  </si>
  <si>
    <t>Total</t>
  </si>
  <si>
    <t>Allocator</t>
  </si>
  <si>
    <t xml:space="preserve">  Account No. 454</t>
  </si>
  <si>
    <t>TP</t>
  </si>
  <si>
    <t xml:space="preserve">  Account No. 456</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</si>
  <si>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</si>
  <si>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</si>
  <si>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</si>
  <si>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</si>
  <si>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</si>
  <si>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</si>
  <si>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</si>
  <si>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</si>
  <si>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</si>
  <si>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</si>
  <si>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</si>
  <si>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</si>
  <si>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</si>
  <si>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</si>
  <si>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Divisor (sum lines 8-14)</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</si>
  <si>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</si>
  <si>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</si>
  <si>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</si>
  <si>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</si>
  <si>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</si>
  <si>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</si>
  <si>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</si>
  <si>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</si>
  <si>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</si>
  <si>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</si>
  <si>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 xml:space="preserve"> Short Term</t>
  </si>
  <si>
    <t xml:space="preserve"> Long Term</t>
  </si>
  <si>
    <t>(1)</t>
  </si>
  <si>
    <t>(2)</t>
  </si>
  <si>
    <t>(3)</t>
  </si>
  <si>
    <t>(4)</t>
  </si>
  <si>
    <t>(5)</t>
  </si>
  <si>
    <t>RUS Form 12</t>
  </si>
  <si>
    <t>Transmission</t>
  </si>
  <si>
    <t>Reference</t>
  </si>
  <si>
    <t>Company Total</t>
  </si>
  <si>
    <t xml:space="preserve">                  Allocator</t>
  </si>
  <si>
    <t>(Col 3 times Col 4)</t>
  </si>
  <si>
    <t>RATE BASE:</t>
  </si>
  <si>
    <t xml:space="preserve">  Production</t>
  </si>
  <si>
    <t>12h.A.6.e</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</si>
  <si>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</si>
  <si>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</si>
  <si>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</si>
  <si>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</si>
  <si>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</si>
  <si>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</si>
  <si>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</si>
  <si>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</si>
  <si>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</si>
  <si>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</si>
  <si>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</si>
  <si>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</si>
  <si>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</si>
  <si>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</si>
  <si>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</si>
  <si>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</si>
  <si>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 xml:space="preserve">LAND HELD FOR FUTURE USE </t>
  </si>
  <si>
    <t>calculated</t>
  </si>
  <si>
    <t xml:space="preserve">  Materials &amp; Supplies (Note G)</t>
  </si>
  <si>
    <t>TE</t>
  </si>
  <si>
    <t xml:space="preserve">  Prepayments</t>
  </si>
  <si>
    <t>GP</t>
  </si>
  <si>
    <t xml:space="preserve">  Transmission </t>
  </si>
  <si>
    <t xml:space="preserve">     Less Account 565</t>
  </si>
  <si>
    <t>12i.A.8.a</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</si>
  <si>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</si>
  <si>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</si>
  <si>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</si>
  <si>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</si>
  <si>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</si>
  <si>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</si>
  <si>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</si>
  <si>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</si>
  <si>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</si>
  <si>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</si>
  <si>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</si>
  <si>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</si>
  <si>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(Note K)</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</si>
  <si>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</si>
  <si>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</si>
  <si>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</si>
  <si>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</si>
  <si>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</si>
  <si>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</si>
  <si>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</si>
  <si>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</si>
  <si>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</si>
  <si>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</si>
  <si>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</si>
  <si>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</si>
  <si>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</si>
  <si>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</si>
  <si>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</si>
  <si>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</si>
  <si>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</si>
  <si>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</si>
  <si>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</si>
  <si>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</si>
  <si>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</si>
  <si>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</si>
  <si>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</si>
  <si>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</si>
  <si>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</si>
  <si>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</si>
  <si>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</si>
  <si>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</si>
  <si>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</si>
  <si>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Cost</t>
  </si>
  <si>
    <t>%</t>
  </si>
  <si>
    <t>(Note P)</t>
  </si>
  <si>
    <t>Weighted</t>
  </si>
  <si>
    <t>=WCLTD</t>
  </si>
  <si>
    <t>=R</t>
  </si>
  <si>
    <t>REVENUE CREDITS</t>
  </si>
  <si>
    <t>Load</t>
  </si>
  <si>
    <t xml:space="preserve">  a. Bundled Non-RQ Sales for Resale</t>
  </si>
  <si>
    <t>(Note Q)</t>
  </si>
  <si>
    <t xml:space="preserve">  Total of (a)-(b)</t>
  </si>
  <si>
    <t>ACCOUNT 456 (OTHER ELECTRIC REVENUES)</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</si>
  <si>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</si>
  <si>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</si>
  <si>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</si>
  <si>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</si>
  <si>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</si>
  <si>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</si>
  <si>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</si>
  <si>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</si>
  <si>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</si>
  <si>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</si>
  <si>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</si>
  <si>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</si>
  <si>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</si>
  <si>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</si>
  <si>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</si>
  <si>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</si>
  <si>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</si>
  <si>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</si>
  <si>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</si>
  <si>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</si>
  <si>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</si>
  <si>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</si>
  <si>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</si>
  <si>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</si>
  <si>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</si>
  <si>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</si>
  <si>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</si>
  <si>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</si>
  <si>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 xml:space="preserve">  Less 12 CP or Contract Demands from service over one year provided by ISO at a discount (enter negative)</t>
  </si>
  <si>
    <t>WORKING CAPITAL (Note H)</t>
  </si>
  <si>
    <t xml:space="preserve">  CWC  </t>
  </si>
  <si>
    <t xml:space="preserve">  b. Bundled Sales for Resale included in Divisor on page 1 </t>
  </si>
  <si>
    <t xml:space="preserve">  b. Transmission charges for all transmission transactions included in Divisor on page 1</t>
  </si>
  <si>
    <t xml:space="preserve">  Total  (sum lines 12-15)</t>
  </si>
  <si>
    <t>(Note T)</t>
  </si>
  <si>
    <t>zero</t>
  </si>
  <si>
    <t>5a</t>
  </si>
  <si>
    <t>Transmission plant included in ISO rates  (line 1 less lines 2 &amp; 3)</t>
  </si>
  <si>
    <t>Transmission related only.</t>
  </si>
  <si>
    <t>Removes dollar amount of transmission expenses included in the OATT ancillary services rates, including all of Account No. 561.</t>
  </si>
  <si>
    <t>Enter dollar amounts</t>
  </si>
  <si>
    <t>S</t>
  </si>
  <si>
    <t>T</t>
  </si>
  <si>
    <t>TOTAL O&amp;M  (sum lines 1, 3, 5a, 6, 7 less lines 2, 4, 5)</t>
  </si>
  <si>
    <t>page 1 of 5</t>
  </si>
  <si>
    <t>page 2 of 5</t>
  </si>
  <si>
    <t>12h.A.16.e</t>
  </si>
  <si>
    <t>12h.B.1-4.f</t>
  </si>
  <si>
    <t>12h.B.6.f</t>
  </si>
  <si>
    <t>12h.B.5.c</t>
  </si>
  <si>
    <t>Amortized Investment Tax Credit (enter negative)</t>
  </si>
  <si>
    <t>U</t>
  </si>
  <si>
    <t>V</t>
  </si>
  <si>
    <t xml:space="preserve">REV. REQUIREMENT TO BE COLLECTED UNDER </t>
  </si>
  <si>
    <t>Proprietary Capital Cost Rate =</t>
  </si>
  <si>
    <t>TIER =</t>
  </si>
  <si>
    <t>page 3 of 5</t>
  </si>
  <si>
    <t>page 4 of 5</t>
  </si>
  <si>
    <t>page 5 of 5</t>
  </si>
  <si>
    <t xml:space="preserve">  [Rate Base (page 2, line 30) * Rate of Return (page 4, line 24)]</t>
  </si>
  <si>
    <t>(Note E)</t>
  </si>
  <si>
    <t>References to data from RUS Form 12 are indicated as:   #.x.y.z  (page,section, line, column)</t>
  </si>
  <si>
    <t>To the extent the page references to RUS Form 12 are missing, the entity will include a "Notes" section in the RUS 12 to provide this data.</t>
  </si>
  <si>
    <t>(line 16 / 52; line 16 / 52)</t>
  </si>
  <si>
    <t>(line 7 / line 15)</t>
  </si>
  <si>
    <t>(line 1- line 7)</t>
  </si>
  <si>
    <t>(line 2- line 8)</t>
  </si>
  <si>
    <t>(line 3 - line 9)</t>
  </si>
  <si>
    <t>(line 4 - line 10)</t>
  </si>
  <si>
    <t>(line 5 - line 11)</t>
  </si>
  <si>
    <t xml:space="preserve">     Less EPRI &amp; Reg. Comm. Exp. &amp; Non-safety Ad.  (Note I)</t>
  </si>
  <si>
    <t>TAXES OTHER THAN INCOME TAXES  (Note J)</t>
  </si>
  <si>
    <t>Attachment GG]</t>
  </si>
  <si>
    <t>[Revenue requirement for facilities included on page 2, line 2, and also included in</t>
  </si>
  <si>
    <t>Less transmission plant excluded from ISO rates  (Note M)</t>
  </si>
  <si>
    <t>Total transmission plant  (page 2, line 2, column 3)</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</si>
  <si>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</si>
  <si>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</si>
  <si>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</si>
  <si>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</si>
  <si>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</si>
  <si>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</si>
  <si>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</si>
  <si>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17-19)</t>
  </si>
  <si>
    <t>Total  (sum lines 22-23)</t>
  </si>
  <si>
    <t>ACCOUNT 447  (SALES FOR RESALE)</t>
  </si>
  <si>
    <t>ACCOUNT 454 (RENT FROM ELECTRIC PROPERTY)  (Note R)</t>
  </si>
  <si>
    <t>FERC Annual Charge ($/MWh)</t>
  </si>
  <si>
    <t>Network &amp; P-to-P Rate ($/kW/Mo)  (line 16 / 12)</t>
  </si>
  <si>
    <t xml:space="preserve">  Less Contract Demand from Grandfathered Interzonal transactions over one year (enter negative)  (Note S)</t>
  </si>
  <si>
    <t>TOTAL GROSS PLANT  (sum lines 1-5)</t>
  </si>
  <si>
    <t>TOTAL ACCUM. DEPRECIATION  (sum lines 7-11)</t>
  </si>
  <si>
    <t>TOTAL NET PLANT  (sum lines 13-17)</t>
  </si>
  <si>
    <t>TOTAL WORKING CAPITAL  (sum lines 26 - 28)</t>
  </si>
  <si>
    <t xml:space="preserve">     Plus Transmission Related Reg. Comm. Exp.  (Note I)</t>
  </si>
  <si>
    <t>TOTAL DEPRECIATION  (sum lines 9 - 11)</t>
  </si>
  <si>
    <t>TOTAL OTHER TAXES  (sum lines 13 - 19)</t>
  </si>
  <si>
    <t>Less transmission plant included in OATT Ancillary Services  (Note N )</t>
  </si>
  <si>
    <t>Percentage of transmission plant included in ISO Rates  (line 4 divided by line 1)</t>
  </si>
  <si>
    <t>Inputs Required:</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</si>
  <si>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</si>
  <si>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</si>
  <si>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</si>
  <si>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Removes transmission plant determined by Commission order to be state-jurisdictional according to the seven-factor test (until RUS 12 balances are adjusted to reflect application of seven-factor test).</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</si>
  <si>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t>
  </si>
  <si>
    <t>Line 29 must equal zero since all short-term power sales must be unbundled and the transmission component reflected in Account No. 456 and all other uses are to be included in the divisor.</t>
  </si>
  <si>
    <t>GROSS REVENUE REQUIREMENT  (page 3, line 31)</t>
  </si>
  <si>
    <t>(line 16 / 260; line 16 / 365)</t>
  </si>
  <si>
    <t>(line 16 / 4,160; line 16 / 8,760</t>
  </si>
  <si>
    <t>Please fill out info requested in the box below</t>
  </si>
  <si>
    <t>Schedule 1 Recoverable Expenses</t>
  </si>
  <si>
    <t>Acct 561.1 - 561.3, 561.BA included in Line 7</t>
  </si>
  <si>
    <t>Acct 561.BA for Schedule 24</t>
  </si>
  <si>
    <t>Acct 561.1 - 561.3 available for Schedule 1</t>
  </si>
  <si>
    <t>Revenue Credits for Sched 1 Acct 561.1 - 561.3</t>
  </si>
  <si>
    <t>transactions &lt;1 yr</t>
  </si>
  <si>
    <t>non-firm</t>
  </si>
  <si>
    <t>transactions w/ load not in divisor</t>
  </si>
  <si>
    <t>total Revenue Credits</t>
  </si>
  <si>
    <t>Net Schedule 1 Expenses (Acct 561.1-561.3 minus Credits)</t>
  </si>
  <si>
    <t>LESS ATTACHMENT GG ADJUSTMENT [Attachment GG, page 2, line 3,</t>
  </si>
  <si>
    <t>column 10]  (Note U)</t>
  </si>
  <si>
    <t xml:space="preserve">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 </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</si>
  <si>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</si>
  <si>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</si>
  <si>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</si>
  <si>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LESS ATTACHMENT MM ADJUSTMENT [Attachment MM, page 2, line 3,</t>
  </si>
  <si>
    <t>Attachment MM]</t>
  </si>
  <si>
    <t>ATTACHMENT O (line 29 - line 30 - line 30a)</t>
  </si>
  <si>
    <t xml:space="preserve">  Total of (a)-(b)-(c)-(d)</t>
  </si>
  <si>
    <t>W</t>
  </si>
  <si>
    <t>X</t>
  </si>
  <si>
    <t>12h.A.1&amp;18.e</t>
  </si>
  <si>
    <t>O&amp;M  (Note Z)</t>
  </si>
  <si>
    <t>12a.A.8.b + A.17.b</t>
  </si>
  <si>
    <t>12a.A.14.b + A.20.b</t>
  </si>
  <si>
    <t>DEPRECIATION AND AMORTIZATION EXPENSE  (Note Y)</t>
  </si>
  <si>
    <t>12h.B.7.c &amp; 12h.B.12.c</t>
  </si>
  <si>
    <t xml:space="preserve">              Long Term Interest  12a.A.24.b</t>
  </si>
  <si>
    <t>12a.B.39</t>
  </si>
  <si>
    <t>12a.B.46 + B.47 + B.52 + B.53 + B.54</t>
  </si>
  <si>
    <t>Cash Working Capital assigned to transmission is one-eighth of O&amp;M allocated to transmission at page 3, line 8, column 5.  Prepayments are the electric related prepayments booked to Account No. 165 and reported on Section B, line 25 in the RUS 12.</t>
  </si>
  <si>
    <t>Y</t>
  </si>
  <si>
    <t>Plant in Service, Accumulated Depreciation, and Depreciation Expense amounts exclude Asset Retirement Obligation amounts unless authorized by FERC.</t>
  </si>
  <si>
    <t>Schedule 10-FERC charges should not be included in O&amp;M recovered under this Attachment O.</t>
  </si>
  <si>
    <t>Z</t>
  </si>
  <si>
    <t xml:space="preserve">       where WCLTD = (page 4, line 22) and R= (page 4, line 24)</t>
  </si>
  <si>
    <t>= WS</t>
  </si>
  <si>
    <t>The FERC's annual charges for the year assessed the Transmission Owner for service under this tariff, if any.</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</si>
  <si>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</si>
  <si>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</si>
  <si>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</si>
  <si>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</si>
  <si>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12h.B.7.f &amp; 12h.B.12.f</t>
  </si>
  <si>
    <t>column 14]  (Note W)</t>
  </si>
  <si>
    <t xml:space="preserve">  c. Transmission charges from Schedules associated with Attachment GG (Note V)</t>
  </si>
  <si>
    <t xml:space="preserve">  d. Transmission charges from Schedules associated with Attachment MM (Note X)</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</si>
  <si>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</si>
  <si>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</si>
  <si>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</si>
  <si>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</si>
  <si>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6a</t>
  </si>
  <si>
    <t>6b</t>
  </si>
  <si>
    <t>6c</t>
  </si>
  <si>
    <t>6d</t>
  </si>
  <si>
    <t>6e</t>
  </si>
  <si>
    <t>6f</t>
  </si>
  <si>
    <t>6g</t>
  </si>
  <si>
    <t>6h</t>
  </si>
  <si>
    <t>6i</t>
  </si>
  <si>
    <t>Historic Year Actual ATRR</t>
  </si>
  <si>
    <t>Historic Year Projected ATRR</t>
  </si>
  <si>
    <t>Historic Year ATRR True-Up</t>
  </si>
  <si>
    <t>(line 6a - line 6b)</t>
  </si>
  <si>
    <t>Historic Year Actual Divisor</t>
  </si>
  <si>
    <t>Historic Year Projected Divisor</t>
  </si>
  <si>
    <t>Difference in Divisor</t>
  </si>
  <si>
    <t>(line 6e - line 6d)</t>
  </si>
  <si>
    <t>Historic Year Projected Annual Cost ($/kW/Yr)</t>
  </si>
  <si>
    <t>Historic Year Divisor True-Up</t>
  </si>
  <si>
    <t>(line 6f  *  line 6g)</t>
  </si>
  <si>
    <t>Interest on Historic Year True-Up</t>
  </si>
  <si>
    <t>Dairyland Power Cooperative</t>
  </si>
  <si>
    <t>2a</t>
  </si>
  <si>
    <t>8a</t>
  </si>
  <si>
    <t>14a</t>
  </si>
  <si>
    <t xml:space="preserve">  Transmission projects with FERC approved incentives (Note AA)</t>
  </si>
  <si>
    <t>AA</t>
  </si>
  <si>
    <t>BB</t>
  </si>
  <si>
    <t>CC</t>
  </si>
  <si>
    <t>Calculated using 13 month average balance.</t>
  </si>
  <si>
    <t>23a</t>
  </si>
  <si>
    <t xml:space="preserve">  Unamortized balance of Abandoned Plant (Note BB)</t>
  </si>
  <si>
    <t>DD</t>
  </si>
  <si>
    <t>EE</t>
  </si>
  <si>
    <t>The balance reported in the RUS Form 12 at 12h.A.11.e includes all of DPC's transmission assets.  Therefore, any projects granted the use of the hypothetical capital structure (reported on page 2 of 5, line 2a) should be excluded.</t>
  </si>
  <si>
    <t>RATE BASE earning HCSR (sum lines 14a and 23a)</t>
  </si>
  <si>
    <t>9a</t>
  </si>
  <si>
    <t xml:space="preserve">  Abandonded Plant Amortization</t>
  </si>
  <si>
    <t>(Note BB)</t>
  </si>
  <si>
    <t>28a</t>
  </si>
  <si>
    <t xml:space="preserve">  [Rate Base (page 2, line 30a) * Rate of Return (page 4, line 29)]</t>
  </si>
  <si>
    <t>RETURN</t>
  </si>
  <si>
    <t>RETURN from HCSR</t>
  </si>
  <si>
    <t>Total  (sum lines 27-28)</t>
  </si>
  <si>
    <t>=HCSR</t>
  </si>
  <si>
    <t>HYPOTHETICAL CAPITAL STRUCTURE RETURN (HCSR)  (Note FF)</t>
  </si>
  <si>
    <t>FF</t>
  </si>
  <si>
    <t>Page 2, line 23a includes any unamortized balances related to the recovery of abandoned plant costs approved by FERC.  Page 3, line 9a is the annual amortization expense of abandoned plant costs approved by FERC.</t>
  </si>
  <si>
    <t>Includes the transmission gross plant in-service (line 2a, page 2 of 5), accumulated depreciation (line 8a, page 2 of 5) and net transmission plant in-service (line 14a, page 2 of 5) for the Hampton-Rochester-La Crosse (HRL) project granted a hypothetical capital structure of 65% debt and 35% equity by FERC in Docket EL13-19.</t>
  </si>
  <si>
    <t>The Hypothetical Capital Structure Return (HCSR) calculation is only applicable to the HRL project which FERC granted a hypothetical capital structure of 65% long term debt and 35% proprietary capital for the years 2016 to 2046 in Docket EL13-19.  DPC utilize the overall cost of debt, as reported on page 4 of 5, line 22, in the calculation of the WCLTD reported on line 27.</t>
  </si>
  <si>
    <t>The balance reported in the RUS Form 12 at 12h.B.5.f includes all of DPC's transmission accumulated depreciation.  Therefore, any projects granted the use of the hypothetical capital structure (reported on page 2 of 5, line 8a) should be excluded.</t>
  </si>
  <si>
    <t>Attachment O - DPC</t>
  </si>
  <si>
    <t>Attachment O- DPC</t>
  </si>
  <si>
    <t>(page 4, line 33)</t>
  </si>
  <si>
    <t>(page 4, line 36)</t>
  </si>
  <si>
    <t>(line 1 minus line 6 + line 6c + line 6h + line 6i)</t>
  </si>
  <si>
    <t>GROSS PLANT IN SERVICE  (Note Y, Note CC)</t>
  </si>
  <si>
    <t>12h.A.11.e less line 2a below (Note DD)</t>
  </si>
  <si>
    <t>ACCUMULATED DEPRECIATION  (Note Y, Note CC)</t>
  </si>
  <si>
    <t>12h.B.5.f less line 8a below (Note EE)</t>
  </si>
  <si>
    <t>ADJUSTMENTS TO RATE BASE  (Note F, Note CC)</t>
  </si>
  <si>
    <t>TOTAL ADJUSTMENTS  (sum lines 19 - 23a)</t>
  </si>
  <si>
    <t>(Note G, Note CC)</t>
  </si>
  <si>
    <t>12h.G.4.d + 5.d. (Note CC)</t>
  </si>
  <si>
    <t>12a.B.25  (Note CC)</t>
  </si>
  <si>
    <t>RATE BASE  (sum lines 18, 24, 25, and 29 less lines 14a and 23a)</t>
  </si>
  <si>
    <t>REV. REQUIREMENT  (sum lines 8, 12, 20, 27, 28, 28a)</t>
  </si>
  <si>
    <t xml:space="preserve">  Long Term Debt (Note CC)</t>
  </si>
  <si>
    <t xml:space="preserve">  Proprietary Capital  (Note CC)</t>
  </si>
  <si>
    <t>35a</t>
  </si>
  <si>
    <t>35b</t>
  </si>
  <si>
    <t xml:space="preserve">  Transmission projects with FERC approved incentives (line 2a - line 8a) (Note AA)</t>
  </si>
  <si>
    <t>DA</t>
  </si>
  <si>
    <t xml:space="preserve">  Long Term Debt (Cost of Long-Term Debt from page 4, line 22 above)</t>
  </si>
  <si>
    <t xml:space="preserve">  Proprietary Capital (From page 4, line 25 above)</t>
  </si>
  <si>
    <t>Customer</t>
  </si>
  <si>
    <t>$ Amount</t>
  </si>
  <si>
    <t>Arcadia Schedules 2-6 (not 4)</t>
  </si>
  <si>
    <t>Argyle Schedules 2-6 (not 4)</t>
  </si>
  <si>
    <t>Cashton Schedules 2-6 (not 4)</t>
  </si>
  <si>
    <t>Cumberland Schedules 2-6 (not 4)</t>
  </si>
  <si>
    <t>Elroy Schedules 2-6 (not 4)</t>
  </si>
  <si>
    <t>Fennimore Schedules 2-6 (not 4)</t>
  </si>
  <si>
    <t>Forest City Schedules 2-6 (not 4)</t>
  </si>
  <si>
    <t>GRE for output of G3</t>
  </si>
  <si>
    <t>Jo-Carroll Transmission</t>
  </si>
  <si>
    <t>La Farge Schedules 2-6 (not 4)</t>
  </si>
  <si>
    <t>Lake Mills Schedules 2-6 (not 4)</t>
  </si>
  <si>
    <t>Lanesboro  / Schedule 1-3, 5-6</t>
  </si>
  <si>
    <t>McGregor Transmission, Sched 1-3, 5-6</t>
  </si>
  <si>
    <t>Merrillan Schedules 2-6 (not 4)</t>
  </si>
  <si>
    <t>New Lisbon Schedules 2-6 (not 4)</t>
  </si>
  <si>
    <t>Osage Sched 2</t>
  </si>
  <si>
    <t>St Charles Transmission, Sched 1-3, 5-6</t>
  </si>
  <si>
    <t>Tri-County Share of Preston charge</t>
  </si>
  <si>
    <t>Viola Schedules 2-6 (not 4)</t>
  </si>
  <si>
    <t>WWMPG System Control Charge</t>
  </si>
  <si>
    <t>MISO Transmission Service</t>
  </si>
  <si>
    <t>MISO Network Service</t>
  </si>
  <si>
    <t>Transmission Revenue - 2015</t>
  </si>
  <si>
    <t>For the 12 months ended 12/31/15</t>
  </si>
  <si>
    <t>Attachment O, Page 4 line 34</t>
  </si>
  <si>
    <t>Revenue not in Load (pg 4 lines 35 and 35a)</t>
  </si>
  <si>
    <t>WWMPG STS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</si>
</sst>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
    <numFmt numFmtId="168" formatCode="0.0000"/>
    <numFmt numFmtId="169" formatCode="&quot;$&quot;#,##0"/>
    <numFmt numFmtId="170" formatCode="&quot;$&quot;#,##0.000"/>
    <numFmt numFmtId="171" formatCode="&quot;$&quot;#,##0.00"/>
    <numFmt numFmtId="172" formatCode="_(&quot;$&quot;* #,##0_);_(&quot;$&quot;* \(#,##0\);_(&quot;$&quot;* &quot;-&quot;??_);_(@_)"/>
    <numFmt numFmtId="173" formatCode="0.0%"/>
  </numFmts>
  <fonts count="40">
    <font>
      <sz val="12"/>
      <name val="Arial MT"/>
    </font>
    <font>
      <sz val="12"/>
      <name val="Times New Roman"/>
      <family val="1"/>
    </font>
    <font>
      <b/>
      <sz val="12"/>
      <name val="Times New Roman"/>
      <family val="1"/>
    </font>
    <font>
      <sz val="12"/>
      <color indexed="10"/>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color rgb="FFFF0000"/>
      <name val="Times New Roman"/>
      <family val="1"/>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4"/>
      <name val="Book Antiqua"/>
      <family val="1"/>
    </font>
    <font>
      <i/>
      <sz val="10"/>
      <name val="Book Antiqua"/>
      <family val="1"/>
    </font>
    <font>
      <sz val="10"/>
      <name val="Arial Narrow"/>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1"/>
      <color rgb="FF9C0006"/>
      <name val="Calibri"/>
      <family val="2"/>
      <scheme val="minor"/>
    </font>
    <font>
      <sz val="12"/>
      <name val="Arial MT"/>
    </font>
  </fonts>
  <fills count="8">
    <fill>
      <patternFill patternType="none"/>
    </fill>
    <fill>
      <patternFill patternType="gray125"/>
    </fill>
    <fill>
      <patternFill patternType="solid">
        <fgColor indexed="43"/>
        <bgColor indexed="64"/>
      </patternFill>
    </fill>
    <fill>
      <patternFill patternType="mediumGray">
        <fgColor indexed="22"/>
      </patternFill>
    </fill>
    <fill>
      <patternFill patternType="solid">
        <fgColor indexed="22"/>
        <bgColor indexed="64"/>
      </patternFill>
    </fill>
    <fill>
      <patternFill patternType="solid">
        <fgColor rgb="FFF9F9A7"/>
        <bgColor indexed="64"/>
      </patternFill>
    </fill>
    <fill>
      <patternFill patternType="solid">
        <fgColor rgb="FFFFC7CE"/>
      </patternFill>
    </fill>
    <fill>
      <patternFill patternType="solid">
        <fgColor theme="0"/>
        <bgColor indexed="64"/>
      </patternFill>
    </fill>
  </fills>
  <borders count="15">
    <border>
      <left/>
      <right/>
      <top/>
      <bottom/>
      <diagonal/>
    </border>
    <border>
      <left/>
      <right/>
      <top/>
      <bottom style="medium">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85">
    <xf numFmtId="171" fontId="0" fillId="0" borderId="0" applyProtection="0"/>
    <xf numFmtId="44" fontId="5" fillId="0" borderId="0" applyFont="0" applyFill="0" applyBorder="0" applyAlignment="0" applyProtection="0"/>
    <xf numFmtId="0" fontId="5" fillId="0" borderId="0"/>
    <xf numFmtId="171" fontId="10" fillId="0" borderId="0" applyFill="0"/>
    <xf numFmtId="171" fontId="10" fillId="0" borderId="0">
      <alignment horizontal="center"/>
    </xf>
    <xf numFmtId="0" fontId="10" fillId="0" borderId="0" applyFill="0">
      <alignment horizontal="center"/>
    </xf>
    <xf numFmtId="171" fontId="11" fillId="0" borderId="12" applyFill="0"/>
    <xf numFmtId="0" fontId="5" fillId="0" borderId="0" applyFont="0" applyAlignment="0"/>
    <xf numFmtId="0" fontId="12" fillId="0" borderId="0" applyFill="0">
      <alignment vertical="top"/>
    </xf>
    <xf numFmtId="0" fontId="11" fillId="0" borderId="0" applyFill="0">
      <alignment horizontal="left" vertical="top"/>
    </xf>
    <xf numFmtId="171" fontId="13" fillId="0" borderId="9" applyFill="0"/>
    <xf numFmtId="0" fontId="5" fillId="0" borderId="0" applyNumberFormat="0" applyFont="0" applyAlignment="0"/>
    <xf numFmtId="0" fontId="12" fillId="0" borderId="0" applyFill="0">
      <alignment wrapText="1"/>
    </xf>
    <xf numFmtId="0" fontId="11" fillId="0" borderId="0" applyFill="0">
      <alignment horizontal="left" vertical="top" wrapText="1"/>
    </xf>
    <xf numFmtId="171" fontId="14" fillId="0" borderId="0" applyFill="0"/>
    <xf numFmtId="0" fontId="15" fillId="0" borderId="0" applyNumberFormat="0" applyFont="0" applyAlignment="0">
      <alignment horizontal="center"/>
    </xf>
    <xf numFmtId="0" fontId="16" fillId="0" borderId="0" applyFill="0">
      <alignment vertical="top" wrapText="1"/>
    </xf>
    <xf numFmtId="0" fontId="13" fillId="0" borderId="0" applyFill="0">
      <alignment horizontal="left" vertical="top" wrapText="1"/>
    </xf>
    <xf numFmtId="171" fontId="5" fillId="0" borderId="0" applyFill="0"/>
    <xf numFmtId="0" fontId="15" fillId="0" borderId="0" applyNumberFormat="0" applyFont="0" applyAlignment="0">
      <alignment horizontal="center"/>
    </xf>
    <xf numFmtId="0" fontId="17" fillId="0" borderId="0" applyFill="0">
      <alignment vertical="center" wrapText="1"/>
    </xf>
    <xf numFmtId="0" fontId="18" fillId="0" borderId="0">
      <alignment horizontal="left" vertical="center" wrapText="1"/>
    </xf>
    <xf numFmtId="171" fontId="19" fillId="0" borderId="0" applyFill="0"/>
    <xf numFmtId="0" fontId="15" fillId="0" borderId="0" applyNumberFormat="0" applyFont="0" applyAlignment="0">
      <alignment horizontal="center"/>
    </xf>
    <xf numFmtId="0" fontId="20" fillId="0" borderId="0" applyFill="0">
      <alignment horizontal="center" vertical="center" wrapText="1"/>
    </xf>
    <xf numFmtId="0" fontId="5" fillId="0" borderId="0" applyFill="0">
      <alignment horizontal="center" vertical="center" wrapText="1"/>
    </xf>
    <xf numFmtId="171" fontId="21" fillId="0" borderId="0" applyFill="0"/>
    <xf numFmtId="0" fontId="15" fillId="0" borderId="0" applyNumberFormat="0" applyFont="0" applyAlignment="0">
      <alignment horizontal="center"/>
    </xf>
    <xf numFmtId="0" fontId="22" fillId="0" borderId="0" applyFill="0">
      <alignment horizontal="center" vertical="center" wrapText="1"/>
    </xf>
    <xf numFmtId="0" fontId="23" fillId="0" borderId="0" applyFill="0">
      <alignment horizontal="center" vertical="center" wrapText="1"/>
    </xf>
    <xf numFmtId="171" fontId="24" fillId="0" borderId="0" applyFill="0"/>
    <xf numFmtId="0" fontId="15" fillId="0" borderId="0" applyNumberFormat="0" applyFont="0" applyAlignment="0">
      <alignment horizontal="center"/>
    </xf>
    <xf numFmtId="0" fontId="25" fillId="0" borderId="0">
      <alignment horizontal="center" wrapText="1"/>
    </xf>
    <xf numFmtId="0" fontId="21" fillId="0" borderId="0" applyFill="0">
      <alignment horizontal="center" wrapText="1"/>
    </xf>
    <xf numFmtId="43" fontId="26"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0" fontId="27" fillId="0" borderId="1"/>
    <xf numFmtId="0" fontId="28" fillId="0" borderId="0"/>
    <xf numFmtId="0" fontId="29" fillId="0" borderId="0">
      <alignment vertical="top"/>
    </xf>
    <xf numFmtId="0" fontId="26" fillId="0" borderId="0" applyNumberFormat="0" applyFont="0" applyFill="0" applyBorder="0" applyAlignment="0" applyProtection="0">
      <alignment horizontal="left"/>
    </xf>
    <xf numFmtId="15" fontId="26" fillId="0" borderId="0" applyFont="0" applyFill="0" applyBorder="0" applyAlignment="0" applyProtection="0"/>
    <xf numFmtId="4" fontId="26" fillId="0" borderId="0" applyFont="0" applyFill="0" applyBorder="0" applyAlignment="0" applyProtection="0"/>
    <xf numFmtId="3" fontId="5" fillId="0" borderId="0">
      <alignment horizontal="left" vertical="top"/>
    </xf>
    <xf numFmtId="0" fontId="30" fillId="0" borderId="1">
      <alignment horizontal="center"/>
    </xf>
    <xf numFmtId="3" fontId="26" fillId="0" borderId="0" applyFont="0" applyFill="0" applyBorder="0" applyAlignment="0" applyProtection="0"/>
    <xf numFmtId="0" fontId="26" fillId="3" borderId="0" applyNumberFormat="0" applyFont="0" applyBorder="0" applyAlignment="0" applyProtection="0"/>
    <xf numFmtId="3" fontId="5" fillId="0" borderId="0">
      <alignment horizontal="right" vertical="top"/>
    </xf>
    <xf numFmtId="41" fontId="18" fillId="4" borderId="13" applyFill="0"/>
    <xf numFmtId="0" fontId="31" fillId="0" borderId="0">
      <alignment horizontal="left" indent="7"/>
    </xf>
    <xf numFmtId="41" fontId="18" fillId="0" borderId="13" applyFill="0">
      <alignment horizontal="left" indent="2"/>
    </xf>
    <xf numFmtId="171" fontId="32" fillId="0" borderId="6" applyFill="0">
      <alignment horizontal="right"/>
    </xf>
    <xf numFmtId="0" fontId="33" fillId="0" borderId="14" applyNumberFormat="0" applyFont="0" applyBorder="0">
      <alignment horizontal="right"/>
    </xf>
    <xf numFmtId="0" fontId="34" fillId="0" borderId="0" applyFill="0"/>
    <xf numFmtId="0" fontId="13" fillId="0" borderId="0" applyFill="0"/>
    <xf numFmtId="4" fontId="32" fillId="0" borderId="6" applyFill="0"/>
    <xf numFmtId="0" fontId="5" fillId="0" borderId="0" applyNumberFormat="0" applyFont="0" applyBorder="0" applyAlignment="0"/>
    <xf numFmtId="0" fontId="16" fillId="0" borderId="0" applyFill="0">
      <alignment horizontal="left" indent="1"/>
    </xf>
    <xf numFmtId="0" fontId="35" fillId="0" borderId="0" applyFill="0">
      <alignment horizontal="left" indent="1"/>
    </xf>
    <xf numFmtId="4" fontId="19" fillId="0" borderId="0" applyFill="0"/>
    <xf numFmtId="0" fontId="5" fillId="0" borderId="0" applyNumberFormat="0" applyFont="0" applyFill="0" applyBorder="0" applyAlignment="0"/>
    <xf numFmtId="0" fontId="16" fillId="0" borderId="0" applyFill="0">
      <alignment horizontal="left" indent="2"/>
    </xf>
    <xf numFmtId="0" fontId="13" fillId="0" borderId="0" applyFill="0">
      <alignment horizontal="left" indent="2"/>
    </xf>
    <xf numFmtId="4" fontId="19" fillId="0" borderId="0" applyFill="0"/>
    <xf numFmtId="0" fontId="5" fillId="0" borderId="0" applyNumberFormat="0" applyFont="0" applyBorder="0" applyAlignment="0"/>
    <xf numFmtId="0" fontId="36" fillId="0" borderId="0">
      <alignment horizontal="left" indent="3"/>
    </xf>
    <xf numFmtId="0" fontId="37" fillId="0" borderId="0" applyFill="0">
      <alignment horizontal="left" indent="3"/>
    </xf>
    <xf numFmtId="4" fontId="19" fillId="0" borderId="0" applyFill="0"/>
    <xf numFmtId="0" fontId="5" fillId="0" borderId="0" applyNumberFormat="0" applyFont="0" applyBorder="0" applyAlignment="0"/>
    <xf numFmtId="0" fontId="20" fillId="0" borderId="0">
      <alignment horizontal="left" indent="4"/>
    </xf>
    <xf numFmtId="0" fontId="5" fillId="0" borderId="0" applyFill="0">
      <alignment horizontal="left" indent="4"/>
    </xf>
    <xf numFmtId="4" fontId="21" fillId="0" borderId="0" applyFill="0"/>
    <xf numFmtId="0" fontId="5" fillId="0" borderId="0" applyNumberFormat="0" applyFont="0" applyBorder="0" applyAlignment="0"/>
    <xf numFmtId="0" fontId="22" fillId="0" borderId="0">
      <alignment horizontal="left" indent="5"/>
    </xf>
    <xf numFmtId="0" fontId="23" fillId="0" borderId="0" applyFill="0">
      <alignment horizontal="left" indent="5"/>
    </xf>
    <xf numFmtId="4" fontId="24" fillId="0" borderId="0" applyFill="0"/>
    <xf numFmtId="0" fontId="5" fillId="0" borderId="0" applyNumberFormat="0" applyFont="0" applyFill="0" applyBorder="0" applyAlignment="0"/>
    <xf numFmtId="0" fontId="25" fillId="0" borderId="0" applyFill="0">
      <alignment horizontal="left" indent="6"/>
    </xf>
    <xf numFmtId="0" fontId="21" fillId="0" borderId="0" applyFill="0">
      <alignment horizontal="left" indent="6"/>
    </xf>
    <xf numFmtId="0" fontId="38" fillId="6" borderId="0" applyNumberFormat="0" applyBorder="0" applyAlignment="0" applyProtection="0"/>
    <xf numFmtId="9" fontId="5" fillId="0" borderId="0" applyFont="0" applyFill="0" applyBorder="0" applyAlignment="0" applyProtection="0"/>
    <xf numFmtId="9" fontId="39" fillId="0" borderId="0" applyFont="0" applyFill="0" applyBorder="0" applyAlignment="0" applyProtection="0"/>
  </cellStyleXfs>
  <cellXfs count="206">
    <xf numFmtId="171" fontId="0" fillId="0" borderId="0" xfId="0" applyAlignment="1"/>
    <xf numFmtId="171" fontId="1" fillId="0" borderId="0" xfId="0" applyFont="1" applyAlignment="1"/>
    <xf numFmtId="171" fontId="1" fillId="0" borderId="0" xfId="0" applyFont="1" applyAlignment="1">
      <alignment horizontal="right"/>
    </xf>
    <xf numFmtId="0" fontId="1" fillId="0" borderId="0" xfId="0" applyNumberFormat="1" applyFont="1" applyAlignment="1" applyProtection="1">
      <protection locked="0"/>
    </xf>
    <xf numFmtId="0" fontId="1" fillId="0" borderId="0" xfId="0" applyNumberFormat="1" applyFont="1" applyAlignment="1" applyProtection="1">
      <alignment horizontal="left"/>
      <protection locked="0"/>
    </xf>
    <xf numFmtId="0" fontId="1" fillId="0" borderId="0" xfId="0" applyNumberFormat="1" applyFont="1" applyProtection="1">
      <protection locked="0"/>
    </xf>
    <xf numFmtId="0" fontId="1" fillId="0" borderId="0" xfId="0" applyNumberFormat="1" applyFont="1" applyAlignment="1" applyProtection="1">
      <alignment horizontal="right"/>
      <protection locked="0"/>
    </xf>
    <xf numFmtId="0" fontId="1" fillId="0" borderId="0" xfId="0" applyNumberFormat="1" applyFont="1"/>
    <xf numFmtId="0" fontId="1" fillId="2" borderId="0" xfId="0" applyNumberFormat="1" applyFont="1" applyFill="1" applyProtection="1">
      <protection locked="0"/>
    </xf>
    <xf numFmtId="0" fontId="1" fillId="2" borderId="0" xfId="0" applyNumberFormat="1" applyFont="1" applyFill="1"/>
    <xf numFmtId="3" fontId="1" fillId="0" borderId="0" xfId="0" applyNumberFormat="1" applyFont="1" applyAlignment="1"/>
    <xf numFmtId="0" fontId="1" fillId="0" borderId="0" xfId="0" applyNumberFormat="1" applyFont="1" applyAlignment="1" applyProtection="1">
      <alignment horizontal="center"/>
      <protection locked="0"/>
    </xf>
    <xf numFmtId="49" fontId="1" fillId="0" borderId="0" xfId="0" applyNumberFormat="1" applyFont="1"/>
    <xf numFmtId="0" fontId="1" fillId="0" borderId="1" xfId="0" applyNumberFormat="1" applyFont="1" applyBorder="1" applyAlignment="1" applyProtection="1">
      <alignment horizontal="center"/>
      <protection locked="0"/>
    </xf>
    <xf numFmtId="3" fontId="1" fillId="0" borderId="0" xfId="0" applyNumberFormat="1" applyFont="1"/>
    <xf numFmtId="0" fontId="1" fillId="0" borderId="0" xfId="0" applyNumberFormat="1" applyFont="1" applyAlignment="1"/>
    <xf numFmtId="0" fontId="1" fillId="0" borderId="1" xfId="0" applyNumberFormat="1" applyFont="1" applyBorder="1" applyAlignment="1" applyProtection="1">
      <alignment horizontal="centerContinuous"/>
      <protection locked="0"/>
    </xf>
    <xf numFmtId="166" fontId="1" fillId="0" borderId="0" xfId="0" applyNumberFormat="1" applyFont="1" applyAlignment="1"/>
    <xf numFmtId="3" fontId="1" fillId="2" borderId="0" xfId="0" applyNumberFormat="1" applyFont="1" applyFill="1"/>
    <xf numFmtId="3" fontId="1" fillId="0" borderId="1" xfId="0" applyNumberFormat="1" applyFont="1" applyBorder="1" applyAlignment="1"/>
    <xf numFmtId="3" fontId="1" fillId="0" borderId="0" xfId="0" applyNumberFormat="1" applyFont="1" applyAlignment="1">
      <alignment horizontal="fill"/>
    </xf>
    <xf numFmtId="3" fontId="1" fillId="0" borderId="0" xfId="0" applyNumberFormat="1" applyFont="1" applyFill="1" applyBorder="1"/>
    <xf numFmtId="3" fontId="1" fillId="2" borderId="0" xfId="0" applyNumberFormat="1" applyFont="1" applyFill="1" applyBorder="1"/>
    <xf numFmtId="3" fontId="1" fillId="2" borderId="1" xfId="0" applyNumberFormat="1" applyFont="1" applyFill="1" applyBorder="1"/>
    <xf numFmtId="167" fontId="1" fillId="0" borderId="0" xfId="0" applyNumberFormat="1" applyFont="1"/>
    <xf numFmtId="167" fontId="1" fillId="0" borderId="0" xfId="0" applyNumberFormat="1" applyFont="1" applyAlignment="1">
      <alignment horizontal="center"/>
    </xf>
    <xf numFmtId="171" fontId="1" fillId="0" borderId="0" xfId="0" applyFont="1" applyAlignment="1">
      <alignment horizontal="center"/>
    </xf>
    <xf numFmtId="170" fontId="1" fillId="0" borderId="0" xfId="0" applyNumberFormat="1" applyFont="1" applyAlignment="1"/>
    <xf numFmtId="170" fontId="1" fillId="2" borderId="0" xfId="0" applyNumberFormat="1" applyFont="1" applyFill="1" applyProtection="1">
      <protection locked="0"/>
    </xf>
    <xf numFmtId="170" fontId="1" fillId="0" borderId="0" xfId="0" applyNumberFormat="1" applyFont="1" applyProtection="1">
      <protection locked="0"/>
    </xf>
    <xf numFmtId="0" fontId="1" fillId="0" borderId="0" xfId="0" applyNumberFormat="1" applyFont="1" applyAlignment="1">
      <alignment horizontal="left"/>
    </xf>
    <xf numFmtId="0" fontId="1" fillId="0" borderId="0" xfId="0" applyNumberFormat="1" applyFont="1" applyAlignment="1">
      <alignment horizontal="center"/>
    </xf>
    <xf numFmtId="49" fontId="1" fillId="0" borderId="0" xfId="0" applyNumberFormat="1" applyFont="1" applyAlignment="1">
      <alignment horizontal="left"/>
    </xf>
    <xf numFmtId="49" fontId="1" fillId="0" borderId="0" xfId="0" applyNumberFormat="1" applyFont="1" applyAlignment="1">
      <alignment horizontal="center"/>
    </xf>
    <xf numFmtId="3" fontId="2" fillId="0" borderId="0" xfId="0" applyNumberFormat="1" applyFont="1" applyAlignment="1">
      <alignment horizontal="center"/>
    </xf>
    <xf numFmtId="0" fontId="2" fillId="0" borderId="0" xfId="0" applyNumberFormat="1" applyFont="1" applyAlignment="1" applyProtection="1">
      <alignment horizontal="center"/>
      <protection locked="0"/>
    </xf>
    <xf numFmtId="171" fontId="2" fillId="0" borderId="0" xfId="0" applyFont="1" applyAlignment="1">
      <alignment horizontal="center"/>
    </xf>
    <xf numFmtId="3" fontId="2" fillId="0" borderId="0" xfId="0" applyNumberFormat="1" applyFont="1" applyAlignment="1"/>
    <xf numFmtId="0" fontId="2" fillId="0" borderId="0" xfId="0" applyNumberFormat="1" applyFont="1" applyAlignment="1"/>
    <xf numFmtId="3" fontId="1" fillId="2" borderId="0" xfId="0" applyNumberFormat="1" applyFont="1" applyFill="1" applyBorder="1" applyAlignment="1"/>
    <xf numFmtId="165" fontId="1" fillId="0" borderId="0" xfId="0" applyNumberFormat="1" applyFont="1" applyAlignment="1"/>
    <xf numFmtId="3" fontId="1" fillId="2" borderId="1" xfId="0" applyNumberFormat="1" applyFont="1" applyFill="1" applyBorder="1" applyAlignment="1"/>
    <xf numFmtId="164" fontId="1" fillId="0" borderId="0" xfId="0" applyNumberFormat="1" applyFont="1" applyAlignment="1">
      <alignment horizontal="center"/>
    </xf>
    <xf numFmtId="3" fontId="1" fillId="2" borderId="0" xfId="0" applyNumberFormat="1" applyFont="1" applyFill="1" applyAlignment="1"/>
    <xf numFmtId="165" fontId="1" fillId="0" borderId="0" xfId="0" applyNumberFormat="1" applyFont="1" applyAlignment="1">
      <alignment horizontal="right"/>
    </xf>
    <xf numFmtId="171" fontId="1" fillId="0" borderId="1" xfId="0" applyFont="1" applyBorder="1" applyAlignment="1"/>
    <xf numFmtId="3" fontId="1" fillId="0" borderId="2" xfId="0" applyNumberFormat="1" applyFont="1" applyBorder="1" applyAlignment="1"/>
    <xf numFmtId="3" fontId="1" fillId="0" borderId="0" xfId="0" applyNumberFormat="1" applyFont="1" applyBorder="1" applyAlignment="1"/>
    <xf numFmtId="3" fontId="1" fillId="0" borderId="0" xfId="0" applyNumberFormat="1" applyFont="1" applyFill="1" applyAlignment="1">
      <alignment horizontal="right"/>
    </xf>
    <xf numFmtId="166" fontId="1" fillId="0" borderId="0" xfId="0" applyNumberFormat="1" applyFont="1" applyAlignment="1">
      <alignment horizontal="right"/>
    </xf>
    <xf numFmtId="10" fontId="1" fillId="0" borderId="0" xfId="0" applyNumberFormat="1" applyFont="1" applyAlignment="1">
      <alignment horizontal="left"/>
    </xf>
    <xf numFmtId="166" fontId="1" fillId="0" borderId="0" xfId="0" applyNumberFormat="1" applyFont="1" applyAlignment="1">
      <alignment horizontal="center"/>
    </xf>
    <xf numFmtId="164" fontId="1" fillId="0" borderId="0" xfId="0" applyNumberFormat="1" applyFont="1" applyAlignment="1">
      <alignment horizontal="left"/>
    </xf>
    <xf numFmtId="10" fontId="1" fillId="0" borderId="0" xfId="0" applyNumberFormat="1" applyFont="1" applyFill="1" applyAlignment="1">
      <alignment horizontal="right"/>
    </xf>
    <xf numFmtId="168" fontId="1" fillId="0" borderId="0" xfId="0" applyNumberFormat="1" applyFont="1" applyFill="1" applyAlignment="1">
      <alignment horizontal="right"/>
    </xf>
    <xf numFmtId="164" fontId="1" fillId="0" borderId="0" xfId="0" applyNumberFormat="1" applyFont="1" applyAlignment="1" applyProtection="1">
      <alignment horizontal="left"/>
      <protection locked="0"/>
    </xf>
    <xf numFmtId="0" fontId="1" fillId="0" borderId="1" xfId="0" applyNumberFormat="1" applyFont="1" applyBorder="1" applyProtection="1">
      <protection locked="0"/>
    </xf>
    <xf numFmtId="0" fontId="1" fillId="0" borderId="1" xfId="0" applyNumberFormat="1" applyFont="1" applyBorder="1"/>
    <xf numFmtId="3" fontId="1" fillId="0" borderId="0" xfId="0" applyNumberFormat="1" applyFont="1" applyAlignment="1">
      <alignment horizontal="center"/>
    </xf>
    <xf numFmtId="49" fontId="1" fillId="0" borderId="0" xfId="0" applyNumberFormat="1" applyFont="1" applyAlignment="1"/>
    <xf numFmtId="3" fontId="1" fillId="0" borderId="1" xfId="0" applyNumberFormat="1" applyFont="1" applyBorder="1" applyAlignment="1">
      <alignment horizontal="center"/>
    </xf>
    <xf numFmtId="4" fontId="1" fillId="0" borderId="0" xfId="0" applyNumberFormat="1" applyFont="1" applyAlignment="1"/>
    <xf numFmtId="3" fontId="1" fillId="0" borderId="0" xfId="0" applyNumberFormat="1" applyFont="1" applyBorder="1" applyAlignment="1">
      <alignment horizontal="center"/>
    </xf>
    <xf numFmtId="166" fontId="1" fillId="0" borderId="0" xfId="0" applyNumberFormat="1" applyFont="1" applyAlignment="1" applyProtection="1">
      <alignment horizontal="center"/>
      <protection locked="0"/>
    </xf>
    <xf numFmtId="0" fontId="1" fillId="0" borderId="1" xfId="0" applyNumberFormat="1" applyFont="1" applyBorder="1" applyAlignment="1"/>
    <xf numFmtId="169" fontId="1" fillId="2" borderId="0" xfId="0" applyNumberFormat="1" applyFont="1" applyFill="1" applyAlignment="1"/>
    <xf numFmtId="9" fontId="1" fillId="0" borderId="0" xfId="0" applyNumberFormat="1" applyFont="1" applyAlignment="1"/>
    <xf numFmtId="168" fontId="1" fillId="0" borderId="0" xfId="0" applyNumberFormat="1" applyFont="1" applyAlignment="1"/>
    <xf numFmtId="3" fontId="1" fillId="0" borderId="0" xfId="0" quotePrefix="1" applyNumberFormat="1" applyFont="1" applyAlignment="1"/>
    <xf numFmtId="168" fontId="1" fillId="0" borderId="1" xfId="0" applyNumberFormat="1" applyFont="1" applyBorder="1" applyAlignment="1"/>
    <xf numFmtId="10" fontId="1" fillId="2" borderId="0" xfId="0" applyNumberFormat="1" applyFont="1" applyFill="1" applyAlignment="1"/>
    <xf numFmtId="0" fontId="3" fillId="0" borderId="0" xfId="0" applyNumberFormat="1" applyFont="1" applyProtection="1">
      <protection locked="0"/>
    </xf>
    <xf numFmtId="171" fontId="3" fillId="0" borderId="0" xfId="0" applyFont="1" applyAlignment="1"/>
    <xf numFmtId="171" fontId="1" fillId="0" borderId="0" xfId="0" applyFont="1" applyFill="1" applyAlignment="1" applyProtection="1"/>
    <xf numFmtId="169" fontId="1" fillId="0" borderId="0" xfId="0" applyNumberFormat="1" applyFont="1" applyFill="1" applyBorder="1" applyProtection="1"/>
    <xf numFmtId="1" fontId="1" fillId="0" borderId="0" xfId="0" applyNumberFormat="1" applyFont="1" applyFill="1" applyProtection="1"/>
    <xf numFmtId="169" fontId="1" fillId="2" borderId="0" xfId="0" applyNumberFormat="1" applyFont="1" applyFill="1" applyBorder="1" applyProtection="1"/>
    <xf numFmtId="1" fontId="1" fillId="0" borderId="0" xfId="0" applyNumberFormat="1" applyFont="1" applyFill="1" applyAlignment="1" applyProtection="1"/>
    <xf numFmtId="3" fontId="1" fillId="0" borderId="0" xfId="0" applyNumberFormat="1" applyFont="1" applyAlignment="1" applyProtection="1"/>
    <xf numFmtId="171" fontId="1" fillId="0" borderId="0" xfId="0" applyNumberFormat="1" applyFont="1" applyAlignment="1" applyProtection="1">
      <protection locked="0"/>
    </xf>
    <xf numFmtId="3" fontId="1" fillId="0" borderId="0" xfId="0" applyNumberFormat="1" applyFont="1" applyFill="1" applyAlignment="1" applyProtection="1"/>
    <xf numFmtId="169" fontId="1" fillId="0" borderId="0" xfId="0" applyNumberFormat="1" applyFont="1" applyProtection="1">
      <protection locked="0"/>
    </xf>
    <xf numFmtId="0" fontId="1" fillId="0" borderId="0" xfId="0" applyNumberFormat="1" applyFont="1" applyAlignment="1">
      <alignment horizontal="right"/>
    </xf>
    <xf numFmtId="170" fontId="1" fillId="0" borderId="0" xfId="0" applyNumberFormat="1" applyFont="1" applyFill="1" applyProtection="1">
      <protection locked="0"/>
    </xf>
    <xf numFmtId="0" fontId="1" fillId="0" borderId="0" xfId="0" applyNumberFormat="1" applyFont="1" applyBorder="1" applyProtection="1">
      <protection locked="0"/>
    </xf>
    <xf numFmtId="0" fontId="1" fillId="0" borderId="0" xfId="0" applyNumberFormat="1" applyFont="1" applyBorder="1" applyAlignment="1" applyProtection="1">
      <protection locked="0"/>
    </xf>
    <xf numFmtId="3" fontId="3" fillId="0" borderId="0" xfId="0" applyNumberFormat="1" applyFont="1" applyAlignment="1"/>
    <xf numFmtId="0" fontId="3" fillId="0" borderId="0" xfId="0" applyNumberFormat="1" applyFont="1" applyFill="1"/>
    <xf numFmtId="10" fontId="3" fillId="0" borderId="0" xfId="0" applyNumberFormat="1" applyFont="1" applyFill="1"/>
    <xf numFmtId="3" fontId="1" fillId="0" borderId="0" xfId="0" applyNumberFormat="1" applyFont="1" applyAlignment="1">
      <alignment horizontal="right"/>
    </xf>
    <xf numFmtId="0" fontId="1" fillId="0" borderId="0" xfId="0" applyNumberFormat="1" applyFont="1" applyAlignment="1" applyProtection="1">
      <alignment horizontal="left" indent="8"/>
      <protection locked="0"/>
    </xf>
    <xf numFmtId="0" fontId="1" fillId="2" borderId="0" xfId="0" applyNumberFormat="1" applyFont="1" applyFill="1" applyAlignment="1" applyProtection="1">
      <alignment horizontal="right"/>
      <protection locked="0"/>
    </xf>
    <xf numFmtId="171" fontId="1" fillId="2" borderId="0" xfId="0" applyFont="1" applyFill="1" applyAlignment="1"/>
    <xf numFmtId="169" fontId="1" fillId="0" borderId="0" xfId="0" applyNumberFormat="1" applyFont="1" applyAlignment="1" applyProtection="1">
      <alignment horizontal="right"/>
      <protection locked="0"/>
    </xf>
    <xf numFmtId="171" fontId="1" fillId="0" borderId="0" xfId="0" applyFont="1" applyBorder="1" applyAlignment="1"/>
    <xf numFmtId="9" fontId="1" fillId="0" borderId="1" xfId="0" applyNumberFormat="1" applyFont="1" applyBorder="1" applyAlignment="1"/>
    <xf numFmtId="0" fontId="1" fillId="0" borderId="0" xfId="0" applyNumberFormat="1" applyFont="1" applyAlignment="1" applyProtection="1">
      <alignment horizontal="center" vertical="top" wrapText="1"/>
      <protection locked="0"/>
    </xf>
    <xf numFmtId="0" fontId="1" fillId="0" borderId="0" xfId="0" applyNumberFormat="1" applyFont="1" applyFill="1" applyAlignment="1" applyProtection="1">
      <alignment horizontal="left" vertical="top" wrapText="1"/>
      <protection locked="0"/>
    </xf>
    <xf numFmtId="171" fontId="1" fillId="0" borderId="0" xfId="0" applyFont="1" applyAlignment="1">
      <alignment horizontal="center" vertical="top" wrapText="1"/>
    </xf>
    <xf numFmtId="171" fontId="4" fillId="0" borderId="0" xfId="0" applyFont="1" applyAlignment="1"/>
    <xf numFmtId="0" fontId="0" fillId="0" borderId="0" xfId="0" applyNumberFormat="1" applyFont="1" applyAlignment="1"/>
    <xf numFmtId="171" fontId="0" fillId="0" borderId="0" xfId="0" applyFont="1" applyAlignment="1"/>
    <xf numFmtId="3" fontId="0" fillId="0" borderId="0" xfId="0" applyNumberFormat="1" applyFont="1" applyAlignment="1"/>
    <xf numFmtId="171" fontId="0" fillId="0" borderId="3" xfId="0" applyBorder="1" applyAlignment="1"/>
    <xf numFmtId="171" fontId="0" fillId="0" borderId="0" xfId="0" applyFont="1" applyBorder="1" applyAlignment="1"/>
    <xf numFmtId="3" fontId="0" fillId="0" borderId="0" xfId="0" applyNumberFormat="1" applyFont="1" applyBorder="1" applyAlignment="1"/>
    <xf numFmtId="0" fontId="0" fillId="0" borderId="0" xfId="0" applyNumberFormat="1" applyFont="1" applyBorder="1" applyAlignment="1"/>
    <xf numFmtId="171" fontId="0" fillId="0" borderId="4" xfId="0" applyFont="1" applyBorder="1" applyAlignment="1"/>
    <xf numFmtId="172" fontId="0" fillId="0" borderId="3" xfId="1" applyNumberFormat="1" applyFont="1" applyFill="1" applyBorder="1" applyAlignment="1"/>
    <xf numFmtId="3" fontId="6" fillId="0" borderId="0" xfId="0" applyNumberFormat="1" applyFont="1" applyBorder="1" applyAlignment="1"/>
    <xf numFmtId="171" fontId="6" fillId="0" borderId="0" xfId="0" applyFont="1" applyAlignment="1"/>
    <xf numFmtId="171" fontId="7" fillId="0" borderId="0" xfId="0" applyFont="1" applyAlignment="1"/>
    <xf numFmtId="171" fontId="0" fillId="0" borderId="4" xfId="0" applyBorder="1" applyAlignment="1"/>
    <xf numFmtId="169" fontId="0" fillId="0" borderId="3" xfId="0" applyNumberFormat="1" applyBorder="1" applyAlignment="1"/>
    <xf numFmtId="0" fontId="0" fillId="0" borderId="3" xfId="0" applyNumberFormat="1" applyFont="1" applyBorder="1" applyAlignment="1"/>
    <xf numFmtId="171" fontId="8" fillId="0" borderId="0" xfId="0" applyFont="1" applyBorder="1"/>
    <xf numFmtId="171" fontId="6" fillId="0" borderId="0" xfId="0" applyFont="1" applyBorder="1"/>
    <xf numFmtId="172" fontId="0" fillId="2" borderId="3" xfId="1" applyNumberFormat="1" applyFont="1" applyFill="1" applyBorder="1" applyAlignment="1"/>
    <xf numFmtId="171" fontId="0" fillId="0" borderId="0" xfId="0" applyBorder="1" applyAlignment="1"/>
    <xf numFmtId="172" fontId="0" fillId="2" borderId="5" xfId="1" applyNumberFormat="1" applyFont="1" applyFill="1" applyBorder="1" applyAlignment="1"/>
    <xf numFmtId="171" fontId="6" fillId="0" borderId="0" xfId="0" applyFont="1" applyBorder="1" applyAlignment="1">
      <alignment horizontal="left" wrapText="1"/>
    </xf>
    <xf numFmtId="171" fontId="6" fillId="0" borderId="0" xfId="0" applyFont="1" applyBorder="1" applyAlignment="1"/>
    <xf numFmtId="169" fontId="0" fillId="0" borderId="5" xfId="0" applyNumberFormat="1" applyFont="1" applyBorder="1" applyAlignment="1"/>
    <xf numFmtId="171" fontId="6" fillId="0" borderId="6" xfId="0" applyFont="1" applyBorder="1" applyAlignment="1"/>
    <xf numFmtId="3" fontId="0" fillId="0" borderId="6" xfId="0" applyNumberFormat="1" applyFont="1" applyBorder="1" applyAlignment="1"/>
    <xf numFmtId="0" fontId="0" fillId="0" borderId="6" xfId="0" applyNumberFormat="1" applyFont="1" applyBorder="1" applyAlignment="1"/>
    <xf numFmtId="171" fontId="0" fillId="0" borderId="6" xfId="0" applyFont="1" applyBorder="1" applyAlignment="1"/>
    <xf numFmtId="171" fontId="0" fillId="0" borderId="7" xfId="0" applyFont="1" applyBorder="1" applyAlignment="1"/>
    <xf numFmtId="0" fontId="1" fillId="0" borderId="0" xfId="0" applyNumberFormat="1" applyFont="1" applyFill="1" applyAlignment="1" applyProtection="1">
      <alignment horizontal="center"/>
      <protection locked="0"/>
    </xf>
    <xf numFmtId="171" fontId="1" fillId="0" borderId="0" xfId="0" applyFont="1" applyFill="1" applyAlignment="1"/>
    <xf numFmtId="3" fontId="1" fillId="0" borderId="0" xfId="0" applyNumberFormat="1" applyFont="1" applyFill="1" applyAlignment="1"/>
    <xf numFmtId="0" fontId="1" fillId="0" borderId="0" xfId="0" applyNumberFormat="1" applyFont="1" applyFill="1"/>
    <xf numFmtId="0" fontId="1" fillId="0" borderId="0" xfId="0" applyNumberFormat="1" applyFont="1" applyAlignment="1"/>
    <xf numFmtId="171" fontId="1" fillId="0" borderId="0" xfId="0" applyFont="1" applyAlignment="1">
      <alignment horizontal="center" vertical="top"/>
    </xf>
    <xf numFmtId="0" fontId="1" fillId="0" borderId="0" xfId="0" applyNumberFormat="1" applyFont="1" applyFill="1" applyAlignment="1">
      <alignment horizontal="left" vertical="top"/>
    </xf>
    <xf numFmtId="0" fontId="1" fillId="0" borderId="0" xfId="0" applyNumberFormat="1" applyFont="1" applyFill="1" applyAlignment="1">
      <alignment vertical="top"/>
    </xf>
    <xf numFmtId="0" fontId="1" fillId="0" borderId="0" xfId="0" applyNumberFormat="1" applyFont="1" applyFill="1" applyAlignment="1" applyProtection="1">
      <alignment vertical="top" wrapText="1"/>
      <protection locked="0"/>
    </xf>
    <xf numFmtId="0" fontId="1" fillId="0" borderId="0" xfId="0" applyNumberFormat="1" applyFont="1" applyFill="1" applyAlignment="1"/>
    <xf numFmtId="0" fontId="1" fillId="0" borderId="0" xfId="0" applyNumberFormat="1" applyFont="1" applyFill="1" applyBorder="1" applyAlignment="1" applyProtection="1">
      <protection locked="0"/>
    </xf>
    <xf numFmtId="0" fontId="1" fillId="0" borderId="0" xfId="0" applyNumberFormat="1" applyFont="1" applyFill="1" applyBorder="1" applyProtection="1">
      <protection locked="0"/>
    </xf>
    <xf numFmtId="0" fontId="1" fillId="0" borderId="1" xfId="0" applyNumberFormat="1" applyFont="1" applyFill="1" applyBorder="1" applyAlignment="1" applyProtection="1">
      <protection locked="0"/>
    </xf>
    <xf numFmtId="0" fontId="1" fillId="0" borderId="1" xfId="0" applyNumberFormat="1" applyFont="1" applyFill="1" applyBorder="1" applyProtection="1">
      <protection locked="0"/>
    </xf>
    <xf numFmtId="10" fontId="1" fillId="0" borderId="0" xfId="0" applyNumberFormat="1" applyFont="1" applyFill="1" applyAlignment="1" applyProtection="1">
      <alignment vertical="top" wrapText="1"/>
      <protection locked="0"/>
    </xf>
    <xf numFmtId="3" fontId="1" fillId="0" borderId="0" xfId="0" applyNumberFormat="1" applyFont="1" applyFill="1" applyAlignment="1">
      <alignment vertical="top" wrapText="1"/>
    </xf>
    <xf numFmtId="10" fontId="1" fillId="0" borderId="0" xfId="0" applyNumberFormat="1" applyFont="1" applyFill="1"/>
    <xf numFmtId="0" fontId="1" fillId="0" borderId="0" xfId="0" applyNumberFormat="1" applyFont="1" applyFill="1" applyProtection="1">
      <protection locked="0"/>
    </xf>
    <xf numFmtId="0" fontId="1" fillId="0" borderId="0" xfId="2" applyNumberFormat="1" applyFont="1" applyFill="1"/>
    <xf numFmtId="0" fontId="1" fillId="0" borderId="0" xfId="2" applyFont="1" applyFill="1" applyAlignment="1"/>
    <xf numFmtId="0" fontId="1" fillId="0" borderId="0" xfId="2" applyNumberFormat="1" applyFont="1" applyFill="1" applyAlignment="1">
      <alignment horizontal="center"/>
    </xf>
    <xf numFmtId="0" fontId="9" fillId="0" borderId="0" xfId="0" applyNumberFormat="1" applyFont="1"/>
    <xf numFmtId="0" fontId="1" fillId="0" borderId="0" xfId="0" quotePrefix="1" applyNumberFormat="1" applyFont="1" applyAlignment="1" applyProtection="1">
      <alignment horizontal="center"/>
      <protection locked="0"/>
    </xf>
    <xf numFmtId="3" fontId="18" fillId="2" borderId="0" xfId="0" applyNumberFormat="1" applyFont="1" applyFill="1" applyAlignment="1"/>
    <xf numFmtId="3" fontId="18" fillId="2" borderId="1" xfId="0" applyNumberFormat="1" applyFont="1" applyFill="1" applyBorder="1" applyAlignment="1"/>
    <xf numFmtId="171" fontId="18" fillId="0" borderId="0" xfId="0" applyFont="1" applyAlignment="1"/>
    <xf numFmtId="49" fontId="1" fillId="0" borderId="0" xfId="0" applyNumberFormat="1" applyFont="1" applyFill="1"/>
    <xf numFmtId="0" fontId="18" fillId="2" borderId="0" xfId="2" applyFont="1" applyFill="1" applyAlignment="1"/>
    <xf numFmtId="0" fontId="18" fillId="2" borderId="1" xfId="2" applyFont="1" applyFill="1" applyBorder="1" applyAlignment="1"/>
    <xf numFmtId="0" fontId="18" fillId="0" borderId="0" xfId="2" applyFont="1" applyFill="1" applyBorder="1" applyAlignment="1"/>
    <xf numFmtId="0" fontId="5" fillId="0" borderId="0" xfId="2" applyFont="1" applyFill="1" applyAlignment="1"/>
    <xf numFmtId="0" fontId="18" fillId="0" borderId="0" xfId="2" applyFont="1" applyFill="1" applyAlignment="1"/>
    <xf numFmtId="0" fontId="5" fillId="0" borderId="0" xfId="2" applyFont="1" applyFill="1" applyBorder="1" applyAlignment="1"/>
    <xf numFmtId="0" fontId="18" fillId="2" borderId="0" xfId="2" applyFont="1" applyFill="1" applyBorder="1" applyAlignment="1"/>
    <xf numFmtId="3" fontId="1" fillId="0" borderId="11" xfId="0" applyNumberFormat="1" applyFont="1" applyBorder="1" applyAlignment="1"/>
    <xf numFmtId="0" fontId="1" fillId="0" borderId="0" xfId="0" applyNumberFormat="1" applyFont="1" applyAlignment="1">
      <alignment horizontal="center" vertical="top"/>
    </xf>
    <xf numFmtId="0" fontId="1" fillId="0" borderId="0" xfId="0" applyNumberFormat="1" applyFont="1" applyAlignment="1" applyProtection="1">
      <alignment horizontal="center" vertical="top"/>
      <protection locked="0"/>
    </xf>
    <xf numFmtId="0" fontId="1" fillId="0" borderId="0" xfId="0" quotePrefix="1" applyNumberFormat="1" applyFont="1" applyAlignment="1"/>
    <xf numFmtId="165" fontId="1" fillId="0" borderId="0" xfId="0" applyNumberFormat="1" applyFont="1" applyFill="1" applyAlignment="1"/>
    <xf numFmtId="169" fontId="1" fillId="2" borderId="1" xfId="0" applyNumberFormat="1" applyFont="1" applyFill="1" applyBorder="1" applyProtection="1"/>
    <xf numFmtId="3" fontId="18" fillId="0" borderId="11" xfId="0" applyNumberFormat="1" applyFont="1" applyFill="1" applyBorder="1" applyAlignment="1"/>
    <xf numFmtId="42" fontId="1" fillId="5" borderId="2" xfId="0" applyNumberFormat="1" applyFont="1" applyFill="1" applyBorder="1" applyAlignment="1" applyProtection="1">
      <alignment horizontal="right"/>
      <protection locked="0"/>
    </xf>
    <xf numFmtId="3" fontId="1" fillId="0" borderId="1" xfId="0" applyNumberFormat="1" applyFont="1" applyFill="1" applyBorder="1" applyAlignment="1"/>
    <xf numFmtId="171" fontId="1" fillId="0" borderId="1" xfId="0" applyFont="1" applyFill="1" applyBorder="1" applyAlignment="1"/>
    <xf numFmtId="3" fontId="1" fillId="0" borderId="2" xfId="0" applyNumberFormat="1" applyFont="1" applyFill="1" applyBorder="1" applyAlignment="1"/>
    <xf numFmtId="3" fontId="1" fillId="0" borderId="0" xfId="0" applyNumberFormat="1" applyFont="1" applyFill="1" applyBorder="1" applyAlignment="1"/>
    <xf numFmtId="3" fontId="1" fillId="5" borderId="0" xfId="0" applyNumberFormat="1" applyFont="1" applyFill="1" applyBorder="1" applyAlignment="1"/>
    <xf numFmtId="3" fontId="1" fillId="5" borderId="2" xfId="0" applyNumberFormat="1" applyFont="1" applyFill="1" applyBorder="1" applyAlignment="1"/>
    <xf numFmtId="3" fontId="1" fillId="5" borderId="1" xfId="0" applyNumberFormat="1" applyFont="1" applyFill="1" applyBorder="1" applyAlignment="1"/>
    <xf numFmtId="165" fontId="1" fillId="0" borderId="0" xfId="0" applyNumberFormat="1" applyFont="1" applyFill="1"/>
    <xf numFmtId="166" fontId="1" fillId="0" borderId="0" xfId="0" applyNumberFormat="1" applyFont="1" applyFill="1"/>
    <xf numFmtId="0" fontId="1" fillId="0" borderId="0" xfId="0" applyNumberFormat="1" applyFont="1" applyAlignment="1">
      <alignment horizontal="center"/>
    </xf>
    <xf numFmtId="168" fontId="1" fillId="0" borderId="0" xfId="0" applyNumberFormat="1" applyFont="1" applyFill="1" applyAlignment="1"/>
    <xf numFmtId="171" fontId="14" fillId="0" borderId="0" xfId="0" applyFont="1"/>
    <xf numFmtId="171" fontId="37" fillId="0" borderId="0" xfId="0" applyFont="1"/>
    <xf numFmtId="9" fontId="37" fillId="0" borderId="0" xfId="83" applyFont="1"/>
    <xf numFmtId="171" fontId="14" fillId="0" borderId="0" xfId="0" applyFont="1" applyAlignment="1">
      <alignment horizontal="center"/>
    </xf>
    <xf numFmtId="171" fontId="37" fillId="0" borderId="0" xfId="0" applyFont="1" applyAlignment="1">
      <alignment wrapText="1"/>
    </xf>
    <xf numFmtId="5" fontId="37" fillId="0" borderId="0" xfId="82" applyNumberFormat="1" applyFont="1" applyFill="1" applyAlignment="1">
      <alignment horizontal="center"/>
    </xf>
    <xf numFmtId="5" fontId="37" fillId="0" borderId="0" xfId="0" applyNumberFormat="1" applyFont="1"/>
    <xf numFmtId="171" fontId="37" fillId="0" borderId="0" xfId="0" applyFont="1" applyFill="1" applyAlignment="1">
      <alignment wrapText="1"/>
    </xf>
    <xf numFmtId="5" fontId="37" fillId="0" borderId="6" xfId="0" applyNumberFormat="1" applyFont="1" applyBorder="1"/>
    <xf numFmtId="171" fontId="37" fillId="0" borderId="0" xfId="0" applyFont="1" applyAlignment="1">
      <alignment horizontal="right" wrapText="1"/>
    </xf>
    <xf numFmtId="171" fontId="37" fillId="7" borderId="0" xfId="0" applyFont="1" applyFill="1" applyAlignment="1">
      <alignment wrapText="1"/>
    </xf>
    <xf numFmtId="5" fontId="37" fillId="7" borderId="0" xfId="82" applyNumberFormat="1" applyFont="1" applyFill="1" applyAlignment="1">
      <alignment horizontal="center"/>
    </xf>
    <xf numFmtId="5" fontId="37" fillId="7" borderId="0" xfId="0" applyNumberFormat="1" applyFont="1" applyFill="1"/>
    <xf numFmtId="173" fontId="1" fillId="0" borderId="0" xfId="84" applyNumberFormat="1" applyFont="1" applyAlignment="1"/>
    <xf numFmtId="0" fontId="1" fillId="0" borderId="0" xfId="0" applyNumberFormat="1" applyFont="1" applyFill="1" applyAlignment="1" applyProtection="1">
      <alignment horizontal="left" vertical="top" wrapText="1"/>
      <protection locked="0"/>
    </xf>
    <xf numFmtId="0" fontId="1" fillId="0" borderId="0" xfId="0" applyNumberFormat="1" applyFont="1" applyAlignment="1" applyProtection="1">
      <alignment horizontal="left" vertical="top" wrapText="1"/>
      <protection locked="0"/>
    </xf>
    <xf numFmtId="0" fontId="1" fillId="0" borderId="0" xfId="0" applyNumberFormat="1" applyFont="1" applyAlignment="1">
      <alignment horizontal="right"/>
    </xf>
    <xf numFmtId="0" fontId="1" fillId="0" borderId="0" xfId="0" applyNumberFormat="1" applyFont="1" applyAlignment="1">
      <alignment horizontal="left" wrapText="1"/>
    </xf>
    <xf numFmtId="0" fontId="1" fillId="0" borderId="0" xfId="0" applyNumberFormat="1" applyFont="1" applyAlignment="1">
      <alignment horizontal="center"/>
    </xf>
    <xf numFmtId="0" fontId="1" fillId="0" borderId="0" xfId="0" applyNumberFormat="1" applyFont="1" applyFill="1" applyAlignment="1">
      <alignment vertical="top" wrapText="1"/>
    </xf>
    <xf numFmtId="0" fontId="1" fillId="0" borderId="0" xfId="0" applyNumberFormat="1" applyFont="1" applyFill="1" applyAlignment="1" applyProtection="1">
      <alignment vertical="top" wrapText="1"/>
      <protection locked="0"/>
    </xf>
    <xf numFmtId="0" fontId="0" fillId="0" borderId="8" xfId="0" applyNumberFormat="1" applyBorder="1" applyAlignment="1">
      <alignment horizontal="center"/>
    </xf>
    <xf numFmtId="0" fontId="0" fillId="0" borderId="9" xfId="0" applyNumberFormat="1" applyFont="1" applyBorder="1" applyAlignment="1">
      <alignment horizontal="center"/>
    </xf>
    <xf numFmtId="0" fontId="0" fillId="0" borderId="10" xfId="0" applyNumberFormat="1" applyFont="1" applyBorder="1" applyAlignment="1">
      <alignment horizontal="center"/>
    </xf>
    <xf numFmtId="0" fontId="1" fillId="0" borderId="0" xfId="0" applyNumberFormat="1" applyFont="1" applyAlignment="1" applyProtection="1">
      <alignment vertical="top" wrapText="1"/>
      <protection locked="0"/>
    </xf>
  </cellXfs>
  <cellStyles count="85">
    <cellStyle name="Bad" xfId="82" builtinId="27"/>
    <cellStyle name="C00A" xfId="3"/>
    <cellStyle name="C00B" xfId="4"/>
    <cellStyle name="C00L" xfId="5"/>
    <cellStyle name="C01A" xfId="6"/>
    <cellStyle name="C01B" xfId="7"/>
    <cellStyle name="C01H" xfId="8"/>
    <cellStyle name="C01L" xfId="9"/>
    <cellStyle name="C02A" xfId="10"/>
    <cellStyle name="C02B" xfId="11"/>
    <cellStyle name="C02H" xfId="12"/>
    <cellStyle name="C02L" xfId="13"/>
    <cellStyle name="C03A" xfId="14"/>
    <cellStyle name="C03B" xfId="15"/>
    <cellStyle name="C03H" xfId="16"/>
    <cellStyle name="C03L" xfId="17"/>
    <cellStyle name="C04A" xfId="18"/>
    <cellStyle name="C04B" xfId="19"/>
    <cellStyle name="C04H" xfId="20"/>
    <cellStyle name="C04L" xfId="21"/>
    <cellStyle name="C05A" xfId="22"/>
    <cellStyle name="C05B" xfId="23"/>
    <cellStyle name="C05H" xfId="24"/>
    <cellStyle name="C05L" xfId="25"/>
    <cellStyle name="C06A" xfId="26"/>
    <cellStyle name="C06B" xfId="27"/>
    <cellStyle name="C06H" xfId="28"/>
    <cellStyle name="C06L" xfId="29"/>
    <cellStyle name="C07A" xfId="30"/>
    <cellStyle name="C07B" xfId="31"/>
    <cellStyle name="C07H" xfId="32"/>
    <cellStyle name="C07L" xfId="33"/>
    <cellStyle name="Comma 2" xfId="34"/>
    <cellStyle name="Comma 3" xfId="35"/>
    <cellStyle name="Comma0" xfId="36"/>
    <cellStyle name="Currency" xfId="1" builtinId="4"/>
    <cellStyle name="Currency0" xfId="37"/>
    <cellStyle name="Date" xfId="38"/>
    <cellStyle name="Fixed" xfId="39"/>
    <cellStyle name="Heading1" xfId="40"/>
    <cellStyle name="Heading2" xfId="41"/>
    <cellStyle name="Normal" xfId="0" builtinId="0"/>
    <cellStyle name="Normal 2" xfId="42"/>
    <cellStyle name="Normal 3" xfId="2"/>
    <cellStyle name="Percent" xfId="84" builtinId="5"/>
    <cellStyle name="Percent 2" xfId="83"/>
    <cellStyle name="PSChar" xfId="43"/>
    <cellStyle name="PSDate" xfId="44"/>
    <cellStyle name="PSDec" xfId="45"/>
    <cellStyle name="PSdesc" xfId="46"/>
    <cellStyle name="PSHeading" xfId="47"/>
    <cellStyle name="PSInt" xfId="48"/>
    <cellStyle name="PSSpacer" xfId="49"/>
    <cellStyle name="PStest" xfId="50"/>
    <cellStyle name="R00A" xfId="51"/>
    <cellStyle name="R00B" xfId="52"/>
    <cellStyle name="R00L" xfId="53"/>
    <cellStyle name="R01A" xfId="54"/>
    <cellStyle name="R01B" xfId="55"/>
    <cellStyle name="R01H" xfId="56"/>
    <cellStyle name="R01L" xfId="57"/>
    <cellStyle name="R02A" xfId="58"/>
    <cellStyle name="R02B" xfId="59"/>
    <cellStyle name="R02H" xfId="60"/>
    <cellStyle name="R02L" xfId="61"/>
    <cellStyle name="R03A" xfId="62"/>
    <cellStyle name="R03B" xfId="63"/>
    <cellStyle name="R03H" xfId="64"/>
    <cellStyle name="R03L" xfId="65"/>
    <cellStyle name="R04A" xfId="66"/>
    <cellStyle name="R04B" xfId="67"/>
    <cellStyle name="R04H" xfId="68"/>
    <cellStyle name="R04L" xfId="69"/>
    <cellStyle name="R05A" xfId="70"/>
    <cellStyle name="R05B" xfId="71"/>
    <cellStyle name="R05H" xfId="72"/>
    <cellStyle name="R05L" xfId="73"/>
    <cellStyle name="R06A" xfId="74"/>
    <cellStyle name="R06B" xfId="75"/>
    <cellStyle name="R06H" xfId="76"/>
    <cellStyle name="R06L" xfId="77"/>
    <cellStyle name="R07A" xfId="78"/>
    <cellStyle name="R07B" xfId="79"/>
    <cellStyle name="R07H" xfId="80"/>
    <cellStyle name="R07L" xfId="8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9F9A7"/>
      <color rgb="FFE8E9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idwestiso.org/Documents%20and%20Settings/mtackett/Local%20Settings/Temporary%20Internet%20Files/Content.Outlook/T2U5HD8L/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7"/>
  <sheetViews>
    <sheetView tabSelected="1" topLeftCell="A22" zoomScale="75" zoomScaleNormal="75" zoomScaleSheetLayoutView="75" workbookViewId="0">
      <selection activeCell="C47" sqref="C47"/>
    </sheetView>
  </sheetViews>
  <sheetFormatPr defaultColWidth="8.88671875" defaultRowHeight="15.75"/>
  <cols>
    <col min="1" max="1" width="4.21875" style="1" customWidth="1"/>
    <col min="2" max="2" width="28" style="1" customWidth="1"/>
    <col min="3" max="3" width="33.44140625" style="1" customWidth="1"/>
    <col min="4" max="4" width="12.77734375" style="1" customWidth="1"/>
    <col min="5" max="5" width="5.77734375" style="1" customWidth="1"/>
    <col min="6" max="6" width="4.21875" style="1" customWidth="1"/>
    <col min="7" max="7" width="10" style="1" customWidth="1"/>
    <col min="8" max="8" width="3.44140625" style="1" customWidth="1"/>
    <col min="9" max="9" width="12.77734375" style="1" customWidth="1"/>
    <col min="10" max="10" width="1.77734375" style="1" customWidth="1"/>
    <col min="11" max="11" width="11.5546875" style="1" customWidth="1"/>
    <col min="12" max="12" width="8.88671875" style="1"/>
    <col min="13" max="13" width="11.21875" style="1" bestFit="1" customWidth="1"/>
    <col min="14" max="14" width="27.77734375" style="1" customWidth="1"/>
    <col min="15" max="17" width="8.88671875" style="1"/>
    <col min="18" max="18" width="13.33203125" style="1" customWidth="1"/>
    <col min="19" max="16384" width="8.88671875" style="1"/>
  </cols>
  <sheetData>
    <row r="1" spans="1:13">
      <c r="K1" s="2" t="s">
        <v>346</v>
      </c>
    </row>
    <row r="2" spans="1:13">
      <c r="B2" s="3"/>
      <c r="C2" s="3"/>
      <c r="D2" s="4"/>
      <c r="E2" s="3"/>
      <c r="F2" s="3"/>
      <c r="G2" s="3"/>
      <c r="H2" s="5"/>
      <c r="I2" s="5"/>
      <c r="J2" s="197" t="s">
        <v>178</v>
      </c>
      <c r="K2" s="197"/>
    </row>
    <row r="3" spans="1:13">
      <c r="B3" s="3"/>
      <c r="C3" s="3"/>
      <c r="D3" s="4"/>
      <c r="E3" s="3"/>
      <c r="F3" s="3"/>
      <c r="G3" s="3"/>
      <c r="H3" s="5"/>
      <c r="I3" s="5"/>
      <c r="J3" s="7"/>
      <c r="K3" s="7"/>
    </row>
    <row r="4" spans="1:13">
      <c r="B4" s="3" t="s">
        <v>0</v>
      </c>
      <c r="C4" s="3"/>
      <c r="D4" s="4" t="s">
        <v>1</v>
      </c>
      <c r="E4" s="3"/>
      <c r="F4" s="3"/>
      <c r="G4" s="3"/>
      <c r="H4" s="8"/>
      <c r="I4" s="92"/>
      <c r="J4" s="9"/>
      <c r="K4" s="91" t="s">
        <v>395</v>
      </c>
    </row>
    <row r="5" spans="1:13">
      <c r="B5" s="3"/>
      <c r="C5" s="10" t="s">
        <v>2</v>
      </c>
      <c r="D5" s="10" t="s">
        <v>3</v>
      </c>
      <c r="E5" s="10"/>
      <c r="F5" s="10"/>
      <c r="G5" s="10"/>
      <c r="H5" s="5"/>
      <c r="I5" s="5"/>
      <c r="J5" s="7"/>
      <c r="K5" s="7"/>
    </row>
    <row r="6" spans="1:13">
      <c r="B6" s="7"/>
      <c r="C6" s="7"/>
      <c r="D6" s="7"/>
      <c r="E6" s="7"/>
      <c r="F6" s="7"/>
      <c r="G6" s="7"/>
      <c r="H6" s="7"/>
      <c r="I6" s="7"/>
      <c r="J6" s="7"/>
      <c r="K6" s="7"/>
    </row>
    <row r="7" spans="1:13">
      <c r="A7" s="11"/>
      <c r="B7" s="7"/>
      <c r="C7" s="7"/>
      <c r="D7" s="154" t="s">
        <v>316</v>
      </c>
      <c r="E7" s="149"/>
      <c r="F7" s="7"/>
      <c r="G7" s="7"/>
      <c r="H7" s="7"/>
      <c r="I7" s="7"/>
      <c r="J7" s="7"/>
      <c r="K7" s="7"/>
      <c r="M7" s="7"/>
    </row>
    <row r="8" spans="1:13">
      <c r="A8" s="11"/>
      <c r="B8" s="7"/>
      <c r="C8" s="7"/>
      <c r="D8" s="12"/>
      <c r="E8" s="7"/>
      <c r="F8" s="7"/>
      <c r="G8" s="7"/>
      <c r="H8" s="7"/>
      <c r="I8" s="7"/>
      <c r="J8" s="7"/>
      <c r="K8" s="7"/>
      <c r="M8" s="7"/>
    </row>
    <row r="9" spans="1:13">
      <c r="A9" s="11" t="s">
        <v>4</v>
      </c>
      <c r="B9" s="7"/>
      <c r="C9" s="7"/>
      <c r="D9" s="12"/>
      <c r="E9" s="7"/>
      <c r="F9" s="7"/>
      <c r="G9" s="7"/>
      <c r="H9" s="7"/>
      <c r="I9" s="11" t="s">
        <v>5</v>
      </c>
      <c r="J9" s="7"/>
      <c r="K9" s="7"/>
      <c r="M9" s="7"/>
    </row>
    <row r="10" spans="1:13" ht="16.5" thickBot="1">
      <c r="A10" s="13" t="s">
        <v>6</v>
      </c>
      <c r="B10" s="7"/>
      <c r="C10" s="7"/>
      <c r="D10" s="7"/>
      <c r="E10" s="7"/>
      <c r="F10" s="7"/>
      <c r="G10" s="7"/>
      <c r="H10" s="7"/>
      <c r="I10" s="13" t="s">
        <v>7</v>
      </c>
      <c r="J10" s="7"/>
      <c r="K10" s="7"/>
      <c r="M10" s="7"/>
    </row>
    <row r="11" spans="1:13" ht="16.5" thickBot="1">
      <c r="A11" s="11">
        <v>1</v>
      </c>
      <c r="B11" s="7" t="s">
        <v>240</v>
      </c>
      <c r="C11" s="7"/>
      <c r="D11" s="14"/>
      <c r="E11" s="7"/>
      <c r="F11" s="7"/>
      <c r="G11" s="7"/>
      <c r="H11" s="7"/>
      <c r="I11" s="168">
        <f>I201</f>
        <v>58979591.455434613</v>
      </c>
      <c r="J11" s="7"/>
      <c r="K11" s="7"/>
      <c r="M11" s="7"/>
    </row>
    <row r="12" spans="1:13" ht="16.5" thickTop="1">
      <c r="A12" s="11"/>
      <c r="B12" s="7"/>
      <c r="C12" s="7"/>
      <c r="D12" s="7"/>
      <c r="E12" s="7"/>
      <c r="F12" s="7"/>
      <c r="G12" s="7"/>
      <c r="H12" s="7"/>
      <c r="I12" s="14"/>
      <c r="J12" s="7"/>
      <c r="K12" s="7"/>
      <c r="M12" s="7"/>
    </row>
    <row r="13" spans="1:13" ht="16.5" thickBot="1">
      <c r="A13" s="11" t="s">
        <v>2</v>
      </c>
      <c r="B13" s="15" t="s">
        <v>8</v>
      </c>
      <c r="C13" s="10" t="s">
        <v>168</v>
      </c>
      <c r="D13" s="13" t="s">
        <v>9</v>
      </c>
      <c r="E13" s="10"/>
      <c r="F13" s="16" t="s">
        <v>10</v>
      </c>
      <c r="G13" s="16"/>
      <c r="H13" s="7"/>
      <c r="I13" s="14"/>
      <c r="J13" s="7"/>
      <c r="K13" s="7"/>
      <c r="M13" s="7"/>
    </row>
    <row r="14" spans="1:13">
      <c r="A14" s="11">
        <v>2</v>
      </c>
      <c r="B14" s="15" t="s">
        <v>11</v>
      </c>
      <c r="C14" s="10" t="s">
        <v>348</v>
      </c>
      <c r="D14" s="10">
        <f>I267</f>
        <v>12700</v>
      </c>
      <c r="E14" s="10"/>
      <c r="F14" s="10" t="s">
        <v>12</v>
      </c>
      <c r="G14" s="17">
        <f>I227</f>
        <v>0.99014751215838193</v>
      </c>
      <c r="H14" s="10"/>
      <c r="I14" s="10">
        <f>+G14*D14</f>
        <v>12574.87340441145</v>
      </c>
      <c r="J14" s="7"/>
      <c r="K14" s="7"/>
      <c r="M14" s="7"/>
    </row>
    <row r="15" spans="1:13">
      <c r="A15" s="11">
        <v>3</v>
      </c>
      <c r="B15" s="15" t="s">
        <v>13</v>
      </c>
      <c r="C15" s="10" t="s">
        <v>349</v>
      </c>
      <c r="D15" s="10">
        <f>I274</f>
        <v>4080999.9999999991</v>
      </c>
      <c r="E15" s="10"/>
      <c r="F15" s="10" t="str">
        <f>+F14</f>
        <v>TP</v>
      </c>
      <c r="G15" s="17">
        <f>+G14</f>
        <v>0.99014751215838193</v>
      </c>
      <c r="H15" s="10"/>
      <c r="I15" s="10">
        <f>+G15*D15</f>
        <v>4040791.9971183557</v>
      </c>
      <c r="J15" s="7"/>
      <c r="K15" s="7"/>
      <c r="M15" s="7"/>
    </row>
    <row r="16" spans="1:13">
      <c r="A16" s="11">
        <v>4</v>
      </c>
      <c r="B16" s="15" t="s">
        <v>14</v>
      </c>
      <c r="C16" s="10"/>
      <c r="D16" s="18">
        <v>0</v>
      </c>
      <c r="E16" s="10"/>
      <c r="F16" s="10" t="s">
        <v>12</v>
      </c>
      <c r="G16" s="17">
        <f>+G14</f>
        <v>0.99014751215838193</v>
      </c>
      <c r="H16" s="10"/>
      <c r="I16" s="10">
        <f>+G16*D16</f>
        <v>0</v>
      </c>
      <c r="J16" s="7"/>
      <c r="K16" s="7"/>
      <c r="M16" s="7"/>
    </row>
    <row r="17" spans="1:13" ht="16.5" thickBot="1">
      <c r="A17" s="11">
        <v>5</v>
      </c>
      <c r="B17" s="15" t="s">
        <v>15</v>
      </c>
      <c r="C17" s="10"/>
      <c r="D17" s="18">
        <v>0</v>
      </c>
      <c r="E17" s="10"/>
      <c r="F17" s="10" t="s">
        <v>12</v>
      </c>
      <c r="G17" s="17">
        <f>+G14</f>
        <v>0.99014751215838193</v>
      </c>
      <c r="H17" s="10"/>
      <c r="I17" s="19">
        <f>+G17*D17</f>
        <v>0</v>
      </c>
      <c r="J17" s="7"/>
      <c r="K17" s="7"/>
      <c r="M17" s="7"/>
    </row>
    <row r="18" spans="1:13">
      <c r="A18" s="11">
        <v>6</v>
      </c>
      <c r="B18" s="15" t="s">
        <v>16</v>
      </c>
      <c r="C18" s="7"/>
      <c r="D18" s="20" t="s">
        <v>2</v>
      </c>
      <c r="E18" s="10"/>
      <c r="F18" s="10"/>
      <c r="G18" s="17"/>
      <c r="H18" s="10"/>
      <c r="I18" s="10">
        <f>SUM(I14:I17)</f>
        <v>4053366.8705227673</v>
      </c>
      <c r="J18" s="7"/>
      <c r="K18" s="7"/>
      <c r="M18" s="7"/>
    </row>
    <row r="19" spans="1:13">
      <c r="A19" s="11"/>
      <c r="B19" s="132"/>
      <c r="C19" s="7"/>
      <c r="D19" s="20"/>
      <c r="E19" s="10"/>
      <c r="F19" s="10"/>
      <c r="G19" s="17"/>
      <c r="H19" s="10"/>
      <c r="I19" s="10"/>
      <c r="J19" s="7"/>
      <c r="K19" s="7"/>
      <c r="M19" s="7"/>
    </row>
    <row r="20" spans="1:13">
      <c r="A20" s="148" t="s">
        <v>295</v>
      </c>
      <c r="B20" s="147" t="s">
        <v>304</v>
      </c>
      <c r="C20" s="146"/>
      <c r="D20" s="20"/>
      <c r="E20" s="10"/>
      <c r="F20" s="10"/>
      <c r="G20" s="17"/>
      <c r="H20" s="10"/>
      <c r="I20" s="155">
        <v>0</v>
      </c>
      <c r="J20" s="7"/>
      <c r="K20" s="7"/>
      <c r="M20" s="7"/>
    </row>
    <row r="21" spans="1:13" ht="16.5" thickBot="1">
      <c r="A21" s="148" t="s">
        <v>296</v>
      </c>
      <c r="B21" s="147" t="s">
        <v>305</v>
      </c>
      <c r="C21" s="146"/>
      <c r="D21" s="20"/>
      <c r="E21" s="10"/>
      <c r="F21" s="10"/>
      <c r="G21" s="17"/>
      <c r="H21" s="10"/>
      <c r="I21" s="156">
        <v>0</v>
      </c>
      <c r="J21" s="7"/>
      <c r="K21" s="7"/>
      <c r="M21" s="7"/>
    </row>
    <row r="22" spans="1:13">
      <c r="A22" s="148" t="s">
        <v>297</v>
      </c>
      <c r="B22" s="147" t="s">
        <v>306</v>
      </c>
      <c r="C22" s="146" t="s">
        <v>307</v>
      </c>
      <c r="D22" s="20"/>
      <c r="E22" s="10"/>
      <c r="F22" s="10"/>
      <c r="G22" s="17"/>
      <c r="H22" s="10"/>
      <c r="I22" s="157">
        <f>I20-I21</f>
        <v>0</v>
      </c>
      <c r="J22" s="7"/>
      <c r="K22" s="7"/>
      <c r="M22" s="7"/>
    </row>
    <row r="23" spans="1:13">
      <c r="A23" s="148"/>
      <c r="B23" s="147"/>
      <c r="C23" s="146"/>
      <c r="D23" s="20"/>
      <c r="E23" s="10"/>
      <c r="F23" s="10"/>
      <c r="G23" s="17"/>
      <c r="H23" s="10"/>
      <c r="I23" s="158"/>
      <c r="J23" s="7"/>
      <c r="K23" s="7"/>
      <c r="M23" s="7"/>
    </row>
    <row r="24" spans="1:13">
      <c r="A24" s="148" t="s">
        <v>298</v>
      </c>
      <c r="B24" s="147" t="s">
        <v>308</v>
      </c>
      <c r="C24" s="146"/>
      <c r="D24" s="20"/>
      <c r="E24" s="10"/>
      <c r="F24" s="10"/>
      <c r="G24" s="17"/>
      <c r="H24" s="10"/>
      <c r="I24" s="155">
        <v>0</v>
      </c>
      <c r="J24" s="7"/>
      <c r="K24" s="7"/>
      <c r="M24" s="7"/>
    </row>
    <row r="25" spans="1:13" ht="16.5" thickBot="1">
      <c r="A25" s="148" t="s">
        <v>299</v>
      </c>
      <c r="B25" s="147" t="s">
        <v>309</v>
      </c>
      <c r="C25" s="146"/>
      <c r="D25" s="20"/>
      <c r="E25" s="10"/>
      <c r="F25" s="10"/>
      <c r="G25" s="17"/>
      <c r="H25" s="10"/>
      <c r="I25" s="156">
        <v>0</v>
      </c>
      <c r="J25" s="7"/>
      <c r="K25" s="7"/>
      <c r="M25" s="7"/>
    </row>
    <row r="26" spans="1:13">
      <c r="A26" s="148" t="s">
        <v>300</v>
      </c>
      <c r="B26" s="147" t="s">
        <v>310</v>
      </c>
      <c r="C26" s="146" t="s">
        <v>311</v>
      </c>
      <c r="D26" s="20"/>
      <c r="E26" s="10"/>
      <c r="F26" s="10"/>
      <c r="G26" s="17"/>
      <c r="H26" s="10"/>
      <c r="I26" s="159">
        <f>+I25-I24</f>
        <v>0</v>
      </c>
      <c r="J26" s="7"/>
      <c r="K26" s="7"/>
      <c r="M26" s="7"/>
    </row>
    <row r="27" spans="1:13" ht="16.5" thickBot="1">
      <c r="A27" s="148" t="s">
        <v>301</v>
      </c>
      <c r="B27" s="147" t="s">
        <v>312</v>
      </c>
      <c r="C27" s="146"/>
      <c r="D27" s="20"/>
      <c r="E27" s="10"/>
      <c r="F27" s="10"/>
      <c r="G27" s="17"/>
      <c r="H27" s="10"/>
      <c r="I27" s="156">
        <v>0</v>
      </c>
      <c r="J27" s="7"/>
      <c r="K27" s="7"/>
      <c r="M27" s="7"/>
    </row>
    <row r="28" spans="1:13">
      <c r="A28" s="148" t="s">
        <v>302</v>
      </c>
      <c r="B28" s="147" t="s">
        <v>313</v>
      </c>
      <c r="C28" s="146" t="s">
        <v>314</v>
      </c>
      <c r="D28" s="20"/>
      <c r="E28" s="10"/>
      <c r="F28" s="10"/>
      <c r="G28" s="17"/>
      <c r="H28" s="10"/>
      <c r="I28" s="157">
        <f>I26*I27</f>
        <v>0</v>
      </c>
      <c r="J28" s="7"/>
      <c r="K28" s="7"/>
      <c r="M28" s="7"/>
    </row>
    <row r="29" spans="1:13">
      <c r="A29" s="148"/>
      <c r="B29" s="147"/>
      <c r="C29" s="146"/>
      <c r="D29" s="20"/>
      <c r="E29" s="10"/>
      <c r="F29" s="10"/>
      <c r="G29" s="17"/>
      <c r="H29" s="10"/>
      <c r="I29" s="160"/>
      <c r="J29" s="7"/>
      <c r="K29" s="7"/>
      <c r="M29" s="7"/>
    </row>
    <row r="30" spans="1:13">
      <c r="A30" s="148" t="s">
        <v>303</v>
      </c>
      <c r="B30" s="147" t="s">
        <v>315</v>
      </c>
      <c r="C30" s="146"/>
      <c r="D30" s="20"/>
      <c r="E30" s="10"/>
      <c r="F30" s="10"/>
      <c r="G30" s="17"/>
      <c r="H30" s="10"/>
      <c r="I30" s="161">
        <v>0</v>
      </c>
      <c r="J30" s="7"/>
      <c r="K30" s="7"/>
      <c r="M30" s="7"/>
    </row>
    <row r="31" spans="1:13">
      <c r="A31" s="11"/>
      <c r="C31" s="7"/>
      <c r="D31" s="10" t="s">
        <v>2</v>
      </c>
      <c r="E31" s="7"/>
      <c r="F31" s="7"/>
      <c r="G31" s="17"/>
      <c r="H31" s="7"/>
      <c r="J31" s="7"/>
      <c r="K31" s="7"/>
      <c r="M31" s="7"/>
    </row>
    <row r="32" spans="1:13" ht="16.5" thickBot="1">
      <c r="A32" s="11">
        <v>7</v>
      </c>
      <c r="B32" s="132" t="s">
        <v>17</v>
      </c>
      <c r="C32" s="146" t="s">
        <v>350</v>
      </c>
      <c r="D32" s="20"/>
      <c r="E32" s="10"/>
      <c r="F32" s="10"/>
      <c r="G32" s="10"/>
      <c r="H32" s="10"/>
      <c r="I32" s="169">
        <f>+I11-I18+I22+I28+I30</f>
        <v>54926224.584911846</v>
      </c>
      <c r="J32" s="7"/>
      <c r="K32" s="7"/>
      <c r="M32" s="7"/>
    </row>
    <row r="33" spans="1:13" ht="16.5" thickTop="1">
      <c r="A33" s="11"/>
      <c r="C33" s="7"/>
      <c r="D33" s="20"/>
      <c r="E33" s="10"/>
      <c r="F33" s="10"/>
      <c r="G33" s="10"/>
      <c r="H33" s="10"/>
      <c r="J33" s="7"/>
      <c r="K33" s="7"/>
      <c r="M33" s="7"/>
    </row>
    <row r="34" spans="1:13">
      <c r="A34" s="11"/>
      <c r="B34" s="15" t="s">
        <v>18</v>
      </c>
      <c r="C34" s="7"/>
      <c r="D34" s="14"/>
      <c r="E34" s="7"/>
      <c r="F34" s="7"/>
      <c r="G34" s="7"/>
      <c r="H34" s="7"/>
      <c r="I34" s="14"/>
      <c r="J34" s="7"/>
      <c r="K34" s="7"/>
      <c r="M34" s="7"/>
    </row>
    <row r="35" spans="1:13">
      <c r="A35" s="11">
        <v>8</v>
      </c>
      <c r="B35" s="15" t="s">
        <v>19</v>
      </c>
      <c r="D35" s="14"/>
      <c r="E35" s="7"/>
      <c r="F35" s="7"/>
      <c r="G35" s="5" t="s">
        <v>20</v>
      </c>
      <c r="H35" s="7"/>
      <c r="I35" s="18">
        <v>876525</v>
      </c>
      <c r="J35" s="7"/>
      <c r="K35" s="7"/>
      <c r="M35" s="7"/>
    </row>
    <row r="36" spans="1:13">
      <c r="A36" s="11">
        <v>9</v>
      </c>
      <c r="B36" s="15" t="s">
        <v>21</v>
      </c>
      <c r="C36" s="10"/>
      <c r="D36" s="10"/>
      <c r="E36" s="10"/>
      <c r="F36" s="10"/>
      <c r="G36" s="10" t="s">
        <v>22</v>
      </c>
      <c r="H36" s="10"/>
      <c r="I36" s="18">
        <v>0</v>
      </c>
      <c r="J36" s="7"/>
      <c r="K36" s="7"/>
      <c r="M36" s="7"/>
    </row>
    <row r="37" spans="1:13">
      <c r="A37" s="11">
        <v>10</v>
      </c>
      <c r="B37" s="15" t="s">
        <v>23</v>
      </c>
      <c r="C37" s="7"/>
      <c r="D37" s="7"/>
      <c r="E37" s="7"/>
      <c r="F37" s="7"/>
      <c r="G37" s="5" t="s">
        <v>24</v>
      </c>
      <c r="H37" s="7"/>
      <c r="I37" s="18">
        <v>0</v>
      </c>
      <c r="J37" s="7"/>
      <c r="K37" s="7"/>
    </row>
    <row r="38" spans="1:13">
      <c r="A38" s="11">
        <v>11</v>
      </c>
      <c r="B38" s="21" t="s">
        <v>25</v>
      </c>
      <c r="C38" s="7"/>
      <c r="D38" s="7"/>
      <c r="E38" s="7"/>
      <c r="F38" s="7"/>
      <c r="G38" s="5" t="s">
        <v>26</v>
      </c>
      <c r="H38" s="7"/>
      <c r="I38" s="18">
        <v>0</v>
      </c>
      <c r="J38" s="7"/>
      <c r="K38" s="7"/>
    </row>
    <row r="39" spans="1:13">
      <c r="A39" s="11">
        <v>12</v>
      </c>
      <c r="B39" s="21" t="s">
        <v>27</v>
      </c>
      <c r="C39" s="7"/>
      <c r="D39" s="7"/>
      <c r="E39" s="7"/>
      <c r="F39" s="7"/>
      <c r="G39" s="5"/>
      <c r="H39" s="7"/>
      <c r="I39" s="18">
        <v>0</v>
      </c>
      <c r="J39" s="7"/>
      <c r="K39" s="7"/>
    </row>
    <row r="40" spans="1:13">
      <c r="A40" s="11">
        <v>13</v>
      </c>
      <c r="B40" s="21" t="s">
        <v>223</v>
      </c>
      <c r="C40" s="7"/>
      <c r="D40" s="7"/>
      <c r="E40" s="7"/>
      <c r="F40" s="7"/>
      <c r="G40" s="5"/>
      <c r="H40" s="7"/>
      <c r="I40" s="22">
        <v>0</v>
      </c>
      <c r="J40" s="7"/>
      <c r="K40" s="7"/>
    </row>
    <row r="41" spans="1:13" ht="16.5" thickBot="1">
      <c r="A41" s="11">
        <v>14</v>
      </c>
      <c r="B41" s="3" t="s">
        <v>162</v>
      </c>
      <c r="C41" s="7"/>
      <c r="D41" s="7"/>
      <c r="E41" s="7"/>
      <c r="F41" s="7"/>
      <c r="G41" s="7"/>
      <c r="H41" s="7"/>
      <c r="I41" s="23">
        <v>0</v>
      </c>
      <c r="J41" s="7"/>
      <c r="K41" s="7"/>
    </row>
    <row r="42" spans="1:13">
      <c r="A42" s="11">
        <v>15</v>
      </c>
      <c r="B42" s="15" t="s">
        <v>28</v>
      </c>
      <c r="C42" s="7"/>
      <c r="D42" s="7"/>
      <c r="E42" s="7"/>
      <c r="F42" s="7"/>
      <c r="G42" s="7"/>
      <c r="H42" s="7"/>
      <c r="I42" s="14">
        <f>SUM(I35:I41)</f>
        <v>876525</v>
      </c>
      <c r="J42" s="7"/>
      <c r="K42" s="7"/>
    </row>
    <row r="43" spans="1:13">
      <c r="A43" s="11"/>
      <c r="B43" s="15"/>
      <c r="C43" s="7"/>
      <c r="D43" s="7"/>
      <c r="E43" s="7"/>
      <c r="F43" s="7"/>
      <c r="G43" s="7"/>
      <c r="H43" s="7"/>
      <c r="I43" s="14"/>
      <c r="J43" s="7"/>
      <c r="K43" s="7"/>
    </row>
    <row r="44" spans="1:13">
      <c r="A44" s="11">
        <v>16</v>
      </c>
      <c r="B44" s="15" t="s">
        <v>29</v>
      </c>
      <c r="C44" s="7" t="s">
        <v>198</v>
      </c>
      <c r="D44" s="24">
        <f>IF(I42&gt;0,I32/I42,0)</f>
        <v>62.663614369141605</v>
      </c>
      <c r="E44" s="7"/>
      <c r="F44" s="7"/>
      <c r="G44" s="7"/>
      <c r="H44" s="7"/>
      <c r="J44" s="7"/>
      <c r="K44" s="7"/>
    </row>
    <row r="45" spans="1:13">
      <c r="A45" s="11">
        <v>17</v>
      </c>
      <c r="B45" s="15" t="s">
        <v>222</v>
      </c>
      <c r="C45" s="7"/>
      <c r="D45" s="24">
        <f>+D44/12</f>
        <v>5.2219678640951335</v>
      </c>
      <c r="E45" s="7"/>
      <c r="F45" s="7"/>
      <c r="G45" s="7"/>
      <c r="H45" s="7"/>
      <c r="J45" s="7"/>
      <c r="K45" s="7"/>
    </row>
    <row r="46" spans="1:13">
      <c r="A46" s="11"/>
      <c r="B46" s="15"/>
      <c r="C46" s="7"/>
      <c r="D46" s="24"/>
      <c r="E46" s="7"/>
      <c r="F46" s="7"/>
      <c r="G46" s="7"/>
      <c r="H46" s="7"/>
      <c r="J46" s="7"/>
      <c r="K46" s="7"/>
    </row>
    <row r="47" spans="1:13">
      <c r="A47" s="11"/>
      <c r="B47" s="15"/>
      <c r="C47" s="7"/>
      <c r="D47" s="25" t="s">
        <v>30</v>
      </c>
      <c r="E47" s="7"/>
      <c r="F47" s="7"/>
      <c r="G47" s="7"/>
      <c r="H47" s="7"/>
      <c r="I47" s="26" t="s">
        <v>31</v>
      </c>
      <c r="J47" s="7"/>
      <c r="K47" s="7"/>
    </row>
    <row r="48" spans="1:13">
      <c r="A48" s="11">
        <v>18</v>
      </c>
      <c r="B48" s="15" t="s">
        <v>32</v>
      </c>
      <c r="C48" s="7" t="s">
        <v>197</v>
      </c>
      <c r="D48" s="24">
        <f>+D44/52</f>
        <v>1.2050695070988771</v>
      </c>
      <c r="E48" s="7"/>
      <c r="F48" s="7"/>
      <c r="G48" s="7"/>
      <c r="H48" s="7"/>
      <c r="I48" s="27">
        <f>+D44/52</f>
        <v>1.2050695070988771</v>
      </c>
      <c r="J48" s="7"/>
      <c r="K48" s="7"/>
    </row>
    <row r="49" spans="1:11">
      <c r="A49" s="11">
        <v>19</v>
      </c>
      <c r="B49" s="15" t="s">
        <v>33</v>
      </c>
      <c r="C49" s="7" t="s">
        <v>241</v>
      </c>
      <c r="D49" s="24">
        <f>+D44/260</f>
        <v>0.24101390141977541</v>
      </c>
      <c r="E49" s="7" t="s">
        <v>34</v>
      </c>
      <c r="G49" s="7"/>
      <c r="H49" s="7"/>
      <c r="I49" s="27">
        <f>+D44/365</f>
        <v>0.1716811352579222</v>
      </c>
      <c r="J49" s="7"/>
      <c r="K49" s="7"/>
    </row>
    <row r="50" spans="1:11">
      <c r="A50" s="11">
        <v>20</v>
      </c>
      <c r="B50" s="15" t="s">
        <v>35</v>
      </c>
      <c r="C50" s="7" t="s">
        <v>242</v>
      </c>
      <c r="D50" s="24">
        <f>+D44/4160*1000</f>
        <v>15.063368838735963</v>
      </c>
      <c r="E50" s="7" t="s">
        <v>36</v>
      </c>
      <c r="G50" s="7"/>
      <c r="H50" s="7"/>
      <c r="I50" s="27">
        <f>+D44/8760*1000</f>
        <v>7.1533806357467578</v>
      </c>
      <c r="J50" s="7"/>
      <c r="K50" s="7"/>
    </row>
    <row r="51" spans="1:11">
      <c r="A51" s="11"/>
      <c r="B51" s="15"/>
      <c r="C51" s="7" t="s">
        <v>37</v>
      </c>
      <c r="D51" s="7"/>
      <c r="E51" s="7" t="s">
        <v>38</v>
      </c>
      <c r="G51" s="7"/>
      <c r="H51" s="7"/>
      <c r="J51" s="7"/>
      <c r="K51" s="7" t="s">
        <v>2</v>
      </c>
    </row>
    <row r="52" spans="1:11">
      <c r="A52" s="11"/>
      <c r="B52" s="15"/>
      <c r="C52" s="7"/>
      <c r="D52" s="7"/>
      <c r="E52" s="7"/>
      <c r="G52" s="7"/>
      <c r="H52" s="7"/>
      <c r="J52" s="7"/>
      <c r="K52" s="7" t="s">
        <v>2</v>
      </c>
    </row>
    <row r="53" spans="1:11">
      <c r="A53" s="11">
        <v>21</v>
      </c>
      <c r="B53" s="15" t="s">
        <v>221</v>
      </c>
      <c r="C53" s="7" t="s">
        <v>194</v>
      </c>
      <c r="D53" s="28">
        <v>0</v>
      </c>
      <c r="E53" s="29" t="s">
        <v>39</v>
      </c>
      <c r="F53" s="29"/>
      <c r="G53" s="29"/>
      <c r="H53" s="29"/>
      <c r="I53" s="29">
        <f>D53</f>
        <v>0</v>
      </c>
      <c r="J53" s="29" t="s">
        <v>39</v>
      </c>
      <c r="K53" s="7"/>
    </row>
    <row r="54" spans="1:11">
      <c r="A54" s="11">
        <v>22</v>
      </c>
      <c r="B54" s="15"/>
      <c r="C54" s="7"/>
      <c r="D54" s="28">
        <v>0</v>
      </c>
      <c r="E54" s="29" t="s">
        <v>40</v>
      </c>
      <c r="F54" s="29"/>
      <c r="G54" s="29"/>
      <c r="H54" s="29"/>
      <c r="I54" s="29">
        <f>D54</f>
        <v>0</v>
      </c>
      <c r="J54" s="29" t="s">
        <v>40</v>
      </c>
      <c r="K54" s="7"/>
    </row>
    <row r="55" spans="1:11">
      <c r="A55" s="11"/>
      <c r="B55" s="15"/>
      <c r="C55" s="7"/>
      <c r="D55" s="83"/>
      <c r="E55" s="29"/>
      <c r="F55" s="29"/>
      <c r="G55" s="29"/>
      <c r="H55" s="29"/>
      <c r="I55" s="29"/>
      <c r="J55" s="29"/>
      <c r="K55" s="7"/>
    </row>
    <row r="56" spans="1:11">
      <c r="B56" s="3"/>
      <c r="C56" s="3"/>
      <c r="D56" s="4"/>
      <c r="E56" s="3"/>
      <c r="F56" s="3"/>
      <c r="G56" s="3"/>
      <c r="H56" s="5"/>
      <c r="I56" s="6"/>
      <c r="J56" s="6"/>
      <c r="K56" s="6"/>
    </row>
    <row r="57" spans="1:11">
      <c r="B57" s="3"/>
      <c r="C57" s="3"/>
      <c r="D57" s="4"/>
      <c r="E57" s="3"/>
      <c r="F57" s="3"/>
      <c r="G57" s="3"/>
      <c r="H57" s="5"/>
      <c r="I57" s="6"/>
      <c r="J57" s="6"/>
      <c r="K57" s="6"/>
    </row>
    <row r="58" spans="1:11">
      <c r="B58" s="3"/>
      <c r="C58" s="3"/>
      <c r="D58" s="4"/>
      <c r="E58" s="3"/>
      <c r="F58" s="3"/>
      <c r="G58" s="3"/>
      <c r="H58" s="5"/>
      <c r="I58" s="6"/>
      <c r="J58" s="6"/>
      <c r="K58" s="6"/>
    </row>
    <row r="59" spans="1:11">
      <c r="B59" s="3"/>
      <c r="C59" s="3"/>
      <c r="D59" s="4"/>
      <c r="E59" s="3"/>
      <c r="F59" s="3"/>
      <c r="G59" s="3"/>
      <c r="H59" s="5"/>
      <c r="I59" s="6"/>
      <c r="J59" s="6"/>
      <c r="K59" s="6"/>
    </row>
    <row r="60" spans="1:11">
      <c r="B60" s="3"/>
      <c r="C60" s="3"/>
      <c r="D60" s="4"/>
      <c r="E60" s="3"/>
      <c r="F60" s="3"/>
      <c r="G60" s="3"/>
      <c r="H60" s="5"/>
      <c r="I60" s="6"/>
      <c r="J60" s="6"/>
      <c r="K60" s="6"/>
    </row>
    <row r="61" spans="1:11">
      <c r="B61" s="3"/>
      <c r="C61" s="3"/>
      <c r="D61" s="4"/>
      <c r="E61" s="3"/>
      <c r="F61" s="3"/>
      <c r="G61" s="3"/>
      <c r="H61" s="5"/>
      <c r="I61" s="6"/>
      <c r="J61" s="6"/>
      <c r="K61" s="6"/>
    </row>
    <row r="62" spans="1:11">
      <c r="A62" s="11"/>
      <c r="B62" s="15"/>
      <c r="C62" s="7"/>
      <c r="D62" s="83"/>
      <c r="E62" s="29"/>
      <c r="F62" s="29"/>
      <c r="G62" s="29"/>
      <c r="H62" s="29"/>
      <c r="I62" s="29"/>
      <c r="J62" s="29"/>
      <c r="K62" s="7"/>
    </row>
    <row r="63" spans="1:11">
      <c r="A63" s="11"/>
      <c r="B63" s="15"/>
      <c r="C63" s="7"/>
      <c r="D63" s="83"/>
      <c r="E63" s="29"/>
      <c r="F63" s="29"/>
      <c r="G63" s="29"/>
      <c r="H63" s="29"/>
      <c r="I63" s="29"/>
      <c r="J63" s="29"/>
      <c r="K63" s="7"/>
    </row>
    <row r="64" spans="1:11">
      <c r="A64" s="11"/>
      <c r="B64" s="15"/>
      <c r="C64" s="7"/>
      <c r="D64" s="83"/>
      <c r="E64" s="29"/>
      <c r="F64" s="29"/>
      <c r="G64" s="29"/>
      <c r="H64" s="29"/>
      <c r="I64" s="29"/>
      <c r="J64" s="29"/>
      <c r="K64" s="7"/>
    </row>
    <row r="65" spans="1:11">
      <c r="A65" s="11"/>
      <c r="B65" s="15"/>
      <c r="C65" s="7"/>
      <c r="D65" s="83"/>
      <c r="E65" s="29"/>
      <c r="F65" s="29"/>
      <c r="G65" s="29"/>
      <c r="H65" s="29"/>
      <c r="I65" s="29"/>
      <c r="J65" s="29"/>
      <c r="K65" s="7"/>
    </row>
    <row r="66" spans="1:11">
      <c r="J66" s="5"/>
      <c r="K66" s="2" t="s">
        <v>347</v>
      </c>
    </row>
    <row r="67" spans="1:11">
      <c r="B67" s="3"/>
      <c r="C67" s="3"/>
      <c r="D67" s="4"/>
      <c r="E67" s="3"/>
      <c r="F67" s="3"/>
      <c r="G67" s="3"/>
      <c r="H67" s="5"/>
      <c r="I67" s="5"/>
      <c r="J67" s="197" t="s">
        <v>179</v>
      </c>
      <c r="K67" s="197"/>
    </row>
    <row r="68" spans="1:11">
      <c r="B68" s="7"/>
      <c r="C68" s="7"/>
      <c r="D68" s="7"/>
      <c r="E68" s="7"/>
      <c r="F68" s="7"/>
      <c r="G68" s="7"/>
      <c r="H68" s="7"/>
      <c r="I68" s="7"/>
      <c r="J68" s="7"/>
      <c r="K68" s="7"/>
    </row>
    <row r="69" spans="1:11">
      <c r="B69" s="15" t="str">
        <f>B4</f>
        <v xml:space="preserve">Formula Rate - Non-Levelized </v>
      </c>
      <c r="C69" s="15"/>
      <c r="D69" s="30" t="str">
        <f>D4</f>
        <v xml:space="preserve">     Rate Formula Template</v>
      </c>
      <c r="E69" s="15"/>
      <c r="F69" s="15"/>
      <c r="G69" s="15"/>
      <c r="H69" s="15"/>
      <c r="J69" s="15"/>
      <c r="K69" s="82" t="str">
        <f>K4</f>
        <v>For the 12 months ended 12/31/15</v>
      </c>
    </row>
    <row r="70" spans="1:11">
      <c r="B70" s="15"/>
      <c r="C70" s="10" t="s">
        <v>2</v>
      </c>
      <c r="D70" s="10" t="str">
        <f>D5</f>
        <v xml:space="preserve"> Utilizing RUS Form 12 Data</v>
      </c>
      <c r="E70" s="10"/>
      <c r="F70" s="10"/>
      <c r="G70" s="10"/>
      <c r="H70" s="10"/>
      <c r="I70" s="10"/>
      <c r="J70" s="10"/>
      <c r="K70" s="10"/>
    </row>
    <row r="71" spans="1:11">
      <c r="B71" s="15"/>
      <c r="C71" s="10" t="s">
        <v>2</v>
      </c>
      <c r="D71" s="10" t="s">
        <v>2</v>
      </c>
      <c r="E71" s="10"/>
      <c r="F71" s="10"/>
      <c r="G71" s="10" t="s">
        <v>2</v>
      </c>
      <c r="H71" s="10"/>
      <c r="I71" s="10"/>
      <c r="J71" s="10"/>
      <c r="K71" s="10"/>
    </row>
    <row r="72" spans="1:11">
      <c r="B72" s="15"/>
      <c r="C72" s="7"/>
      <c r="D72" s="10" t="str">
        <f>D7</f>
        <v>Dairyland Power Cooperative</v>
      </c>
      <c r="E72" s="10"/>
      <c r="F72" s="10"/>
      <c r="G72" s="10"/>
      <c r="H72" s="10"/>
      <c r="I72" s="10"/>
      <c r="J72" s="10"/>
      <c r="K72" s="10"/>
    </row>
    <row r="73" spans="1:11">
      <c r="B73" s="31" t="s">
        <v>41</v>
      </c>
      <c r="C73" s="31" t="s">
        <v>42</v>
      </c>
      <c r="D73" s="31" t="s">
        <v>43</v>
      </c>
      <c r="E73" s="10" t="s">
        <v>2</v>
      </c>
      <c r="F73" s="10"/>
      <c r="G73" s="33" t="s">
        <v>44</v>
      </c>
      <c r="H73" s="10"/>
      <c r="I73" s="33" t="s">
        <v>45</v>
      </c>
      <c r="J73" s="10"/>
      <c r="K73" s="7"/>
    </row>
    <row r="74" spans="1:11">
      <c r="B74" s="15"/>
      <c r="C74" s="34" t="s">
        <v>46</v>
      </c>
      <c r="D74" s="10"/>
      <c r="E74" s="10"/>
      <c r="F74" s="10"/>
      <c r="G74" s="11"/>
      <c r="H74" s="10"/>
      <c r="I74" s="35" t="s">
        <v>47</v>
      </c>
      <c r="J74" s="10"/>
      <c r="K74" s="7"/>
    </row>
    <row r="75" spans="1:11">
      <c r="A75" s="11" t="s">
        <v>4</v>
      </c>
      <c r="B75" s="15"/>
      <c r="C75" s="36" t="s">
        <v>48</v>
      </c>
      <c r="D75" s="35" t="s">
        <v>49</v>
      </c>
      <c r="E75" s="37"/>
      <c r="G75" s="35" t="s">
        <v>10</v>
      </c>
      <c r="H75" s="37"/>
      <c r="I75" s="11" t="s">
        <v>51</v>
      </c>
      <c r="J75" s="10"/>
      <c r="K75" s="7"/>
    </row>
    <row r="76" spans="1:11" ht="16.5" thickBot="1">
      <c r="A76" s="13" t="s">
        <v>6</v>
      </c>
      <c r="B76" s="38" t="s">
        <v>52</v>
      </c>
      <c r="C76" s="10"/>
      <c r="D76" s="10"/>
      <c r="E76" s="10"/>
      <c r="F76" s="10"/>
      <c r="G76" s="10"/>
      <c r="H76" s="10"/>
      <c r="I76" s="10"/>
      <c r="J76" s="10"/>
      <c r="K76" s="7"/>
    </row>
    <row r="77" spans="1:11">
      <c r="A77" s="11"/>
      <c r="B77" s="132" t="s">
        <v>351</v>
      </c>
      <c r="C77" s="10"/>
      <c r="D77" s="10"/>
      <c r="E77" s="10"/>
      <c r="F77" s="10"/>
      <c r="G77" s="10"/>
      <c r="H77" s="10"/>
      <c r="I77" s="10"/>
      <c r="J77" s="10"/>
      <c r="K77" s="7"/>
    </row>
    <row r="78" spans="1:11">
      <c r="A78" s="11">
        <v>1</v>
      </c>
      <c r="B78" s="132" t="s">
        <v>53</v>
      </c>
      <c r="C78" s="1" t="s">
        <v>54</v>
      </c>
      <c r="D78" s="39">
        <v>961496462</v>
      </c>
      <c r="E78" s="10"/>
      <c r="F78" s="10" t="s">
        <v>55</v>
      </c>
      <c r="G78" s="40" t="s">
        <v>2</v>
      </c>
      <c r="H78" s="10"/>
      <c r="I78" s="10" t="s">
        <v>2</v>
      </c>
      <c r="J78" s="10"/>
      <c r="K78" s="7"/>
    </row>
    <row r="79" spans="1:11">
      <c r="A79" s="11">
        <v>2</v>
      </c>
      <c r="B79" s="132" t="s">
        <v>56</v>
      </c>
      <c r="C79" s="1" t="s">
        <v>352</v>
      </c>
      <c r="D79" s="39">
        <v>470587639.84615386</v>
      </c>
      <c r="E79" s="10"/>
      <c r="F79" s="10" t="s">
        <v>12</v>
      </c>
      <c r="G79" s="166">
        <f>I227</f>
        <v>0.99014751215838193</v>
      </c>
      <c r="H79" s="10"/>
      <c r="I79" s="10">
        <f>+G79*D79</f>
        <v>465951180.84615386</v>
      </c>
      <c r="J79" s="10"/>
      <c r="K79" s="7"/>
    </row>
    <row r="80" spans="1:11">
      <c r="A80" s="11" t="s">
        <v>317</v>
      </c>
      <c r="B80" s="132" t="s">
        <v>320</v>
      </c>
      <c r="D80" s="39"/>
      <c r="E80" s="10"/>
      <c r="F80" s="10" t="s">
        <v>367</v>
      </c>
      <c r="G80" s="166">
        <v>1</v>
      </c>
      <c r="H80" s="10"/>
      <c r="I80" s="10">
        <f>+G80*D80</f>
        <v>0</v>
      </c>
      <c r="J80" s="10"/>
      <c r="K80" s="7"/>
    </row>
    <row r="81" spans="1:11">
      <c r="A81" s="11">
        <v>3</v>
      </c>
      <c r="B81" s="132" t="s">
        <v>57</v>
      </c>
      <c r="C81" s="1" t="s">
        <v>180</v>
      </c>
      <c r="D81" s="39">
        <v>103319666</v>
      </c>
      <c r="E81" s="10"/>
      <c r="F81" s="10" t="s">
        <v>55</v>
      </c>
      <c r="G81" s="166" t="s">
        <v>2</v>
      </c>
      <c r="H81" s="10"/>
      <c r="I81" s="10" t="s">
        <v>2</v>
      </c>
      <c r="J81" s="10"/>
      <c r="K81" s="7"/>
    </row>
    <row r="82" spans="1:11">
      <c r="A82" s="11">
        <v>4</v>
      </c>
      <c r="B82" s="132" t="s">
        <v>58</v>
      </c>
      <c r="C82" s="1" t="s">
        <v>266</v>
      </c>
      <c r="D82" s="39">
        <v>79566300</v>
      </c>
      <c r="E82" s="10"/>
      <c r="F82" s="10" t="s">
        <v>59</v>
      </c>
      <c r="G82" s="166">
        <f>I235</f>
        <v>0.34087437704499607</v>
      </c>
      <c r="H82" s="10"/>
      <c r="I82" s="10">
        <f>+G82*D82</f>
        <v>27122112.946275271</v>
      </c>
      <c r="J82" s="10"/>
      <c r="K82" s="7"/>
    </row>
    <row r="83" spans="1:11" ht="16.5" thickBot="1">
      <c r="A83" s="11">
        <v>5</v>
      </c>
      <c r="B83" s="132" t="s">
        <v>60</v>
      </c>
      <c r="C83" s="10"/>
      <c r="D83" s="41"/>
      <c r="E83" s="10"/>
      <c r="F83" s="10" t="s">
        <v>61</v>
      </c>
      <c r="G83" s="166">
        <f>I239</f>
        <v>0.34087437704499607</v>
      </c>
      <c r="H83" s="10"/>
      <c r="I83" s="19">
        <f>+G83*D83</f>
        <v>0</v>
      </c>
      <c r="J83" s="10"/>
      <c r="K83" s="7"/>
    </row>
    <row r="84" spans="1:11">
      <c r="A84" s="11">
        <v>6</v>
      </c>
      <c r="B84" s="3" t="s">
        <v>224</v>
      </c>
      <c r="C84" s="10"/>
      <c r="D84" s="10">
        <f>SUM(D78:D83)</f>
        <v>1614970067.8461537</v>
      </c>
      <c r="E84" s="10"/>
      <c r="F84" s="10" t="s">
        <v>62</v>
      </c>
      <c r="G84" s="42">
        <f>IF(I84&gt;0,I84/D84,0)</f>
        <v>0.30531419969289525</v>
      </c>
      <c r="H84" s="10"/>
      <c r="I84" s="10">
        <f>SUM(I78:I83)</f>
        <v>493073293.79242915</v>
      </c>
      <c r="J84" s="10"/>
      <c r="K84" s="7"/>
    </row>
    <row r="85" spans="1:11">
      <c r="B85" s="132"/>
      <c r="C85" s="10"/>
      <c r="D85" s="10"/>
      <c r="E85" s="10"/>
      <c r="F85" s="10"/>
      <c r="G85" s="42"/>
      <c r="H85" s="10"/>
      <c r="I85" s="10"/>
      <c r="J85" s="10"/>
      <c r="K85" s="7"/>
    </row>
    <row r="86" spans="1:11">
      <c r="B86" s="132" t="s">
        <v>353</v>
      </c>
      <c r="C86" s="10"/>
      <c r="D86" s="10"/>
      <c r="E86" s="10"/>
      <c r="F86" s="10"/>
      <c r="G86" s="10"/>
      <c r="H86" s="10"/>
      <c r="I86" s="10"/>
      <c r="J86" s="10"/>
      <c r="K86" s="7"/>
    </row>
    <row r="87" spans="1:11">
      <c r="A87" s="11">
        <v>7</v>
      </c>
      <c r="B87" s="132" t="str">
        <f>+B78</f>
        <v xml:space="preserve">  Production</v>
      </c>
      <c r="C87" s="1" t="s">
        <v>181</v>
      </c>
      <c r="D87" s="39">
        <v>359279202</v>
      </c>
      <c r="E87" s="10"/>
      <c r="F87" s="10" t="str">
        <f>+F78</f>
        <v>NA</v>
      </c>
      <c r="G87" s="40" t="str">
        <f>+G78</f>
        <v xml:space="preserve"> </v>
      </c>
      <c r="H87" s="10"/>
      <c r="I87" s="10" t="s">
        <v>2</v>
      </c>
      <c r="J87" s="10"/>
      <c r="K87" s="7"/>
    </row>
    <row r="88" spans="1:11">
      <c r="A88" s="11">
        <v>8</v>
      </c>
      <c r="B88" s="132" t="str">
        <f>+B79</f>
        <v xml:space="preserve">  Transmission</v>
      </c>
      <c r="C88" s="1" t="s">
        <v>354</v>
      </c>
      <c r="D88" s="39">
        <v>162577195</v>
      </c>
      <c r="E88" s="10"/>
      <c r="F88" s="10" t="str">
        <f>+F79</f>
        <v>TP</v>
      </c>
      <c r="G88" s="40">
        <f>I227</f>
        <v>0.99014751215838193</v>
      </c>
      <c r="H88" s="10"/>
      <c r="I88" s="10">
        <f>+G88*D88</f>
        <v>160975405.16293812</v>
      </c>
      <c r="J88" s="10"/>
      <c r="K88" s="7"/>
    </row>
    <row r="89" spans="1:11">
      <c r="A89" s="11" t="s">
        <v>318</v>
      </c>
      <c r="B89" s="132" t="s">
        <v>320</v>
      </c>
      <c r="D89" s="39"/>
      <c r="E89" s="10"/>
      <c r="F89" s="10" t="s">
        <v>367</v>
      </c>
      <c r="G89" s="40">
        <v>1</v>
      </c>
      <c r="H89" s="10"/>
      <c r="I89" s="10">
        <f>+G89*D89</f>
        <v>0</v>
      </c>
      <c r="J89" s="10"/>
      <c r="K89" s="7"/>
    </row>
    <row r="90" spans="1:11">
      <c r="A90" s="11">
        <v>9</v>
      </c>
      <c r="B90" s="132" t="str">
        <f>+B81</f>
        <v xml:space="preserve">  Distribution</v>
      </c>
      <c r="C90" s="129" t="s">
        <v>182</v>
      </c>
      <c r="D90" s="39">
        <v>18433268</v>
      </c>
      <c r="E90" s="10"/>
      <c r="F90" s="10" t="str">
        <f t="shared" ref="F90:G92" si="0">+F81</f>
        <v>NA</v>
      </c>
      <c r="G90" s="40" t="str">
        <f t="shared" si="0"/>
        <v xml:space="preserve"> </v>
      </c>
      <c r="H90" s="10"/>
      <c r="I90" s="10" t="s">
        <v>2</v>
      </c>
      <c r="J90" s="10"/>
      <c r="K90" s="7"/>
    </row>
    <row r="91" spans="1:11">
      <c r="A91" s="11">
        <v>10</v>
      </c>
      <c r="B91" s="132" t="str">
        <f>+B82</f>
        <v xml:space="preserve">  General &amp; Intangible</v>
      </c>
      <c r="C91" s="129" t="s">
        <v>287</v>
      </c>
      <c r="D91" s="39">
        <v>43645160</v>
      </c>
      <c r="E91" s="10"/>
      <c r="F91" s="10" t="str">
        <f t="shared" si="0"/>
        <v>W/S</v>
      </c>
      <c r="G91" s="40">
        <f t="shared" si="0"/>
        <v>0.34087437704499607</v>
      </c>
      <c r="H91" s="10"/>
      <c r="I91" s="10">
        <f>+G91*D91</f>
        <v>14877516.72602918</v>
      </c>
      <c r="J91" s="10"/>
      <c r="K91" s="7"/>
    </row>
    <row r="92" spans="1:11" ht="16.5" thickBot="1">
      <c r="A92" s="11">
        <v>11</v>
      </c>
      <c r="B92" s="132" t="str">
        <f>+B83</f>
        <v xml:space="preserve">  Common</v>
      </c>
      <c r="C92" s="130"/>
      <c r="D92" s="152"/>
      <c r="E92" s="10"/>
      <c r="F92" s="10" t="str">
        <f t="shared" si="0"/>
        <v>CE</v>
      </c>
      <c r="G92" s="40">
        <f t="shared" si="0"/>
        <v>0.34087437704499607</v>
      </c>
      <c r="H92" s="10"/>
      <c r="I92" s="19">
        <f>+G92*D92</f>
        <v>0</v>
      </c>
      <c r="J92" s="10"/>
      <c r="K92" s="7"/>
    </row>
    <row r="93" spans="1:11">
      <c r="A93" s="11">
        <v>12</v>
      </c>
      <c r="B93" s="132" t="s">
        <v>225</v>
      </c>
      <c r="C93" s="10"/>
      <c r="D93" s="10">
        <f>SUM(D87:D92)</f>
        <v>583934825</v>
      </c>
      <c r="E93" s="10"/>
      <c r="F93" s="10"/>
      <c r="G93" s="10"/>
      <c r="H93" s="10"/>
      <c r="I93" s="10">
        <f>SUM(I87:I92)</f>
        <v>175852921.88896731</v>
      </c>
      <c r="J93" s="10"/>
      <c r="K93" s="7"/>
    </row>
    <row r="94" spans="1:11">
      <c r="A94" s="11"/>
      <c r="C94" s="10" t="s">
        <v>2</v>
      </c>
      <c r="E94" s="10"/>
      <c r="F94" s="10"/>
      <c r="G94" s="42"/>
      <c r="H94" s="10"/>
      <c r="J94" s="10"/>
      <c r="K94" s="7"/>
    </row>
    <row r="95" spans="1:11">
      <c r="A95" s="11"/>
      <c r="B95" s="132" t="s">
        <v>63</v>
      </c>
      <c r="C95" s="10"/>
      <c r="D95" s="10"/>
      <c r="E95" s="10"/>
      <c r="F95" s="10"/>
      <c r="G95" s="10"/>
      <c r="H95" s="10"/>
      <c r="I95" s="10"/>
      <c r="J95" s="10"/>
      <c r="K95" s="7"/>
    </row>
    <row r="96" spans="1:11">
      <c r="A96" s="11">
        <v>13</v>
      </c>
      <c r="B96" s="132" t="str">
        <f>+B87</f>
        <v xml:space="preserve">  Production</v>
      </c>
      <c r="C96" s="10" t="s">
        <v>199</v>
      </c>
      <c r="D96" s="10">
        <f t="shared" ref="D96:D101" si="1">D78-D87</f>
        <v>602217260</v>
      </c>
      <c r="E96" s="10"/>
      <c r="F96" s="10"/>
      <c r="G96" s="42"/>
      <c r="H96" s="10"/>
      <c r="I96" s="10" t="s">
        <v>2</v>
      </c>
      <c r="J96" s="10"/>
      <c r="K96" s="7"/>
    </row>
    <row r="97" spans="1:11">
      <c r="A97" s="11">
        <v>14</v>
      </c>
      <c r="B97" s="132" t="str">
        <f>+B88</f>
        <v xml:space="preserve">  Transmission</v>
      </c>
      <c r="C97" s="10" t="s">
        <v>200</v>
      </c>
      <c r="D97" s="10">
        <f t="shared" si="1"/>
        <v>308010444.84615386</v>
      </c>
      <c r="E97" s="10"/>
      <c r="F97" s="10"/>
      <c r="G97" s="40"/>
      <c r="H97" s="10"/>
      <c r="I97" s="10">
        <f>I79-I88</f>
        <v>304975775.68321574</v>
      </c>
      <c r="J97" s="10"/>
      <c r="K97" s="7"/>
    </row>
    <row r="98" spans="1:11">
      <c r="A98" s="11" t="s">
        <v>319</v>
      </c>
      <c r="B98" s="132" t="s">
        <v>366</v>
      </c>
      <c r="C98" s="10"/>
      <c r="D98" s="10">
        <f t="shared" si="1"/>
        <v>0</v>
      </c>
      <c r="E98" s="10"/>
      <c r="F98" s="10"/>
      <c r="G98" s="40"/>
      <c r="H98" s="10"/>
      <c r="I98" s="10">
        <f>I80-I89</f>
        <v>0</v>
      </c>
      <c r="J98" s="10"/>
      <c r="K98" s="7"/>
    </row>
    <row r="99" spans="1:11">
      <c r="A99" s="11">
        <v>15</v>
      </c>
      <c r="B99" s="132" t="str">
        <f>+B90</f>
        <v xml:space="preserve">  Distribution</v>
      </c>
      <c r="C99" s="10" t="s">
        <v>201</v>
      </c>
      <c r="D99" s="10">
        <f t="shared" si="1"/>
        <v>84886398</v>
      </c>
      <c r="E99" s="10"/>
      <c r="F99" s="10"/>
      <c r="G99" s="42"/>
      <c r="H99" s="10"/>
      <c r="I99" s="10" t="s">
        <v>2</v>
      </c>
      <c r="J99" s="10"/>
      <c r="K99" s="7"/>
    </row>
    <row r="100" spans="1:11">
      <c r="A100" s="11">
        <v>16</v>
      </c>
      <c r="B100" s="132" t="str">
        <f>+B91</f>
        <v xml:space="preserve">  General &amp; Intangible</v>
      </c>
      <c r="C100" s="10" t="s">
        <v>202</v>
      </c>
      <c r="D100" s="10">
        <f t="shared" si="1"/>
        <v>35921140</v>
      </c>
      <c r="E100" s="10"/>
      <c r="F100" s="10"/>
      <c r="G100" s="42"/>
      <c r="H100" s="10"/>
      <c r="I100" s="10">
        <f>I82-I91</f>
        <v>12244596.220246091</v>
      </c>
      <c r="J100" s="10"/>
      <c r="K100" s="7"/>
    </row>
    <row r="101" spans="1:11" ht="16.5" thickBot="1">
      <c r="A101" s="11">
        <v>17</v>
      </c>
      <c r="B101" s="132" t="str">
        <f>+B92</f>
        <v xml:space="preserve">  Common</v>
      </c>
      <c r="C101" s="10" t="s">
        <v>203</v>
      </c>
      <c r="D101" s="19">
        <f t="shared" si="1"/>
        <v>0</v>
      </c>
      <c r="E101" s="10"/>
      <c r="F101" s="10"/>
      <c r="G101" s="42"/>
      <c r="H101" s="10"/>
      <c r="I101" s="19">
        <f>I83-I92</f>
        <v>0</v>
      </c>
      <c r="J101" s="10"/>
      <c r="K101" s="7"/>
    </row>
    <row r="102" spans="1:11">
      <c r="A102" s="11">
        <v>18</v>
      </c>
      <c r="B102" s="132" t="s">
        <v>226</v>
      </c>
      <c r="C102" s="10"/>
      <c r="D102" s="10">
        <f>SUM(D96:D101)</f>
        <v>1031035242.8461539</v>
      </c>
      <c r="E102" s="10"/>
      <c r="F102" s="10" t="s">
        <v>64</v>
      </c>
      <c r="G102" s="42">
        <f>IF(I102&gt;0,I102/D102,0)</f>
        <v>0.30767170579715664</v>
      </c>
      <c r="H102" s="10"/>
      <c r="I102" s="10">
        <f>SUM(I96:I101)</f>
        <v>317220371.90346181</v>
      </c>
      <c r="J102" s="10"/>
      <c r="K102" s="7"/>
    </row>
    <row r="103" spans="1:11">
      <c r="A103" s="11"/>
      <c r="C103" s="10"/>
      <c r="E103" s="10"/>
      <c r="H103" s="10"/>
      <c r="J103" s="10"/>
      <c r="K103" s="7"/>
    </row>
    <row r="104" spans="1:11">
      <c r="A104" s="11"/>
      <c r="B104" s="3" t="s">
        <v>355</v>
      </c>
      <c r="C104" s="10"/>
      <c r="D104" s="10"/>
      <c r="E104" s="10"/>
      <c r="F104" s="10"/>
      <c r="G104" s="10"/>
      <c r="H104" s="10"/>
      <c r="I104" s="10"/>
      <c r="J104" s="10"/>
      <c r="K104" s="7"/>
    </row>
    <row r="105" spans="1:11">
      <c r="A105" s="11">
        <v>19</v>
      </c>
      <c r="B105" s="132" t="s">
        <v>65</v>
      </c>
      <c r="C105" s="10"/>
      <c r="D105" s="43">
        <v>0</v>
      </c>
      <c r="E105" s="10"/>
      <c r="F105" s="10"/>
      <c r="G105" s="44" t="s">
        <v>169</v>
      </c>
      <c r="H105" s="10"/>
      <c r="I105" s="10">
        <v>0</v>
      </c>
      <c r="J105" s="10"/>
      <c r="K105" s="7"/>
    </row>
    <row r="106" spans="1:11">
      <c r="A106" s="11">
        <v>20</v>
      </c>
      <c r="B106" s="132" t="s">
        <v>67</v>
      </c>
      <c r="C106" s="10"/>
      <c r="D106" s="43">
        <v>0</v>
      </c>
      <c r="E106" s="10"/>
      <c r="F106" s="10" t="s">
        <v>66</v>
      </c>
      <c r="G106" s="40">
        <f>+G102</f>
        <v>0.30767170579715664</v>
      </c>
      <c r="H106" s="10"/>
      <c r="I106" s="10">
        <f>D106*G106</f>
        <v>0</v>
      </c>
      <c r="J106" s="10"/>
      <c r="K106" s="7"/>
    </row>
    <row r="107" spans="1:11">
      <c r="A107" s="11">
        <v>21</v>
      </c>
      <c r="B107" s="132" t="s">
        <v>68</v>
      </c>
      <c r="C107" s="10"/>
      <c r="D107" s="39">
        <v>0</v>
      </c>
      <c r="E107" s="10"/>
      <c r="F107" s="10" t="s">
        <v>66</v>
      </c>
      <c r="G107" s="40">
        <f>+G106</f>
        <v>0.30767170579715664</v>
      </c>
      <c r="H107" s="10"/>
      <c r="I107" s="10">
        <f>D107*G107</f>
        <v>0</v>
      </c>
      <c r="J107" s="10"/>
      <c r="K107" s="7"/>
    </row>
    <row r="108" spans="1:11">
      <c r="A108" s="11">
        <v>22</v>
      </c>
      <c r="B108" s="132" t="s">
        <v>69</v>
      </c>
      <c r="C108" s="10"/>
      <c r="D108" s="39">
        <v>0</v>
      </c>
      <c r="E108" s="10"/>
      <c r="F108" s="10" t="str">
        <f>+F107</f>
        <v>NP</v>
      </c>
      <c r="G108" s="40">
        <f>+G107</f>
        <v>0.30767170579715664</v>
      </c>
      <c r="H108" s="10"/>
      <c r="I108" s="10">
        <f>D108*G108</f>
        <v>0</v>
      </c>
      <c r="J108" s="10"/>
      <c r="K108" s="7"/>
    </row>
    <row r="109" spans="1:11">
      <c r="A109" s="11">
        <v>23</v>
      </c>
      <c r="B109" s="1" t="s">
        <v>70</v>
      </c>
      <c r="C109" s="10"/>
      <c r="D109" s="39">
        <v>0</v>
      </c>
      <c r="E109" s="10"/>
      <c r="F109" s="10" t="str">
        <f>+F108</f>
        <v>NP</v>
      </c>
      <c r="G109" s="40">
        <f>+G108</f>
        <v>0.30767170579715664</v>
      </c>
      <c r="H109" s="10"/>
      <c r="I109" s="10">
        <f>D109*G109</f>
        <v>0</v>
      </c>
      <c r="J109" s="10"/>
      <c r="K109" s="7"/>
    </row>
    <row r="110" spans="1:11" ht="16.5" thickBot="1">
      <c r="A110" s="11" t="s">
        <v>325</v>
      </c>
      <c r="B110" s="132" t="s">
        <v>326</v>
      </c>
      <c r="D110" s="41">
        <v>0</v>
      </c>
      <c r="E110" s="10"/>
      <c r="F110" s="10" t="s">
        <v>367</v>
      </c>
      <c r="G110" s="40">
        <v>1</v>
      </c>
      <c r="H110" s="10"/>
      <c r="I110" s="19">
        <f>D110*G110</f>
        <v>0</v>
      </c>
      <c r="J110" s="10"/>
      <c r="K110" s="7"/>
    </row>
    <row r="111" spans="1:11">
      <c r="A111" s="11">
        <v>24</v>
      </c>
      <c r="B111" s="132" t="s">
        <v>356</v>
      </c>
      <c r="C111" s="10"/>
      <c r="D111" s="10">
        <f>SUM(D105:D110)</f>
        <v>0</v>
      </c>
      <c r="E111" s="10"/>
      <c r="F111" s="10"/>
      <c r="G111" s="10"/>
      <c r="H111" s="10"/>
      <c r="I111" s="10">
        <f>SUM(I105:I110)</f>
        <v>0</v>
      </c>
      <c r="J111" s="10"/>
      <c r="K111" s="7"/>
    </row>
    <row r="112" spans="1:11">
      <c r="A112" s="11"/>
      <c r="C112" s="10"/>
      <c r="E112" s="10"/>
      <c r="F112" s="10"/>
      <c r="G112" s="42"/>
      <c r="H112" s="10"/>
      <c r="J112" s="10"/>
      <c r="K112" s="7"/>
    </row>
    <row r="113" spans="1:11">
      <c r="A113" s="11">
        <v>25</v>
      </c>
      <c r="B113" s="3" t="s">
        <v>71</v>
      </c>
      <c r="C113" s="10" t="s">
        <v>357</v>
      </c>
      <c r="D113" s="43">
        <v>55241</v>
      </c>
      <c r="E113" s="10"/>
      <c r="F113" s="10" t="str">
        <f>+F88</f>
        <v>TP</v>
      </c>
      <c r="G113" s="40">
        <f>+G88</f>
        <v>0.99014751215838193</v>
      </c>
      <c r="H113" s="10"/>
      <c r="I113" s="10">
        <f>+G113*D113</f>
        <v>54696.738719141176</v>
      </c>
      <c r="J113" s="10"/>
      <c r="K113" s="7"/>
    </row>
    <row r="114" spans="1:11">
      <c r="A114" s="11"/>
      <c r="B114" s="132"/>
      <c r="C114" s="10"/>
      <c r="D114" s="10"/>
      <c r="E114" s="10"/>
      <c r="F114" s="10"/>
      <c r="G114" s="10"/>
      <c r="H114" s="10"/>
      <c r="I114" s="10"/>
      <c r="J114" s="10"/>
      <c r="K114" s="7"/>
    </row>
    <row r="115" spans="1:11">
      <c r="A115" s="11"/>
      <c r="B115" s="132" t="s">
        <v>163</v>
      </c>
      <c r="D115" s="10"/>
      <c r="E115" s="10"/>
      <c r="F115" s="10"/>
      <c r="G115" s="10"/>
      <c r="H115" s="10"/>
      <c r="I115" s="10"/>
      <c r="J115" s="10"/>
      <c r="K115" s="7"/>
    </row>
    <row r="116" spans="1:11">
      <c r="A116" s="11">
        <v>26</v>
      </c>
      <c r="B116" s="132" t="s">
        <v>164</v>
      </c>
      <c r="C116" s="10" t="s">
        <v>72</v>
      </c>
      <c r="D116" s="10">
        <f>D152/8</f>
        <v>5519879.375</v>
      </c>
      <c r="E116" s="10"/>
      <c r="F116" s="10"/>
      <c r="G116" s="42"/>
      <c r="H116" s="10"/>
      <c r="I116" s="10">
        <f>I152/8</f>
        <v>3303050.1718147546</v>
      </c>
      <c r="J116" s="10"/>
      <c r="K116" s="7"/>
    </row>
    <row r="117" spans="1:11">
      <c r="A117" s="11">
        <v>27</v>
      </c>
      <c r="B117" s="132" t="s">
        <v>73</v>
      </c>
      <c r="C117" s="1" t="s">
        <v>358</v>
      </c>
      <c r="D117" s="43">
        <v>20186848</v>
      </c>
      <c r="E117" s="10"/>
      <c r="F117" s="10" t="s">
        <v>74</v>
      </c>
      <c r="G117" s="166">
        <f>I228</f>
        <v>0.94908139783781986</v>
      </c>
      <c r="H117" s="10"/>
      <c r="I117" s="130">
        <f>+G117*D117</f>
        <v>19158961.917779598</v>
      </c>
      <c r="J117" s="130" t="s">
        <v>2</v>
      </c>
      <c r="K117" s="7"/>
    </row>
    <row r="118" spans="1:11" ht="16.5" thickBot="1">
      <c r="A118" s="11">
        <v>28</v>
      </c>
      <c r="B118" s="132" t="s">
        <v>75</v>
      </c>
      <c r="C118" s="1" t="s">
        <v>359</v>
      </c>
      <c r="D118" s="43">
        <v>8325577</v>
      </c>
      <c r="E118" s="10"/>
      <c r="F118" s="10" t="s">
        <v>76</v>
      </c>
      <c r="G118" s="40">
        <f>+G84</f>
        <v>0.30531419969289525</v>
      </c>
      <c r="H118" s="10"/>
      <c r="I118" s="170">
        <f>+G118*D118</f>
        <v>2541916.8787365756</v>
      </c>
      <c r="J118" s="170"/>
      <c r="K118" s="7"/>
    </row>
    <row r="119" spans="1:11">
      <c r="A119" s="11">
        <v>29</v>
      </c>
      <c r="B119" s="132" t="s">
        <v>227</v>
      </c>
      <c r="C119" s="7"/>
      <c r="D119" s="10">
        <f>D116+D117+D118</f>
        <v>34032304.375</v>
      </c>
      <c r="E119" s="7"/>
      <c r="F119" s="7"/>
      <c r="G119" s="7"/>
      <c r="H119" s="7"/>
      <c r="I119" s="130">
        <f>I116+I117+I118</f>
        <v>25003928.968330927</v>
      </c>
      <c r="J119" s="130"/>
      <c r="K119" s="7"/>
    </row>
    <row r="120" spans="1:11" ht="16.5" thickBot="1">
      <c r="C120" s="10"/>
      <c r="D120" s="45"/>
      <c r="E120" s="10"/>
      <c r="F120" s="10"/>
      <c r="G120" s="10"/>
      <c r="H120" s="10"/>
      <c r="I120" s="171"/>
      <c r="J120" s="10"/>
      <c r="K120" s="7"/>
    </row>
    <row r="121" spans="1:11" ht="16.5" thickBot="1">
      <c r="A121" s="11">
        <v>30</v>
      </c>
      <c r="B121" s="132" t="s">
        <v>360</v>
      </c>
      <c r="C121" s="10"/>
      <c r="D121" s="46">
        <f>+D119+D113+D111+D102</f>
        <v>1065122788.2211539</v>
      </c>
      <c r="E121" s="10"/>
      <c r="F121" s="10"/>
      <c r="G121" s="42"/>
      <c r="H121" s="10"/>
      <c r="I121" s="172">
        <f>+I119+I113+I111+I102</f>
        <v>342278997.6105119</v>
      </c>
      <c r="J121" s="10"/>
      <c r="K121" s="7"/>
    </row>
    <row r="122" spans="1:11" ht="16.5" thickTop="1">
      <c r="A122" s="11"/>
      <c r="B122" s="132"/>
      <c r="C122" s="10"/>
      <c r="D122" s="10"/>
      <c r="E122" s="10"/>
      <c r="F122" s="10"/>
      <c r="G122" s="10"/>
      <c r="H122" s="10"/>
      <c r="I122" s="10"/>
      <c r="J122" s="10"/>
      <c r="K122" s="10"/>
    </row>
    <row r="123" spans="1:11" ht="16.5" thickBot="1">
      <c r="A123" s="11" t="s">
        <v>259</v>
      </c>
      <c r="B123" s="132" t="s">
        <v>330</v>
      </c>
      <c r="C123" s="10"/>
      <c r="D123" s="162">
        <f>+D98+D110</f>
        <v>0</v>
      </c>
      <c r="E123" s="10"/>
      <c r="F123" s="10"/>
      <c r="G123" s="10"/>
      <c r="H123" s="10"/>
      <c r="I123" s="162">
        <f>+I98+I110</f>
        <v>0</v>
      </c>
      <c r="J123" s="10"/>
      <c r="K123" s="10"/>
    </row>
    <row r="124" spans="1:11" ht="16.5" thickTop="1">
      <c r="A124" s="11"/>
      <c r="B124" s="15"/>
      <c r="C124" s="10"/>
      <c r="D124" s="10"/>
      <c r="E124" s="10"/>
      <c r="F124" s="10"/>
      <c r="G124" s="10"/>
      <c r="H124" s="10"/>
      <c r="I124" s="10"/>
      <c r="J124" s="10"/>
      <c r="K124" s="10"/>
    </row>
    <row r="125" spans="1:11">
      <c r="A125" s="11"/>
      <c r="B125" s="15"/>
      <c r="C125" s="10"/>
      <c r="D125" s="10"/>
      <c r="E125" s="10"/>
      <c r="F125" s="10"/>
      <c r="G125" s="10"/>
      <c r="H125" s="10"/>
      <c r="I125" s="10"/>
      <c r="J125" s="10"/>
      <c r="K125" s="10"/>
    </row>
    <row r="126" spans="1:11">
      <c r="A126" s="11"/>
      <c r="B126" s="15"/>
      <c r="C126" s="10"/>
      <c r="D126" s="10"/>
      <c r="E126" s="10"/>
      <c r="F126" s="10"/>
      <c r="G126" s="10"/>
      <c r="H126" s="10"/>
      <c r="I126" s="10"/>
      <c r="J126" s="10"/>
      <c r="K126" s="10"/>
    </row>
    <row r="127" spans="1:11">
      <c r="A127" s="11"/>
      <c r="B127" s="15"/>
      <c r="C127" s="10"/>
      <c r="D127" s="10"/>
      <c r="E127" s="10"/>
      <c r="F127" s="10"/>
      <c r="G127" s="10"/>
      <c r="H127" s="10"/>
      <c r="I127" s="10"/>
      <c r="J127" s="10"/>
      <c r="K127" s="10"/>
    </row>
    <row r="128" spans="1:11">
      <c r="A128" s="11"/>
      <c r="B128" s="15"/>
      <c r="C128" s="10"/>
      <c r="D128" s="10"/>
      <c r="E128" s="10"/>
      <c r="F128" s="10"/>
      <c r="G128" s="10"/>
      <c r="H128" s="10"/>
      <c r="I128" s="10"/>
      <c r="J128" s="10"/>
      <c r="K128" s="10"/>
    </row>
    <row r="129" spans="1:14">
      <c r="A129" s="11"/>
      <c r="B129" s="15"/>
      <c r="C129" s="10"/>
      <c r="D129" s="10"/>
      <c r="E129" s="10"/>
      <c r="F129" s="10"/>
      <c r="G129" s="10"/>
      <c r="H129" s="10"/>
      <c r="I129" s="10"/>
      <c r="J129" s="10"/>
      <c r="K129" s="10"/>
    </row>
    <row r="130" spans="1:14">
      <c r="A130" s="11"/>
      <c r="B130" s="15"/>
      <c r="C130" s="10"/>
      <c r="D130" s="10"/>
      <c r="E130" s="10"/>
      <c r="F130" s="10"/>
      <c r="G130" s="10"/>
      <c r="H130" s="10"/>
      <c r="I130" s="10"/>
      <c r="J130" s="10"/>
      <c r="K130" s="10"/>
    </row>
    <row r="131" spans="1:14">
      <c r="A131" s="11"/>
      <c r="B131" s="15"/>
      <c r="C131" s="10"/>
      <c r="D131" s="10"/>
      <c r="E131" s="10"/>
      <c r="F131" s="10"/>
      <c r="G131" s="10"/>
      <c r="H131" s="10"/>
      <c r="I131" s="10"/>
      <c r="J131" s="10"/>
      <c r="K131" s="10"/>
    </row>
    <row r="132" spans="1:14">
      <c r="A132" s="11"/>
      <c r="B132" s="15"/>
      <c r="C132" s="10"/>
      <c r="D132" s="10"/>
      <c r="E132" s="10"/>
      <c r="F132" s="10"/>
      <c r="G132" s="10"/>
      <c r="H132" s="10"/>
      <c r="I132" s="10"/>
      <c r="J132" s="10"/>
      <c r="K132" s="2" t="s">
        <v>346</v>
      </c>
    </row>
    <row r="133" spans="1:14">
      <c r="B133" s="3"/>
      <c r="C133" s="3"/>
      <c r="D133" s="4"/>
      <c r="E133" s="3"/>
      <c r="F133" s="3"/>
      <c r="G133" s="3"/>
      <c r="H133" s="5"/>
      <c r="I133" s="5"/>
      <c r="J133" s="197" t="s">
        <v>190</v>
      </c>
      <c r="K133" s="197"/>
    </row>
    <row r="134" spans="1:14">
      <c r="A134" s="11"/>
      <c r="B134" s="15"/>
      <c r="C134" s="10"/>
      <c r="D134" s="10"/>
      <c r="E134" s="10"/>
      <c r="F134" s="10"/>
      <c r="G134" s="10"/>
      <c r="H134" s="10"/>
      <c r="I134" s="10"/>
      <c r="J134" s="10"/>
      <c r="K134" s="10"/>
    </row>
    <row r="135" spans="1:14">
      <c r="A135" s="11"/>
      <c r="B135" s="15" t="str">
        <f>B4</f>
        <v xml:space="preserve">Formula Rate - Non-Levelized </v>
      </c>
      <c r="C135" s="10"/>
      <c r="D135" s="10" t="str">
        <f>D4</f>
        <v xml:space="preserve">     Rate Formula Template</v>
      </c>
      <c r="E135" s="10"/>
      <c r="F135" s="10"/>
      <c r="G135" s="10"/>
      <c r="H135" s="10"/>
      <c r="J135" s="10"/>
      <c r="K135" s="89" t="str">
        <f>K4</f>
        <v>For the 12 months ended 12/31/15</v>
      </c>
    </row>
    <row r="136" spans="1:14">
      <c r="A136" s="11"/>
      <c r="B136" s="15"/>
      <c r="C136" s="10"/>
      <c r="D136" s="10" t="str">
        <f>D5</f>
        <v xml:space="preserve"> Utilizing RUS Form 12 Data</v>
      </c>
      <c r="E136" s="10"/>
      <c r="F136" s="10"/>
      <c r="G136" s="10"/>
      <c r="H136" s="10"/>
      <c r="I136" s="10"/>
      <c r="J136" s="10"/>
      <c r="K136" s="10"/>
    </row>
    <row r="137" spans="1:14">
      <c r="A137" s="11"/>
      <c r="C137" s="10"/>
      <c r="D137" s="10"/>
      <c r="E137" s="10"/>
      <c r="F137" s="10"/>
      <c r="G137" s="10"/>
      <c r="H137" s="10"/>
      <c r="I137" s="10"/>
      <c r="J137" s="10"/>
      <c r="K137" s="10"/>
    </row>
    <row r="138" spans="1:14">
      <c r="A138" s="11"/>
      <c r="D138" s="1" t="str">
        <f>D7</f>
        <v>Dairyland Power Cooperative</v>
      </c>
      <c r="J138" s="10"/>
      <c r="K138" s="10"/>
    </row>
    <row r="139" spans="1:14">
      <c r="A139" s="11"/>
      <c r="B139" s="31" t="s">
        <v>41</v>
      </c>
      <c r="C139" s="31" t="s">
        <v>42</v>
      </c>
      <c r="D139" s="31" t="s">
        <v>43</v>
      </c>
      <c r="E139" s="10" t="s">
        <v>2</v>
      </c>
      <c r="F139" s="10"/>
      <c r="G139" s="32" t="s">
        <v>44</v>
      </c>
      <c r="H139" s="10"/>
      <c r="I139" s="33" t="s">
        <v>45</v>
      </c>
      <c r="J139" s="10"/>
      <c r="K139" s="10"/>
    </row>
    <row r="140" spans="1:14">
      <c r="A140" s="11"/>
      <c r="B140" s="31"/>
      <c r="C140" s="5"/>
      <c r="D140" s="5"/>
      <c r="E140" s="5"/>
      <c r="F140" s="5"/>
      <c r="G140" s="5"/>
      <c r="H140" s="5"/>
      <c r="I140" s="5"/>
      <c r="J140" s="5"/>
      <c r="K140" s="35"/>
    </row>
    <row r="141" spans="1:14">
      <c r="A141" s="11" t="s">
        <v>4</v>
      </c>
      <c r="B141" s="15"/>
      <c r="C141" s="34" t="s">
        <v>46</v>
      </c>
      <c r="D141" s="10"/>
      <c r="E141" s="10"/>
      <c r="F141" s="10"/>
      <c r="G141" s="11"/>
      <c r="H141" s="10"/>
      <c r="I141" s="35" t="s">
        <v>47</v>
      </c>
      <c r="J141" s="10"/>
      <c r="K141" s="10"/>
      <c r="L141" s="10"/>
      <c r="M141" s="10"/>
    </row>
    <row r="142" spans="1:14" ht="16.5" thickBot="1">
      <c r="A142" s="13" t="s">
        <v>6</v>
      </c>
      <c r="B142" s="15"/>
      <c r="C142" s="36" t="s">
        <v>48</v>
      </c>
      <c r="D142" s="35" t="s">
        <v>49</v>
      </c>
      <c r="E142" s="37"/>
      <c r="F142" s="35" t="s">
        <v>50</v>
      </c>
      <c r="H142" s="37"/>
      <c r="I142" s="11" t="s">
        <v>51</v>
      </c>
      <c r="J142" s="10"/>
      <c r="K142" s="10"/>
      <c r="L142" s="10"/>
      <c r="M142" s="10"/>
    </row>
    <row r="143" spans="1:14">
      <c r="A143" s="11"/>
      <c r="B143" s="132" t="s">
        <v>267</v>
      </c>
      <c r="C143" s="10"/>
      <c r="D143" s="10"/>
      <c r="E143" s="10"/>
      <c r="F143" s="10"/>
      <c r="G143" s="10"/>
      <c r="H143" s="10"/>
      <c r="I143" s="10"/>
      <c r="J143" s="10"/>
      <c r="K143" s="10"/>
      <c r="L143" s="10"/>
      <c r="M143" s="10"/>
    </row>
    <row r="144" spans="1:14">
      <c r="A144" s="11">
        <v>1</v>
      </c>
      <c r="B144" s="15" t="s">
        <v>77</v>
      </c>
      <c r="C144" s="1" t="s">
        <v>268</v>
      </c>
      <c r="D144" s="43">
        <f>34002470+7533647-2700000</f>
        <v>38836117</v>
      </c>
      <c r="E144" s="10"/>
      <c r="F144" s="10" t="s">
        <v>74</v>
      </c>
      <c r="G144" s="166">
        <f>I228</f>
        <v>0.94908139783781986</v>
      </c>
      <c r="H144" s="130"/>
      <c r="I144" s="130">
        <f t="shared" ref="I144:I151" si="2">+G144*D144</f>
        <v>36858636.20895312</v>
      </c>
      <c r="J144" s="7"/>
      <c r="K144" s="10"/>
      <c r="L144" s="10"/>
      <c r="M144" s="10"/>
      <c r="N144" s="194"/>
    </row>
    <row r="145" spans="1:14">
      <c r="A145" s="11">
        <v>2</v>
      </c>
      <c r="B145" s="15" t="s">
        <v>78</v>
      </c>
      <c r="C145" s="1" t="s">
        <v>79</v>
      </c>
      <c r="D145" s="43">
        <f>18139000+2000000</f>
        <v>20139000</v>
      </c>
      <c r="E145" s="10"/>
      <c r="F145" s="10" t="s">
        <v>74</v>
      </c>
      <c r="G145" s="166">
        <f>+G144</f>
        <v>0.94908139783781986</v>
      </c>
      <c r="H145" s="130"/>
      <c r="I145" s="130">
        <f t="shared" si="2"/>
        <v>19113550.271055855</v>
      </c>
      <c r="J145" s="7"/>
      <c r="K145" s="10"/>
      <c r="L145" s="10"/>
      <c r="M145" s="10"/>
    </row>
    <row r="146" spans="1:14">
      <c r="A146" s="11">
        <v>3</v>
      </c>
      <c r="B146" s="15" t="s">
        <v>80</v>
      </c>
      <c r="C146" s="1" t="s">
        <v>269</v>
      </c>
      <c r="D146" s="43">
        <f>25507408+1330267-360227-1000000+500000</f>
        <v>25977448</v>
      </c>
      <c r="E146" s="10"/>
      <c r="F146" s="10" t="s">
        <v>59</v>
      </c>
      <c r="G146" s="166">
        <f>I235</f>
        <v>0.34087437704499607</v>
      </c>
      <c r="H146" s="130"/>
      <c r="I146" s="130">
        <f t="shared" si="2"/>
        <v>8855046.4042187799</v>
      </c>
      <c r="J146" s="10"/>
      <c r="K146" s="10"/>
      <c r="L146" s="10"/>
      <c r="M146" s="10"/>
      <c r="N146" s="194"/>
    </row>
    <row r="147" spans="1:14">
      <c r="A147" s="11">
        <v>4</v>
      </c>
      <c r="B147" s="15" t="s">
        <v>81</v>
      </c>
      <c r="C147" s="10"/>
      <c r="D147" s="43"/>
      <c r="E147" s="10"/>
      <c r="F147" s="10" t="str">
        <f>+F146</f>
        <v>W/S</v>
      </c>
      <c r="G147" s="166">
        <f>I235</f>
        <v>0.34087437704499607</v>
      </c>
      <c r="H147" s="130"/>
      <c r="I147" s="130">
        <f t="shared" si="2"/>
        <v>0</v>
      </c>
      <c r="J147" s="10"/>
      <c r="K147" s="10"/>
      <c r="L147" s="10"/>
      <c r="M147" s="10"/>
    </row>
    <row r="148" spans="1:14">
      <c r="A148" s="11">
        <v>5</v>
      </c>
      <c r="B148" s="15" t="s">
        <v>204</v>
      </c>
      <c r="C148" s="10"/>
      <c r="D148" s="43">
        <v>515530</v>
      </c>
      <c r="E148" s="10"/>
      <c r="F148" s="10" t="str">
        <f>+F147</f>
        <v>W/S</v>
      </c>
      <c r="G148" s="166">
        <f>I235</f>
        <v>0.34087437704499607</v>
      </c>
      <c r="H148" s="130"/>
      <c r="I148" s="130">
        <f t="shared" si="2"/>
        <v>175730.96759800683</v>
      </c>
      <c r="J148" s="10"/>
      <c r="K148" s="10"/>
      <c r="L148" s="10"/>
      <c r="M148" s="10"/>
    </row>
    <row r="149" spans="1:14">
      <c r="A149" s="11" t="s">
        <v>170</v>
      </c>
      <c r="B149" s="15" t="s">
        <v>228</v>
      </c>
      <c r="C149" s="10"/>
      <c r="D149" s="43"/>
      <c r="E149" s="10"/>
      <c r="F149" s="10" t="str">
        <f>+F144</f>
        <v>TE</v>
      </c>
      <c r="G149" s="166">
        <f>+G144</f>
        <v>0.94908139783781986</v>
      </c>
      <c r="H149" s="130"/>
      <c r="I149" s="130">
        <f t="shared" si="2"/>
        <v>0</v>
      </c>
      <c r="J149" s="10"/>
      <c r="K149" s="10"/>
      <c r="L149" s="10"/>
      <c r="M149" s="10"/>
    </row>
    <row r="150" spans="1:14">
      <c r="A150" s="11">
        <v>6</v>
      </c>
      <c r="B150" s="15" t="s">
        <v>60</v>
      </c>
      <c r="C150" s="10"/>
      <c r="D150" s="43"/>
      <c r="E150" s="10"/>
      <c r="F150" s="10" t="s">
        <v>61</v>
      </c>
      <c r="G150" s="166">
        <f>K239</f>
        <v>0</v>
      </c>
      <c r="H150" s="130"/>
      <c r="I150" s="130">
        <f t="shared" si="2"/>
        <v>0</v>
      </c>
      <c r="J150" s="10"/>
      <c r="K150" s="10"/>
      <c r="L150" s="10"/>
      <c r="M150" s="10"/>
    </row>
    <row r="151" spans="1:14" ht="16.5" thickBot="1">
      <c r="A151" s="11">
        <v>7</v>
      </c>
      <c r="B151" s="15" t="s">
        <v>82</v>
      </c>
      <c r="C151" s="10"/>
      <c r="D151" s="41"/>
      <c r="E151" s="10"/>
      <c r="F151" s="10" t="s">
        <v>55</v>
      </c>
      <c r="G151" s="166">
        <v>1</v>
      </c>
      <c r="H151" s="130"/>
      <c r="I151" s="170">
        <f t="shared" si="2"/>
        <v>0</v>
      </c>
      <c r="J151" s="10"/>
      <c r="K151" s="10"/>
      <c r="L151" s="10"/>
      <c r="M151" s="10"/>
    </row>
    <row r="152" spans="1:14">
      <c r="A152" s="11">
        <v>8</v>
      </c>
      <c r="B152" s="15" t="s">
        <v>177</v>
      </c>
      <c r="C152" s="10"/>
      <c r="D152" s="10">
        <f>+D144-D145+D146-D147-D148+D149+D150+D151</f>
        <v>44159035</v>
      </c>
      <c r="E152" s="10"/>
      <c r="F152" s="10"/>
      <c r="G152" s="130"/>
      <c r="H152" s="130"/>
      <c r="I152" s="130">
        <f>+I144-I145+I146-I147-I148+I149+I150+I151</f>
        <v>26424401.374518037</v>
      </c>
      <c r="J152" s="10"/>
      <c r="K152" s="10"/>
      <c r="L152" s="10"/>
      <c r="M152" s="10"/>
    </row>
    <row r="153" spans="1:14">
      <c r="A153" s="11"/>
      <c r="C153" s="10"/>
      <c r="E153" s="10"/>
      <c r="F153" s="10"/>
      <c r="G153" s="10"/>
      <c r="H153" s="10"/>
      <c r="J153" s="10"/>
      <c r="K153" s="10"/>
      <c r="L153" s="10"/>
      <c r="M153" s="10"/>
    </row>
    <row r="154" spans="1:14">
      <c r="A154" s="11"/>
      <c r="B154" s="132" t="s">
        <v>270</v>
      </c>
      <c r="C154" s="10"/>
      <c r="D154" s="10"/>
      <c r="E154" s="10"/>
      <c r="F154" s="10"/>
      <c r="G154" s="10"/>
      <c r="H154" s="10"/>
      <c r="I154" s="10"/>
      <c r="J154" s="10"/>
      <c r="K154" s="10"/>
      <c r="L154" s="10"/>
      <c r="M154" s="10"/>
    </row>
    <row r="155" spans="1:14">
      <c r="A155" s="11">
        <v>9</v>
      </c>
      <c r="B155" s="15" t="str">
        <f>+B144</f>
        <v xml:space="preserve">  Transmission </v>
      </c>
      <c r="C155" s="1" t="s">
        <v>183</v>
      </c>
      <c r="D155" s="43">
        <v>12462972</v>
      </c>
      <c r="E155" s="10"/>
      <c r="F155" s="10" t="s">
        <v>12</v>
      </c>
      <c r="G155" s="40">
        <f>+G113</f>
        <v>0.99014751215838193</v>
      </c>
      <c r="H155" s="10"/>
      <c r="I155" s="10">
        <f>+G155*D155</f>
        <v>12340180.719899574</v>
      </c>
      <c r="J155" s="10"/>
      <c r="K155" s="10"/>
      <c r="L155" s="10"/>
      <c r="M155" s="10"/>
    </row>
    <row r="156" spans="1:14">
      <c r="A156" s="11" t="s">
        <v>331</v>
      </c>
      <c r="B156" s="165" t="s">
        <v>332</v>
      </c>
      <c r="C156" s="1" t="s">
        <v>333</v>
      </c>
      <c r="D156" s="43"/>
      <c r="E156" s="10"/>
      <c r="F156" s="10" t="s">
        <v>367</v>
      </c>
      <c r="G156" s="40">
        <v>1</v>
      </c>
      <c r="H156" s="10"/>
      <c r="I156" s="10">
        <f>+G156*D156</f>
        <v>0</v>
      </c>
      <c r="J156" s="10"/>
      <c r="K156" s="10"/>
      <c r="L156" s="10"/>
      <c r="M156" s="10"/>
    </row>
    <row r="157" spans="1:14">
      <c r="A157" s="11">
        <v>10</v>
      </c>
      <c r="B157" s="132" t="s">
        <v>58</v>
      </c>
      <c r="C157" s="1" t="s">
        <v>271</v>
      </c>
      <c r="D157" s="43">
        <v>3071830</v>
      </c>
      <c r="E157" s="10"/>
      <c r="F157" s="10" t="s">
        <v>59</v>
      </c>
      <c r="G157" s="40">
        <f>+G146</f>
        <v>0.34087437704499607</v>
      </c>
      <c r="H157" s="10"/>
      <c r="I157" s="10">
        <f>+G157*D157</f>
        <v>1047108.1376381302</v>
      </c>
      <c r="J157" s="10"/>
      <c r="K157" s="10"/>
      <c r="L157" s="10"/>
      <c r="M157" s="10"/>
    </row>
    <row r="158" spans="1:14" ht="16.5" thickBot="1">
      <c r="A158" s="11">
        <v>11</v>
      </c>
      <c r="B158" s="132" t="str">
        <f>+B150</f>
        <v xml:space="preserve">  Common</v>
      </c>
      <c r="C158" s="10"/>
      <c r="D158" s="41"/>
      <c r="E158" s="10"/>
      <c r="F158" s="10" t="s">
        <v>61</v>
      </c>
      <c r="G158" s="40">
        <f>+G150</f>
        <v>0</v>
      </c>
      <c r="H158" s="10"/>
      <c r="I158" s="19">
        <f>+G158*D158</f>
        <v>0</v>
      </c>
      <c r="J158" s="10"/>
      <c r="K158" s="10"/>
      <c r="L158" s="10"/>
      <c r="M158" s="10"/>
    </row>
    <row r="159" spans="1:14">
      <c r="A159" s="11">
        <v>12</v>
      </c>
      <c r="B159" s="15" t="s">
        <v>229</v>
      </c>
      <c r="C159" s="10"/>
      <c r="D159" s="10">
        <f>SUM(D155:D158)</f>
        <v>15534802</v>
      </c>
      <c r="E159" s="10"/>
      <c r="F159" s="10"/>
      <c r="G159" s="10"/>
      <c r="H159" s="10"/>
      <c r="I159" s="10">
        <f>SUM(I155:I158)</f>
        <v>13387288.857537705</v>
      </c>
      <c r="J159" s="10"/>
      <c r="K159" s="10"/>
      <c r="L159" s="10"/>
      <c r="M159" s="10"/>
    </row>
    <row r="160" spans="1:14">
      <c r="A160" s="11"/>
      <c r="B160" s="15"/>
      <c r="C160" s="10"/>
      <c r="D160" s="10"/>
      <c r="E160" s="10"/>
      <c r="F160" s="10"/>
      <c r="G160" s="10"/>
      <c r="H160" s="10"/>
      <c r="I160" s="10"/>
      <c r="J160" s="10"/>
      <c r="K160" s="10"/>
      <c r="L160" s="10"/>
      <c r="M160" s="10"/>
    </row>
    <row r="161" spans="1:13">
      <c r="A161" s="11" t="s">
        <v>2</v>
      </c>
      <c r="B161" s="15" t="s">
        <v>205</v>
      </c>
      <c r="D161" s="10"/>
      <c r="E161" s="10"/>
      <c r="F161" s="10"/>
      <c r="G161" s="10"/>
      <c r="H161" s="10"/>
      <c r="I161" s="10"/>
      <c r="J161" s="10"/>
      <c r="K161" s="10"/>
      <c r="L161" s="10"/>
      <c r="M161" s="10"/>
    </row>
    <row r="162" spans="1:13">
      <c r="A162" s="11"/>
      <c r="B162" s="15" t="s">
        <v>83</v>
      </c>
      <c r="E162" s="10"/>
      <c r="F162" s="10"/>
      <c r="H162" s="10"/>
      <c r="J162" s="10"/>
      <c r="K162" s="10"/>
      <c r="L162" s="10"/>
      <c r="M162" s="10"/>
    </row>
    <row r="163" spans="1:13">
      <c r="A163" s="11">
        <v>13</v>
      </c>
      <c r="B163" s="15" t="s">
        <v>84</v>
      </c>
      <c r="C163" s="10"/>
      <c r="D163" s="151"/>
      <c r="E163" s="10"/>
      <c r="F163" s="10" t="s">
        <v>59</v>
      </c>
      <c r="G163" s="17">
        <f>+G157</f>
        <v>0.34087437704499607</v>
      </c>
      <c r="H163" s="10"/>
      <c r="I163" s="10">
        <f>+G163*D163</f>
        <v>0</v>
      </c>
      <c r="J163" s="10"/>
      <c r="K163" s="10"/>
      <c r="L163" s="10"/>
      <c r="M163" s="10"/>
    </row>
    <row r="164" spans="1:13">
      <c r="A164" s="11">
        <v>14</v>
      </c>
      <c r="B164" s="15" t="s">
        <v>85</v>
      </c>
      <c r="C164" s="10"/>
      <c r="D164" s="151">
        <v>7854</v>
      </c>
      <c r="E164" s="10"/>
      <c r="F164" s="10" t="str">
        <f>+F163</f>
        <v>W/S</v>
      </c>
      <c r="G164" s="17">
        <f>+G163</f>
        <v>0.34087437704499607</v>
      </c>
      <c r="H164" s="10"/>
      <c r="I164" s="10">
        <f>+G164*D164</f>
        <v>2677.2273573113989</v>
      </c>
      <c r="J164" s="10"/>
      <c r="K164" s="10"/>
      <c r="L164" s="10"/>
      <c r="M164" s="10"/>
    </row>
    <row r="165" spans="1:13">
      <c r="A165" s="11">
        <v>15</v>
      </c>
      <c r="B165" s="15" t="s">
        <v>86</v>
      </c>
      <c r="C165" s="10"/>
      <c r="D165" s="153"/>
      <c r="E165" s="10"/>
      <c r="F165" s="10"/>
      <c r="H165" s="10"/>
      <c r="J165" s="10"/>
      <c r="K165" s="10"/>
      <c r="L165" s="10"/>
      <c r="M165" s="10"/>
    </row>
    <row r="166" spans="1:13">
      <c r="A166" s="11">
        <v>16</v>
      </c>
      <c r="B166" s="15" t="s">
        <v>87</v>
      </c>
      <c r="C166" s="10"/>
      <c r="D166" s="151">
        <v>2319000</v>
      </c>
      <c r="E166" s="10"/>
      <c r="F166" s="10" t="s">
        <v>76</v>
      </c>
      <c r="G166" s="17">
        <f>+G84</f>
        <v>0.30531419969289525</v>
      </c>
      <c r="H166" s="10"/>
      <c r="I166" s="10">
        <f>+G166*D166</f>
        <v>708023.62908782414</v>
      </c>
      <c r="J166" s="10"/>
      <c r="K166" s="10"/>
      <c r="L166" s="10"/>
      <c r="M166" s="10"/>
    </row>
    <row r="167" spans="1:13">
      <c r="A167" s="11">
        <v>17</v>
      </c>
      <c r="B167" s="15" t="s">
        <v>88</v>
      </c>
      <c r="C167" s="10"/>
      <c r="D167" s="151">
        <v>5825962</v>
      </c>
      <c r="E167" s="10"/>
      <c r="F167" s="10"/>
      <c r="G167" s="49" t="s">
        <v>169</v>
      </c>
      <c r="H167" s="10"/>
      <c r="I167" s="10">
        <v>0</v>
      </c>
      <c r="J167" s="10"/>
      <c r="K167" s="10"/>
      <c r="L167" s="10"/>
      <c r="M167" s="10"/>
    </row>
    <row r="168" spans="1:13">
      <c r="A168" s="11">
        <v>18</v>
      </c>
      <c r="B168" s="15" t="s">
        <v>89</v>
      </c>
      <c r="C168" s="10"/>
      <c r="D168" s="151">
        <v>0</v>
      </c>
      <c r="E168" s="10"/>
      <c r="F168" s="10" t="str">
        <f>+F166</f>
        <v>GP</v>
      </c>
      <c r="G168" s="17">
        <f>+G166</f>
        <v>0.30531419969289525</v>
      </c>
      <c r="H168" s="10"/>
      <c r="I168" s="10">
        <f>+G168*D168</f>
        <v>0</v>
      </c>
      <c r="J168" s="10"/>
      <c r="K168" s="10"/>
      <c r="L168" s="10"/>
      <c r="M168" s="10"/>
    </row>
    <row r="169" spans="1:13" ht="16.5" thickBot="1">
      <c r="A169" s="11">
        <v>19</v>
      </c>
      <c r="B169" s="15" t="s">
        <v>90</v>
      </c>
      <c r="C169" s="10"/>
      <c r="D169" s="152">
        <v>0</v>
      </c>
      <c r="E169" s="10"/>
      <c r="F169" s="10" t="s">
        <v>76</v>
      </c>
      <c r="G169" s="17">
        <f>+G168</f>
        <v>0.30531419969289525</v>
      </c>
      <c r="H169" s="10"/>
      <c r="I169" s="19">
        <f>+G169*D169</f>
        <v>0</v>
      </c>
      <c r="J169" s="10"/>
      <c r="K169" s="10"/>
      <c r="L169" s="10"/>
      <c r="M169" s="10"/>
    </row>
    <row r="170" spans="1:13">
      <c r="A170" s="11">
        <v>20</v>
      </c>
      <c r="B170" s="15" t="s">
        <v>230</v>
      </c>
      <c r="C170" s="10"/>
      <c r="D170" s="10">
        <f>SUM(D163:D169)</f>
        <v>8152816</v>
      </c>
      <c r="E170" s="10"/>
      <c r="F170" s="10"/>
      <c r="G170" s="17"/>
      <c r="H170" s="10"/>
      <c r="I170" s="10">
        <f>SUM(I163:I169)</f>
        <v>710700.85644513555</v>
      </c>
      <c r="J170" s="10"/>
      <c r="K170" s="10"/>
      <c r="L170" s="10"/>
      <c r="M170" s="10"/>
    </row>
    <row r="171" spans="1:13">
      <c r="A171" s="11"/>
      <c r="B171" s="15"/>
      <c r="C171" s="10"/>
      <c r="D171" s="10"/>
      <c r="E171" s="10"/>
      <c r="F171" s="10"/>
      <c r="G171" s="17"/>
      <c r="H171" s="10"/>
      <c r="I171" s="10"/>
      <c r="J171" s="10"/>
      <c r="K171" s="10"/>
      <c r="L171" s="10"/>
      <c r="M171" s="10"/>
    </row>
    <row r="172" spans="1:13">
      <c r="A172" s="11"/>
      <c r="B172" s="15" t="s">
        <v>91</v>
      </c>
      <c r="C172" s="50" t="s">
        <v>92</v>
      </c>
      <c r="D172" s="10"/>
      <c r="E172" s="10"/>
      <c r="F172" s="10" t="s">
        <v>55</v>
      </c>
      <c r="G172" s="51"/>
      <c r="H172" s="10"/>
      <c r="I172" s="10"/>
      <c r="J172" s="10"/>
      <c r="K172" s="10"/>
      <c r="L172" s="10"/>
      <c r="M172" s="10"/>
    </row>
    <row r="173" spans="1:13">
      <c r="A173" s="11">
        <v>21</v>
      </c>
      <c r="B173" s="52" t="s">
        <v>93</v>
      </c>
      <c r="C173" s="10"/>
      <c r="D173" s="53">
        <f>IF(D299&gt;0,1-(((1-D300)*(1-D299))/(1-D300*D299*D301)),0)</f>
        <v>0</v>
      </c>
      <c r="E173" s="10"/>
      <c r="G173" s="51"/>
      <c r="H173" s="10"/>
      <c r="J173" s="10"/>
      <c r="K173" s="10"/>
      <c r="L173" s="10"/>
      <c r="M173" s="10"/>
    </row>
    <row r="174" spans="1:13">
      <c r="A174" s="11">
        <v>22</v>
      </c>
      <c r="B174" s="1" t="s">
        <v>94</v>
      </c>
      <c r="C174" s="10"/>
      <c r="D174" s="53">
        <f>IF(I250&gt;0,(D173/(1-D173))*(1-I248/I250),0)</f>
        <v>0</v>
      </c>
      <c r="E174" s="10"/>
      <c r="G174" s="51"/>
      <c r="H174" s="10"/>
      <c r="J174" s="10"/>
      <c r="K174" s="10"/>
      <c r="L174" s="10"/>
      <c r="M174" s="10"/>
    </row>
    <row r="175" spans="1:13">
      <c r="A175" s="11"/>
      <c r="B175" s="132" t="s">
        <v>280</v>
      </c>
      <c r="C175" s="10"/>
      <c r="D175" s="10"/>
      <c r="E175" s="10"/>
      <c r="G175" s="51"/>
      <c r="H175" s="10"/>
      <c r="J175" s="10"/>
      <c r="K175" s="10"/>
      <c r="L175" s="10"/>
      <c r="M175" s="10"/>
    </row>
    <row r="176" spans="1:13">
      <c r="A176" s="11"/>
      <c r="B176" s="15" t="s">
        <v>95</v>
      </c>
      <c r="C176" s="10"/>
      <c r="D176" s="10"/>
      <c r="E176" s="10"/>
      <c r="G176" s="51"/>
      <c r="H176" s="10"/>
      <c r="J176" s="10"/>
      <c r="K176" s="10"/>
      <c r="L176" s="10"/>
      <c r="M176" s="10"/>
    </row>
    <row r="177" spans="1:13">
      <c r="A177" s="11">
        <v>23</v>
      </c>
      <c r="B177" s="52" t="s">
        <v>96</v>
      </c>
      <c r="C177" s="10"/>
      <c r="D177" s="54">
        <f>IF(D173&gt;0,1/(1-D173),0)</f>
        <v>0</v>
      </c>
      <c r="E177" s="10"/>
      <c r="G177" s="51"/>
      <c r="H177" s="10"/>
      <c r="J177" s="10"/>
      <c r="K177" s="10"/>
      <c r="L177" s="10"/>
      <c r="M177" s="10"/>
    </row>
    <row r="178" spans="1:13">
      <c r="A178" s="11">
        <v>24</v>
      </c>
      <c r="B178" s="15" t="s">
        <v>184</v>
      </c>
      <c r="C178" s="10"/>
      <c r="D178" s="43">
        <v>0</v>
      </c>
      <c r="E178" s="10"/>
      <c r="G178" s="51"/>
      <c r="H178" s="10"/>
      <c r="J178" s="10"/>
      <c r="K178" s="10"/>
      <c r="L178" s="10"/>
      <c r="M178" s="10"/>
    </row>
    <row r="179" spans="1:13">
      <c r="A179" s="11"/>
      <c r="B179" s="15"/>
      <c r="C179" s="10"/>
      <c r="D179" s="10"/>
      <c r="E179" s="10"/>
      <c r="G179" s="51"/>
      <c r="H179" s="10"/>
      <c r="J179" s="10"/>
      <c r="K179" s="10"/>
      <c r="L179" s="10"/>
      <c r="M179" s="10"/>
    </row>
    <row r="180" spans="1:13">
      <c r="A180" s="11">
        <v>25</v>
      </c>
      <c r="B180" s="52" t="s">
        <v>97</v>
      </c>
      <c r="C180" s="50"/>
      <c r="D180" s="10">
        <f>D174*D184</f>
        <v>0</v>
      </c>
      <c r="E180" s="10"/>
      <c r="F180" s="10" t="s">
        <v>55</v>
      </c>
      <c r="G180" s="17"/>
      <c r="H180" s="10"/>
      <c r="I180" s="10">
        <f>D174*I184</f>
        <v>0</v>
      </c>
      <c r="J180" s="10"/>
      <c r="K180" s="10"/>
      <c r="L180" s="10"/>
      <c r="M180" s="10"/>
    </row>
    <row r="181" spans="1:13" ht="16.5" thickBot="1">
      <c r="A181" s="11">
        <v>26</v>
      </c>
      <c r="B181" s="1" t="s">
        <v>98</v>
      </c>
      <c r="C181" s="50"/>
      <c r="D181" s="19">
        <f>D177*D178</f>
        <v>0</v>
      </c>
      <c r="E181" s="10"/>
      <c r="F181" s="1" t="s">
        <v>66</v>
      </c>
      <c r="G181" s="17">
        <f>G102</f>
        <v>0.30767170579715664</v>
      </c>
      <c r="H181" s="10"/>
      <c r="I181" s="19">
        <f>G181*D181</f>
        <v>0</v>
      </c>
      <c r="J181" s="10"/>
      <c r="K181" s="10"/>
      <c r="L181" s="10"/>
      <c r="M181" s="10"/>
    </row>
    <row r="182" spans="1:13">
      <c r="A182" s="11">
        <v>27</v>
      </c>
      <c r="B182" s="55" t="s">
        <v>99</v>
      </c>
      <c r="C182" s="1" t="s">
        <v>100</v>
      </c>
      <c r="D182" s="48">
        <f>+D180+D181</f>
        <v>0</v>
      </c>
      <c r="E182" s="10"/>
      <c r="F182" s="10" t="s">
        <v>2</v>
      </c>
      <c r="G182" s="17" t="s">
        <v>2</v>
      </c>
      <c r="H182" s="10"/>
      <c r="I182" s="48">
        <f>+I180+I181</f>
        <v>0</v>
      </c>
      <c r="J182" s="10"/>
      <c r="K182" s="10"/>
      <c r="L182" s="10"/>
      <c r="M182" s="10"/>
    </row>
    <row r="183" spans="1:13">
      <c r="A183" s="11"/>
      <c r="B183" s="132"/>
      <c r="C183" s="50"/>
      <c r="D183" s="10"/>
      <c r="E183" s="10"/>
      <c r="F183" s="10"/>
      <c r="G183" s="51"/>
      <c r="H183" s="10"/>
      <c r="I183" s="130"/>
      <c r="J183" s="10"/>
      <c r="K183" s="10"/>
      <c r="L183" s="10"/>
      <c r="M183" s="10"/>
    </row>
    <row r="184" spans="1:13">
      <c r="A184" s="11">
        <v>28</v>
      </c>
      <c r="B184" s="132" t="s">
        <v>336</v>
      </c>
      <c r="C184" s="42"/>
      <c r="D184" s="10">
        <f>+$I250*D121</f>
        <v>66465932.060342953</v>
      </c>
      <c r="E184" s="10"/>
      <c r="F184" s="10" t="s">
        <v>55</v>
      </c>
      <c r="G184" s="51"/>
      <c r="H184" s="10"/>
      <c r="I184" s="130">
        <f>+$I250*I121</f>
        <v>21358938.943421572</v>
      </c>
      <c r="J184" s="10"/>
      <c r="K184" s="10"/>
      <c r="L184" s="10"/>
      <c r="M184" s="10"/>
    </row>
    <row r="185" spans="1:13">
      <c r="A185" s="11"/>
      <c r="B185" s="55" t="s">
        <v>193</v>
      </c>
      <c r="D185" s="10"/>
      <c r="E185" s="10"/>
      <c r="F185" s="10"/>
      <c r="G185" s="51"/>
      <c r="H185" s="10"/>
      <c r="I185" s="130"/>
      <c r="J185" s="10"/>
      <c r="K185" s="10"/>
      <c r="L185" s="10"/>
      <c r="M185" s="10"/>
    </row>
    <row r="186" spans="1:13">
      <c r="A186" s="11"/>
      <c r="B186" s="55"/>
      <c r="D186" s="10"/>
      <c r="E186" s="10"/>
      <c r="F186" s="10"/>
      <c r="G186" s="51"/>
      <c r="H186" s="10"/>
      <c r="I186" s="130"/>
      <c r="J186" s="10"/>
      <c r="K186" s="10"/>
      <c r="L186" s="10"/>
      <c r="M186" s="10"/>
    </row>
    <row r="187" spans="1:13">
      <c r="A187" s="11" t="s">
        <v>334</v>
      </c>
      <c r="B187" s="132" t="s">
        <v>337</v>
      </c>
      <c r="D187" s="10"/>
      <c r="E187" s="10"/>
      <c r="F187" s="10"/>
      <c r="G187" s="51"/>
      <c r="H187" s="10"/>
      <c r="I187" s="130"/>
      <c r="J187" s="10"/>
      <c r="K187" s="10"/>
      <c r="L187" s="10"/>
      <c r="M187" s="10"/>
    </row>
    <row r="188" spans="1:13">
      <c r="A188" s="11"/>
      <c r="B188" s="55" t="s">
        <v>335</v>
      </c>
      <c r="D188" s="10">
        <f>+$I258*D123</f>
        <v>0</v>
      </c>
      <c r="E188" s="10"/>
      <c r="F188" s="10" t="s">
        <v>367</v>
      </c>
      <c r="G188" s="166">
        <v>1</v>
      </c>
      <c r="H188" s="10"/>
      <c r="I188" s="130">
        <f>D188*G188</f>
        <v>0</v>
      </c>
      <c r="J188" s="10"/>
      <c r="K188" s="10"/>
      <c r="L188" s="10"/>
      <c r="M188" s="10"/>
    </row>
    <row r="189" spans="1:13">
      <c r="A189" s="11"/>
      <c r="B189" s="132"/>
      <c r="D189" s="47"/>
      <c r="E189" s="10"/>
      <c r="F189" s="10"/>
      <c r="G189" s="51"/>
      <c r="H189" s="10"/>
      <c r="I189" s="173"/>
      <c r="J189" s="10"/>
      <c r="K189" s="10"/>
      <c r="L189" s="10"/>
      <c r="M189" s="10"/>
    </row>
    <row r="190" spans="1:13">
      <c r="A190" s="11">
        <v>29</v>
      </c>
      <c r="B190" s="132" t="s">
        <v>361</v>
      </c>
      <c r="C190" s="10"/>
      <c r="D190" s="47">
        <f>+D184+D182+D170+D159+D152+D188</f>
        <v>134312585.06034297</v>
      </c>
      <c r="E190" s="10"/>
      <c r="F190" s="10"/>
      <c r="G190" s="10"/>
      <c r="H190" s="10"/>
      <c r="I190" s="173">
        <f>+I184+I182+I170+I159+I152+I188</f>
        <v>61881330.031922445</v>
      </c>
      <c r="J190" s="7"/>
      <c r="K190" s="10"/>
      <c r="L190" s="10"/>
      <c r="M190" s="10"/>
    </row>
    <row r="191" spans="1:13">
      <c r="A191" s="11"/>
      <c r="B191" s="132"/>
      <c r="C191" s="10"/>
      <c r="D191" s="47"/>
      <c r="E191" s="10"/>
      <c r="F191" s="10"/>
      <c r="G191" s="10"/>
      <c r="H191" s="10"/>
      <c r="I191" s="173"/>
      <c r="J191" s="7"/>
      <c r="K191" s="10"/>
      <c r="L191" s="10"/>
      <c r="M191" s="10"/>
    </row>
    <row r="192" spans="1:13">
      <c r="A192" s="11">
        <v>30</v>
      </c>
      <c r="B192" s="132" t="s">
        <v>254</v>
      </c>
      <c r="C192" s="10"/>
      <c r="D192" s="47"/>
      <c r="E192" s="10"/>
      <c r="F192" s="10"/>
      <c r="G192" s="10"/>
      <c r="H192" s="10"/>
      <c r="I192" s="173"/>
      <c r="J192" s="7"/>
      <c r="K192" s="10"/>
      <c r="L192" s="10"/>
      <c r="M192" s="10"/>
    </row>
    <row r="193" spans="1:15">
      <c r="A193" s="11"/>
      <c r="B193" s="132" t="s">
        <v>255</v>
      </c>
      <c r="C193" s="10"/>
      <c r="D193" s="47"/>
      <c r="E193" s="10"/>
      <c r="F193" s="10"/>
      <c r="G193" s="10"/>
      <c r="H193" s="10"/>
      <c r="I193" s="173"/>
      <c r="J193" s="7"/>
      <c r="K193" s="10"/>
      <c r="L193" s="10"/>
      <c r="M193" s="10"/>
    </row>
    <row r="194" spans="1:15">
      <c r="A194" s="11"/>
      <c r="B194" s="198" t="s">
        <v>207</v>
      </c>
      <c r="C194" s="198"/>
      <c r="I194" s="129"/>
      <c r="J194" s="7"/>
      <c r="K194" s="10"/>
      <c r="L194" s="10"/>
      <c r="M194" s="10"/>
    </row>
    <row r="195" spans="1:15">
      <c r="A195" s="11"/>
      <c r="B195" s="132" t="s">
        <v>206</v>
      </c>
      <c r="C195" s="10"/>
      <c r="D195" s="174"/>
      <c r="E195" s="10"/>
      <c r="F195" s="10"/>
      <c r="G195" s="10"/>
      <c r="H195" s="10"/>
      <c r="I195" s="174">
        <f>I272</f>
        <v>2901738.576487829</v>
      </c>
      <c r="J195" s="7"/>
      <c r="K195" s="10"/>
      <c r="L195" s="10"/>
      <c r="M195" s="10"/>
    </row>
    <row r="196" spans="1:15">
      <c r="A196" s="11"/>
      <c r="B196" s="132"/>
      <c r="C196" s="10"/>
      <c r="D196" s="47"/>
      <c r="E196" s="10"/>
      <c r="F196" s="10"/>
      <c r="G196" s="10"/>
      <c r="H196" s="10"/>
      <c r="I196" s="173"/>
      <c r="J196" s="7"/>
      <c r="K196" s="10"/>
      <c r="L196" s="10"/>
      <c r="M196" s="10"/>
    </row>
    <row r="197" spans="1:15" ht="17.25" customHeight="1">
      <c r="A197" s="11" t="s">
        <v>259</v>
      </c>
      <c r="B197" s="132" t="s">
        <v>260</v>
      </c>
      <c r="C197" s="10"/>
      <c r="D197" s="47"/>
      <c r="E197" s="10"/>
      <c r="F197" s="10"/>
      <c r="G197" s="10"/>
      <c r="H197" s="10"/>
      <c r="I197" s="47"/>
      <c r="J197" s="7"/>
      <c r="K197" s="10"/>
      <c r="L197" s="10"/>
      <c r="M197" s="10"/>
    </row>
    <row r="198" spans="1:15" ht="17.25" customHeight="1">
      <c r="A198" s="11"/>
      <c r="B198" s="137" t="s">
        <v>288</v>
      </c>
      <c r="C198" s="10"/>
      <c r="D198" s="47"/>
      <c r="E198" s="10"/>
      <c r="F198" s="10"/>
      <c r="G198" s="10"/>
      <c r="H198" s="10"/>
      <c r="I198" s="47"/>
      <c r="J198" s="7"/>
      <c r="K198" s="10"/>
      <c r="L198" s="10"/>
      <c r="M198" s="10"/>
    </row>
    <row r="199" spans="1:15" ht="16.5" customHeight="1">
      <c r="A199" s="11"/>
      <c r="B199" s="199" t="s">
        <v>207</v>
      </c>
      <c r="C199" s="199"/>
      <c r="J199" s="7"/>
      <c r="K199" s="10"/>
      <c r="L199" s="10"/>
      <c r="M199" s="10"/>
    </row>
    <row r="200" spans="1:15" ht="17.25" customHeight="1" thickBot="1">
      <c r="A200" s="11"/>
      <c r="B200" s="132" t="s">
        <v>261</v>
      </c>
      <c r="C200" s="10"/>
      <c r="D200" s="41">
        <v>0</v>
      </c>
      <c r="E200" s="10"/>
      <c r="F200" s="10"/>
      <c r="G200" s="10"/>
      <c r="H200" s="10"/>
      <c r="I200" s="41">
        <v>0</v>
      </c>
      <c r="J200" s="7"/>
      <c r="K200" s="10"/>
      <c r="L200" s="10"/>
      <c r="M200" s="10"/>
    </row>
    <row r="201" spans="1:15" ht="17.25" customHeight="1" thickBot="1">
      <c r="A201" s="128">
        <v>31</v>
      </c>
      <c r="B201" s="129" t="s">
        <v>187</v>
      </c>
      <c r="C201" s="130"/>
      <c r="D201" s="175">
        <f>D190-D195-D200</f>
        <v>134312585.06034297</v>
      </c>
      <c r="E201" s="130"/>
      <c r="F201" s="130"/>
      <c r="G201" s="130"/>
      <c r="H201" s="130"/>
      <c r="I201" s="175">
        <f>I190-I195-I200</f>
        <v>58979591.455434613</v>
      </c>
      <c r="J201" s="131"/>
      <c r="K201" s="10"/>
      <c r="L201" s="10"/>
      <c r="M201" s="10"/>
      <c r="N201" s="129"/>
      <c r="O201" s="129"/>
    </row>
    <row r="202" spans="1:15" ht="16.5" thickTop="1">
      <c r="A202" s="11"/>
      <c r="B202" s="132" t="s">
        <v>262</v>
      </c>
      <c r="C202" s="10"/>
      <c r="D202" s="47"/>
      <c r="E202" s="10"/>
      <c r="F202" s="10"/>
      <c r="G202" s="10"/>
      <c r="H202" s="10"/>
      <c r="I202" s="47"/>
      <c r="J202" s="7"/>
      <c r="K202" s="7"/>
    </row>
    <row r="203" spans="1:15">
      <c r="A203" s="11"/>
      <c r="B203" s="15"/>
      <c r="C203" s="10"/>
      <c r="D203" s="47"/>
      <c r="E203" s="10"/>
      <c r="F203" s="10"/>
      <c r="G203" s="10"/>
      <c r="H203" s="10"/>
      <c r="I203" s="47"/>
      <c r="J203" s="7"/>
      <c r="K203" s="2" t="s">
        <v>346</v>
      </c>
    </row>
    <row r="204" spans="1:15">
      <c r="B204" s="3"/>
      <c r="C204" s="3"/>
      <c r="D204" s="4"/>
      <c r="E204" s="3"/>
      <c r="F204" s="3"/>
      <c r="G204" s="3"/>
      <c r="H204" s="5"/>
      <c r="I204" s="7"/>
      <c r="J204" s="197" t="s">
        <v>191</v>
      </c>
      <c r="K204" s="197"/>
    </row>
    <row r="205" spans="1:15">
      <c r="A205" s="11"/>
      <c r="J205" s="10"/>
      <c r="K205" s="10"/>
    </row>
    <row r="206" spans="1:15">
      <c r="A206" s="11"/>
      <c r="B206" s="15" t="str">
        <f>B4</f>
        <v xml:space="preserve">Formula Rate - Non-Levelized </v>
      </c>
      <c r="D206" s="26" t="str">
        <f>D4</f>
        <v xml:space="preserve">     Rate Formula Template</v>
      </c>
      <c r="J206" s="10"/>
      <c r="K206" s="2" t="str">
        <f>K4</f>
        <v>For the 12 months ended 12/31/15</v>
      </c>
    </row>
    <row r="207" spans="1:15">
      <c r="A207" s="11"/>
      <c r="B207" s="132"/>
      <c r="D207" s="26" t="str">
        <f>D5</f>
        <v xml:space="preserve"> Utilizing RUS Form 12 Data</v>
      </c>
      <c r="J207" s="10"/>
      <c r="K207" s="10"/>
    </row>
    <row r="208" spans="1:15">
      <c r="A208" s="11"/>
      <c r="D208" s="26"/>
      <c r="J208" s="10"/>
      <c r="K208" s="10"/>
    </row>
    <row r="209" spans="1:19">
      <c r="A209" s="11"/>
      <c r="D209" s="26" t="str">
        <f>D7</f>
        <v>Dairyland Power Cooperative</v>
      </c>
      <c r="J209" s="10"/>
      <c r="K209" s="10"/>
    </row>
    <row r="210" spans="1:19">
      <c r="A210" s="11" t="s">
        <v>4</v>
      </c>
      <c r="C210" s="15"/>
      <c r="D210" s="179"/>
      <c r="E210" s="15"/>
      <c r="F210" s="15"/>
      <c r="G210" s="15"/>
      <c r="H210" s="15"/>
      <c r="I210" s="15"/>
      <c r="J210" s="15"/>
      <c r="K210" s="15"/>
    </row>
    <row r="211" spans="1:19" ht="16.5" thickBot="1">
      <c r="A211" s="13" t="s">
        <v>6</v>
      </c>
      <c r="C211" s="38" t="s">
        <v>101</v>
      </c>
      <c r="E211" s="7"/>
      <c r="F211" s="7"/>
      <c r="G211" s="7"/>
      <c r="H211" s="7"/>
      <c r="I211" s="7"/>
      <c r="J211" s="10"/>
      <c r="K211" s="10"/>
    </row>
    <row r="212" spans="1:19">
      <c r="A212" s="11"/>
      <c r="B212" s="3" t="s">
        <v>104</v>
      </c>
      <c r="C212" s="7"/>
      <c r="D212" s="7"/>
      <c r="E212" s="7"/>
      <c r="F212" s="7"/>
      <c r="G212" s="7"/>
      <c r="H212" s="7"/>
      <c r="I212" s="7"/>
      <c r="J212" s="10"/>
      <c r="K212" s="10"/>
    </row>
    <row r="213" spans="1:19">
      <c r="A213" s="11">
        <v>1</v>
      </c>
      <c r="B213" s="5" t="s">
        <v>209</v>
      </c>
      <c r="C213" s="7"/>
      <c r="D213" s="10"/>
      <c r="E213" s="10"/>
      <c r="F213" s="10"/>
      <c r="G213" s="10"/>
      <c r="H213" s="10"/>
      <c r="I213" s="10">
        <f>+D79</f>
        <v>470587639.84615386</v>
      </c>
      <c r="J213" s="10"/>
      <c r="K213" s="10"/>
    </row>
    <row r="214" spans="1:19">
      <c r="A214" s="11">
        <v>2</v>
      </c>
      <c r="B214" s="5" t="s">
        <v>208</v>
      </c>
      <c r="D214" s="94"/>
      <c r="I214" s="43">
        <v>0</v>
      </c>
      <c r="J214" s="10"/>
      <c r="K214" s="10"/>
    </row>
    <row r="215" spans="1:19" ht="16.5" thickBot="1">
      <c r="A215" s="11">
        <v>3</v>
      </c>
      <c r="B215" s="56" t="s">
        <v>231</v>
      </c>
      <c r="C215" s="57"/>
      <c r="D215" s="47"/>
      <c r="E215" s="10"/>
      <c r="F215" s="10"/>
      <c r="G215" s="58"/>
      <c r="H215" s="10"/>
      <c r="I215" s="41">
        <v>4636459</v>
      </c>
      <c r="J215" s="10"/>
      <c r="K215" s="10"/>
    </row>
    <row r="216" spans="1:19">
      <c r="A216" s="11">
        <v>4</v>
      </c>
      <c r="B216" s="5" t="s">
        <v>171</v>
      </c>
      <c r="C216" s="7"/>
      <c r="D216" s="10"/>
      <c r="E216" s="10"/>
      <c r="F216" s="10"/>
      <c r="G216" s="58"/>
      <c r="H216" s="10"/>
      <c r="I216" s="10">
        <f>I213-I214-I215</f>
        <v>465951180.84615386</v>
      </c>
      <c r="J216" s="10"/>
      <c r="K216" s="10"/>
    </row>
    <row r="217" spans="1:19" ht="9" customHeight="1">
      <c r="A217" s="11"/>
      <c r="C217" s="7"/>
      <c r="D217" s="10"/>
      <c r="E217" s="10"/>
      <c r="F217" s="10"/>
      <c r="G217" s="58"/>
      <c r="H217" s="10"/>
      <c r="J217" s="10"/>
      <c r="K217" s="10"/>
    </row>
    <row r="218" spans="1:19">
      <c r="A218" s="11">
        <v>5</v>
      </c>
      <c r="B218" s="5" t="s">
        <v>232</v>
      </c>
      <c r="C218" s="12"/>
      <c r="D218" s="59"/>
      <c r="E218" s="59"/>
      <c r="F218" s="59"/>
      <c r="G218" s="33"/>
      <c r="H218" s="10" t="s">
        <v>105</v>
      </c>
      <c r="I218" s="44">
        <f>IF(I213&gt;0,I216/I213,0)</f>
        <v>0.99014751215838193</v>
      </c>
      <c r="J218" s="10"/>
      <c r="K218" s="10"/>
      <c r="N218" s="99" t="s">
        <v>243</v>
      </c>
      <c r="O218" s="99"/>
      <c r="P218" s="99"/>
    </row>
    <row r="219" spans="1:19" ht="9" customHeight="1">
      <c r="J219" s="10"/>
      <c r="K219" s="10"/>
      <c r="N219" s="100"/>
      <c r="O219" s="101"/>
      <c r="P219" s="102"/>
      <c r="Q219" s="100"/>
      <c r="R219" s="101"/>
      <c r="S219" s="101"/>
    </row>
    <row r="220" spans="1:19">
      <c r="B220" s="15" t="s">
        <v>102</v>
      </c>
      <c r="J220" s="10"/>
      <c r="K220" s="10"/>
      <c r="N220" s="202" t="s">
        <v>244</v>
      </c>
      <c r="O220" s="203"/>
      <c r="P220" s="203"/>
      <c r="Q220" s="203"/>
      <c r="R220" s="203"/>
      <c r="S220" s="204"/>
    </row>
    <row r="221" spans="1:19" ht="9" customHeight="1">
      <c r="J221" s="10"/>
      <c r="K221" s="10"/>
      <c r="N221" s="103"/>
      <c r="O221" s="104"/>
      <c r="P221" s="105"/>
      <c r="Q221" s="106"/>
      <c r="R221" s="104"/>
      <c r="S221" s="107"/>
    </row>
    <row r="222" spans="1:19">
      <c r="A222" s="11">
        <v>6</v>
      </c>
      <c r="B222" s="1" t="s">
        <v>210</v>
      </c>
      <c r="D222" s="7"/>
      <c r="E222" s="7"/>
      <c r="F222" s="7"/>
      <c r="G222" s="31"/>
      <c r="H222" s="7"/>
      <c r="I222" s="10">
        <f>+D144</f>
        <v>38836117</v>
      </c>
      <c r="J222" s="10"/>
      <c r="K222" s="10"/>
      <c r="N222" s="108">
        <f>I223</f>
        <v>1610718</v>
      </c>
      <c r="O222" s="109" t="s">
        <v>245</v>
      </c>
      <c r="P222" s="105"/>
      <c r="Q222" s="106"/>
      <c r="R222" s="104"/>
      <c r="S222" s="107"/>
    </row>
    <row r="223" spans="1:19" ht="16.5" thickBot="1">
      <c r="A223" s="11">
        <v>7</v>
      </c>
      <c r="B223" s="56" t="s">
        <v>211</v>
      </c>
      <c r="C223" s="57"/>
      <c r="D223" s="47"/>
      <c r="E223" s="47"/>
      <c r="F223" s="10"/>
      <c r="G223" s="10"/>
      <c r="H223" s="10"/>
      <c r="I223" s="176">
        <v>1610718</v>
      </c>
      <c r="J223" s="10"/>
      <c r="K223" s="10"/>
      <c r="N223" s="119">
        <v>0</v>
      </c>
      <c r="O223" s="110" t="s">
        <v>246</v>
      </c>
      <c r="P223" s="111"/>
      <c r="Q223" s="111"/>
      <c r="R223"/>
      <c r="S223" s="112"/>
    </row>
    <row r="224" spans="1:19">
      <c r="A224" s="11">
        <v>8</v>
      </c>
      <c r="B224" s="5" t="s">
        <v>212</v>
      </c>
      <c r="C224" s="12"/>
      <c r="D224" s="59"/>
      <c r="E224" s="59"/>
      <c r="F224" s="59"/>
      <c r="G224" s="33"/>
      <c r="H224" s="59"/>
      <c r="I224" s="10">
        <f>+I222-I223</f>
        <v>37225399</v>
      </c>
      <c r="J224" s="10"/>
      <c r="K224" s="10"/>
      <c r="N224" s="113">
        <f>N222-N223</f>
        <v>1610718</v>
      </c>
      <c r="O224" s="110" t="s">
        <v>247</v>
      </c>
      <c r="P224"/>
      <c r="Q224"/>
      <c r="R224"/>
      <c r="S224" s="112"/>
    </row>
    <row r="225" spans="1:19">
      <c r="A225" s="11"/>
      <c r="B225" s="5"/>
      <c r="C225" s="7"/>
      <c r="D225" s="10"/>
      <c r="E225" s="10"/>
      <c r="F225" s="10"/>
      <c r="G225" s="10"/>
      <c r="J225" s="10"/>
      <c r="K225" s="10"/>
      <c r="N225" s="114"/>
      <c r="O225" s="115" t="s">
        <v>248</v>
      </c>
      <c r="P225" s="116"/>
      <c r="Q225" s="116"/>
      <c r="R225" s="104"/>
      <c r="S225" s="107"/>
    </row>
    <row r="226" spans="1:19">
      <c r="A226" s="11">
        <v>9</v>
      </c>
      <c r="B226" s="5" t="s">
        <v>213</v>
      </c>
      <c r="C226" s="7"/>
      <c r="D226" s="10"/>
      <c r="E226" s="10"/>
      <c r="F226" s="10"/>
      <c r="G226" s="10"/>
      <c r="H226" s="10"/>
      <c r="I226" s="166">
        <f>IF(I222&gt;0,I224/I222,0)</f>
        <v>0.95852525627111484</v>
      </c>
      <c r="N226" s="117">
        <v>0</v>
      </c>
      <c r="O226" s="116" t="s">
        <v>249</v>
      </c>
      <c r="P226" s="118"/>
      <c r="Q226" s="116"/>
      <c r="R226" s="104"/>
      <c r="S226" s="107"/>
    </row>
    <row r="227" spans="1:19">
      <c r="A227" s="11">
        <v>10</v>
      </c>
      <c r="B227" s="5" t="s">
        <v>214</v>
      </c>
      <c r="C227" s="7"/>
      <c r="D227" s="10"/>
      <c r="E227" s="10"/>
      <c r="F227" s="10"/>
      <c r="G227" s="10"/>
      <c r="H227" s="7" t="s">
        <v>12</v>
      </c>
      <c r="I227" s="177">
        <f>IF(I213&gt;0,I216/I213,0)</f>
        <v>0.99014751215838193</v>
      </c>
      <c r="N227" s="117">
        <v>0</v>
      </c>
      <c r="O227" s="116" t="s">
        <v>250</v>
      </c>
      <c r="P227" s="118"/>
      <c r="Q227" s="116"/>
      <c r="R227" s="104"/>
      <c r="S227" s="107"/>
    </row>
    <row r="228" spans="1:19">
      <c r="A228" s="11">
        <v>11</v>
      </c>
      <c r="B228" s="5" t="s">
        <v>215</v>
      </c>
      <c r="C228" s="7"/>
      <c r="D228" s="7"/>
      <c r="E228" s="7"/>
      <c r="F228" s="7"/>
      <c r="G228" s="7"/>
      <c r="H228" s="7" t="s">
        <v>103</v>
      </c>
      <c r="I228" s="178">
        <f>+I227*I226</f>
        <v>0.94908139783781986</v>
      </c>
      <c r="N228" s="119">
        <v>192000</v>
      </c>
      <c r="O228" s="116" t="s">
        <v>251</v>
      </c>
      <c r="P228" s="118"/>
      <c r="Q228" s="120"/>
      <c r="R228" s="104"/>
      <c r="S228" s="107"/>
    </row>
    <row r="229" spans="1:19">
      <c r="I229" s="129"/>
      <c r="N229" s="113">
        <f>SUM(N226:N228)</f>
        <v>192000</v>
      </c>
      <c r="O229" s="121" t="s">
        <v>252</v>
      </c>
      <c r="P229" s="105"/>
      <c r="Q229" s="106"/>
      <c r="R229" s="104"/>
      <c r="S229" s="107"/>
    </row>
    <row r="230" spans="1:19" ht="16.5" thickBot="1">
      <c r="A230" s="11" t="s">
        <v>2</v>
      </c>
      <c r="B230" s="15" t="s">
        <v>106</v>
      </c>
      <c r="C230" s="10"/>
      <c r="D230" s="60" t="s">
        <v>107</v>
      </c>
      <c r="E230" s="60" t="s">
        <v>12</v>
      </c>
      <c r="F230" s="10"/>
      <c r="G230" s="60" t="s">
        <v>108</v>
      </c>
      <c r="H230" s="10"/>
      <c r="I230" s="10"/>
      <c r="J230" s="10"/>
      <c r="K230" s="10"/>
      <c r="N230" s="122">
        <f>N224-N229</f>
        <v>1418718</v>
      </c>
      <c r="O230" s="123" t="s">
        <v>253</v>
      </c>
      <c r="P230" s="124"/>
      <c r="Q230" s="125"/>
      <c r="R230" s="126"/>
      <c r="S230" s="127"/>
    </row>
    <row r="231" spans="1:19">
      <c r="A231" s="11">
        <v>12</v>
      </c>
      <c r="B231" s="15" t="s">
        <v>53</v>
      </c>
      <c r="C231" s="10"/>
      <c r="D231" s="43">
        <v>16511615</v>
      </c>
      <c r="E231" s="61">
        <v>0</v>
      </c>
      <c r="F231" s="61"/>
      <c r="G231" s="10">
        <f>D231*E231</f>
        <v>0</v>
      </c>
      <c r="H231" s="10"/>
      <c r="I231" s="10"/>
      <c r="J231" s="10"/>
      <c r="K231" s="10"/>
    </row>
    <row r="232" spans="1:19">
      <c r="A232" s="11">
        <v>13</v>
      </c>
      <c r="B232" s="15" t="s">
        <v>56</v>
      </c>
      <c r="C232" s="10"/>
      <c r="D232" s="43">
        <f>9741327</f>
        <v>9741327</v>
      </c>
      <c r="E232" s="61">
        <f>+I227</f>
        <v>0.99014751215838193</v>
      </c>
      <c r="F232" s="61"/>
      <c r="G232" s="10">
        <f>D232*E232</f>
        <v>9645350.6941712741</v>
      </c>
      <c r="H232" s="10"/>
      <c r="I232" s="10"/>
      <c r="J232" s="10"/>
      <c r="K232" s="10"/>
    </row>
    <row r="233" spans="1:19">
      <c r="A233" s="11">
        <v>14</v>
      </c>
      <c r="B233" s="15" t="s">
        <v>57</v>
      </c>
      <c r="C233" s="10"/>
      <c r="D233" s="43">
        <v>679514</v>
      </c>
      <c r="E233" s="61">
        <v>0</v>
      </c>
      <c r="F233" s="61"/>
      <c r="G233" s="10">
        <f>D233*E233</f>
        <v>0</v>
      </c>
      <c r="H233" s="10"/>
      <c r="I233" s="62" t="s">
        <v>109</v>
      </c>
      <c r="J233" s="10"/>
      <c r="K233" s="10"/>
    </row>
    <row r="234" spans="1:19" ht="16.5" thickBot="1">
      <c r="A234" s="11">
        <v>15</v>
      </c>
      <c r="B234" s="15" t="s">
        <v>110</v>
      </c>
      <c r="C234" s="10"/>
      <c r="D234" s="41">
        <v>1363454</v>
      </c>
      <c r="E234" s="61">
        <v>0</v>
      </c>
      <c r="F234" s="61"/>
      <c r="G234" s="19">
        <f>D234*E234</f>
        <v>0</v>
      </c>
      <c r="H234" s="10"/>
      <c r="I234" s="13" t="s">
        <v>111</v>
      </c>
      <c r="J234" s="10"/>
      <c r="K234" s="10"/>
    </row>
    <row r="235" spans="1:19">
      <c r="A235" s="11">
        <v>16</v>
      </c>
      <c r="B235" s="15" t="s">
        <v>167</v>
      </c>
      <c r="C235" s="10"/>
      <c r="D235" s="10">
        <f>SUM(D231:D234)</f>
        <v>28295910</v>
      </c>
      <c r="E235" s="10"/>
      <c r="F235" s="10"/>
      <c r="G235" s="10">
        <f>SUM(G231:G234)</f>
        <v>9645350.6941712741</v>
      </c>
      <c r="H235" s="31" t="s">
        <v>112</v>
      </c>
      <c r="I235" s="40">
        <f>IF(G235&gt;0,G235/D235,0)</f>
        <v>0.34087437704499607</v>
      </c>
      <c r="J235" s="68" t="s">
        <v>281</v>
      </c>
      <c r="K235" s="10"/>
    </row>
    <row r="236" spans="1:19" ht="9" customHeight="1">
      <c r="A236" s="11" t="s">
        <v>2</v>
      </c>
      <c r="B236" s="15" t="s">
        <v>2</v>
      </c>
      <c r="C236" s="10" t="s">
        <v>2</v>
      </c>
      <c r="E236" s="10"/>
      <c r="F236" s="10"/>
      <c r="K236" s="10"/>
    </row>
    <row r="237" spans="1:19">
      <c r="A237" s="11"/>
      <c r="B237" s="15" t="s">
        <v>216</v>
      </c>
      <c r="C237" s="10"/>
      <c r="D237" s="34" t="s">
        <v>107</v>
      </c>
      <c r="E237" s="10"/>
      <c r="F237" s="10"/>
      <c r="G237" s="58" t="s">
        <v>113</v>
      </c>
      <c r="H237" s="51" t="s">
        <v>2</v>
      </c>
      <c r="I237" s="42" t="s">
        <v>114</v>
      </c>
      <c r="J237" s="10"/>
      <c r="K237" s="10"/>
    </row>
    <row r="238" spans="1:19">
      <c r="A238" s="11">
        <v>17</v>
      </c>
      <c r="B238" s="15" t="s">
        <v>115</v>
      </c>
      <c r="C238" s="10"/>
      <c r="D238" s="43"/>
      <c r="E238" s="10"/>
      <c r="G238" s="11" t="s">
        <v>116</v>
      </c>
      <c r="H238" s="63"/>
      <c r="I238" s="11" t="s">
        <v>117</v>
      </c>
      <c r="J238" s="10"/>
      <c r="K238" s="31" t="s">
        <v>61</v>
      </c>
    </row>
    <row r="239" spans="1:19">
      <c r="A239" s="11">
        <v>18</v>
      </c>
      <c r="B239" s="15" t="s">
        <v>118</v>
      </c>
      <c r="C239" s="10"/>
      <c r="D239" s="43">
        <v>0</v>
      </c>
      <c r="E239" s="10"/>
      <c r="G239" s="17">
        <f>IF(D241&gt;0,D238/D241,0)</f>
        <v>0</v>
      </c>
      <c r="H239" s="58" t="s">
        <v>119</v>
      </c>
      <c r="I239" s="17">
        <f>I235</f>
        <v>0.34087437704499607</v>
      </c>
      <c r="J239" s="51" t="s">
        <v>112</v>
      </c>
      <c r="K239" s="17">
        <f>I239*G239</f>
        <v>0</v>
      </c>
    </row>
    <row r="240" spans="1:19" ht="16.5" thickBot="1">
      <c r="A240" s="11">
        <v>19</v>
      </c>
      <c r="B240" s="64" t="s">
        <v>120</v>
      </c>
      <c r="C240" s="19"/>
      <c r="D240" s="41">
        <v>0</v>
      </c>
      <c r="E240" s="10"/>
      <c r="F240" s="10"/>
      <c r="G240" s="10" t="s">
        <v>2</v>
      </c>
      <c r="H240" s="10"/>
      <c r="I240" s="10"/>
      <c r="J240" s="10"/>
      <c r="K240" s="10"/>
    </row>
    <row r="241" spans="1:11">
      <c r="A241" s="11">
        <v>20</v>
      </c>
      <c r="B241" s="15" t="s">
        <v>217</v>
      </c>
      <c r="C241" s="10"/>
      <c r="D241" s="10">
        <f>D238+D239+D240</f>
        <v>0</v>
      </c>
      <c r="E241" s="10"/>
      <c r="F241" s="10"/>
      <c r="G241" s="10"/>
      <c r="H241" s="10"/>
      <c r="I241" s="10"/>
      <c r="J241" s="10"/>
      <c r="K241" s="10"/>
    </row>
    <row r="242" spans="1:11" ht="9" customHeight="1">
      <c r="A242" s="11"/>
      <c r="B242" s="15" t="s">
        <v>2</v>
      </c>
      <c r="C242" s="10"/>
      <c r="E242" s="10"/>
      <c r="F242" s="10"/>
      <c r="G242" s="10"/>
      <c r="H242" s="10"/>
      <c r="I242" s="10" t="s">
        <v>2</v>
      </c>
      <c r="J242" s="10" t="s">
        <v>2</v>
      </c>
      <c r="K242" s="10"/>
    </row>
    <row r="243" spans="1:11" ht="16.5" thickBot="1">
      <c r="A243" s="11"/>
      <c r="B243" s="3" t="s">
        <v>121</v>
      </c>
      <c r="C243" s="10"/>
      <c r="D243" s="60" t="s">
        <v>107</v>
      </c>
      <c r="E243" s="10"/>
      <c r="F243" s="10"/>
      <c r="G243" s="10"/>
      <c r="H243" s="10"/>
      <c r="J243" s="10"/>
      <c r="K243" s="10"/>
    </row>
    <row r="244" spans="1:11">
      <c r="A244" s="11">
        <v>21</v>
      </c>
      <c r="B244" s="10" t="s">
        <v>272</v>
      </c>
      <c r="C244" s="5"/>
      <c r="D244" s="65">
        <v>43501204</v>
      </c>
      <c r="E244" s="10"/>
      <c r="F244" s="10"/>
      <c r="G244" s="10"/>
      <c r="H244" s="10"/>
      <c r="I244" s="10"/>
      <c r="J244" s="10"/>
      <c r="K244" s="10"/>
    </row>
    <row r="245" spans="1:11" ht="9" customHeight="1">
      <c r="A245" s="11"/>
      <c r="B245" s="15"/>
      <c r="C245" s="10"/>
      <c r="D245" s="10"/>
      <c r="E245" s="10"/>
      <c r="F245" s="10"/>
      <c r="G245" s="10"/>
      <c r="H245" s="10"/>
      <c r="I245" s="10"/>
      <c r="J245" s="10"/>
      <c r="K245" s="10"/>
    </row>
    <row r="246" spans="1:11">
      <c r="A246" s="11"/>
      <c r="B246" s="15"/>
      <c r="C246" s="10"/>
      <c r="D246" s="10"/>
      <c r="E246" s="10"/>
      <c r="F246" s="10"/>
      <c r="G246" s="58" t="s">
        <v>122</v>
      </c>
      <c r="H246" s="10"/>
      <c r="I246" s="10"/>
      <c r="J246" s="10"/>
      <c r="K246" s="10"/>
    </row>
    <row r="247" spans="1:11" ht="16.5" thickBot="1">
      <c r="A247" s="11"/>
      <c r="B247" s="3"/>
      <c r="C247" s="5"/>
      <c r="D247" s="13" t="s">
        <v>107</v>
      </c>
      <c r="E247" s="13" t="s">
        <v>123</v>
      </c>
      <c r="F247" s="10"/>
      <c r="G247" s="13" t="s">
        <v>124</v>
      </c>
      <c r="H247" s="10"/>
      <c r="I247" s="13" t="s">
        <v>125</v>
      </c>
      <c r="J247" s="10"/>
      <c r="K247" s="10"/>
    </row>
    <row r="248" spans="1:11">
      <c r="A248" s="11">
        <v>22</v>
      </c>
      <c r="B248" s="3" t="s">
        <v>362</v>
      </c>
      <c r="C248" s="5" t="s">
        <v>274</v>
      </c>
      <c r="D248" s="43">
        <v>935921997</v>
      </c>
      <c r="E248" s="66">
        <f>IF($D$250&gt;0,D248/$D$250,0)</f>
        <v>0.79406992455455017</v>
      </c>
      <c r="F248" s="67"/>
      <c r="G248" s="180">
        <f>IF(D248&gt;0,D244/D248,0)</f>
        <v>4.6479518741346558E-2</v>
      </c>
      <c r="I248" s="67">
        <f>G248*E248</f>
        <v>3.6907987940272863E-2</v>
      </c>
      <c r="J248" s="68" t="s">
        <v>126</v>
      </c>
    </row>
    <row r="249" spans="1:11" ht="16.5" thickBot="1">
      <c r="A249" s="11">
        <v>23</v>
      </c>
      <c r="B249" s="3" t="s">
        <v>363</v>
      </c>
      <c r="C249" s="5" t="s">
        <v>273</v>
      </c>
      <c r="D249" s="41">
        <v>242717274</v>
      </c>
      <c r="E249" s="95">
        <f>IF($D$250&gt;0,D249/$D$250,0)</f>
        <v>0.20593007544544983</v>
      </c>
      <c r="F249" s="67"/>
      <c r="G249" s="67">
        <f>I252</f>
        <v>0.12379999999999999</v>
      </c>
      <c r="I249" s="69">
        <f>G249*E249</f>
        <v>2.5494143340146689E-2</v>
      </c>
      <c r="J249" s="10"/>
    </row>
    <row r="250" spans="1:11">
      <c r="A250" s="11">
        <v>24</v>
      </c>
      <c r="B250" s="3" t="s">
        <v>218</v>
      </c>
      <c r="C250" s="5"/>
      <c r="D250" s="10">
        <f>SUM(D248:D249)</f>
        <v>1178639271</v>
      </c>
      <c r="E250" s="66">
        <f>IF($D$250&gt;0,D250/$D$250,0)</f>
        <v>1</v>
      </c>
      <c r="F250" s="67"/>
      <c r="G250" s="67"/>
      <c r="I250" s="67">
        <f>SUM(I248:I249)</f>
        <v>6.2402131280419548E-2</v>
      </c>
      <c r="J250" s="68" t="s">
        <v>127</v>
      </c>
    </row>
    <row r="251" spans="1:11" ht="9" customHeight="1">
      <c r="A251" s="11" t="s">
        <v>2</v>
      </c>
      <c r="B251" s="132"/>
      <c r="D251" s="10"/>
      <c r="E251" s="10" t="s">
        <v>2</v>
      </c>
      <c r="F251" s="10"/>
      <c r="G251" s="10"/>
      <c r="H251" s="10"/>
      <c r="I251" s="67"/>
    </row>
    <row r="252" spans="1:11">
      <c r="A252" s="11">
        <v>25</v>
      </c>
      <c r="E252" s="10"/>
      <c r="F252" s="10"/>
      <c r="G252" s="89" t="s">
        <v>188</v>
      </c>
      <c r="H252" s="10"/>
      <c r="I252" s="70">
        <v>0.12379999999999999</v>
      </c>
    </row>
    <row r="253" spans="1:11">
      <c r="A253" s="11">
        <v>26</v>
      </c>
      <c r="G253" s="2" t="s">
        <v>189</v>
      </c>
      <c r="I253" s="61">
        <f>IF(I250&gt;0,G248/I250,0)</f>
        <v>0.74483864232904551</v>
      </c>
      <c r="K253" s="10"/>
    </row>
    <row r="254" spans="1:11">
      <c r="A254" s="11"/>
      <c r="G254" s="2"/>
      <c r="I254" s="61"/>
      <c r="K254" s="10"/>
    </row>
    <row r="255" spans="1:11">
      <c r="A255" s="11"/>
      <c r="B255" s="1" t="s">
        <v>340</v>
      </c>
      <c r="G255" s="2"/>
      <c r="I255" s="61"/>
      <c r="K255" s="10"/>
    </row>
    <row r="256" spans="1:11">
      <c r="A256" s="11">
        <v>27</v>
      </c>
      <c r="B256" s="3" t="s">
        <v>368</v>
      </c>
      <c r="E256" s="66">
        <v>0.65</v>
      </c>
      <c r="F256" s="67"/>
      <c r="G256" s="67">
        <f>+G248</f>
        <v>4.6479518741346558E-2</v>
      </c>
      <c r="I256" s="67">
        <f>G256*E256</f>
        <v>3.0211687181875262E-2</v>
      </c>
      <c r="J256" s="68" t="s">
        <v>126</v>
      </c>
    </row>
    <row r="257" spans="1:11" ht="16.5" thickBot="1">
      <c r="A257" s="11">
        <v>28</v>
      </c>
      <c r="B257" s="3" t="s">
        <v>369</v>
      </c>
      <c r="E257" s="95">
        <v>0.35</v>
      </c>
      <c r="F257" s="67"/>
      <c r="G257" s="67">
        <f>I252</f>
        <v>0.12379999999999999</v>
      </c>
      <c r="I257" s="69">
        <f>G257*E257</f>
        <v>4.3329999999999994E-2</v>
      </c>
      <c r="J257" s="10"/>
    </row>
    <row r="258" spans="1:11">
      <c r="A258" s="11">
        <v>29</v>
      </c>
      <c r="B258" s="3" t="s">
        <v>338</v>
      </c>
      <c r="E258" s="66">
        <f>SUM(E256:E257)</f>
        <v>1</v>
      </c>
      <c r="F258" s="67"/>
      <c r="G258" s="67"/>
      <c r="I258" s="67">
        <f>SUM(I256:I257)</f>
        <v>7.3541687181875259E-2</v>
      </c>
      <c r="J258" s="68" t="s">
        <v>339</v>
      </c>
    </row>
    <row r="259" spans="1:11">
      <c r="A259" s="11"/>
      <c r="G259" s="2"/>
      <c r="I259" s="61"/>
      <c r="K259" s="10"/>
    </row>
    <row r="260" spans="1:11">
      <c r="A260" s="11"/>
      <c r="B260" s="3" t="s">
        <v>128</v>
      </c>
      <c r="C260" s="5"/>
      <c r="D260" s="5"/>
      <c r="E260" s="5"/>
      <c r="F260" s="5"/>
      <c r="G260" s="5"/>
      <c r="H260" s="5"/>
      <c r="I260" s="5"/>
      <c r="J260" s="5"/>
      <c r="K260" s="5"/>
    </row>
    <row r="261" spans="1:11" ht="16.5" thickBot="1">
      <c r="A261" s="11"/>
      <c r="B261" s="3"/>
      <c r="C261" s="3"/>
      <c r="D261" s="3"/>
      <c r="E261" s="3"/>
      <c r="F261" s="3"/>
      <c r="G261" s="3"/>
      <c r="H261" s="3"/>
      <c r="I261" s="13" t="s">
        <v>129</v>
      </c>
      <c r="J261" s="58"/>
      <c r="K261" s="58"/>
    </row>
    <row r="262" spans="1:11">
      <c r="A262" s="11"/>
      <c r="B262" s="3" t="s">
        <v>219</v>
      </c>
      <c r="C262" s="5"/>
      <c r="D262" s="5"/>
      <c r="E262" s="5"/>
      <c r="F262" s="5"/>
      <c r="G262" s="71" t="s">
        <v>2</v>
      </c>
      <c r="H262" s="72"/>
      <c r="I262" s="73"/>
      <c r="J262" s="58"/>
      <c r="K262" s="58"/>
    </row>
    <row r="263" spans="1:11">
      <c r="A263" s="150">
        <v>30</v>
      </c>
      <c r="B263" s="1" t="s">
        <v>130</v>
      </c>
      <c r="C263" s="5"/>
      <c r="D263" s="5"/>
      <c r="E263" s="5" t="s">
        <v>131</v>
      </c>
      <c r="F263" s="5"/>
      <c r="H263" s="72"/>
      <c r="I263" s="43">
        <v>0</v>
      </c>
      <c r="J263" s="58"/>
      <c r="K263" s="58"/>
    </row>
    <row r="264" spans="1:11" ht="16.5" thickBot="1">
      <c r="A264" s="150">
        <v>31</v>
      </c>
      <c r="B264" s="45" t="s">
        <v>165</v>
      </c>
      <c r="C264" s="57"/>
      <c r="D264" s="94"/>
      <c r="E264" s="84"/>
      <c r="F264" s="84"/>
      <c r="G264" s="84"/>
      <c r="H264" s="5"/>
      <c r="I264" s="41">
        <v>0</v>
      </c>
      <c r="J264" s="58"/>
      <c r="K264" s="58"/>
    </row>
    <row r="265" spans="1:11">
      <c r="A265" s="150">
        <v>32</v>
      </c>
      <c r="B265" s="1" t="s">
        <v>132</v>
      </c>
      <c r="C265" s="7"/>
      <c r="E265" s="5"/>
      <c r="F265" s="5"/>
      <c r="G265" s="5"/>
      <c r="H265" s="5"/>
      <c r="I265" s="43">
        <f>+I263-I264</f>
        <v>0</v>
      </c>
      <c r="J265" s="58"/>
      <c r="K265" s="58"/>
    </row>
    <row r="266" spans="1:11" ht="9" customHeight="1">
      <c r="A266" s="11"/>
      <c r="C266" s="7"/>
      <c r="E266" s="5"/>
      <c r="F266" s="5"/>
      <c r="G266" s="5"/>
      <c r="H266" s="5"/>
      <c r="I266" s="74"/>
      <c r="J266" s="58"/>
      <c r="K266" s="58"/>
    </row>
    <row r="267" spans="1:11">
      <c r="A267" s="150">
        <v>33</v>
      </c>
      <c r="B267" s="3" t="s">
        <v>220</v>
      </c>
      <c r="C267" s="7"/>
      <c r="E267" s="5"/>
      <c r="F267" s="5"/>
      <c r="G267" s="29"/>
      <c r="H267" s="5"/>
      <c r="I267" s="76">
        <v>12700</v>
      </c>
      <c r="J267" s="73"/>
      <c r="K267" s="75"/>
    </row>
    <row r="268" spans="1:11" ht="9" customHeight="1">
      <c r="A268" s="11"/>
      <c r="C268" s="5"/>
      <c r="D268" s="5"/>
      <c r="E268" s="5"/>
      <c r="F268" s="5"/>
      <c r="G268" s="5"/>
      <c r="H268" s="5"/>
      <c r="I268" s="74"/>
      <c r="J268" s="73"/>
      <c r="K268" s="75"/>
    </row>
    <row r="269" spans="1:11">
      <c r="B269" s="3" t="s">
        <v>133</v>
      </c>
      <c r="C269" s="5"/>
      <c r="D269" s="5"/>
      <c r="E269" s="5"/>
      <c r="F269" s="5"/>
      <c r="G269" s="5"/>
      <c r="H269" s="5"/>
      <c r="K269" s="77"/>
    </row>
    <row r="270" spans="1:11">
      <c r="A270" s="150">
        <v>34</v>
      </c>
      <c r="B270" s="3" t="s">
        <v>134</v>
      </c>
      <c r="C270" s="10"/>
      <c r="D270" s="10"/>
      <c r="E270" s="10"/>
      <c r="F270" s="10"/>
      <c r="G270" s="10"/>
      <c r="H270" s="10"/>
      <c r="I270" s="76">
        <f>14944000+710000</f>
        <v>15654000</v>
      </c>
      <c r="J270" s="78"/>
      <c r="K270" s="77"/>
    </row>
    <row r="271" spans="1:11">
      <c r="A271" s="150">
        <v>35</v>
      </c>
      <c r="B271" s="85" t="s">
        <v>166</v>
      </c>
      <c r="C271" s="84"/>
      <c r="D271" s="84"/>
      <c r="E271" s="84"/>
      <c r="F271" s="84"/>
      <c r="G271" s="5"/>
      <c r="H271" s="5"/>
      <c r="I271" s="76">
        <f>11573000-I272</f>
        <v>8671261.423512172</v>
      </c>
      <c r="K271" s="77"/>
    </row>
    <row r="272" spans="1:11">
      <c r="A272" s="11" t="s">
        <v>364</v>
      </c>
      <c r="B272" s="138" t="s">
        <v>289</v>
      </c>
      <c r="C272" s="139"/>
      <c r="D272" s="84"/>
      <c r="E272" s="84"/>
      <c r="F272" s="84"/>
      <c r="G272" s="5"/>
      <c r="H272" s="5"/>
      <c r="I272" s="76">
        <v>2901738.576487829</v>
      </c>
      <c r="K272" s="77"/>
    </row>
    <row r="273" spans="1:11" ht="16.5" thickBot="1">
      <c r="A273" s="11" t="s">
        <v>365</v>
      </c>
      <c r="B273" s="140" t="s">
        <v>290</v>
      </c>
      <c r="C273" s="141"/>
      <c r="D273" s="84"/>
      <c r="E273" s="84"/>
      <c r="F273" s="84"/>
      <c r="G273" s="5"/>
      <c r="H273" s="5"/>
      <c r="I273" s="167"/>
      <c r="K273" s="77"/>
    </row>
    <row r="274" spans="1:11">
      <c r="A274" s="150">
        <v>36</v>
      </c>
      <c r="B274" s="1" t="s">
        <v>263</v>
      </c>
      <c r="C274" s="11"/>
      <c r="D274" s="10"/>
      <c r="E274" s="10"/>
      <c r="F274" s="10"/>
      <c r="G274" s="10"/>
      <c r="H274" s="5"/>
      <c r="I274" s="76">
        <f>+I270-I271-I272-I273</f>
        <v>4080999.9999999991</v>
      </c>
      <c r="J274" s="78"/>
      <c r="K274" s="77"/>
    </row>
    <row r="275" spans="1:11">
      <c r="A275" s="11"/>
    </row>
    <row r="276" spans="1:11">
      <c r="A276" s="11"/>
    </row>
    <row r="277" spans="1:11">
      <c r="A277" s="11"/>
    </row>
    <row r="278" spans="1:11">
      <c r="A278" s="11"/>
      <c r="K278" s="2" t="s">
        <v>346</v>
      </c>
    </row>
    <row r="279" spans="1:11">
      <c r="B279" s="3"/>
      <c r="C279" s="3"/>
      <c r="D279" s="4"/>
      <c r="E279" s="3"/>
      <c r="F279" s="3"/>
      <c r="G279" s="3"/>
      <c r="H279" s="5"/>
      <c r="I279" s="7"/>
      <c r="J279" s="197" t="s">
        <v>192</v>
      </c>
      <c r="K279" s="197"/>
    </row>
    <row r="280" spans="1:11">
      <c r="A280" s="11"/>
      <c r="B280" s="79" t="str">
        <f>B4</f>
        <v xml:space="preserve">Formula Rate - Non-Levelized </v>
      </c>
      <c r="C280" s="11"/>
      <c r="D280" s="10" t="str">
        <f>D4</f>
        <v xml:space="preserve">     Rate Formula Template</v>
      </c>
      <c r="E280" s="10"/>
      <c r="F280" s="10"/>
      <c r="G280" s="10"/>
      <c r="H280" s="5"/>
      <c r="J280" s="73"/>
      <c r="K280" s="93" t="str">
        <f>K4</f>
        <v>For the 12 months ended 12/31/15</v>
      </c>
    </row>
    <row r="281" spans="1:11">
      <c r="A281" s="11"/>
      <c r="B281" s="79"/>
      <c r="C281" s="11"/>
      <c r="D281" s="10" t="str">
        <f>D5</f>
        <v xml:space="preserve"> Utilizing RUS Form 12 Data</v>
      </c>
      <c r="E281" s="10"/>
      <c r="F281" s="10"/>
      <c r="G281" s="10"/>
      <c r="H281" s="5"/>
      <c r="I281" s="81"/>
      <c r="J281" s="73"/>
      <c r="K281" s="80"/>
    </row>
    <row r="282" spans="1:11">
      <c r="A282" s="11"/>
      <c r="B282" s="79"/>
      <c r="C282" s="11"/>
      <c r="D282" s="10"/>
      <c r="E282" s="10"/>
      <c r="F282" s="10"/>
      <c r="G282" s="10"/>
      <c r="H282" s="5"/>
      <c r="I282" s="81"/>
      <c r="J282" s="73"/>
      <c r="K282" s="80"/>
    </row>
    <row r="283" spans="1:11">
      <c r="A283" s="11"/>
      <c r="B283" s="79"/>
      <c r="C283" s="11"/>
      <c r="D283" s="10" t="str">
        <f>D7</f>
        <v>Dairyland Power Cooperative</v>
      </c>
      <c r="E283" s="10"/>
      <c r="F283" s="10"/>
      <c r="G283" s="10"/>
      <c r="H283" s="5"/>
      <c r="I283" s="81"/>
      <c r="J283" s="73"/>
      <c r="K283" s="80"/>
    </row>
    <row r="284" spans="1:11">
      <c r="B284" s="3" t="s">
        <v>135</v>
      </c>
      <c r="C284" s="11"/>
      <c r="D284" s="10"/>
      <c r="E284" s="10"/>
      <c r="F284" s="10"/>
      <c r="G284" s="10"/>
      <c r="H284" s="5"/>
      <c r="I284" s="10"/>
      <c r="J284" s="5"/>
      <c r="K284" s="10"/>
    </row>
    <row r="285" spans="1:11">
      <c r="A285" s="11"/>
      <c r="B285" s="90" t="s">
        <v>195</v>
      </c>
      <c r="C285" s="11"/>
      <c r="D285" s="10"/>
      <c r="E285" s="10"/>
      <c r="F285" s="10"/>
      <c r="G285" s="10"/>
      <c r="H285" s="5"/>
      <c r="I285" s="10"/>
      <c r="J285" s="5"/>
      <c r="K285" s="10"/>
    </row>
    <row r="286" spans="1:11">
      <c r="A286" s="11" t="s">
        <v>136</v>
      </c>
      <c r="B286" s="90" t="s">
        <v>196</v>
      </c>
      <c r="C286" s="11"/>
      <c r="D286" s="10"/>
      <c r="E286" s="10"/>
      <c r="F286" s="10"/>
      <c r="G286" s="10"/>
      <c r="H286" s="5"/>
      <c r="I286" s="10"/>
      <c r="J286" s="5"/>
      <c r="K286" s="10"/>
    </row>
    <row r="287" spans="1:11" ht="16.5" thickBot="1">
      <c r="A287" s="13" t="s">
        <v>137</v>
      </c>
      <c r="B287" s="90"/>
      <c r="C287" s="11"/>
      <c r="D287" s="10"/>
      <c r="E287" s="10"/>
      <c r="F287" s="10"/>
      <c r="G287" s="10"/>
      <c r="H287" s="5"/>
      <c r="I287" s="10"/>
      <c r="J287" s="5"/>
      <c r="K287" s="10"/>
    </row>
    <row r="288" spans="1:11" ht="32.25" customHeight="1">
      <c r="A288" s="96" t="s">
        <v>138</v>
      </c>
      <c r="B288" s="205" t="s">
        <v>256</v>
      </c>
      <c r="C288" s="205"/>
      <c r="D288" s="205"/>
      <c r="E288" s="205"/>
      <c r="F288" s="205"/>
      <c r="G288" s="205"/>
      <c r="H288" s="205"/>
      <c r="I288" s="205"/>
      <c r="J288" s="205"/>
      <c r="K288" s="205"/>
    </row>
    <row r="289" spans="1:11" ht="63" customHeight="1">
      <c r="A289" s="96" t="s">
        <v>139</v>
      </c>
      <c r="B289" s="205" t="s">
        <v>257</v>
      </c>
      <c r="C289" s="205"/>
      <c r="D289" s="205"/>
      <c r="E289" s="205"/>
      <c r="F289" s="205"/>
      <c r="G289" s="205"/>
      <c r="H289" s="205"/>
      <c r="I289" s="205"/>
      <c r="J289" s="205"/>
      <c r="K289" s="205"/>
    </row>
    <row r="290" spans="1:11">
      <c r="A290" s="96" t="s">
        <v>140</v>
      </c>
      <c r="B290" s="205" t="s">
        <v>258</v>
      </c>
      <c r="C290" s="205"/>
      <c r="D290" s="205"/>
      <c r="E290" s="205"/>
      <c r="F290" s="205"/>
      <c r="G290" s="205"/>
      <c r="H290" s="205"/>
      <c r="I290" s="205"/>
      <c r="J290" s="205"/>
      <c r="K290" s="205"/>
    </row>
    <row r="291" spans="1:11">
      <c r="A291" s="96" t="s">
        <v>141</v>
      </c>
      <c r="B291" s="205" t="s">
        <v>258</v>
      </c>
      <c r="C291" s="205"/>
      <c r="D291" s="205"/>
      <c r="E291" s="205"/>
      <c r="F291" s="205"/>
      <c r="G291" s="205"/>
      <c r="H291" s="205"/>
      <c r="I291" s="205"/>
      <c r="J291" s="205"/>
      <c r="K291" s="205"/>
    </row>
    <row r="292" spans="1:11">
      <c r="A292" s="96" t="s">
        <v>142</v>
      </c>
      <c r="B292" s="205" t="s">
        <v>282</v>
      </c>
      <c r="C292" s="205"/>
      <c r="D292" s="205"/>
      <c r="E292" s="205"/>
      <c r="F292" s="205"/>
      <c r="G292" s="205"/>
      <c r="H292" s="205"/>
      <c r="I292" s="205"/>
      <c r="J292" s="205"/>
      <c r="K292" s="205"/>
    </row>
    <row r="293" spans="1:11" ht="48" customHeight="1">
      <c r="A293" s="96" t="s">
        <v>143</v>
      </c>
      <c r="B293" s="201" t="s">
        <v>234</v>
      </c>
      <c r="C293" s="201"/>
      <c r="D293" s="201"/>
      <c r="E293" s="201"/>
      <c r="F293" s="201"/>
      <c r="G293" s="201"/>
      <c r="H293" s="201"/>
      <c r="I293" s="201"/>
      <c r="J293" s="201"/>
      <c r="K293" s="201"/>
    </row>
    <row r="294" spans="1:11">
      <c r="A294" s="96" t="s">
        <v>144</v>
      </c>
      <c r="B294" s="201" t="s">
        <v>172</v>
      </c>
      <c r="C294" s="201"/>
      <c r="D294" s="201"/>
      <c r="E294" s="201"/>
      <c r="F294" s="201"/>
      <c r="G294" s="201"/>
      <c r="H294" s="201"/>
      <c r="I294" s="201"/>
      <c r="J294" s="201"/>
      <c r="K294" s="201"/>
    </row>
    <row r="295" spans="1:11" ht="32.25" customHeight="1">
      <c r="A295" s="96" t="s">
        <v>145</v>
      </c>
      <c r="B295" s="201" t="s">
        <v>275</v>
      </c>
      <c r="C295" s="201"/>
      <c r="D295" s="201"/>
      <c r="E295" s="201"/>
      <c r="F295" s="201"/>
      <c r="G295" s="201"/>
      <c r="H295" s="201"/>
      <c r="I295" s="201"/>
      <c r="J295" s="201"/>
      <c r="K295" s="201"/>
    </row>
    <row r="296" spans="1:11" ht="32.25" customHeight="1">
      <c r="A296" s="96" t="s">
        <v>146</v>
      </c>
      <c r="B296" s="205" t="s">
        <v>235</v>
      </c>
      <c r="C296" s="205"/>
      <c r="D296" s="205"/>
      <c r="E296" s="205"/>
      <c r="F296" s="205"/>
      <c r="G296" s="205"/>
      <c r="H296" s="205"/>
      <c r="I296" s="205"/>
      <c r="J296" s="205"/>
      <c r="K296" s="205"/>
    </row>
    <row r="297" spans="1:11" ht="32.25" customHeight="1">
      <c r="A297" s="96" t="s">
        <v>147</v>
      </c>
      <c r="B297" s="201" t="s">
        <v>236</v>
      </c>
      <c r="C297" s="201"/>
      <c r="D297" s="201"/>
      <c r="E297" s="201"/>
      <c r="F297" s="201"/>
      <c r="G297" s="201"/>
      <c r="H297" s="201"/>
      <c r="I297" s="201"/>
      <c r="J297" s="201"/>
      <c r="K297" s="201"/>
    </row>
    <row r="298" spans="1:11" ht="78" customHeight="1">
      <c r="A298" s="96" t="s">
        <v>148</v>
      </c>
      <c r="B298" s="201" t="s">
        <v>291</v>
      </c>
      <c r="C298" s="201"/>
      <c r="D298" s="201"/>
      <c r="E298" s="201"/>
      <c r="F298" s="201"/>
      <c r="G298" s="201"/>
      <c r="H298" s="201"/>
      <c r="I298" s="201"/>
      <c r="J298" s="201"/>
      <c r="K298" s="201"/>
    </row>
    <row r="299" spans="1:11">
      <c r="A299" s="96" t="s">
        <v>2</v>
      </c>
      <c r="B299" s="97" t="s">
        <v>233</v>
      </c>
      <c r="C299" s="136" t="s">
        <v>149</v>
      </c>
      <c r="D299" s="142">
        <v>0</v>
      </c>
      <c r="E299" s="136"/>
      <c r="F299" s="143"/>
      <c r="G299" s="143"/>
      <c r="H299" s="136"/>
      <c r="I299" s="143"/>
      <c r="J299" s="136"/>
      <c r="K299" s="136"/>
    </row>
    <row r="300" spans="1:11">
      <c r="A300" s="96"/>
      <c r="B300" s="136"/>
      <c r="C300" s="136" t="s">
        <v>150</v>
      </c>
      <c r="D300" s="142">
        <v>0</v>
      </c>
      <c r="E300" s="201" t="s">
        <v>151</v>
      </c>
      <c r="F300" s="201"/>
      <c r="G300" s="201"/>
      <c r="H300" s="201"/>
      <c r="I300" s="201"/>
      <c r="J300" s="201"/>
      <c r="K300" s="201"/>
    </row>
    <row r="301" spans="1:11">
      <c r="A301" s="96"/>
      <c r="B301" s="136"/>
      <c r="C301" s="136" t="s">
        <v>152</v>
      </c>
      <c r="D301" s="142">
        <v>0</v>
      </c>
      <c r="E301" s="201" t="s">
        <v>153</v>
      </c>
      <c r="F301" s="201"/>
      <c r="G301" s="201"/>
      <c r="H301" s="201"/>
      <c r="I301" s="201"/>
      <c r="J301" s="201"/>
      <c r="K301" s="201"/>
    </row>
    <row r="302" spans="1:11">
      <c r="A302" s="96" t="s">
        <v>154</v>
      </c>
      <c r="B302" s="201" t="s">
        <v>173</v>
      </c>
      <c r="C302" s="201"/>
      <c r="D302" s="201"/>
      <c r="E302" s="201"/>
      <c r="F302" s="201"/>
      <c r="G302" s="201"/>
      <c r="H302" s="201"/>
      <c r="I302" s="201"/>
      <c r="J302" s="201"/>
      <c r="K302" s="201"/>
    </row>
    <row r="303" spans="1:11" ht="32.25" customHeight="1">
      <c r="A303" s="96" t="s">
        <v>155</v>
      </c>
      <c r="B303" s="201" t="s">
        <v>237</v>
      </c>
      <c r="C303" s="201"/>
      <c r="D303" s="201"/>
      <c r="E303" s="201"/>
      <c r="F303" s="201"/>
      <c r="G303" s="201"/>
      <c r="H303" s="201"/>
      <c r="I303" s="201"/>
      <c r="J303" s="201"/>
      <c r="K303" s="201"/>
    </row>
    <row r="304" spans="1:11" ht="48" customHeight="1">
      <c r="A304" s="96" t="s">
        <v>156</v>
      </c>
      <c r="B304" s="201" t="s">
        <v>292</v>
      </c>
      <c r="C304" s="201"/>
      <c r="D304" s="201"/>
      <c r="E304" s="201"/>
      <c r="F304" s="201"/>
      <c r="G304" s="201"/>
      <c r="H304" s="201"/>
      <c r="I304" s="201"/>
      <c r="J304" s="201"/>
      <c r="K304" s="201"/>
    </row>
    <row r="305" spans="1:11">
      <c r="A305" s="96" t="s">
        <v>157</v>
      </c>
      <c r="B305" s="201" t="s">
        <v>174</v>
      </c>
      <c r="C305" s="201"/>
      <c r="D305" s="201"/>
      <c r="E305" s="201"/>
      <c r="F305" s="201"/>
      <c r="G305" s="201"/>
      <c r="H305" s="201"/>
      <c r="I305" s="201"/>
      <c r="J305" s="201"/>
      <c r="K305" s="201"/>
    </row>
    <row r="306" spans="1:11" ht="32.25" customHeight="1">
      <c r="A306" s="96" t="s">
        <v>158</v>
      </c>
      <c r="B306" s="201" t="s">
        <v>238</v>
      </c>
      <c r="C306" s="201"/>
      <c r="D306" s="201"/>
      <c r="E306" s="201"/>
      <c r="F306" s="201"/>
      <c r="G306" s="201"/>
      <c r="H306" s="201"/>
      <c r="I306" s="201"/>
      <c r="J306" s="201"/>
      <c r="K306" s="201"/>
    </row>
    <row r="307" spans="1:11" ht="32.25" customHeight="1">
      <c r="A307" s="96" t="s">
        <v>159</v>
      </c>
      <c r="B307" s="201" t="s">
        <v>239</v>
      </c>
      <c r="C307" s="201"/>
      <c r="D307" s="201"/>
      <c r="E307" s="201"/>
      <c r="F307" s="201"/>
      <c r="G307" s="201"/>
      <c r="H307" s="201"/>
      <c r="I307" s="201"/>
      <c r="J307" s="201"/>
      <c r="K307" s="201"/>
    </row>
    <row r="308" spans="1:11">
      <c r="A308" s="96" t="s">
        <v>160</v>
      </c>
      <c r="B308" s="201" t="s">
        <v>161</v>
      </c>
      <c r="C308" s="201"/>
      <c r="D308" s="201"/>
      <c r="E308" s="201"/>
      <c r="F308" s="201"/>
      <c r="G308" s="201"/>
      <c r="H308" s="201"/>
      <c r="I308" s="201"/>
      <c r="J308" s="201"/>
      <c r="K308" s="201"/>
    </row>
    <row r="309" spans="1:11" ht="48" customHeight="1">
      <c r="A309" s="96" t="s">
        <v>175</v>
      </c>
      <c r="B309" s="201" t="s">
        <v>283</v>
      </c>
      <c r="C309" s="201"/>
      <c r="D309" s="201"/>
      <c r="E309" s="201"/>
      <c r="F309" s="201"/>
      <c r="G309" s="201"/>
      <c r="H309" s="201"/>
      <c r="I309" s="201"/>
      <c r="J309" s="201"/>
      <c r="K309" s="201"/>
    </row>
    <row r="310" spans="1:11" ht="63.75" customHeight="1">
      <c r="A310" s="98" t="s">
        <v>176</v>
      </c>
      <c r="B310" s="200" t="s">
        <v>284</v>
      </c>
      <c r="C310" s="200"/>
      <c r="D310" s="200"/>
      <c r="E310" s="200"/>
      <c r="F310" s="200"/>
      <c r="G310" s="200"/>
      <c r="H310" s="200"/>
      <c r="I310" s="200"/>
      <c r="J310" s="200"/>
      <c r="K310" s="200"/>
    </row>
    <row r="311" spans="1:11">
      <c r="A311" s="98" t="s">
        <v>185</v>
      </c>
      <c r="B311" s="200" t="s">
        <v>285</v>
      </c>
      <c r="C311" s="200"/>
      <c r="D311" s="200"/>
      <c r="E311" s="200"/>
      <c r="F311" s="200"/>
      <c r="G311" s="200"/>
      <c r="H311" s="200"/>
      <c r="I311" s="200"/>
      <c r="J311" s="200"/>
      <c r="K311" s="200"/>
    </row>
    <row r="312" spans="1:11" ht="32.25" customHeight="1">
      <c r="A312" s="98" t="s">
        <v>186</v>
      </c>
      <c r="B312" s="200" t="s">
        <v>293</v>
      </c>
      <c r="C312" s="200"/>
      <c r="D312" s="200"/>
      <c r="E312" s="200"/>
      <c r="F312" s="200"/>
      <c r="G312" s="200"/>
      <c r="H312" s="200"/>
      <c r="I312" s="200"/>
      <c r="J312" s="200"/>
      <c r="K312" s="200"/>
    </row>
    <row r="313" spans="1:11" s="72" customFormat="1">
      <c r="A313" s="98" t="s">
        <v>264</v>
      </c>
      <c r="B313" s="200" t="s">
        <v>286</v>
      </c>
      <c r="C313" s="200"/>
      <c r="D313" s="200"/>
      <c r="E313" s="200"/>
      <c r="F313" s="200"/>
      <c r="G313" s="200"/>
      <c r="H313" s="200"/>
      <c r="I313" s="200"/>
      <c r="J313" s="200"/>
      <c r="K313" s="200"/>
    </row>
    <row r="314" spans="1:11" s="72" customFormat="1" ht="33.75" customHeight="1">
      <c r="A314" s="98" t="s">
        <v>265</v>
      </c>
      <c r="B314" s="200" t="s">
        <v>294</v>
      </c>
      <c r="C314" s="200"/>
      <c r="D314" s="200"/>
      <c r="E314" s="200"/>
      <c r="F314" s="200"/>
      <c r="G314" s="200"/>
      <c r="H314" s="200"/>
      <c r="I314" s="200"/>
      <c r="J314" s="200"/>
      <c r="K314" s="200"/>
    </row>
    <row r="315" spans="1:11" s="72" customFormat="1">
      <c r="A315" s="133" t="s">
        <v>276</v>
      </c>
      <c r="B315" s="134" t="s">
        <v>277</v>
      </c>
      <c r="C315" s="131"/>
      <c r="D315" s="144"/>
      <c r="E315" s="131"/>
      <c r="F315" s="145"/>
      <c r="G315" s="145"/>
      <c r="H315" s="145"/>
      <c r="I315" s="130"/>
      <c r="J315" s="145"/>
      <c r="K315" s="130"/>
    </row>
    <row r="316" spans="1:11" s="72" customFormat="1">
      <c r="A316" s="133" t="s">
        <v>279</v>
      </c>
      <c r="B316" s="135" t="s">
        <v>278</v>
      </c>
      <c r="C316" s="87"/>
      <c r="D316" s="88"/>
      <c r="E316" s="87"/>
      <c r="F316" s="71"/>
      <c r="G316" s="71"/>
      <c r="H316" s="71"/>
      <c r="I316" s="86"/>
      <c r="J316" s="71"/>
      <c r="K316" s="86"/>
    </row>
    <row r="317" spans="1:11" ht="48.75" customHeight="1">
      <c r="A317" s="163" t="s">
        <v>321</v>
      </c>
      <c r="B317" s="196" t="s">
        <v>343</v>
      </c>
      <c r="C317" s="196"/>
      <c r="D317" s="196"/>
      <c r="E317" s="196"/>
      <c r="F317" s="196"/>
      <c r="G317" s="196"/>
      <c r="H317" s="196"/>
      <c r="I317" s="196"/>
      <c r="J317" s="196"/>
      <c r="K317" s="196"/>
    </row>
    <row r="318" spans="1:11" ht="33" customHeight="1">
      <c r="A318" s="163" t="s">
        <v>322</v>
      </c>
      <c r="B318" s="196" t="s">
        <v>342</v>
      </c>
      <c r="C318" s="196"/>
      <c r="D318" s="196"/>
      <c r="E318" s="196"/>
      <c r="F318" s="196"/>
      <c r="G318" s="196"/>
      <c r="H318" s="196"/>
      <c r="I318" s="196"/>
      <c r="J318" s="196"/>
      <c r="K318" s="196"/>
    </row>
    <row r="319" spans="1:11">
      <c r="A319" s="163" t="s">
        <v>323</v>
      </c>
      <c r="B319" s="196" t="s">
        <v>324</v>
      </c>
      <c r="C319" s="196"/>
      <c r="D319" s="196"/>
      <c r="E319" s="196"/>
      <c r="F319" s="196"/>
      <c r="G319" s="196"/>
      <c r="H319" s="196"/>
      <c r="I319" s="196"/>
      <c r="J319" s="196"/>
      <c r="K319" s="196"/>
    </row>
    <row r="320" spans="1:11" ht="33" customHeight="1">
      <c r="A320" s="164" t="s">
        <v>327</v>
      </c>
      <c r="B320" s="195" t="s">
        <v>329</v>
      </c>
      <c r="C320" s="195"/>
      <c r="D320" s="195"/>
      <c r="E320" s="195"/>
      <c r="F320" s="195"/>
      <c r="G320" s="195"/>
      <c r="H320" s="195"/>
      <c r="I320" s="195"/>
      <c r="J320" s="195"/>
      <c r="K320" s="195"/>
    </row>
    <row r="321" spans="1:11" ht="33" customHeight="1">
      <c r="A321" s="164" t="s">
        <v>328</v>
      </c>
      <c r="B321" s="195" t="s">
        <v>345</v>
      </c>
      <c r="C321" s="195"/>
      <c r="D321" s="195"/>
      <c r="E321" s="195"/>
      <c r="F321" s="195"/>
      <c r="G321" s="195"/>
      <c r="H321" s="195"/>
      <c r="I321" s="195"/>
      <c r="J321" s="195"/>
      <c r="K321" s="195"/>
    </row>
    <row r="322" spans="1:11" ht="48.75" customHeight="1">
      <c r="A322" s="164" t="s">
        <v>341</v>
      </c>
      <c r="B322" s="195" t="s">
        <v>344</v>
      </c>
      <c r="C322" s="195"/>
      <c r="D322" s="195"/>
      <c r="E322" s="195"/>
      <c r="F322" s="195"/>
      <c r="G322" s="195"/>
      <c r="H322" s="195"/>
      <c r="I322" s="195"/>
      <c r="J322" s="195"/>
      <c r="K322" s="195"/>
    </row>
    <row r="323" spans="1:11">
      <c r="A323" s="11"/>
      <c r="B323" s="5"/>
      <c r="C323" s="5"/>
      <c r="D323" s="5"/>
      <c r="E323" s="5"/>
      <c r="F323" s="5"/>
      <c r="G323" s="5"/>
      <c r="H323" s="5"/>
      <c r="I323" s="5"/>
      <c r="J323" s="5"/>
      <c r="K323" s="5"/>
    </row>
    <row r="324" spans="1:11">
      <c r="A324" s="11"/>
      <c r="B324" s="5"/>
      <c r="C324" s="5"/>
      <c r="D324" s="5"/>
      <c r="E324" s="5"/>
      <c r="F324" s="5"/>
      <c r="G324" s="5"/>
      <c r="H324" s="5"/>
      <c r="I324" s="5"/>
      <c r="J324" s="5"/>
      <c r="K324" s="5"/>
    </row>
    <row r="325" spans="1:11">
      <c r="A325" s="11"/>
      <c r="B325" s="5"/>
      <c r="C325" s="5"/>
      <c r="D325" s="5"/>
      <c r="E325" s="5"/>
      <c r="F325" s="5"/>
      <c r="G325" s="5"/>
      <c r="H325" s="5"/>
      <c r="I325" s="5"/>
      <c r="J325" s="5"/>
      <c r="K325" s="5"/>
    </row>
    <row r="326" spans="1:11">
      <c r="A326" s="11"/>
      <c r="B326" s="5"/>
      <c r="C326" s="5"/>
      <c r="D326" s="5"/>
      <c r="E326" s="5"/>
      <c r="F326" s="5"/>
      <c r="G326" s="5"/>
      <c r="H326" s="5"/>
      <c r="I326" s="5"/>
      <c r="J326" s="5"/>
      <c r="K326" s="5"/>
    </row>
    <row r="327" spans="1:11">
      <c r="A327" s="11"/>
      <c r="B327" s="5"/>
      <c r="C327" s="5"/>
      <c r="D327" s="5"/>
      <c r="E327" s="5"/>
      <c r="F327" s="5"/>
      <c r="G327" s="5"/>
      <c r="H327" s="5"/>
      <c r="I327" s="5"/>
      <c r="J327" s="5"/>
      <c r="K327" s="5"/>
    </row>
    <row r="328" spans="1:11">
      <c r="A328" s="11"/>
      <c r="B328" s="5"/>
      <c r="C328" s="5"/>
      <c r="D328" s="5"/>
      <c r="E328" s="5"/>
      <c r="F328" s="5"/>
      <c r="G328" s="5"/>
      <c r="H328" s="5"/>
      <c r="I328" s="5"/>
      <c r="J328" s="5"/>
      <c r="K328" s="5"/>
    </row>
    <row r="329" spans="1:11">
      <c r="A329" s="11"/>
      <c r="B329" s="5"/>
      <c r="C329" s="5"/>
      <c r="D329" s="5"/>
      <c r="E329" s="5"/>
      <c r="F329" s="5"/>
      <c r="G329" s="5"/>
      <c r="H329" s="5"/>
      <c r="I329" s="5"/>
      <c r="J329" s="5"/>
      <c r="K329" s="5"/>
    </row>
    <row r="330" spans="1:11">
      <c r="A330" s="11"/>
      <c r="B330" s="5"/>
      <c r="C330" s="5"/>
      <c r="D330" s="5"/>
      <c r="E330" s="5"/>
      <c r="F330" s="5"/>
      <c r="G330" s="5"/>
      <c r="H330" s="5"/>
      <c r="I330" s="5"/>
      <c r="J330" s="5"/>
      <c r="K330" s="5"/>
    </row>
    <row r="331" spans="1:11">
      <c r="A331" s="11"/>
      <c r="B331" s="5"/>
      <c r="C331" s="5"/>
      <c r="D331" s="5"/>
      <c r="E331" s="5"/>
      <c r="F331" s="5"/>
      <c r="G331" s="5"/>
      <c r="H331" s="5"/>
      <c r="I331" s="5"/>
      <c r="J331" s="5"/>
      <c r="K331" s="5"/>
    </row>
    <row r="332" spans="1:11">
      <c r="A332" s="11"/>
      <c r="B332" s="5"/>
      <c r="C332" s="5"/>
      <c r="D332" s="5"/>
      <c r="E332" s="5"/>
      <c r="F332" s="5"/>
      <c r="G332" s="5"/>
      <c r="H332" s="5"/>
      <c r="I332" s="5"/>
      <c r="J332" s="5"/>
      <c r="K332" s="5"/>
    </row>
    <row r="333" spans="1:11">
      <c r="A333" s="11"/>
      <c r="B333" s="5"/>
      <c r="C333" s="5"/>
      <c r="D333" s="5"/>
      <c r="E333" s="5"/>
      <c r="F333" s="5"/>
      <c r="G333" s="5"/>
      <c r="H333" s="5"/>
      <c r="I333" s="5"/>
      <c r="J333" s="5"/>
      <c r="K333" s="5"/>
    </row>
    <row r="334" spans="1:11">
      <c r="A334" s="11"/>
      <c r="B334" s="5"/>
      <c r="C334" s="5"/>
      <c r="D334" s="5"/>
      <c r="E334" s="5"/>
      <c r="F334" s="5"/>
      <c r="G334" s="5"/>
      <c r="H334" s="5"/>
      <c r="I334" s="5"/>
      <c r="J334" s="5"/>
      <c r="K334" s="5"/>
    </row>
    <row r="335" spans="1:11">
      <c r="A335" s="11"/>
      <c r="B335" s="5"/>
      <c r="C335" s="5"/>
      <c r="D335" s="5"/>
      <c r="E335" s="5"/>
      <c r="F335" s="5"/>
      <c r="G335" s="5"/>
      <c r="H335" s="5"/>
      <c r="I335" s="5"/>
      <c r="J335" s="5"/>
      <c r="K335" s="5"/>
    </row>
    <row r="336" spans="1:11">
      <c r="A336" s="11"/>
      <c r="B336" s="5"/>
      <c r="C336" s="5"/>
      <c r="D336" s="5"/>
      <c r="E336" s="5"/>
      <c r="F336" s="5"/>
      <c r="G336" s="5"/>
      <c r="H336" s="5"/>
      <c r="I336" s="5"/>
      <c r="J336" s="5"/>
      <c r="K336" s="5"/>
    </row>
    <row r="337" spans="1:11">
      <c r="A337" s="11"/>
      <c r="B337" s="5"/>
      <c r="C337" s="5"/>
      <c r="D337" s="5"/>
      <c r="E337" s="5"/>
      <c r="F337" s="5"/>
      <c r="G337" s="5"/>
      <c r="H337" s="5"/>
      <c r="I337" s="5"/>
      <c r="J337" s="5"/>
      <c r="K337" s="5"/>
    </row>
    <row r="338" spans="1:11">
      <c r="A338" s="11"/>
      <c r="B338" s="5"/>
      <c r="C338" s="5"/>
      <c r="D338" s="5"/>
      <c r="E338" s="5"/>
      <c r="F338" s="5"/>
      <c r="G338" s="5"/>
      <c r="H338" s="5"/>
      <c r="I338" s="5"/>
      <c r="J338" s="5"/>
      <c r="K338" s="5"/>
    </row>
    <row r="339" spans="1:11">
      <c r="B339" s="7"/>
      <c r="C339" s="7"/>
      <c r="D339" s="7"/>
      <c r="E339" s="7"/>
      <c r="F339" s="7"/>
      <c r="G339" s="7"/>
      <c r="H339" s="7"/>
      <c r="I339" s="7"/>
      <c r="J339" s="7"/>
      <c r="K339" s="7"/>
    </row>
    <row r="340" spans="1:11">
      <c r="B340" s="7"/>
      <c r="C340" s="7"/>
      <c r="D340" s="7"/>
      <c r="E340" s="7"/>
      <c r="F340" s="7"/>
      <c r="G340" s="7"/>
      <c r="H340" s="7"/>
      <c r="I340" s="7"/>
      <c r="J340" s="7"/>
      <c r="K340" s="7"/>
    </row>
    <row r="341" spans="1:11">
      <c r="B341" s="7"/>
      <c r="C341" s="7"/>
      <c r="D341" s="7"/>
      <c r="E341" s="7"/>
      <c r="F341" s="7"/>
      <c r="G341" s="7"/>
      <c r="H341" s="7"/>
      <c r="I341" s="7"/>
      <c r="J341" s="7"/>
      <c r="K341" s="7"/>
    </row>
    <row r="342" spans="1:11">
      <c r="B342" s="7"/>
      <c r="C342" s="7"/>
      <c r="D342" s="7"/>
      <c r="E342" s="7"/>
      <c r="F342" s="7"/>
      <c r="G342" s="7"/>
      <c r="H342" s="7"/>
      <c r="I342" s="7"/>
      <c r="J342" s="7"/>
      <c r="K342" s="7"/>
    </row>
    <row r="343" spans="1:11">
      <c r="B343" s="7"/>
      <c r="C343" s="7"/>
      <c r="D343" s="7"/>
      <c r="E343" s="7"/>
      <c r="F343" s="7"/>
      <c r="G343" s="7"/>
      <c r="H343" s="7"/>
      <c r="I343" s="7"/>
      <c r="J343" s="7"/>
      <c r="K343" s="7"/>
    </row>
    <row r="344" spans="1:11">
      <c r="B344" s="7"/>
      <c r="C344" s="7"/>
      <c r="D344" s="7"/>
      <c r="E344" s="7"/>
      <c r="F344" s="7"/>
      <c r="G344" s="7"/>
      <c r="H344" s="7"/>
      <c r="I344" s="7"/>
      <c r="J344" s="7"/>
      <c r="K344" s="7"/>
    </row>
    <row r="345" spans="1:11">
      <c r="B345" s="7"/>
      <c r="C345" s="7"/>
      <c r="D345" s="7"/>
      <c r="E345" s="7"/>
      <c r="F345" s="7"/>
      <c r="G345" s="7"/>
      <c r="H345" s="7"/>
      <c r="I345" s="7"/>
      <c r="J345" s="7"/>
      <c r="K345" s="7"/>
    </row>
    <row r="346" spans="1:11">
      <c r="B346" s="7"/>
      <c r="C346" s="7"/>
      <c r="D346" s="7"/>
      <c r="E346" s="7"/>
      <c r="F346" s="7"/>
      <c r="G346" s="7"/>
      <c r="H346" s="7"/>
      <c r="I346" s="7"/>
      <c r="J346" s="7"/>
      <c r="K346" s="7"/>
    </row>
    <row r="347" spans="1:11">
      <c r="B347" s="7"/>
      <c r="C347" s="7"/>
      <c r="D347" s="7"/>
      <c r="E347" s="7"/>
      <c r="F347" s="7"/>
      <c r="G347" s="7"/>
      <c r="H347" s="7"/>
      <c r="I347" s="7"/>
      <c r="J347" s="7"/>
      <c r="K347" s="7"/>
    </row>
  </sheetData>
  <mergeCells count="40">
    <mergeCell ref="N220:S220"/>
    <mergeCell ref="J204:K204"/>
    <mergeCell ref="B303:K303"/>
    <mergeCell ref="B302:K302"/>
    <mergeCell ref="B291:K291"/>
    <mergeCell ref="E300:K300"/>
    <mergeCell ref="B292:K292"/>
    <mergeCell ref="B290:K290"/>
    <mergeCell ref="B289:K289"/>
    <mergeCell ref="B288:K288"/>
    <mergeCell ref="B293:K293"/>
    <mergeCell ref="B298:K298"/>
    <mergeCell ref="B297:K297"/>
    <mergeCell ref="B296:K296"/>
    <mergeCell ref="B295:K295"/>
    <mergeCell ref="B294:K294"/>
    <mergeCell ref="B309:K309"/>
    <mergeCell ref="B307:K307"/>
    <mergeCell ref="E301:K301"/>
    <mergeCell ref="B306:K306"/>
    <mergeCell ref="B305:K305"/>
    <mergeCell ref="B308:K308"/>
    <mergeCell ref="B304:K304"/>
    <mergeCell ref="B311:K311"/>
    <mergeCell ref="B310:K310"/>
    <mergeCell ref="B312:K312"/>
    <mergeCell ref="B313:K313"/>
    <mergeCell ref="B314:K314"/>
    <mergeCell ref="J2:K2"/>
    <mergeCell ref="B194:C194"/>
    <mergeCell ref="J67:K67"/>
    <mergeCell ref="J133:K133"/>
    <mergeCell ref="J279:K279"/>
    <mergeCell ref="B199:C199"/>
    <mergeCell ref="B322:K322"/>
    <mergeCell ref="B317:K317"/>
    <mergeCell ref="B318:K318"/>
    <mergeCell ref="B319:K319"/>
    <mergeCell ref="B320:K320"/>
    <mergeCell ref="B321:K321"/>
  </mergeCells>
  <phoneticPr fontId="0" type="noConversion"/>
  <pageMargins left="0.5" right="0.25" top="0.75" bottom="0.35" header="0.5" footer="0.5"/>
  <pageSetup scale="57" fitToHeight="5" orientation="portrait" horizontalDpi="300" verticalDpi="300" r:id="rId1"/>
  <headerFooter alignWithMargins="0"/>
  <rowBreaks count="4" manualBreakCount="4">
    <brk id="65" max="10" man="1"/>
    <brk id="131" max="10" man="1"/>
    <brk id="202" max="10" man="1"/>
    <brk id="277"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7" workbookViewId="0">
      <selection activeCell="A31" sqref="A31"/>
    </sheetView>
  </sheetViews>
  <sheetFormatPr defaultRowHeight="14.25"/>
  <cols>
    <col min="1" max="1" width="34.77734375" style="182" customWidth="1"/>
    <col min="2" max="2" width="12.44140625" style="182" hidden="1" customWidth="1"/>
    <col min="3" max="3" width="9.88671875" style="182" hidden="1" customWidth="1"/>
    <col min="4" max="4" width="13.44140625" style="182" customWidth="1"/>
    <col min="5" max="16384" width="8.88671875" style="182"/>
  </cols>
  <sheetData>
    <row r="1" spans="1:5" ht="15">
      <c r="A1" s="181" t="s">
        <v>394</v>
      </c>
      <c r="C1" s="183">
        <v>0</v>
      </c>
    </row>
    <row r="2" spans="1:5">
      <c r="C2" s="183"/>
    </row>
    <row r="3" spans="1:5" ht="15">
      <c r="A3" s="184" t="s">
        <v>370</v>
      </c>
      <c r="B3" s="184" t="s">
        <v>371</v>
      </c>
      <c r="D3" s="184" t="s">
        <v>371</v>
      </c>
    </row>
    <row r="4" spans="1:5">
      <c r="A4" s="185" t="s">
        <v>372</v>
      </c>
      <c r="B4" s="186">
        <v>69000</v>
      </c>
      <c r="C4" s="187">
        <f>B4*$C$1</f>
        <v>0</v>
      </c>
      <c r="D4" s="187">
        <f>B4+C4</f>
        <v>69000</v>
      </c>
      <c r="E4" s="187"/>
    </row>
    <row r="5" spans="1:5">
      <c r="A5" s="185" t="s">
        <v>373</v>
      </c>
      <c r="B5" s="186">
        <v>6000</v>
      </c>
      <c r="C5" s="187">
        <f t="shared" ref="C5:C25" si="0">B5*$C$1</f>
        <v>0</v>
      </c>
      <c r="D5" s="187">
        <f t="shared" ref="D5:D25" si="1">B5+C5</f>
        <v>6000</v>
      </c>
      <c r="E5" s="187"/>
    </row>
    <row r="6" spans="1:5">
      <c r="A6" s="185" t="s">
        <v>374</v>
      </c>
      <c r="B6" s="186">
        <v>9000</v>
      </c>
      <c r="C6" s="187">
        <f t="shared" si="0"/>
        <v>0</v>
      </c>
      <c r="D6" s="187">
        <f t="shared" si="1"/>
        <v>9000</v>
      </c>
      <c r="E6" s="187"/>
    </row>
    <row r="7" spans="1:5">
      <c r="A7" s="185" t="s">
        <v>375</v>
      </c>
      <c r="B7" s="186">
        <v>31000</v>
      </c>
      <c r="C7" s="187">
        <f t="shared" si="0"/>
        <v>0</v>
      </c>
      <c r="D7" s="187">
        <f t="shared" si="1"/>
        <v>31000</v>
      </c>
      <c r="E7" s="187"/>
    </row>
    <row r="8" spans="1:5">
      <c r="A8" s="185" t="s">
        <v>376</v>
      </c>
      <c r="B8" s="186">
        <v>16000</v>
      </c>
      <c r="C8" s="187">
        <f t="shared" si="0"/>
        <v>0</v>
      </c>
      <c r="D8" s="187">
        <f t="shared" si="1"/>
        <v>16000</v>
      </c>
      <c r="E8" s="187"/>
    </row>
    <row r="9" spans="1:5">
      <c r="A9" s="185" t="s">
        <v>377</v>
      </c>
      <c r="B9" s="186">
        <v>28000</v>
      </c>
      <c r="C9" s="187">
        <f t="shared" si="0"/>
        <v>0</v>
      </c>
      <c r="D9" s="187">
        <f t="shared" si="1"/>
        <v>28000</v>
      </c>
      <c r="E9" s="187"/>
    </row>
    <row r="10" spans="1:5">
      <c r="A10" s="185" t="s">
        <v>378</v>
      </c>
      <c r="B10" s="186">
        <v>53000</v>
      </c>
      <c r="C10" s="187">
        <f t="shared" si="0"/>
        <v>0</v>
      </c>
      <c r="D10" s="187">
        <f t="shared" si="1"/>
        <v>53000</v>
      </c>
      <c r="E10" s="187"/>
    </row>
    <row r="11" spans="1:5">
      <c r="A11" s="185" t="s">
        <v>379</v>
      </c>
      <c r="B11" s="186">
        <v>840000</v>
      </c>
      <c r="C11" s="187"/>
      <c r="D11" s="187">
        <f t="shared" si="1"/>
        <v>840000</v>
      </c>
      <c r="E11" s="187"/>
    </row>
    <row r="12" spans="1:5">
      <c r="A12" s="185" t="s">
        <v>380</v>
      </c>
      <c r="B12" s="186">
        <v>113000</v>
      </c>
      <c r="C12" s="187">
        <f t="shared" si="0"/>
        <v>0</v>
      </c>
      <c r="D12" s="187">
        <f t="shared" si="1"/>
        <v>113000</v>
      </c>
      <c r="E12" s="187"/>
    </row>
    <row r="13" spans="1:5">
      <c r="A13" s="185" t="s">
        <v>381</v>
      </c>
      <c r="B13" s="186">
        <v>6000</v>
      </c>
      <c r="C13" s="187">
        <f t="shared" si="0"/>
        <v>0</v>
      </c>
      <c r="D13" s="187">
        <f t="shared" si="1"/>
        <v>6000</v>
      </c>
      <c r="E13" s="187"/>
    </row>
    <row r="14" spans="1:5">
      <c r="A14" s="185" t="s">
        <v>382</v>
      </c>
      <c r="B14" s="186">
        <v>26000</v>
      </c>
      <c r="C14" s="187">
        <f t="shared" si="0"/>
        <v>0</v>
      </c>
      <c r="D14" s="187">
        <f t="shared" si="1"/>
        <v>26000</v>
      </c>
      <c r="E14" s="187"/>
    </row>
    <row r="15" spans="1:5">
      <c r="A15" s="182" t="s">
        <v>383</v>
      </c>
      <c r="B15" s="186">
        <v>74000</v>
      </c>
      <c r="C15" s="187">
        <f t="shared" si="0"/>
        <v>0</v>
      </c>
      <c r="D15" s="187">
        <f t="shared" si="1"/>
        <v>74000</v>
      </c>
      <c r="E15" s="187"/>
    </row>
    <row r="16" spans="1:5">
      <c r="A16" s="185" t="s">
        <v>384</v>
      </c>
      <c r="B16" s="186">
        <v>163000</v>
      </c>
      <c r="C16" s="187">
        <f t="shared" si="0"/>
        <v>0</v>
      </c>
      <c r="D16" s="187">
        <f t="shared" si="1"/>
        <v>163000</v>
      </c>
      <c r="E16" s="187"/>
    </row>
    <row r="17" spans="1:5">
      <c r="A17" s="185" t="s">
        <v>385</v>
      </c>
      <c r="B17" s="186">
        <v>4000</v>
      </c>
      <c r="C17" s="187">
        <f t="shared" si="0"/>
        <v>0</v>
      </c>
      <c r="D17" s="187">
        <f t="shared" si="1"/>
        <v>4000</v>
      </c>
      <c r="E17" s="187"/>
    </row>
    <row r="18" spans="1:5">
      <c r="A18" s="185" t="s">
        <v>386</v>
      </c>
      <c r="B18" s="186">
        <v>20000</v>
      </c>
      <c r="C18" s="187">
        <f t="shared" si="0"/>
        <v>0</v>
      </c>
      <c r="D18" s="187">
        <f t="shared" si="1"/>
        <v>20000</v>
      </c>
      <c r="E18" s="187"/>
    </row>
    <row r="19" spans="1:5">
      <c r="A19" s="185" t="s">
        <v>387</v>
      </c>
      <c r="B19" s="186">
        <v>39000</v>
      </c>
      <c r="C19" s="187">
        <f t="shared" si="0"/>
        <v>0</v>
      </c>
      <c r="D19" s="187">
        <f t="shared" si="1"/>
        <v>39000</v>
      </c>
      <c r="E19" s="187"/>
    </row>
    <row r="20" spans="1:5">
      <c r="A20" s="188" t="s">
        <v>388</v>
      </c>
      <c r="B20" s="186">
        <v>238000</v>
      </c>
      <c r="C20" s="187">
        <f t="shared" si="0"/>
        <v>0</v>
      </c>
      <c r="D20" s="187">
        <f t="shared" si="1"/>
        <v>238000</v>
      </c>
      <c r="E20" s="187"/>
    </row>
    <row r="21" spans="1:5">
      <c r="A21" s="185" t="s">
        <v>389</v>
      </c>
      <c r="B21" s="186">
        <v>164000</v>
      </c>
      <c r="C21" s="187">
        <f t="shared" si="0"/>
        <v>0</v>
      </c>
      <c r="D21" s="187">
        <f t="shared" si="1"/>
        <v>164000</v>
      </c>
      <c r="E21" s="187"/>
    </row>
    <row r="22" spans="1:5">
      <c r="A22" s="188" t="s">
        <v>390</v>
      </c>
      <c r="B22" s="186">
        <v>5000</v>
      </c>
      <c r="C22" s="187">
        <f t="shared" si="0"/>
        <v>0</v>
      </c>
      <c r="D22" s="187">
        <f t="shared" si="1"/>
        <v>5000</v>
      </c>
      <c r="E22" s="187"/>
    </row>
    <row r="23" spans="1:5">
      <c r="A23" s="188" t="s">
        <v>391</v>
      </c>
      <c r="B23" s="186">
        <f>98000+94000</f>
        <v>192000</v>
      </c>
      <c r="C23" s="187">
        <f t="shared" si="0"/>
        <v>0</v>
      </c>
      <c r="D23" s="187">
        <f t="shared" si="1"/>
        <v>192000</v>
      </c>
      <c r="E23" s="187"/>
    </row>
    <row r="24" spans="1:5">
      <c r="A24" s="191" t="s">
        <v>398</v>
      </c>
      <c r="B24" s="192"/>
      <c r="C24" s="193"/>
      <c r="D24" s="193">
        <v>710000</v>
      </c>
      <c r="E24" s="187"/>
    </row>
    <row r="25" spans="1:5">
      <c r="A25" s="185" t="s">
        <v>392</v>
      </c>
      <c r="B25" s="186">
        <v>1275000</v>
      </c>
      <c r="C25" s="187">
        <f t="shared" si="0"/>
        <v>0</v>
      </c>
      <c r="D25" s="187">
        <f t="shared" si="1"/>
        <v>1275000</v>
      </c>
      <c r="E25" s="187"/>
    </row>
    <row r="26" spans="1:5">
      <c r="A26" s="185" t="s">
        <v>393</v>
      </c>
      <c r="B26" s="187"/>
      <c r="C26" s="187"/>
      <c r="D26" s="189">
        <f>14944000+710000-SUM(D4:D25)</f>
        <v>11573000</v>
      </c>
      <c r="E26" s="187"/>
    </row>
    <row r="27" spans="1:5">
      <c r="A27" s="190" t="s">
        <v>396</v>
      </c>
      <c r="D27" s="187">
        <f>SUM(D4:D26)</f>
        <v>15654000</v>
      </c>
    </row>
    <row r="29" spans="1:5">
      <c r="A29" s="182" t="s">
        <v>397</v>
      </c>
      <c r="D29" s="187">
        <f>D26</f>
        <v>11573000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Nonlevelized RUS 12</vt:lpstr>
      <vt:lpstr>Trans Revenue</vt:lpstr>
      <vt:lpstr>'Nonlevelized RUS 12'!Print_Area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Iverson</dc:creator>
  <cp:lastModifiedBy>Brent Dwyer</cp:lastModifiedBy>
  <cp:lastPrinted>2014-07-25T19:58:13Z</cp:lastPrinted>
  <dcterms:created xsi:type="dcterms:W3CDTF">2008-03-20T17:17:48Z</dcterms:created>
  <dcterms:modified xsi:type="dcterms:W3CDTF">2014-07-25T20:15:57Z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