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24226"/>
  <mc:AlternateContent xmlns:mc="http://schemas.openxmlformats.org/markup-compatibility/2006">
    <mc:Choice Requires="x15">
      <x15ac:absPath xmlns:x15ac="http://schemas.microsoft.com/office/spreadsheetml/2010/11/ac" url="G:\bdd\Trans Rate - Attachment O\2018 Budget\MISO Filings\FINAL\"/>
    </mc:Choice>
  </mc:AlternateContent>
  <bookViews>
    <workbookView xWindow="0" yWindow="0" windowWidth="24000" windowHeight="8535" tabRatio="417"/>
  </bookViews>
  <sheets>
    <sheet name="Att O_DPC" sheetId="1" r:id="rId1"/>
    <sheet name="True-up Interest Calc." sheetId="2" r:id="rId2"/>
  </sheets>
  <externalReferences>
    <externalReference r:id="rId3"/>
    <externalReference r:id="rId4"/>
  </externalReferences>
  <definedNames>
    <definedName name="CH_COS" localSheetId="1">#REF!</definedName>
    <definedName name="CH_COS">#REF!</definedName>
    <definedName name="CUSTAR" localSheetId="1">#REF!</definedName>
    <definedName name="CUSTAR">#REF!</definedName>
    <definedName name="CUYAHOGA_FALLS">#REF!</definedName>
    <definedName name="EDGERTON">#REF!</definedName>
    <definedName name="Ellwood_City">#REF!</definedName>
    <definedName name="ELMORE">#REF!</definedName>
    <definedName name="GALION">#REF!</definedName>
    <definedName name="GENOA">#REF!</definedName>
    <definedName name="GENOA_NORTH">#REF!</definedName>
    <definedName name="GENOA_SOUTH">#REF!</definedName>
    <definedName name="GRAFTON">#REF!</definedName>
    <definedName name="Grove_City">#REF!</definedName>
    <definedName name="HASKINS">#REF!</definedName>
    <definedName name="hourending">#REF!</definedName>
    <definedName name="HUBBARD">#REF!</definedName>
    <definedName name="LODI">#REF!</definedName>
    <definedName name="LUCAS">#REF!</definedName>
    <definedName name="MILAN">#REF!</definedName>
    <definedName name="MONROEVILLE">#REF!</definedName>
    <definedName name="NAPOLEON">#REF!</definedName>
    <definedName name="NEASG">#REF!</definedName>
    <definedName name="New_Wilmington">#REF!</definedName>
    <definedName name="NEWTON_FALLS">#REF!</definedName>
    <definedName name="NILES">#REF!</definedName>
    <definedName name="NSP_COS">#REF!</definedName>
    <definedName name="NWASG">#REF!</definedName>
    <definedName name="OAK_HARBOR">#REF!</definedName>
    <definedName name="OBERLIN">#REF!</definedName>
    <definedName name="PEMBERVILLE">#REF!</definedName>
    <definedName name="PIONEER">#REF!</definedName>
    <definedName name="_xlnm.Print_Area" localSheetId="0">'Att O_DPC'!$A$1:$L$340</definedName>
    <definedName name="_xlnm.Print_Area" localSheetId="1">#REF!</definedName>
    <definedName name="_xlnm.Print_Area">#REF!</definedName>
    <definedName name="Print1" localSheetId="1">#REF!</definedName>
    <definedName name="Print1">#REF!</definedName>
    <definedName name="Print3" localSheetId="1">#REF!</definedName>
    <definedName name="Print3">#REF!</definedName>
    <definedName name="Print4">#REF!</definedName>
    <definedName name="Print5">#REF!</definedName>
    <definedName name="ProjIDList">#REF!</definedName>
    <definedName name="PROSPECT">#REF!</definedName>
    <definedName name="PSCo_COS">#REF!</definedName>
    <definedName name="q_MTEP06_App_AB_Facility">#REF!</definedName>
    <definedName name="q_MTEP06_App_AB_Projects">#REF!</definedName>
    <definedName name="revreq">#REF!</definedName>
    <definedName name="SEVILLE">#REF!</definedName>
    <definedName name="SOUTH_VIENNA">#REF!</definedName>
    <definedName name="SPS_COS">#REF!</definedName>
    <definedName name="TOTAL_COLUMBIANA">#REF!</definedName>
    <definedName name="Total_Grove_City">#REF!</definedName>
    <definedName name="TOTAL_HUDSON">#REF!</definedName>
    <definedName name="TOTAL_MONTPELIER">#REF!</definedName>
    <definedName name="TOTAL_WOODVILLE">#REF!</definedName>
    <definedName name="WADSWORTH">#REF!</definedName>
    <definedName name="Xcel">'[1]Data Entry and Forecaster'!#REF!</definedName>
    <definedName name="Xcel_COS" localSheetId="1">#REF!</definedName>
    <definedName name="Xcel_COS">#REF!</definedName>
  </definedNames>
  <calcPr calcId="171027"/>
</workbook>
</file>

<file path=xl/calcChain.xml><?xml version="1.0" encoding="utf-8"?>
<calcChain xmlns="http://schemas.openxmlformats.org/spreadsheetml/2006/main">
  <c r="D89" i="1" l="1"/>
  <c r="D79" i="1"/>
  <c r="I258" i="1" l="1"/>
  <c r="D115" i="1" l="1"/>
  <c r="I114" i="1"/>
  <c r="D101" i="1"/>
  <c r="D129" i="1" s="1"/>
  <c r="I91" i="1"/>
  <c r="I81" i="1"/>
  <c r="I101" i="1" l="1"/>
  <c r="I129" i="1" s="1"/>
  <c r="G268" i="1" l="1"/>
  <c r="I268" i="1" s="1"/>
  <c r="E269" i="1"/>
  <c r="G255" i="1" l="1"/>
  <c r="G263" i="1"/>
  <c r="G254" i="1" l="1"/>
  <c r="G262" i="1" l="1"/>
  <c r="G267" i="1"/>
  <c r="I267" i="1" s="1"/>
  <c r="I269" i="1" s="1"/>
  <c r="D85" i="1"/>
  <c r="D14" i="1" l="1"/>
  <c r="E264" i="1" l="1"/>
  <c r="D162" i="1"/>
  <c r="I159" i="1"/>
  <c r="D100" i="1" l="1"/>
  <c r="D127" i="1" s="1"/>
  <c r="I90" i="1"/>
  <c r="I80" i="1"/>
  <c r="I26" i="1"/>
  <c r="I28" i="1" s="1"/>
  <c r="I22" i="1"/>
  <c r="C4" i="2" s="1"/>
  <c r="C5" i="2" l="1"/>
  <c r="C6" i="2" s="1"/>
  <c r="I100" i="1"/>
  <c r="I289" i="1"/>
  <c r="D15" i="1" s="1"/>
  <c r="I219" i="1"/>
  <c r="I222" i="1" s="1"/>
  <c r="I233" i="1" s="1"/>
  <c r="G237" i="1"/>
  <c r="G239" i="1"/>
  <c r="G240" i="1"/>
  <c r="D241" i="1"/>
  <c r="D247" i="1"/>
  <c r="G245" i="1" s="1"/>
  <c r="I228" i="1"/>
  <c r="D99" i="1"/>
  <c r="D102" i="1"/>
  <c r="D103" i="1"/>
  <c r="D98" i="1"/>
  <c r="I262" i="1"/>
  <c r="D256" i="1"/>
  <c r="E255" i="1" s="1"/>
  <c r="I255" i="1" s="1"/>
  <c r="I263" i="1"/>
  <c r="I42" i="1"/>
  <c r="I154" i="1"/>
  <c r="D176" i="1"/>
  <c r="D180" i="1" s="1"/>
  <c r="D184" i="1" s="1"/>
  <c r="D155" i="1"/>
  <c r="D120" i="1" s="1"/>
  <c r="D123" i="1" s="1"/>
  <c r="D104" i="1"/>
  <c r="D173" i="1"/>
  <c r="F171" i="1"/>
  <c r="F152" i="1"/>
  <c r="F111" i="1"/>
  <c r="F112" i="1" s="1"/>
  <c r="K295" i="1"/>
  <c r="D298" i="1"/>
  <c r="D296" i="1"/>
  <c r="D295" i="1"/>
  <c r="B295" i="1"/>
  <c r="I280" i="1"/>
  <c r="D213" i="1"/>
  <c r="D212" i="1"/>
  <c r="K212" i="1"/>
  <c r="B212" i="1"/>
  <c r="K138" i="1"/>
  <c r="D139" i="1"/>
  <c r="D138" i="1"/>
  <c r="B138" i="1"/>
  <c r="K69" i="1"/>
  <c r="D70" i="1"/>
  <c r="D69" i="1"/>
  <c r="B69" i="1"/>
  <c r="I54" i="1"/>
  <c r="I53" i="1"/>
  <c r="F89" i="1"/>
  <c r="F117" i="1" s="1"/>
  <c r="D215" i="1"/>
  <c r="D141" i="1"/>
  <c r="D72" i="1"/>
  <c r="F167" i="1"/>
  <c r="B161" i="1"/>
  <c r="B158" i="1"/>
  <c r="F150" i="1"/>
  <c r="F151" i="1" s="1"/>
  <c r="B94" i="1"/>
  <c r="B104" i="1" s="1"/>
  <c r="B93" i="1"/>
  <c r="B103" i="1" s="1"/>
  <c r="B92" i="1"/>
  <c r="B102" i="1" s="1"/>
  <c r="B89" i="1"/>
  <c r="B99" i="1" s="1"/>
  <c r="B88" i="1"/>
  <c r="B98" i="1" s="1"/>
  <c r="D95" i="1"/>
  <c r="F94" i="1"/>
  <c r="F93" i="1"/>
  <c r="G92" i="1"/>
  <c r="F92" i="1"/>
  <c r="G88" i="1"/>
  <c r="F88" i="1"/>
  <c r="F15" i="1"/>
  <c r="C10" i="2" l="1"/>
  <c r="I30" i="1" s="1"/>
  <c r="G14" i="1"/>
  <c r="G79" i="1"/>
  <c r="G89" i="1"/>
  <c r="I89" i="1" s="1"/>
  <c r="I230" i="1"/>
  <c r="I232" i="1" s="1"/>
  <c r="I264" i="1"/>
  <c r="E254" i="1"/>
  <c r="I254" i="1" s="1"/>
  <c r="I256" i="1" s="1"/>
  <c r="D105" i="1"/>
  <c r="D125" i="1" s="1"/>
  <c r="I224" i="1"/>
  <c r="E256" i="1"/>
  <c r="D188" i="1" l="1"/>
  <c r="I271" i="1"/>
  <c r="D191" i="1" s="1"/>
  <c r="I191" i="1" s="1"/>
  <c r="I273" i="1"/>
  <c r="D194" i="1" s="1"/>
  <c r="I194" i="1" s="1"/>
  <c r="I79" i="1"/>
  <c r="D177" i="1"/>
  <c r="I259" i="1"/>
  <c r="I234" i="1"/>
  <c r="G147" i="1" s="1"/>
  <c r="E238" i="1"/>
  <c r="G238" i="1" s="1"/>
  <c r="G241" i="1" s="1"/>
  <c r="I14" i="1"/>
  <c r="G117" i="1"/>
  <c r="I241" i="1" l="1"/>
  <c r="G83" i="1" s="1"/>
  <c r="I83" i="1" s="1"/>
  <c r="G17" i="1"/>
  <c r="I17" i="1" s="1"/>
  <c r="D183" i="1"/>
  <c r="D185" i="1" s="1"/>
  <c r="D196" i="1" s="1"/>
  <c r="G121" i="1"/>
  <c r="I121" i="1" s="1"/>
  <c r="I99" i="1"/>
  <c r="G15" i="1"/>
  <c r="I15" i="1" s="1"/>
  <c r="G16" i="1"/>
  <c r="I16" i="1" s="1"/>
  <c r="G152" i="1"/>
  <c r="I152" i="1" s="1"/>
  <c r="G148" i="1"/>
  <c r="I148" i="1" s="1"/>
  <c r="I147" i="1"/>
  <c r="G158" i="1"/>
  <c r="I158" i="1" s="1"/>
  <c r="I117" i="1"/>
  <c r="G151" i="1" l="1"/>
  <c r="I151" i="1" s="1"/>
  <c r="G149" i="1"/>
  <c r="I149" i="1" s="1"/>
  <c r="G150" i="1"/>
  <c r="I150" i="1" s="1"/>
  <c r="I245" i="1"/>
  <c r="G93" i="1"/>
  <c r="I93" i="1" s="1"/>
  <c r="I103" i="1" s="1"/>
  <c r="I18" i="1"/>
  <c r="G160" i="1" l="1"/>
  <c r="G166" i="1" s="1"/>
  <c r="G167" i="1" s="1"/>
  <c r="I167" i="1" s="1"/>
  <c r="K245" i="1"/>
  <c r="G153" i="1" l="1"/>
  <c r="G84" i="1"/>
  <c r="I84" i="1" s="1"/>
  <c r="I85" i="1" s="1"/>
  <c r="I160" i="1"/>
  <c r="G94" i="1"/>
  <c r="I94" i="1" s="1"/>
  <c r="I95" i="1" s="1"/>
  <c r="I166" i="1"/>
  <c r="G161" i="1"/>
  <c r="I161" i="1" s="1"/>
  <c r="I153" i="1"/>
  <c r="I155" i="1" s="1"/>
  <c r="G85" i="1" l="1"/>
  <c r="I162" i="1"/>
  <c r="I120" i="1"/>
  <c r="I104" i="1"/>
  <c r="I105" i="1" s="1"/>
  <c r="G105" i="1" s="1"/>
  <c r="G122" i="1" l="1"/>
  <c r="I122" i="1" s="1"/>
  <c r="I123" i="1" s="1"/>
  <c r="G169" i="1"/>
  <c r="G109" i="1"/>
  <c r="G184" i="1"/>
  <c r="I184" i="1" s="1"/>
  <c r="I113" i="1"/>
  <c r="I127" i="1" s="1"/>
  <c r="I169" i="1" l="1"/>
  <c r="G171" i="1"/>
  <c r="I109" i="1"/>
  <c r="G110" i="1"/>
  <c r="G172" i="1" l="1"/>
  <c r="I172" i="1" s="1"/>
  <c r="I171" i="1"/>
  <c r="G111" i="1"/>
  <c r="I110" i="1"/>
  <c r="I173" i="1" l="1"/>
  <c r="G112" i="1"/>
  <c r="I112" i="1" s="1"/>
  <c r="I111" i="1"/>
  <c r="I115" i="1" l="1"/>
  <c r="I125" i="1" l="1"/>
  <c r="I188" i="1" l="1"/>
  <c r="I183" i="1"/>
  <c r="I185" i="1" s="1"/>
  <c r="I196" i="1" l="1"/>
  <c r="D201" i="1" l="1"/>
  <c r="I201" i="1" l="1"/>
  <c r="I207" i="1" s="1"/>
  <c r="I11" i="1" s="1"/>
  <c r="I32" i="1" s="1"/>
  <c r="D44" i="1" s="1"/>
  <c r="D207" i="1"/>
  <c r="I48" i="1" l="1"/>
  <c r="D45" i="1"/>
  <c r="I49" i="1"/>
  <c r="I50" i="1"/>
  <c r="D50" i="1"/>
  <c r="D48" i="1"/>
  <c r="D49" i="1"/>
</calcChain>
</file>

<file path=xl/comments1.xml><?xml version="1.0" encoding="utf-8"?>
<comments xmlns="http://schemas.openxmlformats.org/spreadsheetml/2006/main">
  <authors>
    <author>Brent Dwyer</author>
  </authors>
  <commentList>
    <comment ref="I35" authorId="0" shapeId="0">
      <text>
        <r>
          <rPr>
            <b/>
            <sz val="9"/>
            <color indexed="81"/>
            <rFont val="Tahoma"/>
            <family val="2"/>
          </rPr>
          <t>Brent Dwyer:</t>
        </r>
        <r>
          <rPr>
            <sz val="9"/>
            <color indexed="81"/>
            <rFont val="Tahoma"/>
            <family val="2"/>
          </rPr>
          <t xml:space="preserve">
Reduced for NWEC</t>
        </r>
      </text>
    </comment>
  </commentList>
</comments>
</file>

<file path=xl/sharedStrings.xml><?xml version="1.0" encoding="utf-8"?>
<sst xmlns="http://schemas.openxmlformats.org/spreadsheetml/2006/main" count="507" uniqueCount="399">
  <si>
    <t xml:space="preserve">Formula Rate - Non-Levelized </t>
  </si>
  <si>
    <t xml:space="preserve">     Rate Formula Template</t>
  </si>
  <si>
    <t xml:space="preserve"> </t>
  </si>
  <si>
    <t xml:space="preserve"> Utilizing RUS Form 12 Data</t>
  </si>
  <si>
    <t>Line</t>
  </si>
  <si>
    <t>Allocated</t>
  </si>
  <si>
    <t>No.</t>
  </si>
  <si>
    <t>Amount</t>
  </si>
  <si>
    <t xml:space="preserve">REVENUE CREDITS </t>
  </si>
  <si>
    <t>Total</t>
  </si>
  <si>
    <t>Allocator</t>
  </si>
  <si>
    <t xml:space="preserve">  Account No. 454</t>
  </si>
  <si>
    <t>TP</t>
  </si>
  <si>
    <t xml:space="preserve">  Account No. 456</t>
  </si>
  <si>
    <t>Revenues from Grandfathered Interzonal Transactions</t>
  </si>
  <si>
    <t>Revenues from service provided by the ISO at a discount</t>
  </si>
  <si>
    <t>TOTAL REVENUE CREDITS  (sum lines 2-5)</t>
  </si>
  <si>
    <t>NET REVENUE REQUIREMENT</t>
  </si>
  <si>
    <t>DIVISOR</t>
  </si>
  <si>
    <t xml:space="preserve">  Average of 12 coincident system peaks for requirements (RQ) service       </t>
  </si>
  <si>
    <t>(Note A)</t>
  </si>
  <si>
    <t xml:space="preserve">  Plus 12 CP of firm bundled sales over one year not in line 8</t>
  </si>
  <si>
    <t>(Note B)</t>
  </si>
  <si>
    <t xml:space="preserve">  Plus 12 CP of Network Load not in line 8</t>
  </si>
  <si>
    <t>(Note C)</t>
  </si>
  <si>
    <t xml:space="preserve">  Less 12 CP of firm P-T-P over one year (enter negative)</t>
  </si>
  <si>
    <t>(Note D)</t>
  </si>
  <si>
    <t xml:space="preserve">  Plus Contract Demand of firm P-T-P over one year</t>
  </si>
  <si>
    <t>Divisor (sum lines 8-14)</t>
  </si>
  <si>
    <t>Annual Cost ($/kW/Yr)</t>
  </si>
  <si>
    <t>Peak Rate</t>
  </si>
  <si>
    <t>Off-Peak Rate</t>
  </si>
  <si>
    <t>Point-To-Point Rate ($/kW/Wk)</t>
  </si>
  <si>
    <t>Point-To-Point Rate ($/kW/Day)</t>
  </si>
  <si>
    <t xml:space="preserve"> Capped at weekly rate</t>
  </si>
  <si>
    <t>Point-To-Point Rate ($/MWh)</t>
  </si>
  <si>
    <t xml:space="preserve"> Capped at weekly</t>
  </si>
  <si>
    <t xml:space="preserve"> times 1,000)</t>
  </si>
  <si>
    <t xml:space="preserve"> and daily rates</t>
  </si>
  <si>
    <t xml:space="preserve"> Short Term</t>
  </si>
  <si>
    <t xml:space="preserve"> Long Term</t>
  </si>
  <si>
    <t>(1)</t>
  </si>
  <si>
    <t>(2)</t>
  </si>
  <si>
    <t>(3)</t>
  </si>
  <si>
    <t>(4)</t>
  </si>
  <si>
    <t>(5)</t>
  </si>
  <si>
    <t>RUS Form 12</t>
  </si>
  <si>
    <t>Transmission</t>
  </si>
  <si>
    <t>Reference</t>
  </si>
  <si>
    <t>Company Total</t>
  </si>
  <si>
    <t xml:space="preserve">                  Allocator</t>
  </si>
  <si>
    <t>(Col 3 times Col 4)</t>
  </si>
  <si>
    <t>RATE BASE:</t>
  </si>
  <si>
    <t xml:space="preserve">  Production</t>
  </si>
  <si>
    <t>12h.A.6.e</t>
  </si>
  <si>
    <t>NA</t>
  </si>
  <si>
    <t xml:space="preserve">  Transmission</t>
  </si>
  <si>
    <t xml:space="preserve">  Distribution</t>
  </si>
  <si>
    <t xml:space="preserve">  General &amp; Intangible</t>
  </si>
  <si>
    <t>W/S</t>
  </si>
  <si>
    <t xml:space="preserve">  Common</t>
  </si>
  <si>
    <t>CE</t>
  </si>
  <si>
    <t>GP=</t>
  </si>
  <si>
    <t>NET PLANT IN SERVICE</t>
  </si>
  <si>
    <t>NP=</t>
  </si>
  <si>
    <t xml:space="preserve">  Account No. 281 (enter negative) </t>
  </si>
  <si>
    <t>NP</t>
  </si>
  <si>
    <t xml:space="preserve">  Account No. 282 (enter negative)</t>
  </si>
  <si>
    <t xml:space="preserve">  Account No. 283 (enter negative)</t>
  </si>
  <si>
    <t xml:space="preserve">  Account No. 190</t>
  </si>
  <si>
    <t xml:space="preserve">  Account No. 255 (enter negative)</t>
  </si>
  <si>
    <t xml:space="preserve">LAND HELD FOR FUTURE USE </t>
  </si>
  <si>
    <t>calculated</t>
  </si>
  <si>
    <t xml:space="preserve">  Materials &amp; Supplies (Note G)</t>
  </si>
  <si>
    <t>TE</t>
  </si>
  <si>
    <t xml:space="preserve">  Prepayments</t>
  </si>
  <si>
    <t>GP</t>
  </si>
  <si>
    <t xml:space="preserve">  Transmission </t>
  </si>
  <si>
    <t xml:space="preserve">     Less Account 565</t>
  </si>
  <si>
    <t>12i.A.8.a</t>
  </si>
  <si>
    <t xml:space="preserve">  A&amp;G</t>
  </si>
  <si>
    <t xml:space="preserve">     Less FERC Annual Fees</t>
  </si>
  <si>
    <t xml:space="preserve">  Transmission Lease Payments</t>
  </si>
  <si>
    <t xml:space="preserve">  LABOR RELATED</t>
  </si>
  <si>
    <t xml:space="preserve">          Payroll</t>
  </si>
  <si>
    <t xml:space="preserve">          Highway and vehicle</t>
  </si>
  <si>
    <t xml:space="preserve">  PLANT RELATED</t>
  </si>
  <si>
    <t xml:space="preserve">         Property</t>
  </si>
  <si>
    <t xml:space="preserve">         Gross Receipts</t>
  </si>
  <si>
    <t xml:space="preserve">         Other</t>
  </si>
  <si>
    <t xml:space="preserve">         Payments in lieu of taxes</t>
  </si>
  <si>
    <t xml:space="preserve">INCOME TAXES          </t>
  </si>
  <si>
    <t>(Note K)</t>
  </si>
  <si>
    <t xml:space="preserve">     T=1 - {[(1 - SIT) * (1 - FIT)] / (1 - SIT * FIT * p)} =</t>
  </si>
  <si>
    <t xml:space="preserve">     CIT=(T/1-T) * (1-(WCLTD/R)) =</t>
  </si>
  <si>
    <t xml:space="preserve">       and FIT, SIT &amp; p are as given in footnote K.</t>
  </si>
  <si>
    <t xml:space="preserve">      1 / (1 - T)  = (from line 21)</t>
  </si>
  <si>
    <t>Income Tax Calculation = line 22 * line 28</t>
  </si>
  <si>
    <t>ITC adjustment (line 23 * line 24)</t>
  </si>
  <si>
    <t>Total Income Taxes</t>
  </si>
  <si>
    <t>(line 25 plus line 26)</t>
  </si>
  <si>
    <t xml:space="preserve">                SUPPORTING CALCULATIONS AND NOTES</t>
  </si>
  <si>
    <t xml:space="preserve">TRANSMISSION EXPENSES </t>
  </si>
  <si>
    <t>TE=</t>
  </si>
  <si>
    <t>TRANSMISSION PLANT INCLUDED IN ISO RATES</t>
  </si>
  <si>
    <t>TP=</t>
  </si>
  <si>
    <t>WAGES &amp; SALARY ALLOCATOR   (W&amp;S)</t>
  </si>
  <si>
    <t>$</t>
  </si>
  <si>
    <t>Allocation</t>
  </si>
  <si>
    <t>W&amp;S Allocator</t>
  </si>
  <si>
    <t xml:space="preserve">  Other</t>
  </si>
  <si>
    <t>($ / Allocation)</t>
  </si>
  <si>
    <t>=</t>
  </si>
  <si>
    <t>% Electric</t>
  </si>
  <si>
    <t>Labor Ratio</t>
  </si>
  <si>
    <t xml:space="preserve">  Electric</t>
  </si>
  <si>
    <t>(line 17 / line 20)</t>
  </si>
  <si>
    <t>(line 16)</t>
  </si>
  <si>
    <t xml:space="preserve">  Gas</t>
  </si>
  <si>
    <t>*</t>
  </si>
  <si>
    <t xml:space="preserve">  Water</t>
  </si>
  <si>
    <t>RETURN (R)</t>
  </si>
  <si>
    <t>Cost</t>
  </si>
  <si>
    <t>%</t>
  </si>
  <si>
    <t>(Note P)</t>
  </si>
  <si>
    <t>Weighted</t>
  </si>
  <si>
    <t>=WCLTD</t>
  </si>
  <si>
    <t>=R</t>
  </si>
  <si>
    <t>REVENUE CREDITS</t>
  </si>
  <si>
    <t>Load</t>
  </si>
  <si>
    <t xml:space="preserve">  a. Bundled Non-RQ Sales for Resale</t>
  </si>
  <si>
    <t>(Note Q)</t>
  </si>
  <si>
    <t xml:space="preserve">  Total of (a)-(b)</t>
  </si>
  <si>
    <t>ACCOUNT 456 (OTHER ELECTRIC REVENUES)</t>
  </si>
  <si>
    <t xml:space="preserve">  a. Transmission charges for all transmission transactions </t>
  </si>
  <si>
    <t>General Note:  References to pages in this formulary rate are indicated as:  (page#, line#, col.#)</t>
  </si>
  <si>
    <t>Note</t>
  </si>
  <si>
    <t>Letter</t>
  </si>
  <si>
    <t>A</t>
  </si>
  <si>
    <t>B</t>
  </si>
  <si>
    <t>C</t>
  </si>
  <si>
    <t>D</t>
  </si>
  <si>
    <t>E</t>
  </si>
  <si>
    <t>F</t>
  </si>
  <si>
    <t>G</t>
  </si>
  <si>
    <t>H</t>
  </si>
  <si>
    <t>I</t>
  </si>
  <si>
    <t>J</t>
  </si>
  <si>
    <t>K</t>
  </si>
  <si>
    <t>FIT =</t>
  </si>
  <si>
    <t>SIT=</t>
  </si>
  <si>
    <t xml:space="preserve">  (State Income Tax Rate or Composite SIT)</t>
  </si>
  <si>
    <t>p =</t>
  </si>
  <si>
    <t xml:space="preserve">  (percent of federal income tax deductible for state purposes)</t>
  </si>
  <si>
    <t>L</t>
  </si>
  <si>
    <t>M</t>
  </si>
  <si>
    <t>N</t>
  </si>
  <si>
    <t>O</t>
  </si>
  <si>
    <t>P</t>
  </si>
  <si>
    <t>Q</t>
  </si>
  <si>
    <t>R</t>
  </si>
  <si>
    <t>Includes income related only to transmission facilities, such as pole attachments, rentals and special use.</t>
  </si>
  <si>
    <t xml:space="preserve">  Less 12 CP or Contract Demands from service over one year provided by ISO at a discount (enter negative)</t>
  </si>
  <si>
    <t>WORKING CAPITAL (Note H)</t>
  </si>
  <si>
    <t xml:space="preserve">  CWC  </t>
  </si>
  <si>
    <t xml:space="preserve">  b. Bundled Sales for Resale included in Divisor on page 1 </t>
  </si>
  <si>
    <t xml:space="preserve">  b. Transmission charges for all transmission transactions included in Divisor on page 1</t>
  </si>
  <si>
    <t xml:space="preserve">  Total  (sum lines 12-15)</t>
  </si>
  <si>
    <t>(Note T)</t>
  </si>
  <si>
    <t>zero</t>
  </si>
  <si>
    <t>5a</t>
  </si>
  <si>
    <t>Transmission plant included in ISO rates  (line 1 less lines 2 &amp; 3)</t>
  </si>
  <si>
    <t>Transmission related only.</t>
  </si>
  <si>
    <t>Removes dollar amount of transmission expenses included in the OATT ancillary services rates, including all of Account No. 561.</t>
  </si>
  <si>
    <t>Enter dollar amounts</t>
  </si>
  <si>
    <t>S</t>
  </si>
  <si>
    <t>T</t>
  </si>
  <si>
    <t>TOTAL O&amp;M  (sum lines 1, 3, 5a, 6, 7 less lines 2, 4, 5)</t>
  </si>
  <si>
    <t>page 1 of 5</t>
  </si>
  <si>
    <t>page 2 of 5</t>
  </si>
  <si>
    <t>12h.A.16.e</t>
  </si>
  <si>
    <t>12h.B.1-4.f</t>
  </si>
  <si>
    <t>12h.B.6.f</t>
  </si>
  <si>
    <t>12h.B.5.c</t>
  </si>
  <si>
    <t>Amortized Investment Tax Credit (enter negative)</t>
  </si>
  <si>
    <t>U</t>
  </si>
  <si>
    <t>V</t>
  </si>
  <si>
    <t xml:space="preserve">REV. REQUIREMENT TO BE COLLECTED UNDER </t>
  </si>
  <si>
    <t>Proprietary Capital Cost Rate =</t>
  </si>
  <si>
    <t>TIER =</t>
  </si>
  <si>
    <t>page 3 of 5</t>
  </si>
  <si>
    <t>page 4 of 5</t>
  </si>
  <si>
    <t>page 5 of 5</t>
  </si>
  <si>
    <t>(Note E)</t>
  </si>
  <si>
    <t>References to data from RUS Form 12 are indicated as:   #.x.y.z  (page,section, line, column)</t>
  </si>
  <si>
    <t>To the extent the page references to RUS Form 12 are missing, the entity will include a "Notes" section in the RUS 12 to provide this data.</t>
  </si>
  <si>
    <t>(line 16 / 52; line 16 / 52)</t>
  </si>
  <si>
    <t>(line 7 / line 15)</t>
  </si>
  <si>
    <t>(line 1- line 7)</t>
  </si>
  <si>
    <t>(line 2- line 8)</t>
  </si>
  <si>
    <t>(line 3 - line 9)</t>
  </si>
  <si>
    <t>(line 4 - line 10)</t>
  </si>
  <si>
    <t>(line 5 - line 11)</t>
  </si>
  <si>
    <t xml:space="preserve">     Less EPRI &amp; Reg. Comm. Exp. &amp; Non-safety Ad.  (Note I)</t>
  </si>
  <si>
    <t>TAXES OTHER THAN INCOME TAXES  (Note J)</t>
  </si>
  <si>
    <t>Attachment GG]</t>
  </si>
  <si>
    <t>[Revenue requirement for facilities included on page 2, line 2, and also included in</t>
  </si>
  <si>
    <t>Less transmission plant excluded from ISO rates  (Note M)</t>
  </si>
  <si>
    <t>Total transmission plant  (page 2, line 2, column 3)</t>
  </si>
  <si>
    <t>Total transmission expenses  (page 3, line 1, column 3)</t>
  </si>
  <si>
    <t>Less transmission expenses included in OATT Ancillary Services  (Note L)</t>
  </si>
  <si>
    <t>Included transmission expenses  (line 6 less line 7)</t>
  </si>
  <si>
    <t>Percentage of transmission expenses after adjustment  (line 8 divided by line 6)</t>
  </si>
  <si>
    <t>Percentage of transmission plant included in ISO Rates  (line 5)</t>
  </si>
  <si>
    <t>Percentage of transmission expenses included in ISO Rates  (line 9 times line 10)</t>
  </si>
  <si>
    <t>COMMON PLANT ALLOCATOR  (CE)  (Note O)</t>
  </si>
  <si>
    <t xml:space="preserve">  Total  (sum lines 17-19)</t>
  </si>
  <si>
    <t>Total  (sum lines 22-23)</t>
  </si>
  <si>
    <t>ACCOUNT 447  (SALES FOR RESALE)</t>
  </si>
  <si>
    <t>ACCOUNT 454 (RENT FROM ELECTRIC PROPERTY)  (Note R)</t>
  </si>
  <si>
    <t>FERC Annual Charge ($/MWh)</t>
  </si>
  <si>
    <t>Network &amp; P-to-P Rate ($/kW/Mo)  (line 16 / 12)</t>
  </si>
  <si>
    <t xml:space="preserve">  Less Contract Demand from Grandfathered Interzonal transactions over one year (enter negative)  (Note S)</t>
  </si>
  <si>
    <t>TOTAL GROSS PLANT  (sum lines 1-5)</t>
  </si>
  <si>
    <t>TOTAL ACCUM. DEPRECIATION  (sum lines 7-11)</t>
  </si>
  <si>
    <t>TOTAL NET PLANT  (sum lines 13-17)</t>
  </si>
  <si>
    <t>TOTAL WORKING CAPITAL  (sum lines 26 - 28)</t>
  </si>
  <si>
    <t xml:space="preserve">     Plus Transmission Related Reg. Comm. Exp.  (Note I)</t>
  </si>
  <si>
    <t>TOTAL DEPRECIATION  (sum lines 9 - 11)</t>
  </si>
  <si>
    <t>TOTAL OTHER TAXES  (sum lines 13 - 19)</t>
  </si>
  <si>
    <t>Less transmission plant included in OATT Ancillary Services  (Note N )</t>
  </si>
  <si>
    <t>Percentage of transmission plant included in ISO Rates  (line 4 divided by line 1)</t>
  </si>
  <si>
    <t>Inputs Required:</t>
  </si>
  <si>
    <t>Line 5 - EPRI Annual Membership Dues, all Regulatory Commission Expenses, and non-safety related advertising.  Line 5a - Regulatory Commission Expenses directly related to transmission service, ISO filings, or transmission siting.</t>
  </si>
  <si>
    <t>Includes only FICA, unemployment, highway, property, gross receipts, and other assessments charged in the current year.  Taxes related to income are excluded.  Gross receipts taxes are not included in transmission revenue requirement in the Rate Formula Template, since they are recovered elsewhere.</t>
  </si>
  <si>
    <t>Removes transmission plant determined by Commission order to be state-jurisdictional according to the seven-factor test (until RUS 12 balances are adjusted to reflect application of seven-factor test).</t>
  </si>
  <si>
    <t>Line 29 must equal zero since all short-term power sales must be unbundled and the transmission component reflected in Account No. 456 and all other uses are to be included in the divisor.</t>
  </si>
  <si>
    <t>GROSS REVENUE REQUIREMENT  (page 3, line 31)</t>
  </si>
  <si>
    <t>(line 16 / 260; line 16 / 365)</t>
  </si>
  <si>
    <t>(line 16 / 4,160; line 16 / 8,760</t>
  </si>
  <si>
    <t>LESS ATTACHMENT GG ADJUSTMENT [Attachment GG, page 2, line 3,</t>
  </si>
  <si>
    <t>column 10]  (Note U)</t>
  </si>
  <si>
    <t xml:space="preserve">The utility's maximum monthly megawatt load (60-minute integration) for RQ service at time of applicable pricing zone coincident monthly peaks. RQ service is service which the supplier plans to provide on an on-going basis (i.e., the supplier includes projected load for this service in its system resource planning). </t>
  </si>
  <si>
    <t>Includes LF, IF, LU, IU service.  LF means "firm service" (cannot be interrupted for economic reasons and is intended to remain reliable even under adverse conditions), and long-term (duration of at least five years); does not meet definition of RQ service.  IF is "firm service" for a term longer than one but less than five years.  LU is service from a designated generating unit, of a term no less than five years.  LI is service from a designated generating unit for a term between one and five years.  Measured at time of applicable pricing zone coincident monthly peaks.</t>
  </si>
  <si>
    <t xml:space="preserve"> LF as defined above at time of applicable pricing zone coincident monthly peaks.</t>
  </si>
  <si>
    <t>30a</t>
  </si>
  <si>
    <t>LESS ATTACHMENT MM ADJUSTMENT [Attachment MM, page 2, line 3,</t>
  </si>
  <si>
    <t>Attachment MM]</t>
  </si>
  <si>
    <t>ATTACHMENT O (line 29 - line 30 - line 30a)</t>
  </si>
  <si>
    <t xml:space="preserve">  Total of (a)-(b)-(c)-(d)</t>
  </si>
  <si>
    <t>W</t>
  </si>
  <si>
    <t>X</t>
  </si>
  <si>
    <t>12h.A.1&amp;18.e</t>
  </si>
  <si>
    <t>O&amp;M  (Note Z)</t>
  </si>
  <si>
    <t>12a.A.8.b + A.17.b</t>
  </si>
  <si>
    <t>12a.A.14.b + A.20.b</t>
  </si>
  <si>
    <t>DEPRECIATION AND AMORTIZATION EXPENSE  (Note Y)</t>
  </si>
  <si>
    <t>12h.B.7.c &amp; 12h.B.12.c</t>
  </si>
  <si>
    <t xml:space="preserve">              Long Term Interest  12a.A.24.b</t>
  </si>
  <si>
    <t>12a.B.39</t>
  </si>
  <si>
    <t>12a.B.46 + B.47 + B.52 + B.53 + B.54</t>
  </si>
  <si>
    <t>Cash Working Capital assigned to transmission is one-eighth of O&amp;M allocated to transmission at page 3, line 8, column 5.  Prepayments are the electric related prepayments booked to Account No. 165 and reported on Section B, line 25 in the RUS 12.</t>
  </si>
  <si>
    <t>Y</t>
  </si>
  <si>
    <t>Plant in Service, Accumulated Depreciation, and Depreciation Expense amounts exclude Asset Retirement Obligation amounts unless authorized by FERC.</t>
  </si>
  <si>
    <t>Schedule 10-FERC charges should not be included in O&amp;M recovered under this Attachment O.</t>
  </si>
  <si>
    <t>Z</t>
  </si>
  <si>
    <t xml:space="preserve">       where WCLTD = (page 4, line 22) and R= (page 4, line 24)</t>
  </si>
  <si>
    <t>= WS</t>
  </si>
  <si>
    <t>The FERC's annual charges for the year assessed the Transmission Owner for service under this tariff, if any.</t>
  </si>
  <si>
    <t>Grandfathered agreements whose rates have been changed to eliminate or mitigate pancaking - the revenues are included in line 4, page 1 and the loads are included in line 13, page 1.  Grandfathered agreements whose rates have not been changed to eliminate or mitigate pancaking - the revenues are not included in line 4, page 1 nor are the loads included in line 13, page 1.</t>
  </si>
  <si>
    <t>The revenues credited on page 1, lines 2-5 shall include only the amounts received directly (in the case of grandfathered agreements) or from the ISO (for service under this tariff) reflecting the Transmission Owner's integrated transmission facilities.  They do not include revenues associated with FERC annual charges, gross receipts taxes, ancillary services, facilities not included in this template (e.g., direct assignment facilities and GSUs) which are not recovered under this Rate Formula Template.</t>
  </si>
  <si>
    <t>12h.B.7.f &amp; 12h.B.12.f</t>
  </si>
  <si>
    <t>column 14]  (Note W)</t>
  </si>
  <si>
    <t xml:space="preserve">  c. Transmission charges from Schedules associated with Attachment GG (Note V)</t>
  </si>
  <si>
    <t xml:space="preserve">  d. Transmission charges from Schedules associated with Attachment MM (Note X)</t>
  </si>
  <si>
    <t>The currently effective income tax rate,  where FIT is the Federal income tax rate; SIT is the State income tax rate, and p =  "the percentage of federal income tax deductible for state income taxes".  If the utility is taxed in more than one state it must attach a work paper showing the name of each state and how the blended or composite SIT was developed.  Furthermore, a utility that elected to utilize amortization of tax credits against taxable income, rather than book tax credits to Account No. 255 and reduce rate base, must reduce its income tax expense by the amount of the Amortized Investment Tax Credit multiplied by (1/1-T) (page 3, line 26).</t>
  </si>
  <si>
    <t>Removes dollar amount of transmission plant included in the development of OATT ancillary services rates and generation step-up facilities, which are deemed included in OATT ancillary services.  For these purposes, generation step-up facilities are those facilities at a generator substation on which there is no through-flow when the generator is shut down.</t>
  </si>
  <si>
    <t>6a</t>
  </si>
  <si>
    <t>6b</t>
  </si>
  <si>
    <t>6c</t>
  </si>
  <si>
    <t>6d</t>
  </si>
  <si>
    <t>6e</t>
  </si>
  <si>
    <t>6f</t>
  </si>
  <si>
    <t>6g</t>
  </si>
  <si>
    <t>6h</t>
  </si>
  <si>
    <t>6i</t>
  </si>
  <si>
    <t>Historic Year Actual ATRR</t>
  </si>
  <si>
    <t>Historic Year Projected ATRR</t>
  </si>
  <si>
    <t>Historic Year ATRR True-Up</t>
  </si>
  <si>
    <t>(line 6a - line 6b)</t>
  </si>
  <si>
    <t>Historic Year Actual Divisor</t>
  </si>
  <si>
    <t>Historic Year Projected Divisor</t>
  </si>
  <si>
    <t>Difference in Divisor</t>
  </si>
  <si>
    <t>(line 6e - line 6d)</t>
  </si>
  <si>
    <t>Historic Year Projected Annual Cost ($/kW/Yr)</t>
  </si>
  <si>
    <t>Historic Year Divisor True-Up</t>
  </si>
  <si>
    <t>(line 6f  *  line 6g)</t>
  </si>
  <si>
    <t>Interest on Historic Year True-Up</t>
  </si>
  <si>
    <t>Dairyland Power Cooperative</t>
  </si>
  <si>
    <t>2a</t>
  </si>
  <si>
    <t>8a</t>
  </si>
  <si>
    <t>14a</t>
  </si>
  <si>
    <t xml:space="preserve">  Transmission projects with FERC approved incentives (Note AA)</t>
  </si>
  <si>
    <t>AA</t>
  </si>
  <si>
    <t>BB</t>
  </si>
  <si>
    <t>CC</t>
  </si>
  <si>
    <t>Calculated using 13 month average balance.</t>
  </si>
  <si>
    <t>23a</t>
  </si>
  <si>
    <t xml:space="preserve">  Unamortized balance of Abandoned Plant (Note BB)</t>
  </si>
  <si>
    <t>DD</t>
  </si>
  <si>
    <t>EE</t>
  </si>
  <si>
    <t>9a</t>
  </si>
  <si>
    <t>(Note BB)</t>
  </si>
  <si>
    <t>28a</t>
  </si>
  <si>
    <t>RETURN</t>
  </si>
  <si>
    <t>Total  (sum lines 27-28)</t>
  </si>
  <si>
    <t>FF</t>
  </si>
  <si>
    <t>Includes the transmission gross plant in-service (line 2a, page 2 of 5), accumulated depreciation (line 8a, page 2 of 5) and net transmission plant in-service (line 14a, page 2 of 5) for the Hampton-Rochester-La Crosse (HRL) project granted a hypothetical capital structure of 65% debt and 35% equity by FERC in Docket EL13-19.</t>
  </si>
  <si>
    <t>Attachment O - DPC</t>
  </si>
  <si>
    <t>(page 4, line 33)</t>
  </si>
  <si>
    <t>(page 4, line 36)</t>
  </si>
  <si>
    <t>(line 1 minus line 6 + line 6c + line 6h + line 6i)</t>
  </si>
  <si>
    <t>GROSS PLANT IN SERVICE  (Note Y, Note CC)</t>
  </si>
  <si>
    <t>ACCUMULATED DEPRECIATION  (Note Y, Note CC)</t>
  </si>
  <si>
    <t>ADJUSTMENTS TO RATE BASE  (Note F, Note CC)</t>
  </si>
  <si>
    <t>(Note G, Note CC)</t>
  </si>
  <si>
    <t>12h.G.4.d + 5.d. (Note CC)</t>
  </si>
  <si>
    <t>12a.B.25  (Note CC)</t>
  </si>
  <si>
    <t xml:space="preserve">  Long Term Debt (Note CC)</t>
  </si>
  <si>
    <t xml:space="preserve">  Proprietary Capital  (Note CC)</t>
  </si>
  <si>
    <t>35a</t>
  </si>
  <si>
    <t>35b</t>
  </si>
  <si>
    <t xml:space="preserve">  Transmission projects with FERC approved incentives (line 2a - line 8a) (Note AA)</t>
  </si>
  <si>
    <t>DA</t>
  </si>
  <si>
    <t xml:space="preserve">  Long Term Debt (Cost of Long-Term Debt from page 4, line 22 above)</t>
  </si>
  <si>
    <t xml:space="preserve">  Proprietary Capital (From page 4, line 25 above)</t>
  </si>
  <si>
    <t>GG</t>
  </si>
  <si>
    <t>29a</t>
  </si>
  <si>
    <t>29b</t>
  </si>
  <si>
    <t>29c</t>
  </si>
  <si>
    <t>29d</t>
  </si>
  <si>
    <t>Total  (sum lines 29a + 29b)</t>
  </si>
  <si>
    <t>The balances in Accounts 190, 281, 282 and 283, as adjusted by any amounts in contra accounts identified as regulatory assets or liabilities related to FASB 106 or 109.  Balance of Account 255 is reduced by prior flow throughs and excluded if the utility chose to utilize amortization of tax credits against taxable income as discussed in Note K.  Account 281 is not allocated.</t>
  </si>
  <si>
    <t xml:space="preserve">  Abandoned Plant Amortization</t>
  </si>
  <si>
    <t>2b</t>
  </si>
  <si>
    <t xml:space="preserve">  Transmission projects with FERC approved incentives (Note HH)</t>
  </si>
  <si>
    <t>8b</t>
  </si>
  <si>
    <t>14b</t>
  </si>
  <si>
    <t xml:space="preserve">  Unamortized balance of Abandoned Plant (Note II)</t>
  </si>
  <si>
    <t>30b</t>
  </si>
  <si>
    <t>28b</t>
  </si>
  <si>
    <t>RETURN from HCSR2</t>
  </si>
  <si>
    <t>HH</t>
  </si>
  <si>
    <t>II</t>
  </si>
  <si>
    <t>HYPOTHETICAL CAPITAL STRUCTURE RETURN 2 (HCSR2)  (Note GG)</t>
  </si>
  <si>
    <t>=HCSR2</t>
  </si>
  <si>
    <t>=HCSR1</t>
  </si>
  <si>
    <t>Page 2, line 23b includes any unamortized balances related to the recovery of abandoned plant costs for Badger Coulee approved by FERC.  Page 3, line 9a is the annual amortization expense of abandoned plant costs approved by FERC.</t>
  </si>
  <si>
    <t>23b</t>
  </si>
  <si>
    <t xml:space="preserve">  Transmission projects with FERC approved incentives (line 2b - line 8b) (Note HH)</t>
  </si>
  <si>
    <t>Annual Allocation Factor for Incentive Return HCSR2 (line 29c minus line 24)</t>
  </si>
  <si>
    <t>29e</t>
  </si>
  <si>
    <t>Annual Allocation Factor for Incentive Return HCSR1 (line 29 minus line 24)</t>
  </si>
  <si>
    <t xml:space="preserve">  [Rate Base (page 2, line 30b) * Rate of Return (page 4, line 29e)]</t>
  </si>
  <si>
    <t>RATE BASE earning HCSR2 (sum lines 14b and 23b, if applicable) (Note II)</t>
  </si>
  <si>
    <t>12h.A.11.e less lines 2a &amp; 2b below (Note DD)</t>
  </si>
  <si>
    <t>12h.B.5.f less lines 8a &amp; 8b below (Note EE)</t>
  </si>
  <si>
    <t>TOTAL ADJUSTMENTS  (sum lines 19 - 23b)</t>
  </si>
  <si>
    <t>RATE BASE  (sum lines 18, 24, 25, and 29 less lines 14a, 14b, 23a and 23b)</t>
  </si>
  <si>
    <t>RATE BASE earning HCSR1 (sum lines 14a and 23a, if applicable) (Note BB)</t>
  </si>
  <si>
    <t xml:space="preserve">  [Rate Base (page 2, line 30 + 30a + 30b) * Rate of Return (page 4, line 24)]</t>
  </si>
  <si>
    <t>RETURN from HCSR1</t>
  </si>
  <si>
    <t xml:space="preserve">  [Rate Base (page 2, line 30a) * Rate of Return (page 4, line 29d)]</t>
  </si>
  <si>
    <t>REV. REQUIREMENT  (sum lines 8, 12, 20, 27, 28, 28a, 28b)</t>
  </si>
  <si>
    <t>HYPOTHETICAL CAPITAL STRUCTURE RETURN 1 (HCSR1)  (Note FF)</t>
  </si>
  <si>
    <t>Page 2, line 23a includes any unamortized balances related to the recovery of abandoned plant costs for HRL approved by FERC .  Page 3, line 9a is the annual amortization expense of abandoned plant costs approved by FERC.</t>
  </si>
  <si>
    <t>The balance reported in the RUS Form 12 at 12h.A.11.e includes all of DPC's transmission assets.  Therefore, any projects granted the use of the hypothetical capital structure (reported on page 2 of 5, line 2a and line 2b) should be excluded.</t>
  </si>
  <si>
    <t>The balance reported in the RUS Form 12 at 12h.B.5.f includes all of DPC's transmission accumulated depreciation.  Therefore, any projects granted the use of the hypothetical capital structure (reported on page 2 of 5, line 8a and line 8b) should be excluded.</t>
  </si>
  <si>
    <t>The Hypothetical Capital Structure Return 1 (HCSR1) calculation is only applicable to the HRL project which FERC granted a hypothetical capital structure of 65% long term debt and 35% proprietary capital for the years 2016 to 2046 in Docket EL13-19.  DPC utilize the overall cost of debt, as reported on page 4 of 5, line 22, in the calculation of the WCLTD reported on line 27.</t>
  </si>
  <si>
    <t>PENDING IN ER17-215</t>
  </si>
  <si>
    <t xml:space="preserve">ROE Determination </t>
  </si>
  <si>
    <t>ROE per EL14-12, Effective 9-28-2016</t>
  </si>
  <si>
    <t>RTO Adder per ER17-529, Effective February 1, 2017</t>
  </si>
  <si>
    <r>
      <t>Pursuant to Attachment MM of the M</t>
    </r>
    <r>
      <rPr>
        <sz val="12"/>
        <rFont val="Times New Roman"/>
        <family val="1"/>
      </rPr>
      <t>ISO Tariff, removes dollar amount of revenue requirements calculated pursuant to Attachment MM.</t>
    </r>
  </si>
  <si>
    <r>
      <t>Pursuant to Attachment GG of the M</t>
    </r>
    <r>
      <rPr>
        <sz val="12"/>
        <rFont val="Times New Roman"/>
        <family val="1"/>
      </rPr>
      <t>ISO Tariff, removes dollar amount of revenue requirements calculated pursuant to Attachment GG.</t>
    </r>
  </si>
  <si>
    <t>Removes from revenue credits revenues that are distributed pursuant to Schedules associated with Attachment GG of the MISO Tariff, since the Transmission Owner's Attachment O revenue requirements have already been reduced by the Attachment GG revenue requirements.</t>
  </si>
  <si>
    <t>Removes from revenue credits revenues that are distributed pursuant to Schedules associated with Attachment MM of the MISO Tariff, since the Transmission Owner's Attachment O revenue requirements have already been reduced by the Attachment MM revenue requirements.</t>
  </si>
  <si>
    <t>Includes the transmission gross plant in-service (line 2b, page 2 of 5), accumulated depreciation (line 8b, page 2 of 5) and net transmission plant in-service (line 14b, page 2 of 5) for the Badger Coulee project granted a hypothetical capital structure of 60% debt and 40% equity by FERC in Docket ER15-1689.</t>
  </si>
  <si>
    <t>The Hypothetical Capital Structure Return 2 (HCSR2) calculation is only applicable to the Badger Coulee project which FERC granted a hypothetical capital structure of 60% long term debt and 40% proprietary capital for the years 2020 to 2054 in Docket ER15-1689.  DPC utilize the overall cost of debt, as reported on page 4 of 5, line 22, in the calculation of the WCLTD reported on line 29a.</t>
  </si>
  <si>
    <t>Debt cost rate = long-term interest (line 21) / long term debt (line 22).  The Proprietary Capital Cost rate is implicit, a residual calculation after TIER is determined.  TIER will be supported in the filing and no change in TIER may be made absent a filing with the ISO and the FERC, if the entity is under FERC's jurisdiction.  A 50 basis point adder for RTO participation may be added to the ROE up to the upper end of the zone of reasonableness established by FERC for a Transmission Owner that has turned over functional control of its Transmission Facilites to MISO or provides service over Non-transferred Transmission Facilities through the MISO Tariff with MISO acting as agent, subject to the following criteria.  Dairyland Power Cooperative affirms that it commits to providing refunds (with interest at the FERC refund interest rates) consistent with any refund effective date established in any proceedings resulting in a new base ROE or new zone of reasonableness for the MISO transmission owners' base ROE, to the extent that the ROE zone of reasonableness established in any such proceedings, when applied as of the refund effective date established in such proceedings, would result in a lower revenue requirement than that charged.  The obligation to provide refunds resulting from such a proceeding shall apply only from the effective date the 50 basis point adder moving forward and shall not extend to refunds prior to that date.</t>
  </si>
  <si>
    <t>For the 12 months ended 12/31/18</t>
  </si>
  <si>
    <t>True-up Interest Calculation</t>
  </si>
  <si>
    <t>ATRR true-up</t>
  </si>
  <si>
    <t>Page 1 Line 6c attachement O</t>
  </si>
  <si>
    <t>Divisor true-up</t>
  </si>
  <si>
    <t>Page 1 Line 6h attachement O</t>
  </si>
  <si>
    <t>(to attachment O page 1, line 6i)</t>
  </si>
  <si>
    <t>Monthly Rate</t>
  </si>
  <si>
    <t>Interest on Historic year true-up (24 months)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</si>
</sst>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0000"/>
    <numFmt numFmtId="166" formatCode="0.00000"/>
    <numFmt numFmtId="167" formatCode="#,##0.000"/>
    <numFmt numFmtId="168" formatCode="0.0000"/>
    <numFmt numFmtId="169" formatCode="&quot;$&quot;#,##0"/>
    <numFmt numFmtId="170" formatCode="&quot;$&quot;#,##0.000"/>
    <numFmt numFmtId="171" formatCode="&quot;$&quot;#,##0.00"/>
    <numFmt numFmtId="172" formatCode="#,##0.0"/>
    <numFmt numFmtId="173" formatCode="#,##0.0000"/>
    <numFmt numFmtId="174" formatCode="_(* #,##0_);_(* \(#,##0\);_(* &quot;-&quot;??_);_(@_)"/>
    <numFmt numFmtId="175" formatCode="0.0000%"/>
  </numFmts>
  <fonts count="41">
    <font>
      <sz val="12"/>
      <name val="Arial MT"/>
    </font>
    <font>
      <sz val="11"/>
      <color theme="1"/>
      <name val="Calibri"/>
      <family val="2"/>
      <scheme val="minor"/>
    </font>
    <font>
      <sz val="12"/>
      <name val="Times New Roman"/>
      <family val="1"/>
    </font>
    <font>
      <b/>
      <sz val="12"/>
      <name val="Times New Roman"/>
      <family val="1"/>
    </font>
    <font>
      <sz val="12"/>
      <color indexed="10"/>
      <name val="Times New Roman"/>
      <family val="1"/>
    </font>
    <font>
      <sz val="10"/>
      <name val="Arial"/>
      <family val="2"/>
    </font>
    <font>
      <sz val="12"/>
      <color rgb="FFFF0000"/>
      <name val="Times New Roman"/>
      <family val="1"/>
    </font>
    <font>
      <sz val="8"/>
      <name val="Arial"/>
      <family val="2"/>
    </font>
    <font>
      <b/>
      <sz val="14"/>
      <name val="Arial"/>
      <family val="2"/>
    </font>
    <font>
      <b/>
      <i/>
      <sz val="14"/>
      <name val="Arial"/>
      <family val="2"/>
    </font>
    <font>
      <b/>
      <sz val="12"/>
      <name val="Arial"/>
      <family val="2"/>
    </font>
    <font>
      <b/>
      <sz val="11"/>
      <name val="Arial"/>
      <family val="2"/>
    </font>
    <font>
      <b/>
      <sz val="24"/>
      <name val="Arial Narrow"/>
      <family val="2"/>
    </font>
    <font>
      <b/>
      <i/>
      <sz val="12"/>
      <name val="Arial"/>
      <family val="2"/>
    </font>
    <font>
      <i/>
      <sz val="12"/>
      <name val="Arial"/>
      <family val="2"/>
    </font>
    <font>
      <sz val="12"/>
      <name val="Arial"/>
      <family val="2"/>
    </font>
    <font>
      <sz val="9"/>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sz val="10"/>
      <name val="MS Sans Serif"/>
      <family val="2"/>
    </font>
    <font>
      <b/>
      <sz val="14"/>
      <name val="Book Antiqua"/>
      <family val="1"/>
    </font>
    <font>
      <i/>
      <sz val="10"/>
      <name val="Book Antiqua"/>
      <family val="1"/>
    </font>
    <font>
      <sz val="10"/>
      <name val="Arial Narrow"/>
      <family val="2"/>
    </font>
    <font>
      <b/>
      <sz val="10"/>
      <name val="MS Sans Serif"/>
      <family val="2"/>
    </font>
    <font>
      <sz val="8"/>
      <color indexed="38"/>
      <name val="Arial"/>
      <family val="2"/>
    </font>
    <font>
      <b/>
      <sz val="9"/>
      <name val="Arial"/>
      <family val="2"/>
    </font>
    <font>
      <b/>
      <sz val="10"/>
      <name val="Arial"/>
      <family val="2"/>
    </font>
    <font>
      <b/>
      <i/>
      <sz val="16"/>
      <name val="Arial"/>
      <family val="2"/>
    </font>
    <font>
      <b/>
      <sz val="12"/>
      <color indexed="32"/>
      <name val="Arial"/>
      <family val="2"/>
    </font>
    <font>
      <i/>
      <sz val="11"/>
      <name val="Arial"/>
      <family val="2"/>
    </font>
    <font>
      <sz val="11"/>
      <name val="Arial"/>
      <family val="2"/>
    </font>
    <font>
      <sz val="12"/>
      <color rgb="FF0070C0"/>
      <name val="Times New Roman"/>
      <family val="1"/>
    </font>
    <font>
      <sz val="12"/>
      <color theme="1"/>
      <name val="Times New Roman"/>
      <family val="1"/>
    </font>
    <font>
      <sz val="12"/>
      <name val="Arial MT"/>
    </font>
    <font>
      <b/>
      <sz val="12"/>
      <name val="Arial MT"/>
    </font>
    <font>
      <sz val="9"/>
      <color indexed="81"/>
      <name val="Tahoma"/>
      <family val="2"/>
    </font>
    <font>
      <b/>
      <sz val="9"/>
      <color indexed="81"/>
      <name val="Tahoma"/>
      <family val="2"/>
    </font>
  </fonts>
  <fills count="7">
    <fill>
      <patternFill patternType="none"/>
    </fill>
    <fill>
      <patternFill patternType="gray125"/>
    </fill>
    <fill>
      <patternFill patternType="solid">
        <fgColor indexed="43"/>
        <bgColor indexed="64"/>
      </patternFill>
    </fill>
    <fill>
      <patternFill patternType="mediumGray">
        <fgColor indexed="22"/>
      </patternFill>
    </fill>
    <fill>
      <patternFill patternType="solid">
        <fgColor indexed="22"/>
        <bgColor indexed="64"/>
      </patternFill>
    </fill>
    <fill>
      <patternFill patternType="solid">
        <fgColor rgb="FFF9F9A7"/>
        <bgColor indexed="64"/>
      </patternFill>
    </fill>
    <fill>
      <patternFill patternType="solid">
        <fgColor rgb="FFFFFF00"/>
        <bgColor indexed="64"/>
      </patternFill>
    </fill>
  </fills>
  <borders count="15">
    <border>
      <left/>
      <right/>
      <top/>
      <bottom/>
      <diagonal/>
    </border>
    <border>
      <left/>
      <right/>
      <top/>
      <bottom style="medium">
        <color indexed="64"/>
      </bottom>
      <diagonal/>
    </border>
    <border>
      <left/>
      <right/>
      <top/>
      <bottom style="double">
        <color indexed="64"/>
      </bottom>
      <diagonal/>
    </border>
    <border>
      <left/>
      <right/>
      <top/>
      <bottom style="thin">
        <color indexed="64"/>
      </bottom>
      <diagonal/>
    </border>
    <border>
      <left/>
      <right/>
      <top style="thin">
        <color indexed="64"/>
      </top>
      <bottom/>
      <diagonal/>
    </border>
    <border>
      <left/>
      <right/>
      <top style="thin">
        <color indexed="64"/>
      </top>
      <bottom style="double">
        <color indexed="64"/>
      </bottom>
      <diagonal/>
    </border>
    <border>
      <left/>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88">
    <xf numFmtId="171" fontId="0" fillId="0" borderId="0" applyProtection="0"/>
    <xf numFmtId="0" fontId="5" fillId="0" borderId="0"/>
    <xf numFmtId="171" fontId="7" fillId="0" borderId="0" applyFill="0"/>
    <xf numFmtId="171" fontId="7" fillId="0" borderId="0">
      <alignment horizontal="center"/>
    </xf>
    <xf numFmtId="0" fontId="7" fillId="0" borderId="0" applyFill="0">
      <alignment horizontal="center"/>
    </xf>
    <xf numFmtId="171" fontId="8" fillId="0" borderId="6" applyFill="0"/>
    <xf numFmtId="0" fontId="5" fillId="0" borderId="0" applyFont="0" applyAlignment="0"/>
    <xf numFmtId="0" fontId="9" fillId="0" borderId="0" applyFill="0">
      <alignment vertical="top"/>
    </xf>
    <xf numFmtId="0" fontId="8" fillId="0" borderId="0" applyFill="0">
      <alignment horizontal="left" vertical="top"/>
    </xf>
    <xf numFmtId="171" fontId="10" fillId="0" borderId="4" applyFill="0"/>
    <xf numFmtId="0" fontId="5" fillId="0" borderId="0" applyNumberFormat="0" applyFont="0" applyAlignment="0"/>
    <xf numFmtId="0" fontId="9" fillId="0" borderId="0" applyFill="0">
      <alignment wrapText="1"/>
    </xf>
    <xf numFmtId="0" fontId="8" fillId="0" borderId="0" applyFill="0">
      <alignment horizontal="left" vertical="top" wrapText="1"/>
    </xf>
    <xf numFmtId="171" fontId="11" fillId="0" borderId="0" applyFill="0"/>
    <xf numFmtId="0" fontId="12" fillId="0" borderId="0" applyNumberFormat="0" applyFont="0" applyAlignment="0">
      <alignment horizontal="center"/>
    </xf>
    <xf numFmtId="0" fontId="13" fillId="0" borderId="0" applyFill="0">
      <alignment vertical="top" wrapText="1"/>
    </xf>
    <xf numFmtId="0" fontId="10" fillId="0" borderId="0" applyFill="0">
      <alignment horizontal="left" vertical="top" wrapText="1"/>
    </xf>
    <xf numFmtId="171" fontId="5" fillId="0" borderId="0" applyFill="0"/>
    <xf numFmtId="0" fontId="12" fillId="0" borderId="0" applyNumberFormat="0" applyFont="0" applyAlignment="0">
      <alignment horizontal="center"/>
    </xf>
    <xf numFmtId="0" fontId="14" fillId="0" borderId="0" applyFill="0">
      <alignment vertical="center" wrapText="1"/>
    </xf>
    <xf numFmtId="0" fontId="15" fillId="0" borderId="0">
      <alignment horizontal="left" vertical="center" wrapText="1"/>
    </xf>
    <xf numFmtId="171" fontId="16" fillId="0" borderId="0" applyFill="0"/>
    <xf numFmtId="0" fontId="12" fillId="0" borderId="0" applyNumberFormat="0" applyFont="0" applyAlignment="0">
      <alignment horizontal="center"/>
    </xf>
    <xf numFmtId="0" fontId="17" fillId="0" borderId="0" applyFill="0">
      <alignment horizontal="center" vertical="center" wrapText="1"/>
    </xf>
    <xf numFmtId="0" fontId="5" fillId="0" borderId="0" applyFill="0">
      <alignment horizontal="center" vertical="center" wrapText="1"/>
    </xf>
    <xf numFmtId="171" fontId="18" fillId="0" borderId="0" applyFill="0"/>
    <xf numFmtId="0" fontId="12" fillId="0" borderId="0" applyNumberFormat="0" applyFont="0" applyAlignment="0">
      <alignment horizontal="center"/>
    </xf>
    <xf numFmtId="0" fontId="19" fillId="0" borderId="0" applyFill="0">
      <alignment horizontal="center" vertical="center" wrapText="1"/>
    </xf>
    <xf numFmtId="0" fontId="20" fillId="0" borderId="0" applyFill="0">
      <alignment horizontal="center" vertical="center" wrapText="1"/>
    </xf>
    <xf numFmtId="171" fontId="21" fillId="0" borderId="0" applyFill="0"/>
    <xf numFmtId="0" fontId="12" fillId="0" borderId="0" applyNumberFormat="0" applyFont="0" applyAlignment="0">
      <alignment horizontal="center"/>
    </xf>
    <xf numFmtId="0" fontId="22" fillId="0" borderId="0">
      <alignment horizontal="center" wrapText="1"/>
    </xf>
    <xf numFmtId="0" fontId="18" fillId="0" borderId="0" applyFill="0">
      <alignment horizontal="center" wrapText="1"/>
    </xf>
    <xf numFmtId="43" fontId="23" fillId="0" borderId="0" applyFont="0" applyFill="0" applyBorder="0" applyAlignment="0" applyProtection="0"/>
    <xf numFmtId="43" fontId="5" fillId="0" borderId="0" applyFont="0" applyFill="0" applyBorder="0" applyAlignment="0" applyProtection="0"/>
    <xf numFmtId="3" fontId="5" fillId="0" borderId="0" applyFont="0" applyFill="0" applyBorder="0" applyAlignment="0" applyProtection="0"/>
    <xf numFmtId="5" fontId="5" fillId="0" borderId="0" applyFont="0" applyFill="0" applyBorder="0" applyAlignment="0" applyProtection="0"/>
    <xf numFmtId="14" fontId="5" fillId="0" borderId="0" applyFont="0" applyFill="0" applyBorder="0" applyAlignment="0" applyProtection="0"/>
    <xf numFmtId="2" fontId="5" fillId="0" borderId="0" applyFont="0" applyFill="0" applyBorder="0" applyAlignment="0" applyProtection="0"/>
    <xf numFmtId="0" fontId="24" fillId="0" borderId="1"/>
    <xf numFmtId="0" fontId="25" fillId="0" borderId="0"/>
    <xf numFmtId="0" fontId="26" fillId="0" borderId="0">
      <alignment vertical="top"/>
    </xf>
    <xf numFmtId="0" fontId="23" fillId="0" borderId="0" applyNumberFormat="0" applyFont="0" applyFill="0" applyBorder="0" applyAlignment="0" applyProtection="0">
      <alignment horizontal="left"/>
    </xf>
    <xf numFmtId="15" fontId="23" fillId="0" borderId="0" applyFont="0" applyFill="0" applyBorder="0" applyAlignment="0" applyProtection="0"/>
    <xf numFmtId="4" fontId="23" fillId="0" borderId="0" applyFont="0" applyFill="0" applyBorder="0" applyAlignment="0" applyProtection="0"/>
    <xf numFmtId="3" fontId="5" fillId="0" borderId="0">
      <alignment horizontal="left" vertical="top"/>
    </xf>
    <xf numFmtId="0" fontId="27" fillId="0" borderId="1">
      <alignment horizontal="center"/>
    </xf>
    <xf numFmtId="3" fontId="23" fillId="0" borderId="0" applyFont="0" applyFill="0" applyBorder="0" applyAlignment="0" applyProtection="0"/>
    <xf numFmtId="0" fontId="23" fillId="3" borderId="0" applyNumberFormat="0" applyFont="0" applyBorder="0" applyAlignment="0" applyProtection="0"/>
    <xf numFmtId="3" fontId="5" fillId="0" borderId="0">
      <alignment horizontal="right" vertical="top"/>
    </xf>
    <xf numFmtId="41" fontId="15" fillId="4" borderId="7" applyFill="0"/>
    <xf numFmtId="0" fontId="28" fillId="0" borderId="0">
      <alignment horizontal="left" indent="7"/>
    </xf>
    <xf numFmtId="41" fontId="15" fillId="0" borderId="7" applyFill="0">
      <alignment horizontal="left" indent="2"/>
    </xf>
    <xf numFmtId="171" fontId="29" fillId="0" borderId="3" applyFill="0">
      <alignment horizontal="right"/>
    </xf>
    <xf numFmtId="0" fontId="30" fillId="0" borderId="8" applyNumberFormat="0" applyFont="0" applyBorder="0">
      <alignment horizontal="right"/>
    </xf>
    <xf numFmtId="0" fontId="31" fillId="0" borderId="0" applyFill="0"/>
    <xf numFmtId="0" fontId="10" fillId="0" borderId="0" applyFill="0"/>
    <xf numFmtId="4" fontId="29" fillId="0" borderId="3" applyFill="0"/>
    <xf numFmtId="0" fontId="5" fillId="0" borderId="0" applyNumberFormat="0" applyFont="0" applyBorder="0" applyAlignment="0"/>
    <xf numFmtId="0" fontId="13" fillId="0" borderId="0" applyFill="0">
      <alignment horizontal="left" indent="1"/>
    </xf>
    <xf numFmtId="0" fontId="32" fillId="0" borderId="0" applyFill="0">
      <alignment horizontal="left" indent="1"/>
    </xf>
    <xf numFmtId="4" fontId="16" fillId="0" borderId="0" applyFill="0"/>
    <xf numFmtId="0" fontId="5" fillId="0" borderId="0" applyNumberFormat="0" applyFont="0" applyFill="0" applyBorder="0" applyAlignment="0"/>
    <xf numFmtId="0" fontId="13" fillId="0" borderId="0" applyFill="0">
      <alignment horizontal="left" indent="2"/>
    </xf>
    <xf numFmtId="0" fontId="10" fillId="0" borderId="0" applyFill="0">
      <alignment horizontal="left" indent="2"/>
    </xf>
    <xf numFmtId="4" fontId="16" fillId="0" borderId="0" applyFill="0"/>
    <xf numFmtId="0" fontId="5" fillId="0" borderId="0" applyNumberFormat="0" applyFont="0" applyBorder="0" applyAlignment="0"/>
    <xf numFmtId="0" fontId="33" fillId="0" borderId="0">
      <alignment horizontal="left" indent="3"/>
    </xf>
    <xf numFmtId="0" fontId="34" fillId="0" borderId="0" applyFill="0">
      <alignment horizontal="left" indent="3"/>
    </xf>
    <xf numFmtId="4" fontId="16" fillId="0" borderId="0" applyFill="0"/>
    <xf numFmtId="0" fontId="5" fillId="0" borderId="0" applyNumberFormat="0" applyFont="0" applyBorder="0" applyAlignment="0"/>
    <xf numFmtId="0" fontId="17" fillId="0" borderId="0">
      <alignment horizontal="left" indent="4"/>
    </xf>
    <xf numFmtId="0" fontId="5" fillId="0" borderId="0" applyFill="0">
      <alignment horizontal="left" indent="4"/>
    </xf>
    <xf numFmtId="4" fontId="18" fillId="0" borderId="0" applyFill="0"/>
    <xf numFmtId="0" fontId="5" fillId="0" borderId="0" applyNumberFormat="0" applyFont="0" applyBorder="0" applyAlignment="0"/>
    <xf numFmtId="0" fontId="19" fillId="0" borderId="0">
      <alignment horizontal="left" indent="5"/>
    </xf>
    <xf numFmtId="0" fontId="20" fillId="0" borderId="0" applyFill="0">
      <alignment horizontal="left" indent="5"/>
    </xf>
    <xf numFmtId="4" fontId="21" fillId="0" borderId="0" applyFill="0"/>
    <xf numFmtId="0" fontId="5" fillId="0" borderId="0" applyNumberFormat="0" applyFont="0" applyFill="0" applyBorder="0" applyAlignment="0"/>
    <xf numFmtId="0" fontId="22" fillId="0" borderId="0" applyFill="0">
      <alignment horizontal="left" indent="6"/>
    </xf>
    <xf numFmtId="0" fontId="18" fillId="0" borderId="0" applyFill="0">
      <alignment horizontal="left" indent="6"/>
    </xf>
    <xf numFmtId="9" fontId="5" fillId="0" borderId="0" applyFont="0" applyFill="0" applyBorder="0" applyAlignment="0" applyProtection="0"/>
    <xf numFmtId="0" fontId="1" fillId="0" borderId="0"/>
    <xf numFmtId="43" fontId="5" fillId="0" borderId="0" applyFont="0" applyFill="0" applyBorder="0" applyAlignment="0" applyProtection="0"/>
    <xf numFmtId="9" fontId="1" fillId="0" borderId="0" applyFont="0" applyFill="0" applyBorder="0" applyAlignment="0" applyProtection="0"/>
    <xf numFmtId="44" fontId="5" fillId="0" borderId="0" applyFont="0" applyFill="0" applyBorder="0" applyAlignment="0" applyProtection="0"/>
    <xf numFmtId="43" fontId="37" fillId="0" borderId="0" applyFont="0" applyFill="0" applyBorder="0" applyAlignment="0" applyProtection="0"/>
    <xf numFmtId="9" fontId="37" fillId="0" borderId="0" applyFont="0" applyFill="0" applyBorder="0" applyAlignment="0" applyProtection="0"/>
  </cellStyleXfs>
  <cellXfs count="190">
    <xf numFmtId="171" fontId="0" fillId="0" borderId="0" xfId="0" applyAlignment="1"/>
    <xf numFmtId="0" fontId="2" fillId="2" borderId="0" xfId="0" applyNumberFormat="1" applyFont="1" applyFill="1" applyProtection="1">
      <protection locked="0"/>
    </xf>
    <xf numFmtId="170" fontId="2" fillId="2" borderId="0" xfId="0" applyNumberFormat="1" applyFont="1" applyFill="1" applyProtection="1">
      <protection locked="0"/>
    </xf>
    <xf numFmtId="169" fontId="2" fillId="0" borderId="0" xfId="0" applyNumberFormat="1" applyFont="1" applyFill="1" applyBorder="1" applyProtection="1"/>
    <xf numFmtId="3" fontId="2" fillId="0" borderId="0" xfId="0" applyNumberFormat="1" applyFont="1" applyAlignment="1" applyProtection="1"/>
    <xf numFmtId="3" fontId="2" fillId="0" borderId="0" xfId="0" applyNumberFormat="1" applyFont="1" applyFill="1" applyAlignment="1" applyProtection="1"/>
    <xf numFmtId="0" fontId="2" fillId="2" borderId="0" xfId="0" applyNumberFormat="1" applyFont="1" applyFill="1" applyAlignment="1" applyProtection="1">
      <alignment horizontal="right"/>
      <protection locked="0"/>
    </xf>
    <xf numFmtId="10" fontId="2" fillId="0" borderId="0" xfId="0" applyNumberFormat="1" applyFont="1" applyFill="1" applyAlignment="1" applyProtection="1">
      <alignment vertical="top" wrapText="1"/>
      <protection locked="0"/>
    </xf>
    <xf numFmtId="171" fontId="2" fillId="0" borderId="0" xfId="0" applyFont="1" applyAlignment="1" applyProtection="1"/>
    <xf numFmtId="171" fontId="2" fillId="0" borderId="0" xfId="0" applyFont="1" applyAlignment="1" applyProtection="1">
      <alignment horizontal="right"/>
    </xf>
    <xf numFmtId="0" fontId="2" fillId="0" borderId="0" xfId="0" applyNumberFormat="1" applyFont="1" applyAlignment="1" applyProtection="1"/>
    <xf numFmtId="0" fontId="2" fillId="0" borderId="0" xfId="0" applyNumberFormat="1" applyFont="1" applyAlignment="1" applyProtection="1">
      <alignment horizontal="left"/>
    </xf>
    <xf numFmtId="3" fontId="2" fillId="0" borderId="0" xfId="0" applyNumberFormat="1" applyFont="1" applyProtection="1"/>
    <xf numFmtId="3" fontId="15" fillId="0" borderId="5" xfId="0" applyNumberFormat="1" applyFont="1" applyFill="1" applyBorder="1" applyAlignment="1" applyProtection="1"/>
    <xf numFmtId="166" fontId="2" fillId="0" borderId="0" xfId="0" applyNumberFormat="1" applyFont="1" applyAlignment="1" applyProtection="1"/>
    <xf numFmtId="3" fontId="2" fillId="0" borderId="1" xfId="0" applyNumberFormat="1" applyFont="1" applyBorder="1" applyAlignment="1" applyProtection="1"/>
    <xf numFmtId="42" fontId="2" fillId="0" borderId="2" xfId="0" applyNumberFormat="1" applyFont="1" applyFill="1" applyBorder="1" applyAlignment="1" applyProtection="1">
      <alignment horizontal="right"/>
    </xf>
    <xf numFmtId="167" fontId="2" fillId="0" borderId="0" xfId="0" applyNumberFormat="1" applyFont="1" applyProtection="1"/>
    <xf numFmtId="171" fontId="2" fillId="0" borderId="0" xfId="0" applyFont="1" applyAlignment="1" applyProtection="1">
      <alignment horizontal="center"/>
    </xf>
    <xf numFmtId="170" fontId="2" fillId="0" borderId="0" xfId="0" applyNumberFormat="1" applyFont="1" applyAlignment="1" applyProtection="1"/>
    <xf numFmtId="170" fontId="2" fillId="0" borderId="0" xfId="0" applyNumberFormat="1" applyFont="1" applyProtection="1"/>
    <xf numFmtId="0" fontId="2" fillId="0" borderId="0" xfId="0" applyNumberFormat="1" applyFont="1" applyAlignment="1" applyProtection="1">
      <alignment horizontal="right"/>
    </xf>
    <xf numFmtId="165" fontId="2" fillId="0" borderId="0" xfId="0" applyNumberFormat="1" applyFont="1" applyAlignment="1" applyProtection="1"/>
    <xf numFmtId="165" fontId="2" fillId="0" borderId="0" xfId="0" applyNumberFormat="1" applyFont="1" applyFill="1" applyAlignment="1" applyProtection="1"/>
    <xf numFmtId="164" fontId="2" fillId="0" borderId="0" xfId="0" applyNumberFormat="1" applyFont="1" applyAlignment="1" applyProtection="1">
      <alignment horizontal="center"/>
    </xf>
    <xf numFmtId="3" fontId="2" fillId="2" borderId="0" xfId="0" applyNumberFormat="1" applyFont="1" applyFill="1" applyAlignment="1" applyProtection="1"/>
    <xf numFmtId="165" fontId="2" fillId="0" borderId="0" xfId="0" applyNumberFormat="1" applyFont="1" applyAlignment="1" applyProtection="1">
      <alignment horizontal="right"/>
    </xf>
    <xf numFmtId="3" fontId="2" fillId="0" borderId="0" xfId="0" applyNumberFormat="1" applyFont="1" applyBorder="1" applyAlignment="1" applyProtection="1"/>
    <xf numFmtId="3" fontId="2" fillId="0" borderId="1" xfId="0" applyNumberFormat="1" applyFont="1" applyFill="1" applyBorder="1" applyAlignment="1" applyProtection="1"/>
    <xf numFmtId="3" fontId="2" fillId="0" borderId="2" xfId="0" applyNumberFormat="1" applyFont="1" applyBorder="1" applyAlignment="1" applyProtection="1"/>
    <xf numFmtId="3" fontId="2" fillId="0" borderId="5" xfId="0" applyNumberFormat="1" applyFont="1" applyBorder="1" applyAlignment="1" applyProtection="1"/>
    <xf numFmtId="3" fontId="2" fillId="0" borderId="0" xfId="0" applyNumberFormat="1" applyFont="1" applyAlignment="1" applyProtection="1">
      <alignment horizontal="right"/>
    </xf>
    <xf numFmtId="10" fontId="2" fillId="0" borderId="0" xfId="0" applyNumberFormat="1" applyFont="1" applyFill="1" applyAlignment="1" applyProtection="1">
      <alignment horizontal="right"/>
    </xf>
    <xf numFmtId="168" fontId="2" fillId="0" borderId="0" xfId="0" applyNumberFormat="1" applyFont="1" applyFill="1" applyAlignment="1" applyProtection="1">
      <alignment horizontal="right"/>
    </xf>
    <xf numFmtId="3" fontId="2" fillId="0" borderId="0" xfId="0" applyNumberFormat="1" applyFont="1" applyFill="1" applyAlignment="1" applyProtection="1">
      <alignment horizontal="right"/>
    </xf>
    <xf numFmtId="3" fontId="2" fillId="0" borderId="0" xfId="0" applyNumberFormat="1" applyFont="1" applyFill="1" applyBorder="1" applyAlignment="1" applyProtection="1"/>
    <xf numFmtId="3" fontId="2" fillId="0" borderId="2" xfId="0" applyNumberFormat="1" applyFont="1" applyFill="1" applyBorder="1" applyAlignment="1" applyProtection="1"/>
    <xf numFmtId="165" fontId="2" fillId="0" borderId="0" xfId="0" applyNumberFormat="1" applyFont="1" applyFill="1" applyProtection="1"/>
    <xf numFmtId="166" fontId="2" fillId="0" borderId="0" xfId="0" applyNumberFormat="1" applyFont="1" applyFill="1" applyProtection="1"/>
    <xf numFmtId="4" fontId="2" fillId="0" borderId="0" xfId="0" applyNumberFormat="1" applyFont="1" applyAlignment="1" applyProtection="1"/>
    <xf numFmtId="9" fontId="2" fillId="0" borderId="0" xfId="0" applyNumberFormat="1" applyFont="1" applyAlignment="1" applyProtection="1"/>
    <xf numFmtId="168" fontId="2" fillId="0" borderId="0" xfId="0" applyNumberFormat="1" applyFont="1" applyAlignment="1" applyProtection="1"/>
    <xf numFmtId="168" fontId="2" fillId="0" borderId="0" xfId="0" applyNumberFormat="1" applyFont="1" applyFill="1" applyAlignment="1" applyProtection="1"/>
    <xf numFmtId="9" fontId="2" fillId="0" borderId="1" xfId="0" applyNumberFormat="1" applyFont="1" applyBorder="1" applyAlignment="1" applyProtection="1"/>
    <xf numFmtId="168" fontId="2" fillId="0" borderId="1" xfId="0" applyNumberFormat="1" applyFont="1" applyBorder="1" applyAlignment="1" applyProtection="1"/>
    <xf numFmtId="10" fontId="6" fillId="2" borderId="0" xfId="0" applyNumberFormat="1" applyFont="1" applyFill="1" applyAlignment="1" applyProtection="1"/>
    <xf numFmtId="10" fontId="2" fillId="0" borderId="0" xfId="81" applyNumberFormat="1" applyFont="1" applyAlignment="1" applyProtection="1"/>
    <xf numFmtId="171" fontId="2" fillId="0" borderId="0" xfId="0" applyNumberFormat="1" applyFont="1" applyAlignment="1" applyProtection="1"/>
    <xf numFmtId="169" fontId="2" fillId="0" borderId="0" xfId="0" applyNumberFormat="1" applyFont="1" applyAlignment="1" applyProtection="1">
      <alignment horizontal="right"/>
    </xf>
    <xf numFmtId="171" fontId="2" fillId="2" borderId="0" xfId="0" applyFont="1" applyFill="1" applyAlignment="1" applyProtection="1">
      <protection locked="0"/>
    </xf>
    <xf numFmtId="3" fontId="2" fillId="2" borderId="1" xfId="0" applyNumberFormat="1" applyFont="1" applyFill="1" applyBorder="1" applyProtection="1">
      <protection locked="0"/>
    </xf>
    <xf numFmtId="3" fontId="2" fillId="2" borderId="0" xfId="0" applyNumberFormat="1" applyFont="1" applyFill="1" applyBorder="1" applyProtection="1">
      <protection locked="0"/>
    </xf>
    <xf numFmtId="3" fontId="2" fillId="2" borderId="0" xfId="0" applyNumberFormat="1" applyFont="1" applyFill="1" applyProtection="1">
      <protection locked="0"/>
    </xf>
    <xf numFmtId="0" fontId="15" fillId="2" borderId="1" xfId="1" applyFont="1" applyFill="1" applyBorder="1" applyAlignment="1" applyProtection="1">
      <protection locked="0"/>
    </xf>
    <xf numFmtId="3" fontId="2" fillId="2" borderId="1" xfId="0" applyNumberFormat="1" applyFont="1" applyFill="1" applyBorder="1" applyAlignment="1" applyProtection="1">
      <protection locked="0"/>
    </xf>
    <xf numFmtId="3" fontId="2" fillId="2" borderId="0" xfId="0" applyNumberFormat="1" applyFont="1" applyFill="1" applyBorder="1" applyAlignment="1" applyProtection="1">
      <protection locked="0"/>
    </xf>
    <xf numFmtId="3" fontId="15" fillId="2" borderId="1" xfId="0" applyNumberFormat="1" applyFont="1" applyFill="1" applyBorder="1" applyAlignment="1" applyProtection="1">
      <protection locked="0"/>
    </xf>
    <xf numFmtId="3" fontId="2" fillId="5" borderId="1" xfId="0" applyNumberFormat="1" applyFont="1" applyFill="1" applyBorder="1" applyAlignment="1" applyProtection="1">
      <protection locked="0"/>
    </xf>
    <xf numFmtId="3" fontId="2" fillId="2" borderId="0" xfId="0" applyNumberFormat="1" applyFont="1" applyFill="1" applyAlignment="1" applyProtection="1">
      <protection locked="0"/>
    </xf>
    <xf numFmtId="3" fontId="15" fillId="2" borderId="0" xfId="0" applyNumberFormat="1" applyFont="1" applyFill="1" applyAlignment="1" applyProtection="1">
      <protection locked="0"/>
    </xf>
    <xf numFmtId="3" fontId="2" fillId="5" borderId="0" xfId="0" applyNumberFormat="1" applyFont="1" applyFill="1" applyBorder="1" applyAlignment="1" applyProtection="1">
      <protection locked="0"/>
    </xf>
    <xf numFmtId="169" fontId="2" fillId="2" borderId="0" xfId="0" applyNumberFormat="1" applyFont="1" applyFill="1" applyAlignment="1" applyProtection="1">
      <protection locked="0"/>
    </xf>
    <xf numFmtId="10" fontId="35" fillId="6" borderId="12" xfId="81" applyNumberFormat="1" applyFont="1" applyFill="1" applyBorder="1" applyAlignment="1" applyProtection="1">
      <protection locked="0"/>
    </xf>
    <xf numFmtId="169" fontId="2" fillId="2" borderId="0" xfId="0" applyNumberFormat="1" applyFont="1" applyFill="1" applyBorder="1" applyProtection="1">
      <protection locked="0"/>
    </xf>
    <xf numFmtId="169" fontId="2" fillId="2" borderId="1" xfId="0" applyNumberFormat="1" applyFont="1" applyFill="1" applyBorder="1" applyProtection="1">
      <protection locked="0"/>
    </xf>
    <xf numFmtId="171" fontId="2" fillId="0" borderId="0" xfId="0" applyFont="1" applyAlignment="1" applyProtection="1">
      <protection locked="0"/>
    </xf>
    <xf numFmtId="171" fontId="2" fillId="0" borderId="0" xfId="0" applyFont="1" applyAlignment="1" applyProtection="1">
      <alignment horizontal="right"/>
      <protection locked="0"/>
    </xf>
    <xf numFmtId="171" fontId="6" fillId="0" borderId="0" xfId="0" applyFont="1" applyAlignment="1" applyProtection="1">
      <protection locked="0"/>
    </xf>
    <xf numFmtId="0" fontId="2" fillId="0" borderId="0" xfId="0" applyNumberFormat="1" applyFont="1" applyAlignment="1" applyProtection="1">
      <protection locked="0"/>
    </xf>
    <xf numFmtId="0" fontId="2" fillId="0" borderId="0" xfId="0" applyNumberFormat="1" applyFont="1" applyAlignment="1" applyProtection="1">
      <alignment horizontal="left"/>
      <protection locked="0"/>
    </xf>
    <xf numFmtId="0" fontId="2" fillId="0" borderId="0" xfId="0" applyNumberFormat="1" applyFont="1" applyProtection="1">
      <protection locked="0"/>
    </xf>
    <xf numFmtId="3" fontId="2" fillId="0" borderId="0" xfId="0" applyNumberFormat="1" applyFont="1" applyAlignment="1" applyProtection="1">
      <protection locked="0"/>
    </xf>
    <xf numFmtId="49" fontId="2" fillId="0" borderId="0" xfId="0" applyNumberFormat="1" applyFont="1" applyFill="1" applyProtection="1">
      <protection locked="0"/>
    </xf>
    <xf numFmtId="0" fontId="6" fillId="0" borderId="0" xfId="0" applyNumberFormat="1" applyFont="1" applyProtection="1">
      <protection locked="0"/>
    </xf>
    <xf numFmtId="49" fontId="2" fillId="0" borderId="0" xfId="0" applyNumberFormat="1" applyFont="1" applyProtection="1">
      <protection locked="0"/>
    </xf>
    <xf numFmtId="0" fontId="2" fillId="0" borderId="1" xfId="0" applyNumberFormat="1" applyFont="1" applyBorder="1" applyAlignment="1" applyProtection="1">
      <alignment horizontal="center"/>
      <protection locked="0"/>
    </xf>
    <xf numFmtId="3" fontId="2" fillId="0" borderId="0" xfId="0" applyNumberFormat="1" applyFont="1" applyProtection="1">
      <protection locked="0"/>
    </xf>
    <xf numFmtId="0" fontId="2" fillId="0" borderId="1" xfId="0" applyNumberFormat="1" applyFont="1" applyBorder="1" applyAlignment="1" applyProtection="1">
      <alignment horizontal="centerContinuous"/>
      <protection locked="0"/>
    </xf>
    <xf numFmtId="166" fontId="2" fillId="0" borderId="0" xfId="0" applyNumberFormat="1" applyFont="1" applyAlignment="1" applyProtection="1">
      <protection locked="0"/>
    </xf>
    <xf numFmtId="3" fontId="2" fillId="0" borderId="1" xfId="0" applyNumberFormat="1" applyFont="1" applyBorder="1" applyAlignment="1" applyProtection="1">
      <protection locked="0"/>
    </xf>
    <xf numFmtId="3" fontId="2" fillId="0" borderId="0" xfId="0" applyNumberFormat="1" applyFont="1" applyAlignment="1" applyProtection="1">
      <alignment horizontal="fill"/>
      <protection locked="0"/>
    </xf>
    <xf numFmtId="0" fontId="2" fillId="0" borderId="0" xfId="1" applyNumberFormat="1" applyFont="1" applyFill="1" applyAlignment="1" applyProtection="1">
      <alignment horizontal="center"/>
      <protection locked="0"/>
    </xf>
    <xf numFmtId="0" fontId="2" fillId="0" borderId="0" xfId="1" applyFont="1" applyFill="1" applyAlignment="1" applyProtection="1">
      <protection locked="0"/>
    </xf>
    <xf numFmtId="0" fontId="2" fillId="0" borderId="0" xfId="1" applyNumberFormat="1" applyFont="1" applyFill="1" applyProtection="1">
      <protection locked="0"/>
    </xf>
    <xf numFmtId="0" fontId="5" fillId="0" borderId="0" xfId="1" applyFont="1" applyFill="1" applyAlignment="1" applyProtection="1">
      <protection locked="0"/>
    </xf>
    <xf numFmtId="0" fontId="5" fillId="0" borderId="0" xfId="1" applyFont="1" applyFill="1" applyBorder="1" applyAlignment="1" applyProtection="1">
      <protection locked="0"/>
    </xf>
    <xf numFmtId="3" fontId="2" fillId="0" borderId="0" xfId="0" applyNumberFormat="1" applyFont="1" applyFill="1" applyBorder="1" applyProtection="1">
      <protection locked="0"/>
    </xf>
    <xf numFmtId="167" fontId="2" fillId="0" borderId="0" xfId="0" applyNumberFormat="1" applyFont="1" applyProtection="1">
      <protection locked="0"/>
    </xf>
    <xf numFmtId="167" fontId="2" fillId="0" borderId="0" xfId="0" applyNumberFormat="1" applyFont="1" applyAlignment="1" applyProtection="1">
      <alignment horizontal="center"/>
      <protection locked="0"/>
    </xf>
    <xf numFmtId="171" fontId="2" fillId="0" borderId="0" xfId="0" applyFont="1" applyAlignment="1" applyProtection="1">
      <alignment horizontal="center"/>
      <protection locked="0"/>
    </xf>
    <xf numFmtId="170" fontId="2" fillId="0" borderId="0" xfId="0" applyNumberFormat="1" applyFont="1" applyProtection="1">
      <protection locked="0"/>
    </xf>
    <xf numFmtId="170" fontId="2" fillId="0" borderId="0" xfId="0" applyNumberFormat="1" applyFont="1" applyFill="1" applyProtection="1">
      <protection locked="0"/>
    </xf>
    <xf numFmtId="49" fontId="2" fillId="0" borderId="0" xfId="0" applyNumberFormat="1" applyFont="1" applyAlignment="1" applyProtection="1">
      <alignment horizontal="center"/>
      <protection locked="0"/>
    </xf>
    <xf numFmtId="3" fontId="3" fillId="0" borderId="0" xfId="0" applyNumberFormat="1" applyFont="1" applyAlignment="1" applyProtection="1">
      <alignment horizontal="center"/>
      <protection locked="0"/>
    </xf>
    <xf numFmtId="0" fontId="3" fillId="0" borderId="0" xfId="0" applyNumberFormat="1" applyFont="1" applyAlignment="1" applyProtection="1">
      <alignment horizontal="center"/>
      <protection locked="0"/>
    </xf>
    <xf numFmtId="171" fontId="3" fillId="0" borderId="0" xfId="0" applyFont="1" applyAlignment="1" applyProtection="1">
      <alignment horizontal="center"/>
      <protection locked="0"/>
    </xf>
    <xf numFmtId="3" fontId="3" fillId="0" borderId="0" xfId="0" applyNumberFormat="1" applyFont="1" applyAlignment="1" applyProtection="1">
      <protection locked="0"/>
    </xf>
    <xf numFmtId="0" fontId="3" fillId="0" borderId="0" xfId="0" applyNumberFormat="1" applyFont="1" applyAlignment="1" applyProtection="1">
      <protection locked="0"/>
    </xf>
    <xf numFmtId="165" fontId="2" fillId="0" borderId="0" xfId="0" applyNumberFormat="1" applyFont="1" applyAlignment="1" applyProtection="1">
      <protection locked="0"/>
    </xf>
    <xf numFmtId="171" fontId="2" fillId="0" borderId="0" xfId="0" applyFont="1" applyFill="1" applyAlignment="1" applyProtection="1">
      <protection locked="0"/>
    </xf>
    <xf numFmtId="165" fontId="2" fillId="0" borderId="0" xfId="0" applyNumberFormat="1" applyFont="1" applyFill="1" applyAlignment="1" applyProtection="1">
      <protection locked="0"/>
    </xf>
    <xf numFmtId="164" fontId="2" fillId="0" borderId="0" xfId="0" applyNumberFormat="1" applyFont="1" applyAlignment="1" applyProtection="1">
      <alignment horizontal="center"/>
      <protection locked="0"/>
    </xf>
    <xf numFmtId="3" fontId="2" fillId="0" borderId="0" xfId="0" applyNumberFormat="1" applyFont="1" applyFill="1" applyAlignment="1" applyProtection="1">
      <protection locked="0"/>
    </xf>
    <xf numFmtId="3" fontId="6" fillId="0" borderId="0" xfId="0" applyNumberFormat="1" applyFont="1" applyAlignment="1" applyProtection="1">
      <protection locked="0"/>
    </xf>
    <xf numFmtId="165" fontId="2" fillId="0" borderId="0" xfId="0" applyNumberFormat="1" applyFont="1" applyAlignment="1" applyProtection="1">
      <alignment horizontal="right"/>
      <protection locked="0"/>
    </xf>
    <xf numFmtId="3" fontId="2" fillId="0" borderId="0" xfId="0" applyNumberFormat="1" applyFont="1" applyBorder="1" applyAlignment="1" applyProtection="1">
      <protection locked="0"/>
    </xf>
    <xf numFmtId="0" fontId="2" fillId="0" borderId="0" xfId="0" applyNumberFormat="1" applyFont="1" applyFill="1" applyAlignment="1" applyProtection="1">
      <alignment horizontal="center"/>
      <protection locked="0"/>
    </xf>
    <xf numFmtId="0" fontId="2" fillId="0" borderId="0" xfId="0" applyNumberFormat="1" applyFont="1" applyFill="1" applyAlignment="1" applyProtection="1">
      <protection locked="0"/>
    </xf>
    <xf numFmtId="3" fontId="2" fillId="0" borderId="1" xfId="0" applyNumberFormat="1" applyFont="1" applyFill="1" applyBorder="1" applyAlignment="1" applyProtection="1">
      <protection locked="0"/>
    </xf>
    <xf numFmtId="171" fontId="2" fillId="0" borderId="1" xfId="0" applyFont="1" applyBorder="1" applyAlignment="1" applyProtection="1">
      <protection locked="0"/>
    </xf>
    <xf numFmtId="171" fontId="2" fillId="0" borderId="1" xfId="0" applyFont="1" applyFill="1" applyBorder="1" applyAlignment="1" applyProtection="1">
      <protection locked="0"/>
    </xf>
    <xf numFmtId="3" fontId="2" fillId="0" borderId="0" xfId="0" applyNumberFormat="1" applyFont="1" applyAlignment="1" applyProtection="1">
      <alignment horizontal="right"/>
      <protection locked="0"/>
    </xf>
    <xf numFmtId="49" fontId="2" fillId="0" borderId="0" xfId="0" applyNumberFormat="1" applyFont="1" applyAlignment="1" applyProtection="1">
      <alignment horizontal="left"/>
      <protection locked="0"/>
    </xf>
    <xf numFmtId="0" fontId="2" fillId="0" borderId="0" xfId="0" quotePrefix="1" applyNumberFormat="1" applyFont="1" applyAlignment="1" applyProtection="1">
      <protection locked="0"/>
    </xf>
    <xf numFmtId="171" fontId="15" fillId="0" borderId="0" xfId="0" applyFont="1" applyAlignment="1" applyProtection="1">
      <protection locked="0"/>
    </xf>
    <xf numFmtId="166" fontId="2" fillId="0" borderId="0" xfId="0" applyNumberFormat="1" applyFont="1" applyAlignment="1" applyProtection="1">
      <alignment horizontal="right"/>
      <protection locked="0"/>
    </xf>
    <xf numFmtId="10" fontId="2" fillId="0" borderId="0" xfId="0" applyNumberFormat="1" applyFont="1" applyAlignment="1" applyProtection="1">
      <alignment horizontal="left"/>
      <protection locked="0"/>
    </xf>
    <xf numFmtId="166" fontId="2" fillId="0" borderId="0" xfId="0" applyNumberFormat="1" applyFont="1" applyAlignment="1" applyProtection="1">
      <alignment horizontal="center"/>
      <protection locked="0"/>
    </xf>
    <xf numFmtId="164" fontId="2" fillId="0" borderId="0" xfId="0" applyNumberFormat="1" applyFont="1" applyAlignment="1" applyProtection="1">
      <alignment horizontal="left"/>
      <protection locked="0"/>
    </xf>
    <xf numFmtId="3" fontId="2" fillId="0" borderId="0" xfId="0" applyNumberFormat="1" applyFont="1" applyFill="1" applyBorder="1" applyAlignment="1" applyProtection="1">
      <protection locked="0"/>
    </xf>
    <xf numFmtId="0" fontId="2" fillId="0" borderId="0" xfId="0" applyNumberFormat="1" applyFont="1" applyFill="1" applyProtection="1">
      <protection locked="0"/>
    </xf>
    <xf numFmtId="171" fontId="2" fillId="0" borderId="0" xfId="0" applyFont="1" applyBorder="1" applyAlignment="1" applyProtection="1">
      <protection locked="0"/>
    </xf>
    <xf numFmtId="0" fontId="2" fillId="0" borderId="1" xfId="0" applyNumberFormat="1" applyFont="1" applyBorder="1" applyProtection="1">
      <protection locked="0"/>
    </xf>
    <xf numFmtId="3" fontId="2" fillId="0" borderId="0" xfId="0" applyNumberFormat="1" applyFont="1" applyAlignment="1" applyProtection="1">
      <alignment horizontal="center"/>
      <protection locked="0"/>
    </xf>
    <xf numFmtId="49" fontId="2" fillId="0" borderId="0" xfId="0" applyNumberFormat="1" applyFont="1" applyAlignment="1" applyProtection="1">
      <protection locked="0"/>
    </xf>
    <xf numFmtId="3" fontId="2" fillId="0" borderId="1" xfId="0" applyNumberFormat="1" applyFont="1" applyBorder="1" applyAlignment="1" applyProtection="1">
      <alignment horizontal="center"/>
      <protection locked="0"/>
    </xf>
    <xf numFmtId="4" fontId="2" fillId="0" borderId="0" xfId="0" applyNumberFormat="1" applyFont="1" applyAlignment="1" applyProtection="1">
      <protection locked="0"/>
    </xf>
    <xf numFmtId="3" fontId="2" fillId="0" borderId="0" xfId="0" applyNumberFormat="1" applyFont="1" applyBorder="1" applyAlignment="1" applyProtection="1">
      <alignment horizontal="center"/>
      <protection locked="0"/>
    </xf>
    <xf numFmtId="3" fontId="2" fillId="0" borderId="0" xfId="0" quotePrefix="1" applyNumberFormat="1" applyFont="1" applyAlignment="1" applyProtection="1">
      <protection locked="0"/>
    </xf>
    <xf numFmtId="0" fontId="2" fillId="0" borderId="1" xfId="0" applyNumberFormat="1" applyFont="1" applyBorder="1" applyAlignment="1" applyProtection="1">
      <protection locked="0"/>
    </xf>
    <xf numFmtId="9" fontId="2" fillId="0" borderId="0" xfId="0" applyNumberFormat="1" applyFont="1" applyAlignment="1" applyProtection="1">
      <protection locked="0"/>
    </xf>
    <xf numFmtId="168" fontId="2" fillId="0" borderId="0" xfId="0" applyNumberFormat="1" applyFont="1" applyAlignment="1" applyProtection="1">
      <protection locked="0"/>
    </xf>
    <xf numFmtId="9" fontId="2" fillId="0" borderId="1" xfId="0" applyNumberFormat="1" applyFont="1" applyBorder="1" applyAlignment="1" applyProtection="1">
      <protection locked="0"/>
    </xf>
    <xf numFmtId="171" fontId="2" fillId="0" borderId="9" xfId="0" applyFont="1" applyBorder="1" applyAlignment="1" applyProtection="1">
      <protection locked="0"/>
    </xf>
    <xf numFmtId="171" fontId="2" fillId="0" borderId="4" xfId="0" applyFont="1" applyBorder="1" applyAlignment="1" applyProtection="1">
      <protection locked="0"/>
    </xf>
    <xf numFmtId="171" fontId="2" fillId="0" borderId="10" xfId="0" applyFont="1" applyBorder="1" applyAlignment="1" applyProtection="1">
      <protection locked="0"/>
    </xf>
    <xf numFmtId="171" fontId="2" fillId="0" borderId="11" xfId="0" applyFont="1" applyBorder="1" applyAlignment="1" applyProtection="1">
      <protection locked="0"/>
    </xf>
    <xf numFmtId="171" fontId="2" fillId="0" borderId="12" xfId="0" applyFont="1" applyBorder="1" applyAlignment="1" applyProtection="1">
      <protection locked="0"/>
    </xf>
    <xf numFmtId="171" fontId="2" fillId="0" borderId="13" xfId="0" applyFont="1" applyBorder="1" applyAlignment="1" applyProtection="1">
      <protection locked="0"/>
    </xf>
    <xf numFmtId="171" fontId="2" fillId="0" borderId="3" xfId="0" applyFont="1" applyBorder="1" applyAlignment="1" applyProtection="1">
      <protection locked="0"/>
    </xf>
    <xf numFmtId="171" fontId="2" fillId="0" borderId="14" xfId="0" applyFont="1" applyBorder="1" applyAlignment="1" applyProtection="1">
      <protection locked="0"/>
    </xf>
    <xf numFmtId="0" fontId="4" fillId="0" borderId="0" xfId="0" applyNumberFormat="1" applyFont="1" applyProtection="1">
      <protection locked="0"/>
    </xf>
    <xf numFmtId="171" fontId="4" fillId="0" borderId="0" xfId="0" applyFont="1" applyAlignment="1" applyProtection="1">
      <protection locked="0"/>
    </xf>
    <xf numFmtId="0" fontId="2" fillId="0" borderId="0" xfId="0" quotePrefix="1" applyNumberFormat="1" applyFont="1" applyAlignment="1" applyProtection="1">
      <alignment horizontal="center"/>
      <protection locked="0"/>
    </xf>
    <xf numFmtId="0" fontId="2" fillId="0" borderId="0" xfId="0" applyNumberFormat="1" applyFont="1" applyBorder="1" applyProtection="1">
      <protection locked="0"/>
    </xf>
    <xf numFmtId="169" fontId="2" fillId="0" borderId="0" xfId="0" applyNumberFormat="1" applyFont="1" applyFill="1" applyBorder="1" applyProtection="1">
      <protection locked="0"/>
    </xf>
    <xf numFmtId="1" fontId="2" fillId="0" borderId="0" xfId="0" applyNumberFormat="1" applyFont="1" applyFill="1" applyProtection="1">
      <protection locked="0"/>
    </xf>
    <xf numFmtId="1" fontId="2" fillId="0" borderId="0" xfId="0" applyNumberFormat="1" applyFont="1" applyFill="1" applyAlignment="1" applyProtection="1">
      <protection locked="0"/>
    </xf>
    <xf numFmtId="0" fontId="2" fillId="0" borderId="0" xfId="0" applyNumberFormat="1" applyFont="1" applyBorder="1" applyAlignment="1" applyProtection="1">
      <protection locked="0"/>
    </xf>
    <xf numFmtId="0" fontId="2" fillId="0" borderId="0" xfId="0" applyNumberFormat="1" applyFont="1" applyFill="1" applyBorder="1" applyAlignment="1" applyProtection="1">
      <protection locked="0"/>
    </xf>
    <xf numFmtId="0" fontId="2" fillId="0" borderId="0" xfId="0" applyNumberFormat="1" applyFont="1" applyFill="1" applyBorder="1" applyProtection="1">
      <protection locked="0"/>
    </xf>
    <xf numFmtId="0" fontId="2" fillId="0" borderId="1" xfId="0" applyNumberFormat="1" applyFont="1" applyFill="1" applyBorder="1" applyAlignment="1" applyProtection="1">
      <protection locked="0"/>
    </xf>
    <xf numFmtId="0" fontId="2" fillId="0" borderId="1" xfId="0" applyNumberFormat="1" applyFont="1" applyFill="1" applyBorder="1" applyProtection="1">
      <protection locked="0"/>
    </xf>
    <xf numFmtId="171" fontId="2" fillId="0" borderId="0" xfId="0" applyNumberFormat="1" applyFont="1" applyAlignment="1" applyProtection="1">
      <protection locked="0"/>
    </xf>
    <xf numFmtId="169" fontId="2" fillId="0" borderId="0" xfId="0" applyNumberFormat="1" applyFont="1" applyProtection="1">
      <protection locked="0"/>
    </xf>
    <xf numFmtId="0" fontId="2" fillId="0" borderId="0" xfId="0" applyNumberFormat="1" applyFont="1" applyAlignment="1" applyProtection="1">
      <alignment horizontal="left" indent="8"/>
      <protection locked="0"/>
    </xf>
    <xf numFmtId="0" fontId="2" fillId="0" borderId="0" xfId="0" applyNumberFormat="1" applyFont="1" applyAlignment="1" applyProtection="1">
      <alignment horizontal="center" vertical="top" wrapText="1"/>
      <protection locked="0"/>
    </xf>
    <xf numFmtId="3" fontId="2" fillId="0" borderId="0" xfId="0" applyNumberFormat="1" applyFont="1" applyFill="1" applyAlignment="1" applyProtection="1">
      <alignment vertical="top" wrapText="1"/>
      <protection locked="0"/>
    </xf>
    <xf numFmtId="171" fontId="2" fillId="0" borderId="0" xfId="0" applyFont="1" applyAlignment="1" applyProtection="1">
      <alignment horizontal="center" vertical="top" wrapText="1"/>
      <protection locked="0"/>
    </xf>
    <xf numFmtId="171" fontId="2" fillId="0" borderId="0" xfId="0" applyFont="1" applyAlignment="1" applyProtection="1">
      <alignment horizontal="center" vertical="top"/>
      <protection locked="0"/>
    </xf>
    <xf numFmtId="0" fontId="2" fillId="0" borderId="0" xfId="0" applyNumberFormat="1" applyFont="1" applyFill="1" applyAlignment="1" applyProtection="1">
      <alignment horizontal="left" vertical="top"/>
      <protection locked="0"/>
    </xf>
    <xf numFmtId="10" fontId="2" fillId="0" borderId="0" xfId="0" applyNumberFormat="1" applyFont="1" applyFill="1" applyProtection="1">
      <protection locked="0"/>
    </xf>
    <xf numFmtId="0" fontId="2" fillId="0" borderId="0" xfId="0" applyNumberFormat="1" applyFont="1" applyFill="1" applyAlignment="1" applyProtection="1">
      <alignment vertical="top"/>
      <protection locked="0"/>
    </xf>
    <xf numFmtId="0" fontId="4" fillId="0" borderId="0" xfId="0" applyNumberFormat="1" applyFont="1" applyFill="1" applyProtection="1">
      <protection locked="0"/>
    </xf>
    <xf numFmtId="10" fontId="4" fillId="0" borderId="0" xfId="0" applyNumberFormat="1" applyFont="1" applyFill="1" applyProtection="1">
      <protection locked="0"/>
    </xf>
    <xf numFmtId="3" fontId="4" fillId="0" borderId="0" xfId="0" applyNumberFormat="1" applyFont="1" applyAlignment="1" applyProtection="1">
      <protection locked="0"/>
    </xf>
    <xf numFmtId="0" fontId="2" fillId="0" borderId="0" xfId="0" applyNumberFormat="1" applyFont="1" applyAlignment="1" applyProtection="1">
      <alignment horizontal="center" vertical="top"/>
      <protection locked="0"/>
    </xf>
    <xf numFmtId="0" fontId="2" fillId="0" borderId="0" xfId="0" applyNumberFormat="1" applyFont="1" applyFill="1" applyAlignment="1" applyProtection="1">
      <alignment horizontal="center" vertical="top"/>
      <protection locked="0"/>
    </xf>
    <xf numFmtId="0" fontId="2" fillId="0" borderId="0" xfId="0" applyNumberFormat="1" applyFont="1" applyAlignment="1" applyProtection="1">
      <alignment horizontal="right"/>
      <protection locked="0"/>
    </xf>
    <xf numFmtId="0" fontId="2" fillId="0" borderId="0" xfId="0" applyNumberFormat="1" applyFont="1" applyAlignment="1" applyProtection="1">
      <alignment horizontal="center"/>
      <protection locked="0"/>
    </xf>
    <xf numFmtId="0" fontId="2" fillId="0" borderId="0" xfId="0" applyNumberFormat="1" applyFont="1" applyFill="1" applyAlignment="1" applyProtection="1">
      <alignment horizontal="left" vertical="top" wrapText="1"/>
      <protection locked="0"/>
    </xf>
    <xf numFmtId="0" fontId="2" fillId="0" borderId="0" xfId="0" applyNumberFormat="1" applyFont="1" applyFill="1" applyAlignment="1" applyProtection="1">
      <alignment vertical="top" wrapText="1"/>
      <protection locked="0"/>
    </xf>
    <xf numFmtId="172" fontId="2" fillId="2" borderId="0" xfId="0" applyNumberFormat="1" applyFont="1" applyFill="1" applyProtection="1">
      <protection locked="0"/>
    </xf>
    <xf numFmtId="173" fontId="2" fillId="0" borderId="0" xfId="0" applyNumberFormat="1" applyFont="1" applyAlignment="1" applyProtection="1">
      <protection locked="0"/>
    </xf>
    <xf numFmtId="174" fontId="15" fillId="2" borderId="0" xfId="86" applyNumberFormat="1" applyFont="1" applyFill="1" applyAlignment="1" applyProtection="1">
      <protection locked="0"/>
    </xf>
    <xf numFmtId="174" fontId="15" fillId="2" borderId="1" xfId="86" applyNumberFormat="1" applyFont="1" applyFill="1" applyBorder="1" applyAlignment="1" applyProtection="1">
      <protection locked="0"/>
    </xf>
    <xf numFmtId="174" fontId="15" fillId="0" borderId="0" xfId="86" applyNumberFormat="1" applyFont="1" applyFill="1" applyBorder="1" applyAlignment="1" applyProtection="1"/>
    <xf numFmtId="171" fontId="38" fillId="0" borderId="0" xfId="0" applyFont="1" applyAlignment="1"/>
    <xf numFmtId="171" fontId="0" fillId="0" borderId="3" xfId="0" applyBorder="1" applyAlignment="1"/>
    <xf numFmtId="171" fontId="0" fillId="0" borderId="5" xfId="0" applyBorder="1" applyAlignment="1"/>
    <xf numFmtId="174" fontId="15" fillId="2" borderId="0" xfId="86" applyNumberFormat="1" applyFont="1" applyFill="1" applyBorder="1" applyAlignment="1" applyProtection="1">
      <protection locked="0"/>
    </xf>
    <xf numFmtId="175" fontId="0" fillId="0" borderId="0" xfId="87" applyNumberFormat="1" applyFont="1" applyAlignment="1"/>
    <xf numFmtId="0" fontId="2" fillId="0" borderId="0" xfId="0" applyNumberFormat="1" applyFont="1" applyAlignment="1" applyProtection="1">
      <alignment horizontal="right"/>
      <protection locked="0"/>
    </xf>
    <xf numFmtId="0" fontId="2" fillId="0" borderId="0" xfId="0" applyNumberFormat="1" applyFont="1" applyAlignment="1" applyProtection="1">
      <alignment horizontal="left" vertical="top" wrapText="1"/>
      <protection locked="0"/>
    </xf>
    <xf numFmtId="0" fontId="2" fillId="0" borderId="0" xfId="0" applyNumberFormat="1" applyFont="1" applyFill="1" applyAlignment="1" applyProtection="1">
      <alignment horizontal="left" vertical="top" wrapText="1"/>
      <protection locked="0"/>
    </xf>
    <xf numFmtId="0" fontId="2" fillId="0" borderId="0" xfId="0" applyNumberFormat="1" applyFont="1" applyFill="1" applyAlignment="1" applyProtection="1">
      <alignment vertical="top" wrapText="1"/>
      <protection locked="0"/>
    </xf>
    <xf numFmtId="0" fontId="2" fillId="0" borderId="0" xfId="0" applyNumberFormat="1" applyFont="1" applyAlignment="1" applyProtection="1">
      <alignment vertical="top" wrapText="1"/>
      <protection locked="0"/>
    </xf>
    <xf numFmtId="0" fontId="36" fillId="0" borderId="0" xfId="0" applyNumberFormat="1" applyFont="1" applyFill="1" applyAlignment="1" applyProtection="1">
      <alignment vertical="top" wrapText="1"/>
      <protection locked="0"/>
    </xf>
    <xf numFmtId="0" fontId="2" fillId="0" borderId="0" xfId="0" applyNumberFormat="1" applyFont="1" applyAlignment="1" applyProtection="1">
      <alignment horizontal="left" wrapText="1"/>
      <protection locked="0"/>
    </xf>
    <xf numFmtId="0" fontId="2" fillId="0" borderId="0" xfId="0" applyNumberFormat="1" applyFont="1" applyAlignment="1" applyProtection="1">
      <alignment horizontal="center"/>
      <protection locked="0"/>
    </xf>
  </cellXfs>
  <cellStyles count="88">
    <cellStyle name="C00A" xfId="2"/>
    <cellStyle name="C00B" xfId="3"/>
    <cellStyle name="C00L" xfId="4"/>
    <cellStyle name="C01A" xfId="5"/>
    <cellStyle name="C01B" xfId="6"/>
    <cellStyle name="C01H" xfId="7"/>
    <cellStyle name="C01L" xfId="8"/>
    <cellStyle name="C02A" xfId="9"/>
    <cellStyle name="C02B" xfId="10"/>
    <cellStyle name="C02H" xfId="11"/>
    <cellStyle name="C02L" xfId="12"/>
    <cellStyle name="C03A" xfId="13"/>
    <cellStyle name="C03B" xfId="14"/>
    <cellStyle name="C03H" xfId="15"/>
    <cellStyle name="C03L" xfId="16"/>
    <cellStyle name="C04A" xfId="17"/>
    <cellStyle name="C04B" xfId="18"/>
    <cellStyle name="C04H" xfId="19"/>
    <cellStyle name="C04L" xfId="20"/>
    <cellStyle name="C05A" xfId="21"/>
    <cellStyle name="C05B" xfId="22"/>
    <cellStyle name="C05H" xfId="23"/>
    <cellStyle name="C05L" xfId="24"/>
    <cellStyle name="C06A" xfId="25"/>
    <cellStyle name="C06B" xfId="26"/>
    <cellStyle name="C06H" xfId="27"/>
    <cellStyle name="C06L" xfId="28"/>
    <cellStyle name="C07A" xfId="29"/>
    <cellStyle name="C07B" xfId="30"/>
    <cellStyle name="C07H" xfId="31"/>
    <cellStyle name="C07L" xfId="32"/>
    <cellStyle name="Comma" xfId="86" builtinId="3"/>
    <cellStyle name="Comma 2" xfId="33"/>
    <cellStyle name="Comma 2 2" xfId="83"/>
    <cellStyle name="Comma 3" xfId="34"/>
    <cellStyle name="Comma0" xfId="35"/>
    <cellStyle name="Currency 2" xfId="85"/>
    <cellStyle name="Currency0" xfId="36"/>
    <cellStyle name="Date" xfId="37"/>
    <cellStyle name="Fixed" xfId="38"/>
    <cellStyle name="Heading1" xfId="39"/>
    <cellStyle name="Heading2" xfId="40"/>
    <cellStyle name="Normal" xfId="0" builtinId="0"/>
    <cellStyle name="Normal 2" xfId="41"/>
    <cellStyle name="Normal 3" xfId="1"/>
    <cellStyle name="Normal 4" xfId="82"/>
    <cellStyle name="Percent" xfId="87" builtinId="5"/>
    <cellStyle name="Percent 2" xfId="81"/>
    <cellStyle name="Percent 3" xfId="84"/>
    <cellStyle name="PSChar" xfId="42"/>
    <cellStyle name="PSDate" xfId="43"/>
    <cellStyle name="PSDec" xfId="44"/>
    <cellStyle name="PSdesc" xfId="45"/>
    <cellStyle name="PSHeading" xfId="46"/>
    <cellStyle name="PSInt" xfId="47"/>
    <cellStyle name="PSSpacer" xfId="48"/>
    <cellStyle name="PStest" xfId="49"/>
    <cellStyle name="R00A" xfId="50"/>
    <cellStyle name="R00B" xfId="51"/>
    <cellStyle name="R00L" xfId="52"/>
    <cellStyle name="R01A" xfId="53"/>
    <cellStyle name="R01B" xfId="54"/>
    <cellStyle name="R01H" xfId="55"/>
    <cellStyle name="R01L" xfId="56"/>
    <cellStyle name="R02A" xfId="57"/>
    <cellStyle name="R02B" xfId="58"/>
    <cellStyle name="R02H" xfId="59"/>
    <cellStyle name="R02L" xfId="60"/>
    <cellStyle name="R03A" xfId="61"/>
    <cellStyle name="R03B" xfId="62"/>
    <cellStyle name="R03H" xfId="63"/>
    <cellStyle name="R03L" xfId="64"/>
    <cellStyle name="R04A" xfId="65"/>
    <cellStyle name="R04B" xfId="66"/>
    <cellStyle name="R04H" xfId="67"/>
    <cellStyle name="R04L" xfId="68"/>
    <cellStyle name="R05A" xfId="69"/>
    <cellStyle name="R05B" xfId="70"/>
    <cellStyle name="R05H" xfId="71"/>
    <cellStyle name="R05L" xfId="72"/>
    <cellStyle name="R06A" xfId="73"/>
    <cellStyle name="R06B" xfId="74"/>
    <cellStyle name="R06H" xfId="75"/>
    <cellStyle name="R06L" xfId="76"/>
    <cellStyle name="R07A" xfId="77"/>
    <cellStyle name="R07B" xfId="78"/>
    <cellStyle name="R07H" xfId="79"/>
    <cellStyle name="R07L" xfId="8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9F9A7"/>
      <color rgb="FFE8E9B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midwestiso.org/Documents%20and%20Settings/mtackett/Local%20Settings/Temporary%20Internet%20Files/Content.Outlook/T2U5HD8L/tariffs/2000/formula%20rates/NSP%20xcelcoss%20mis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bdd/Trans%20Rate%20-%20Attachment%20O/2018%20Budget/MISO%20Filings/Version%203/V32_Attach%20GG%20-%20DPC_ER15-1689%20(Eff%2007.01.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 GG Proj #1- Year 1"/>
    </sheetNames>
    <sheetDataSet>
      <sheetData sheetId="0">
        <row r="73">
          <cell r="L73">
            <v>2734293.9733602605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361"/>
  <sheetViews>
    <sheetView tabSelected="1" topLeftCell="A15" zoomScale="80" zoomScaleNormal="80" zoomScaleSheetLayoutView="90" workbookViewId="0">
      <selection activeCell="K38" sqref="K38"/>
    </sheetView>
  </sheetViews>
  <sheetFormatPr defaultColWidth="8.88671875" defaultRowHeight="15.75"/>
  <cols>
    <col min="1" max="1" width="4.21875" style="65" customWidth="1"/>
    <col min="2" max="2" width="28" style="65" customWidth="1"/>
    <col min="3" max="3" width="33.44140625" style="65" customWidth="1"/>
    <col min="4" max="4" width="12.77734375" style="65" customWidth="1"/>
    <col min="5" max="5" width="5.77734375" style="65" customWidth="1"/>
    <col min="6" max="6" width="4.21875" style="65" customWidth="1"/>
    <col min="7" max="7" width="10" style="65" customWidth="1"/>
    <col min="8" max="8" width="3.44140625" style="65" customWidth="1"/>
    <col min="9" max="9" width="12.77734375" style="65" customWidth="1"/>
    <col min="10" max="10" width="1.77734375" style="65" customWidth="1"/>
    <col min="11" max="11" width="11.5546875" style="65" customWidth="1"/>
    <col min="12" max="12" width="12.109375" style="65" customWidth="1"/>
    <col min="13" max="13" width="11.21875" style="65" bestFit="1" customWidth="1"/>
    <col min="14" max="17" width="8.88671875" style="65"/>
    <col min="18" max="18" width="11.21875" style="65" customWidth="1"/>
    <col min="19" max="16384" width="8.88671875" style="65"/>
  </cols>
  <sheetData>
    <row r="1" spans="1:14">
      <c r="K1" s="66" t="s">
        <v>318</v>
      </c>
      <c r="M1" s="67" t="s">
        <v>379</v>
      </c>
      <c r="N1" s="67"/>
    </row>
    <row r="2" spans="1:14">
      <c r="B2" s="68"/>
      <c r="C2" s="68"/>
      <c r="D2" s="69"/>
      <c r="E2" s="68"/>
      <c r="F2" s="68"/>
      <c r="G2" s="68"/>
      <c r="H2" s="70"/>
      <c r="I2" s="70"/>
      <c r="J2" s="182" t="s">
        <v>178</v>
      </c>
      <c r="K2" s="182"/>
    </row>
    <row r="3" spans="1:14">
      <c r="B3" s="68"/>
      <c r="C3" s="68"/>
      <c r="D3" s="69"/>
      <c r="E3" s="68"/>
      <c r="F3" s="68"/>
      <c r="G3" s="68"/>
      <c r="H3" s="70"/>
      <c r="I3" s="70"/>
      <c r="J3" s="70"/>
      <c r="K3" s="70"/>
    </row>
    <row r="4" spans="1:14">
      <c r="B4" s="68" t="s">
        <v>0</v>
      </c>
      <c r="C4" s="68"/>
      <c r="D4" s="69" t="s">
        <v>1</v>
      </c>
      <c r="E4" s="68"/>
      <c r="F4" s="68"/>
      <c r="G4" s="68"/>
      <c r="H4" s="1"/>
      <c r="I4" s="49"/>
      <c r="J4" s="1"/>
      <c r="K4" s="6" t="s">
        <v>390</v>
      </c>
    </row>
    <row r="5" spans="1:14">
      <c r="B5" s="68"/>
      <c r="C5" s="71" t="s">
        <v>2</v>
      </c>
      <c r="D5" s="71" t="s">
        <v>3</v>
      </c>
      <c r="E5" s="71"/>
      <c r="F5" s="71"/>
      <c r="G5" s="71"/>
      <c r="H5" s="70"/>
      <c r="I5" s="70"/>
      <c r="J5" s="70"/>
      <c r="K5" s="70"/>
    </row>
    <row r="6" spans="1:14">
      <c r="B6" s="70"/>
      <c r="C6" s="70"/>
      <c r="D6" s="70"/>
      <c r="E6" s="70"/>
      <c r="F6" s="70"/>
      <c r="G6" s="70"/>
      <c r="H6" s="70"/>
      <c r="I6" s="70"/>
      <c r="J6" s="70"/>
      <c r="K6" s="70"/>
    </row>
    <row r="7" spans="1:14">
      <c r="A7" s="169"/>
      <c r="B7" s="70"/>
      <c r="C7" s="70"/>
      <c r="D7" s="72" t="s">
        <v>298</v>
      </c>
      <c r="E7" s="73"/>
      <c r="F7" s="70"/>
      <c r="G7" s="70"/>
      <c r="H7" s="70"/>
      <c r="I7" s="70"/>
      <c r="J7" s="70"/>
      <c r="K7" s="70"/>
      <c r="M7" s="70"/>
    </row>
    <row r="8" spans="1:14">
      <c r="A8" s="169"/>
      <c r="B8" s="70"/>
      <c r="C8" s="70"/>
      <c r="D8" s="74"/>
      <c r="E8" s="70"/>
      <c r="F8" s="70"/>
      <c r="G8" s="70"/>
      <c r="H8" s="70"/>
      <c r="I8" s="70"/>
      <c r="J8" s="70"/>
      <c r="K8" s="70"/>
      <c r="M8" s="70"/>
    </row>
    <row r="9" spans="1:14">
      <c r="A9" s="169" t="s">
        <v>4</v>
      </c>
      <c r="B9" s="70"/>
      <c r="C9" s="70"/>
      <c r="D9" s="74"/>
      <c r="E9" s="70"/>
      <c r="F9" s="70"/>
      <c r="G9" s="70"/>
      <c r="H9" s="70"/>
      <c r="I9" s="169" t="s">
        <v>5</v>
      </c>
      <c r="J9" s="70"/>
      <c r="K9" s="70"/>
      <c r="M9" s="70"/>
    </row>
    <row r="10" spans="1:14" ht="16.5" thickBot="1">
      <c r="A10" s="75" t="s">
        <v>6</v>
      </c>
      <c r="B10" s="70"/>
      <c r="C10" s="70"/>
      <c r="D10" s="70"/>
      <c r="E10" s="70"/>
      <c r="F10" s="70"/>
      <c r="G10" s="70"/>
      <c r="H10" s="70"/>
      <c r="I10" s="75" t="s">
        <v>7</v>
      </c>
      <c r="J10" s="70"/>
      <c r="K10" s="70"/>
      <c r="M10" s="70"/>
    </row>
    <row r="11" spans="1:14" ht="16.5" thickBot="1">
      <c r="A11" s="169">
        <v>1</v>
      </c>
      <c r="B11" s="70" t="s">
        <v>237</v>
      </c>
      <c r="C11" s="70"/>
      <c r="D11" s="76"/>
      <c r="E11" s="70"/>
      <c r="F11" s="70"/>
      <c r="G11" s="70"/>
      <c r="H11" s="70"/>
      <c r="I11" s="13">
        <f>I207</f>
        <v>74858858.82178171</v>
      </c>
      <c r="J11" s="70"/>
      <c r="M11" s="70"/>
    </row>
    <row r="12" spans="1:14" ht="16.5" thickTop="1">
      <c r="A12" s="169"/>
      <c r="B12" s="70"/>
      <c r="C12" s="70"/>
      <c r="D12" s="70"/>
      <c r="E12" s="70"/>
      <c r="F12" s="70"/>
      <c r="G12" s="70"/>
      <c r="H12" s="70"/>
      <c r="I12" s="76"/>
      <c r="J12" s="70"/>
      <c r="M12" s="70"/>
    </row>
    <row r="13" spans="1:14" ht="16.5" thickBot="1">
      <c r="A13" s="169" t="s">
        <v>2</v>
      </c>
      <c r="B13" s="68" t="s">
        <v>8</v>
      </c>
      <c r="C13" s="71" t="s">
        <v>168</v>
      </c>
      <c r="D13" s="75" t="s">
        <v>9</v>
      </c>
      <c r="E13" s="71"/>
      <c r="F13" s="77" t="s">
        <v>10</v>
      </c>
      <c r="G13" s="77"/>
      <c r="H13" s="70"/>
      <c r="I13" s="76"/>
      <c r="J13" s="70"/>
      <c r="M13" s="70"/>
    </row>
    <row r="14" spans="1:14">
      <c r="A14" s="169">
        <v>2</v>
      </c>
      <c r="B14" s="68" t="s">
        <v>11</v>
      </c>
      <c r="C14" s="71" t="s">
        <v>319</v>
      </c>
      <c r="D14" s="4">
        <f>I282</f>
        <v>14500</v>
      </c>
      <c r="E14" s="71"/>
      <c r="F14" s="71" t="s">
        <v>12</v>
      </c>
      <c r="G14" s="14">
        <f>I233</f>
        <v>0.99251834164897124</v>
      </c>
      <c r="H14" s="71"/>
      <c r="I14" s="4">
        <f>+G14*D14</f>
        <v>14391.515953910082</v>
      </c>
      <c r="J14" s="70"/>
      <c r="M14" s="70"/>
    </row>
    <row r="15" spans="1:14">
      <c r="A15" s="169">
        <v>3</v>
      </c>
      <c r="B15" s="68" t="s">
        <v>13</v>
      </c>
      <c r="C15" s="71" t="s">
        <v>320</v>
      </c>
      <c r="D15" s="4">
        <f>I289</f>
        <v>4572760</v>
      </c>
      <c r="E15" s="71"/>
      <c r="F15" s="4" t="str">
        <f>+F14</f>
        <v>TP</v>
      </c>
      <c r="G15" s="14">
        <f>+G14</f>
        <v>0.99251834164897124</v>
      </c>
      <c r="H15" s="71"/>
      <c r="I15" s="4">
        <f>+G15*D15</f>
        <v>4538548.1719587501</v>
      </c>
      <c r="J15" s="70"/>
      <c r="M15" s="70"/>
    </row>
    <row r="16" spans="1:14">
      <c r="A16" s="169">
        <v>4</v>
      </c>
      <c r="B16" s="68" t="s">
        <v>14</v>
      </c>
      <c r="C16" s="71"/>
      <c r="D16" s="52">
        <v>0</v>
      </c>
      <c r="E16" s="71"/>
      <c r="F16" s="71" t="s">
        <v>12</v>
      </c>
      <c r="G16" s="14">
        <f>+G14</f>
        <v>0.99251834164897124</v>
      </c>
      <c r="H16" s="71"/>
      <c r="I16" s="4">
        <f>+G16*D16</f>
        <v>0</v>
      </c>
      <c r="J16" s="70"/>
      <c r="M16" s="70"/>
    </row>
    <row r="17" spans="1:13" ht="16.5" thickBot="1">
      <c r="A17" s="169">
        <v>5</v>
      </c>
      <c r="B17" s="68" t="s">
        <v>15</v>
      </c>
      <c r="C17" s="71"/>
      <c r="D17" s="52">
        <v>0</v>
      </c>
      <c r="E17" s="71"/>
      <c r="F17" s="71" t="s">
        <v>12</v>
      </c>
      <c r="G17" s="14">
        <f>+G14</f>
        <v>0.99251834164897124</v>
      </c>
      <c r="H17" s="71"/>
      <c r="I17" s="15">
        <f>+G17*D17</f>
        <v>0</v>
      </c>
      <c r="J17" s="70"/>
      <c r="M17" s="70"/>
    </row>
    <row r="18" spans="1:13">
      <c r="A18" s="169">
        <v>6</v>
      </c>
      <c r="B18" s="68" t="s">
        <v>16</v>
      </c>
      <c r="C18" s="70"/>
      <c r="D18" s="80" t="s">
        <v>2</v>
      </c>
      <c r="E18" s="71"/>
      <c r="F18" s="71"/>
      <c r="G18" s="78"/>
      <c r="H18" s="71"/>
      <c r="I18" s="4">
        <f>SUM(I14:I17)</f>
        <v>4552939.6879126607</v>
      </c>
      <c r="J18" s="70"/>
      <c r="M18" s="70"/>
    </row>
    <row r="19" spans="1:13">
      <c r="A19" s="169"/>
      <c r="B19" s="68"/>
      <c r="C19" s="70"/>
      <c r="D19" s="80"/>
      <c r="E19" s="71"/>
      <c r="F19" s="71"/>
      <c r="G19" s="78"/>
      <c r="H19" s="71"/>
      <c r="I19" s="71"/>
      <c r="J19" s="70"/>
      <c r="M19" s="70"/>
    </row>
    <row r="20" spans="1:13">
      <c r="A20" s="81" t="s">
        <v>277</v>
      </c>
      <c r="B20" s="82" t="s">
        <v>286</v>
      </c>
      <c r="C20" s="83"/>
      <c r="D20" s="80"/>
      <c r="E20" s="71"/>
      <c r="F20" s="71"/>
      <c r="G20" s="78"/>
      <c r="H20" s="71"/>
      <c r="I20" s="174">
        <v>59740819</v>
      </c>
      <c r="J20" s="70"/>
      <c r="M20" s="70"/>
    </row>
    <row r="21" spans="1:13" ht="16.5" thickBot="1">
      <c r="A21" s="81" t="s">
        <v>278</v>
      </c>
      <c r="B21" s="82" t="s">
        <v>287</v>
      </c>
      <c r="C21" s="83"/>
      <c r="D21" s="80"/>
      <c r="E21" s="71"/>
      <c r="F21" s="71"/>
      <c r="G21" s="78"/>
      <c r="H21" s="71"/>
      <c r="I21" s="175">
        <v>58006112</v>
      </c>
      <c r="J21" s="70"/>
      <c r="M21" s="70"/>
    </row>
    <row r="22" spans="1:13">
      <c r="A22" s="81" t="s">
        <v>279</v>
      </c>
      <c r="B22" s="82" t="s">
        <v>288</v>
      </c>
      <c r="C22" s="83" t="s">
        <v>289</v>
      </c>
      <c r="D22" s="80"/>
      <c r="E22" s="71"/>
      <c r="F22" s="71"/>
      <c r="G22" s="78"/>
      <c r="H22" s="71"/>
      <c r="I22" s="176">
        <f>I20-I21</f>
        <v>1734707</v>
      </c>
      <c r="J22" s="70"/>
      <c r="M22" s="70"/>
    </row>
    <row r="23" spans="1:13">
      <c r="A23" s="81"/>
      <c r="B23" s="82"/>
      <c r="C23" s="83"/>
      <c r="D23" s="80"/>
      <c r="E23" s="71"/>
      <c r="F23" s="71"/>
      <c r="G23" s="78"/>
      <c r="H23" s="71"/>
      <c r="I23" s="84"/>
      <c r="J23" s="70"/>
      <c r="M23" s="70"/>
    </row>
    <row r="24" spans="1:13">
      <c r="A24" s="81" t="s">
        <v>280</v>
      </c>
      <c r="B24" s="82" t="s">
        <v>290</v>
      </c>
      <c r="C24" s="83"/>
      <c r="D24" s="80"/>
      <c r="E24" s="71"/>
      <c r="F24" s="71"/>
      <c r="G24" s="78"/>
      <c r="H24" s="71"/>
      <c r="I24" s="174">
        <v>802225</v>
      </c>
      <c r="J24" s="70"/>
      <c r="M24" s="70"/>
    </row>
    <row r="25" spans="1:13" ht="16.5" thickBot="1">
      <c r="A25" s="81" t="s">
        <v>281</v>
      </c>
      <c r="B25" s="82" t="s">
        <v>291</v>
      </c>
      <c r="C25" s="83"/>
      <c r="D25" s="80"/>
      <c r="E25" s="71"/>
      <c r="F25" s="71"/>
      <c r="G25" s="78"/>
      <c r="H25" s="71"/>
      <c r="I25" s="175">
        <v>878575</v>
      </c>
      <c r="J25" s="70"/>
      <c r="M25" s="70"/>
    </row>
    <row r="26" spans="1:13">
      <c r="A26" s="81" t="s">
        <v>282</v>
      </c>
      <c r="B26" s="82" t="s">
        <v>292</v>
      </c>
      <c r="C26" s="83" t="s">
        <v>293</v>
      </c>
      <c r="D26" s="80"/>
      <c r="E26" s="71"/>
      <c r="F26" s="71"/>
      <c r="G26" s="78"/>
      <c r="H26" s="71"/>
      <c r="I26" s="176">
        <f>+I25-I24</f>
        <v>76350</v>
      </c>
      <c r="J26" s="70"/>
      <c r="M26" s="70"/>
    </row>
    <row r="27" spans="1:13" ht="16.5" thickBot="1">
      <c r="A27" s="81" t="s">
        <v>283</v>
      </c>
      <c r="B27" s="82" t="s">
        <v>294</v>
      </c>
      <c r="C27" s="83"/>
      <c r="D27" s="80"/>
      <c r="E27" s="71"/>
      <c r="F27" s="71"/>
      <c r="G27" s="78"/>
      <c r="H27" s="71"/>
      <c r="I27" s="53">
        <v>66.022900000000007</v>
      </c>
      <c r="J27" s="70"/>
      <c r="M27" s="70"/>
    </row>
    <row r="28" spans="1:13">
      <c r="A28" s="81" t="s">
        <v>284</v>
      </c>
      <c r="B28" s="82" t="s">
        <v>295</v>
      </c>
      <c r="C28" s="83" t="s">
        <v>296</v>
      </c>
      <c r="D28" s="80"/>
      <c r="E28" s="71"/>
      <c r="F28" s="71"/>
      <c r="G28" s="78"/>
      <c r="H28" s="71"/>
      <c r="I28" s="176">
        <f>I26*I27</f>
        <v>5040848.415000001</v>
      </c>
      <c r="J28" s="70"/>
      <c r="M28" s="70"/>
    </row>
    <row r="29" spans="1:13">
      <c r="A29" s="81"/>
      <c r="B29" s="82"/>
      <c r="C29" s="83"/>
      <c r="D29" s="80"/>
      <c r="E29" s="71"/>
      <c r="F29" s="71"/>
      <c r="G29" s="78"/>
      <c r="H29" s="71"/>
      <c r="I29" s="85"/>
      <c r="J29" s="70"/>
      <c r="M29" s="70"/>
    </row>
    <row r="30" spans="1:13">
      <c r="A30" s="81" t="s">
        <v>285</v>
      </c>
      <c r="B30" s="82" t="s">
        <v>297</v>
      </c>
      <c r="C30" s="83"/>
      <c r="D30" s="80"/>
      <c r="E30" s="71"/>
      <c r="F30" s="71"/>
      <c r="G30" s="78"/>
      <c r="H30" s="71"/>
      <c r="I30" s="180">
        <f>'True-up Interest Calc.'!C10</f>
        <v>225545</v>
      </c>
      <c r="J30" s="70"/>
      <c r="M30" s="70"/>
    </row>
    <row r="31" spans="1:13">
      <c r="A31" s="169"/>
      <c r="C31" s="70"/>
      <c r="D31" s="71" t="s">
        <v>2</v>
      </c>
      <c r="E31" s="70"/>
      <c r="F31" s="70"/>
      <c r="G31" s="78"/>
      <c r="H31" s="70"/>
      <c r="J31" s="70"/>
      <c r="M31" s="70"/>
    </row>
    <row r="32" spans="1:13" ht="16.5" thickBot="1">
      <c r="A32" s="169">
        <v>7</v>
      </c>
      <c r="B32" s="68" t="s">
        <v>17</v>
      </c>
      <c r="C32" s="83" t="s">
        <v>321</v>
      </c>
      <c r="D32" s="80"/>
      <c r="E32" s="71"/>
      <c r="F32" s="71"/>
      <c r="G32" s="71"/>
      <c r="H32" s="71"/>
      <c r="I32" s="16">
        <f>+I11-I18+I22+I28+I30</f>
        <v>77307019.548869058</v>
      </c>
      <c r="J32" s="70"/>
      <c r="M32" s="70"/>
    </row>
    <row r="33" spans="1:13" ht="16.5" thickTop="1">
      <c r="A33" s="169"/>
      <c r="C33" s="70"/>
      <c r="D33" s="80"/>
      <c r="E33" s="71"/>
      <c r="F33" s="71"/>
      <c r="G33" s="71"/>
      <c r="H33" s="71"/>
      <c r="J33" s="70"/>
      <c r="M33" s="70"/>
    </row>
    <row r="34" spans="1:13">
      <c r="A34" s="169"/>
      <c r="B34" s="68" t="s">
        <v>18</v>
      </c>
      <c r="C34" s="70"/>
      <c r="D34" s="76"/>
      <c r="E34" s="70"/>
      <c r="F34" s="70"/>
      <c r="G34" s="70"/>
      <c r="H34" s="70"/>
      <c r="I34" s="76"/>
      <c r="J34" s="70"/>
      <c r="M34" s="70"/>
    </row>
    <row r="35" spans="1:13">
      <c r="A35" s="169">
        <v>8</v>
      </c>
      <c r="B35" s="68" t="s">
        <v>19</v>
      </c>
      <c r="D35" s="76"/>
      <c r="E35" s="70"/>
      <c r="F35" s="70"/>
      <c r="G35" s="70" t="s">
        <v>20</v>
      </c>
      <c r="H35" s="70"/>
      <c r="I35" s="172">
        <v>871800</v>
      </c>
      <c r="J35" s="70"/>
      <c r="K35" s="172">
        <v>893871</v>
      </c>
      <c r="M35" s="70"/>
    </row>
    <row r="36" spans="1:13">
      <c r="A36" s="169">
        <v>9</v>
      </c>
      <c r="B36" s="68" t="s">
        <v>21</v>
      </c>
      <c r="C36" s="71"/>
      <c r="D36" s="71"/>
      <c r="E36" s="71"/>
      <c r="F36" s="71"/>
      <c r="G36" s="71" t="s">
        <v>22</v>
      </c>
      <c r="H36" s="71"/>
      <c r="I36" s="52">
        <v>0</v>
      </c>
      <c r="J36" s="70"/>
      <c r="M36" s="70"/>
    </row>
    <row r="37" spans="1:13">
      <c r="A37" s="169">
        <v>10</v>
      </c>
      <c r="B37" s="68" t="s">
        <v>23</v>
      </c>
      <c r="C37" s="70"/>
      <c r="D37" s="70"/>
      <c r="E37" s="70"/>
      <c r="F37" s="70"/>
      <c r="G37" s="70" t="s">
        <v>24</v>
      </c>
      <c r="H37" s="70"/>
      <c r="I37" s="52">
        <v>0</v>
      </c>
      <c r="J37" s="70"/>
    </row>
    <row r="38" spans="1:13">
      <c r="A38" s="169">
        <v>11</v>
      </c>
      <c r="B38" s="86" t="s">
        <v>25</v>
      </c>
      <c r="C38" s="70"/>
      <c r="D38" s="70"/>
      <c r="E38" s="70"/>
      <c r="F38" s="70"/>
      <c r="G38" s="70" t="s">
        <v>26</v>
      </c>
      <c r="H38" s="70"/>
      <c r="I38" s="52">
        <v>0</v>
      </c>
      <c r="J38" s="70"/>
    </row>
    <row r="39" spans="1:13">
      <c r="A39" s="169">
        <v>12</v>
      </c>
      <c r="B39" s="86" t="s">
        <v>27</v>
      </c>
      <c r="C39" s="70"/>
      <c r="D39" s="70"/>
      <c r="E39" s="70"/>
      <c r="F39" s="70"/>
      <c r="G39" s="70"/>
      <c r="H39" s="70"/>
      <c r="I39" s="52">
        <v>0</v>
      </c>
      <c r="J39" s="70"/>
    </row>
    <row r="40" spans="1:13">
      <c r="A40" s="169">
        <v>13</v>
      </c>
      <c r="B40" s="86" t="s">
        <v>222</v>
      </c>
      <c r="C40" s="70"/>
      <c r="D40" s="70"/>
      <c r="E40" s="70"/>
      <c r="F40" s="70"/>
      <c r="G40" s="70"/>
      <c r="H40" s="70"/>
      <c r="I40" s="51">
        <v>0</v>
      </c>
      <c r="J40" s="70"/>
    </row>
    <row r="41" spans="1:13" ht="16.5" thickBot="1">
      <c r="A41" s="169">
        <v>14</v>
      </c>
      <c r="B41" s="68" t="s">
        <v>162</v>
      </c>
      <c r="C41" s="70"/>
      <c r="D41" s="70"/>
      <c r="E41" s="70"/>
      <c r="F41" s="70"/>
      <c r="G41" s="70"/>
      <c r="H41" s="70"/>
      <c r="I41" s="50">
        <v>0</v>
      </c>
      <c r="J41" s="70"/>
    </row>
    <row r="42" spans="1:13">
      <c r="A42" s="169">
        <v>15</v>
      </c>
      <c r="B42" s="68" t="s">
        <v>28</v>
      </c>
      <c r="C42" s="70"/>
      <c r="D42" s="70"/>
      <c r="E42" s="70"/>
      <c r="F42" s="70"/>
      <c r="G42" s="70"/>
      <c r="H42" s="70"/>
      <c r="I42" s="12">
        <f>SUM(I35:I41)</f>
        <v>871800</v>
      </c>
      <c r="J42" s="70"/>
    </row>
    <row r="43" spans="1:13">
      <c r="A43" s="169"/>
      <c r="B43" s="68"/>
      <c r="C43" s="70"/>
      <c r="D43" s="70"/>
      <c r="E43" s="70"/>
      <c r="F43" s="70"/>
      <c r="G43" s="70"/>
      <c r="H43" s="70"/>
      <c r="I43" s="76"/>
      <c r="J43" s="70"/>
    </row>
    <row r="44" spans="1:13">
      <c r="A44" s="169">
        <v>16</v>
      </c>
      <c r="B44" s="68" t="s">
        <v>29</v>
      </c>
      <c r="C44" s="70" t="s">
        <v>197</v>
      </c>
      <c r="D44" s="17">
        <f>IF(I42&gt;0,I32/I42,0)</f>
        <v>88.675177275601129</v>
      </c>
      <c r="E44" s="70"/>
      <c r="F44" s="70"/>
      <c r="G44" s="70"/>
      <c r="H44" s="70"/>
      <c r="J44" s="70"/>
    </row>
    <row r="45" spans="1:13">
      <c r="A45" s="169">
        <v>17</v>
      </c>
      <c r="B45" s="68" t="s">
        <v>221</v>
      </c>
      <c r="C45" s="70"/>
      <c r="D45" s="17">
        <f>+D44/12</f>
        <v>7.3895981063000944</v>
      </c>
      <c r="E45" s="70"/>
      <c r="F45" s="70"/>
      <c r="G45" s="70"/>
      <c r="H45" s="70"/>
      <c r="J45" s="70"/>
    </row>
    <row r="46" spans="1:13">
      <c r="A46" s="169"/>
      <c r="B46" s="68"/>
      <c r="C46" s="70"/>
      <c r="D46" s="87"/>
      <c r="E46" s="70"/>
      <c r="F46" s="70"/>
      <c r="G46" s="70"/>
      <c r="H46" s="70"/>
      <c r="J46" s="70"/>
    </row>
    <row r="47" spans="1:13">
      <c r="A47" s="169"/>
      <c r="B47" s="68"/>
      <c r="C47" s="70"/>
      <c r="D47" s="88" t="s">
        <v>30</v>
      </c>
      <c r="E47" s="70"/>
      <c r="F47" s="70"/>
      <c r="G47" s="70"/>
      <c r="H47" s="70"/>
      <c r="I47" s="89" t="s">
        <v>31</v>
      </c>
      <c r="J47" s="70"/>
    </row>
    <row r="48" spans="1:13">
      <c r="A48" s="169">
        <v>18</v>
      </c>
      <c r="B48" s="68" t="s">
        <v>32</v>
      </c>
      <c r="C48" s="70" t="s">
        <v>196</v>
      </c>
      <c r="D48" s="17">
        <f>+D44/52</f>
        <v>1.7052918706846372</v>
      </c>
      <c r="E48" s="70"/>
      <c r="F48" s="70"/>
      <c r="G48" s="70"/>
      <c r="H48" s="70"/>
      <c r="I48" s="19">
        <f>+D44/52</f>
        <v>1.7052918706846372</v>
      </c>
      <c r="J48" s="70"/>
    </row>
    <row r="49" spans="1:11">
      <c r="A49" s="169">
        <v>19</v>
      </c>
      <c r="B49" s="68" t="s">
        <v>33</v>
      </c>
      <c r="C49" s="70" t="s">
        <v>238</v>
      </c>
      <c r="D49" s="17">
        <f>+D44/260</f>
        <v>0.34105837413692741</v>
      </c>
      <c r="E49" s="70" t="s">
        <v>34</v>
      </c>
      <c r="G49" s="70"/>
      <c r="H49" s="70"/>
      <c r="I49" s="19">
        <f>+D44/365</f>
        <v>0.24294569116603049</v>
      </c>
      <c r="J49" s="70"/>
    </row>
    <row r="50" spans="1:11">
      <c r="A50" s="169">
        <v>20</v>
      </c>
      <c r="B50" s="68" t="s">
        <v>35</v>
      </c>
      <c r="C50" s="70" t="s">
        <v>239</v>
      </c>
      <c r="D50" s="17">
        <f>+D44/4160*1000</f>
        <v>21.316148383557962</v>
      </c>
      <c r="E50" s="70" t="s">
        <v>36</v>
      </c>
      <c r="G50" s="70"/>
      <c r="H50" s="70"/>
      <c r="I50" s="19">
        <f>+D44/8760*1000</f>
        <v>10.122737131917937</v>
      </c>
      <c r="J50" s="70"/>
    </row>
    <row r="51" spans="1:11">
      <c r="A51" s="169"/>
      <c r="B51" s="68"/>
      <c r="C51" s="70" t="s">
        <v>37</v>
      </c>
      <c r="D51" s="70"/>
      <c r="E51" s="70" t="s">
        <v>38</v>
      </c>
      <c r="G51" s="70"/>
      <c r="H51" s="70"/>
      <c r="J51" s="70"/>
    </row>
    <row r="52" spans="1:11">
      <c r="A52" s="169"/>
      <c r="B52" s="68"/>
      <c r="C52" s="70"/>
      <c r="D52" s="70"/>
      <c r="E52" s="70"/>
      <c r="G52" s="70"/>
      <c r="H52" s="70"/>
      <c r="J52" s="70"/>
    </row>
    <row r="53" spans="1:11">
      <c r="A53" s="169">
        <v>21</v>
      </c>
      <c r="B53" s="68" t="s">
        <v>220</v>
      </c>
      <c r="C53" s="70" t="s">
        <v>193</v>
      </c>
      <c r="D53" s="2">
        <v>0</v>
      </c>
      <c r="E53" s="90" t="s">
        <v>39</v>
      </c>
      <c r="F53" s="90"/>
      <c r="G53" s="90"/>
      <c r="H53" s="90"/>
      <c r="I53" s="20">
        <f>D53</f>
        <v>0</v>
      </c>
      <c r="J53" s="90" t="s">
        <v>39</v>
      </c>
    </row>
    <row r="54" spans="1:11">
      <c r="A54" s="169">
        <v>22</v>
      </c>
      <c r="B54" s="68"/>
      <c r="C54" s="70"/>
      <c r="D54" s="2">
        <v>0</v>
      </c>
      <c r="E54" s="90" t="s">
        <v>40</v>
      </c>
      <c r="F54" s="90"/>
      <c r="G54" s="90"/>
      <c r="H54" s="90"/>
      <c r="I54" s="20">
        <f>D54</f>
        <v>0</v>
      </c>
      <c r="J54" s="90" t="s">
        <v>40</v>
      </c>
    </row>
    <row r="55" spans="1:11">
      <c r="A55" s="169"/>
      <c r="B55" s="68"/>
      <c r="C55" s="70"/>
      <c r="D55" s="91"/>
      <c r="E55" s="90"/>
      <c r="F55" s="90"/>
      <c r="G55" s="90"/>
      <c r="H55" s="90"/>
      <c r="I55" s="90"/>
      <c r="J55" s="90"/>
      <c r="K55" s="70"/>
    </row>
    <row r="56" spans="1:11">
      <c r="B56" s="68"/>
      <c r="C56" s="68"/>
      <c r="D56" s="69"/>
      <c r="E56" s="68"/>
      <c r="F56" s="68"/>
      <c r="G56" s="68"/>
      <c r="H56" s="70"/>
      <c r="I56" s="168"/>
      <c r="J56" s="168"/>
      <c r="K56" s="168"/>
    </row>
    <row r="57" spans="1:11">
      <c r="B57" s="68"/>
      <c r="C57" s="68"/>
      <c r="D57" s="69"/>
      <c r="E57" s="68"/>
      <c r="F57" s="68"/>
      <c r="G57" s="68"/>
      <c r="H57" s="70"/>
      <c r="I57" s="168"/>
      <c r="J57" s="168"/>
      <c r="K57" s="168"/>
    </row>
    <row r="58" spans="1:11">
      <c r="B58" s="68"/>
      <c r="C58" s="68"/>
      <c r="D58" s="69"/>
      <c r="E58" s="68"/>
      <c r="F58" s="68"/>
      <c r="G58" s="68"/>
      <c r="H58" s="70"/>
      <c r="I58" s="168"/>
      <c r="J58" s="168"/>
      <c r="K58" s="168"/>
    </row>
    <row r="59" spans="1:11">
      <c r="B59" s="68"/>
      <c r="C59" s="68"/>
      <c r="D59" s="69"/>
      <c r="E59" s="68"/>
      <c r="F59" s="68"/>
      <c r="G59" s="68"/>
      <c r="H59" s="70"/>
      <c r="I59" s="168"/>
      <c r="J59" s="168"/>
      <c r="K59" s="168"/>
    </row>
    <row r="60" spans="1:11">
      <c r="B60" s="68"/>
      <c r="C60" s="68"/>
      <c r="D60" s="69"/>
      <c r="E60" s="68"/>
      <c r="F60" s="68"/>
      <c r="G60" s="68"/>
      <c r="H60" s="70"/>
      <c r="I60" s="168"/>
      <c r="J60" s="168"/>
      <c r="K60" s="168"/>
    </row>
    <row r="61" spans="1:11">
      <c r="B61" s="68"/>
      <c r="C61" s="68"/>
      <c r="D61" s="69"/>
      <c r="E61" s="68"/>
      <c r="F61" s="68"/>
      <c r="G61" s="68"/>
      <c r="H61" s="70"/>
      <c r="I61" s="168"/>
      <c r="J61" s="168"/>
      <c r="K61" s="168"/>
    </row>
    <row r="62" spans="1:11">
      <c r="A62" s="169"/>
      <c r="B62" s="68"/>
      <c r="C62" s="70"/>
      <c r="D62" s="91"/>
      <c r="E62" s="90"/>
      <c r="F62" s="90"/>
      <c r="G62" s="90"/>
      <c r="H62" s="90"/>
      <c r="I62" s="90"/>
      <c r="J62" s="90"/>
      <c r="K62" s="70"/>
    </row>
    <row r="63" spans="1:11">
      <c r="A63" s="169"/>
      <c r="B63" s="68"/>
      <c r="C63" s="70"/>
      <c r="D63" s="91"/>
      <c r="E63" s="90"/>
      <c r="F63" s="90"/>
      <c r="G63" s="90"/>
      <c r="H63" s="90"/>
      <c r="I63" s="90"/>
      <c r="J63" s="90"/>
      <c r="K63" s="70"/>
    </row>
    <row r="64" spans="1:11">
      <c r="A64" s="169"/>
      <c r="B64" s="68"/>
      <c r="C64" s="70"/>
      <c r="D64" s="91"/>
      <c r="E64" s="90"/>
      <c r="F64" s="90"/>
      <c r="G64" s="90"/>
      <c r="H64" s="90"/>
      <c r="I64" s="90"/>
      <c r="J64" s="90"/>
      <c r="K64" s="70"/>
    </row>
    <row r="65" spans="1:11">
      <c r="A65" s="169"/>
      <c r="B65" s="68"/>
      <c r="C65" s="70"/>
      <c r="D65" s="91"/>
      <c r="E65" s="90"/>
      <c r="F65" s="90"/>
      <c r="G65" s="90"/>
      <c r="H65" s="90"/>
      <c r="I65" s="90"/>
      <c r="J65" s="90"/>
      <c r="K65" s="70"/>
    </row>
    <row r="66" spans="1:11">
      <c r="B66" s="68"/>
      <c r="C66" s="68"/>
      <c r="D66" s="69"/>
      <c r="E66" s="68"/>
      <c r="F66" s="68"/>
      <c r="G66" s="68"/>
      <c r="H66" s="70"/>
      <c r="I66" s="70"/>
      <c r="J66" s="71"/>
      <c r="K66" s="66" t="s">
        <v>318</v>
      </c>
    </row>
    <row r="67" spans="1:11">
      <c r="B67" s="70"/>
      <c r="C67" s="70"/>
      <c r="D67" s="70"/>
      <c r="E67" s="70"/>
      <c r="F67" s="70"/>
      <c r="G67" s="70"/>
      <c r="H67" s="70"/>
      <c r="I67" s="70"/>
      <c r="J67" s="182" t="s">
        <v>179</v>
      </c>
      <c r="K67" s="182"/>
    </row>
    <row r="68" spans="1:11">
      <c r="B68" s="70"/>
      <c r="C68" s="70"/>
      <c r="D68" s="70"/>
      <c r="E68" s="70"/>
      <c r="F68" s="70"/>
      <c r="G68" s="70"/>
      <c r="H68" s="70"/>
      <c r="I68" s="70"/>
      <c r="J68" s="168"/>
      <c r="K68" s="168"/>
    </row>
    <row r="69" spans="1:11">
      <c r="B69" s="10" t="str">
        <f>B4</f>
        <v xml:space="preserve">Formula Rate - Non-Levelized </v>
      </c>
      <c r="C69" s="68"/>
      <c r="D69" s="11" t="str">
        <f>D4</f>
        <v xml:space="preserve">     Rate Formula Template</v>
      </c>
      <c r="E69" s="68"/>
      <c r="F69" s="68"/>
      <c r="G69" s="68"/>
      <c r="H69" s="68"/>
      <c r="J69" s="68"/>
      <c r="K69" s="21" t="str">
        <f>K4</f>
        <v>For the 12 months ended 12/31/18</v>
      </c>
    </row>
    <row r="70" spans="1:11">
      <c r="B70" s="68"/>
      <c r="C70" s="71" t="s">
        <v>2</v>
      </c>
      <c r="D70" s="4" t="str">
        <f>D5</f>
        <v xml:space="preserve"> Utilizing RUS Form 12 Data</v>
      </c>
      <c r="E70" s="71"/>
      <c r="F70" s="71"/>
      <c r="G70" s="71"/>
      <c r="H70" s="71"/>
      <c r="I70" s="71"/>
      <c r="J70" s="71"/>
      <c r="K70" s="71"/>
    </row>
    <row r="71" spans="1:11">
      <c r="B71" s="68"/>
      <c r="C71" s="71" t="s">
        <v>2</v>
      </c>
      <c r="D71" s="71" t="s">
        <v>2</v>
      </c>
      <c r="E71" s="71"/>
      <c r="F71" s="71"/>
      <c r="G71" s="71" t="s">
        <v>2</v>
      </c>
      <c r="H71" s="71"/>
      <c r="I71" s="71"/>
      <c r="J71" s="71"/>
      <c r="K71" s="71"/>
    </row>
    <row r="72" spans="1:11">
      <c r="B72" s="68"/>
      <c r="C72" s="70"/>
      <c r="D72" s="4" t="str">
        <f>D7</f>
        <v>Dairyland Power Cooperative</v>
      </c>
      <c r="E72" s="71"/>
      <c r="F72" s="71"/>
      <c r="G72" s="71"/>
      <c r="H72" s="71"/>
      <c r="I72" s="71"/>
      <c r="J72" s="71"/>
      <c r="K72" s="71"/>
    </row>
    <row r="73" spans="1:11">
      <c r="B73" s="169" t="s">
        <v>41</v>
      </c>
      <c r="C73" s="169" t="s">
        <v>42</v>
      </c>
      <c r="D73" s="169" t="s">
        <v>43</v>
      </c>
      <c r="E73" s="71" t="s">
        <v>2</v>
      </c>
      <c r="F73" s="71"/>
      <c r="G73" s="92" t="s">
        <v>44</v>
      </c>
      <c r="H73" s="71"/>
      <c r="I73" s="92" t="s">
        <v>45</v>
      </c>
      <c r="J73" s="71"/>
      <c r="K73" s="70"/>
    </row>
    <row r="74" spans="1:11">
      <c r="B74" s="68"/>
      <c r="C74" s="93" t="s">
        <v>46</v>
      </c>
      <c r="D74" s="71"/>
      <c r="E74" s="71"/>
      <c r="F74" s="71"/>
      <c r="G74" s="169"/>
      <c r="H74" s="71"/>
      <c r="I74" s="94" t="s">
        <v>47</v>
      </c>
      <c r="J74" s="71"/>
      <c r="K74" s="70"/>
    </row>
    <row r="75" spans="1:11">
      <c r="A75" s="169" t="s">
        <v>4</v>
      </c>
      <c r="B75" s="68"/>
      <c r="C75" s="95" t="s">
        <v>48</v>
      </c>
      <c r="D75" s="94" t="s">
        <v>49</v>
      </c>
      <c r="E75" s="96"/>
      <c r="G75" s="94" t="s">
        <v>10</v>
      </c>
      <c r="H75" s="96"/>
      <c r="I75" s="169" t="s">
        <v>51</v>
      </c>
      <c r="J75" s="71"/>
      <c r="K75" s="70"/>
    </row>
    <row r="76" spans="1:11" ht="16.5" thickBot="1">
      <c r="A76" s="75" t="s">
        <v>6</v>
      </c>
      <c r="B76" s="97" t="s">
        <v>52</v>
      </c>
      <c r="C76" s="71"/>
      <c r="D76" s="71"/>
      <c r="E76" s="71"/>
      <c r="F76" s="71"/>
      <c r="G76" s="71"/>
      <c r="H76" s="71"/>
      <c r="I76" s="71"/>
      <c r="J76" s="71"/>
      <c r="K76" s="70"/>
    </row>
    <row r="77" spans="1:11">
      <c r="A77" s="169"/>
      <c r="B77" s="68" t="s">
        <v>322</v>
      </c>
      <c r="C77" s="71"/>
      <c r="D77" s="71"/>
      <c r="E77" s="71"/>
      <c r="F77" s="71"/>
      <c r="G77" s="71"/>
      <c r="H77" s="71"/>
      <c r="I77" s="71"/>
      <c r="J77" s="71"/>
      <c r="K77" s="70"/>
    </row>
    <row r="78" spans="1:11">
      <c r="A78" s="169">
        <v>1</v>
      </c>
      <c r="B78" s="68" t="s">
        <v>53</v>
      </c>
      <c r="C78" s="65" t="s">
        <v>54</v>
      </c>
      <c r="D78" s="55">
        <v>1053889842</v>
      </c>
      <c r="E78" s="71"/>
      <c r="F78" s="71" t="s">
        <v>55</v>
      </c>
      <c r="G78" s="98" t="s">
        <v>2</v>
      </c>
      <c r="H78" s="71"/>
      <c r="I78" s="71" t="s">
        <v>2</v>
      </c>
      <c r="J78" s="71"/>
      <c r="K78" s="70"/>
    </row>
    <row r="79" spans="1:11">
      <c r="A79" s="169">
        <v>2</v>
      </c>
      <c r="B79" s="68" t="s">
        <v>56</v>
      </c>
      <c r="C79" s="99" t="s">
        <v>365</v>
      </c>
      <c r="D79" s="55">
        <f>591604559-D80</f>
        <v>534204559</v>
      </c>
      <c r="E79" s="71"/>
      <c r="F79" s="71" t="s">
        <v>12</v>
      </c>
      <c r="G79" s="23">
        <f>I233</f>
        <v>0.99251834164897124</v>
      </c>
      <c r="H79" s="71"/>
      <c r="I79" s="4">
        <f>+G79*D79</f>
        <v>530207823</v>
      </c>
      <c r="J79" s="71"/>
    </row>
    <row r="80" spans="1:11">
      <c r="A80" s="169" t="s">
        <v>299</v>
      </c>
      <c r="B80" s="68" t="s">
        <v>302</v>
      </c>
      <c r="D80" s="55">
        <v>57400000</v>
      </c>
      <c r="E80" s="71"/>
      <c r="F80" s="71" t="s">
        <v>333</v>
      </c>
      <c r="G80" s="100">
        <v>1</v>
      </c>
      <c r="H80" s="71"/>
      <c r="I80" s="4">
        <f>+G80*D80</f>
        <v>57400000</v>
      </c>
      <c r="J80" s="71"/>
    </row>
    <row r="81" spans="1:10">
      <c r="A81" s="169" t="s">
        <v>344</v>
      </c>
      <c r="B81" s="68" t="s">
        <v>345</v>
      </c>
      <c r="D81" s="55">
        <v>0</v>
      </c>
      <c r="E81" s="71"/>
      <c r="F81" s="71" t="s">
        <v>333</v>
      </c>
      <c r="G81" s="100">
        <v>1</v>
      </c>
      <c r="H81" s="71"/>
      <c r="I81" s="4">
        <f>+G81*D81</f>
        <v>0</v>
      </c>
      <c r="J81" s="71"/>
    </row>
    <row r="82" spans="1:10">
      <c r="A82" s="169">
        <v>3</v>
      </c>
      <c r="B82" s="68" t="s">
        <v>57</v>
      </c>
      <c r="C82" s="65" t="s">
        <v>180</v>
      </c>
      <c r="D82" s="55">
        <v>96689971</v>
      </c>
      <c r="E82" s="71"/>
      <c r="F82" s="71" t="s">
        <v>55</v>
      </c>
      <c r="G82" s="100" t="s">
        <v>2</v>
      </c>
      <c r="H82" s="71"/>
      <c r="I82" s="71" t="s">
        <v>2</v>
      </c>
      <c r="J82" s="71"/>
    </row>
    <row r="83" spans="1:10">
      <c r="A83" s="169">
        <v>4</v>
      </c>
      <c r="B83" s="68" t="s">
        <v>58</v>
      </c>
      <c r="C83" s="65" t="s">
        <v>252</v>
      </c>
      <c r="D83" s="55">
        <v>87910625</v>
      </c>
      <c r="E83" s="71"/>
      <c r="F83" s="71" t="s">
        <v>59</v>
      </c>
      <c r="G83" s="23">
        <f>I241</f>
        <v>0.38443007109453292</v>
      </c>
      <c r="H83" s="71"/>
      <c r="I83" s="4">
        <f>+G83*D83</f>
        <v>33795487.81871482</v>
      </c>
      <c r="J83" s="71"/>
    </row>
    <row r="84" spans="1:10" ht="16.5" thickBot="1">
      <c r="A84" s="169">
        <v>5</v>
      </c>
      <c r="B84" s="68" t="s">
        <v>60</v>
      </c>
      <c r="C84" s="71"/>
      <c r="D84" s="54">
        <v>0</v>
      </c>
      <c r="E84" s="71"/>
      <c r="F84" s="71" t="s">
        <v>61</v>
      </c>
      <c r="G84" s="23">
        <f>K245</f>
        <v>0.38443007109453292</v>
      </c>
      <c r="H84" s="71"/>
      <c r="I84" s="15">
        <f>+G84*D84</f>
        <v>0</v>
      </c>
      <c r="J84" s="71"/>
    </row>
    <row r="85" spans="1:10">
      <c r="A85" s="169">
        <v>6</v>
      </c>
      <c r="B85" s="68" t="s">
        <v>223</v>
      </c>
      <c r="C85" s="71"/>
      <c r="D85" s="4">
        <f>SUM(D78:D84)</f>
        <v>1830094997</v>
      </c>
      <c r="E85" s="71"/>
      <c r="F85" s="71" t="s">
        <v>62</v>
      </c>
      <c r="G85" s="24">
        <f>IF(I85&gt;0,I85/D85,0)</f>
        <v>0.33954702451914021</v>
      </c>
      <c r="H85" s="71"/>
      <c r="I85" s="4">
        <f>SUM(I78:I84)</f>
        <v>621403310.81871486</v>
      </c>
      <c r="J85" s="71"/>
    </row>
    <row r="86" spans="1:10">
      <c r="B86" s="68"/>
      <c r="C86" s="71"/>
      <c r="D86" s="71"/>
      <c r="E86" s="71"/>
      <c r="F86" s="71"/>
      <c r="G86" s="101"/>
      <c r="H86" s="71"/>
      <c r="I86" s="71"/>
      <c r="J86" s="71"/>
    </row>
    <row r="87" spans="1:10">
      <c r="B87" s="68" t="s">
        <v>323</v>
      </c>
      <c r="C87" s="71"/>
      <c r="D87" s="71"/>
      <c r="E87" s="71"/>
      <c r="F87" s="71"/>
      <c r="G87" s="71"/>
      <c r="H87" s="71"/>
      <c r="I87" s="71"/>
      <c r="J87" s="71"/>
    </row>
    <row r="88" spans="1:10">
      <c r="A88" s="169">
        <v>7</v>
      </c>
      <c r="B88" s="10" t="str">
        <f>+B78</f>
        <v xml:space="preserve">  Production</v>
      </c>
      <c r="C88" s="65" t="s">
        <v>181</v>
      </c>
      <c r="D88" s="55">
        <v>432627598</v>
      </c>
      <c r="E88" s="71"/>
      <c r="F88" s="4" t="str">
        <f>+F78</f>
        <v>NA</v>
      </c>
      <c r="G88" s="22" t="str">
        <f>+G78</f>
        <v xml:space="preserve"> </v>
      </c>
      <c r="H88" s="71"/>
      <c r="I88" s="71" t="s">
        <v>2</v>
      </c>
      <c r="J88" s="71"/>
    </row>
    <row r="89" spans="1:10">
      <c r="A89" s="169">
        <v>8</v>
      </c>
      <c r="B89" s="10" t="str">
        <f>+B79</f>
        <v xml:space="preserve">  Transmission</v>
      </c>
      <c r="C89" s="99" t="s">
        <v>366</v>
      </c>
      <c r="D89" s="55">
        <f>183344995-4422568</f>
        <v>178922427</v>
      </c>
      <c r="E89" s="71"/>
      <c r="F89" s="4" t="str">
        <f>+F79</f>
        <v>TP</v>
      </c>
      <c r="G89" s="22">
        <f>I233</f>
        <v>0.99251834164897124</v>
      </c>
      <c r="H89" s="71"/>
      <c r="I89" s="4">
        <f>+G89*D89</f>
        <v>177583790.52984911</v>
      </c>
      <c r="J89" s="71"/>
    </row>
    <row r="90" spans="1:10">
      <c r="A90" s="169" t="s">
        <v>300</v>
      </c>
      <c r="B90" s="68" t="s">
        <v>302</v>
      </c>
      <c r="D90" s="55">
        <v>4422568</v>
      </c>
      <c r="E90" s="71"/>
      <c r="F90" s="71" t="s">
        <v>333</v>
      </c>
      <c r="G90" s="98">
        <v>1</v>
      </c>
      <c r="H90" s="71"/>
      <c r="I90" s="4">
        <f>+G90*D90</f>
        <v>4422568</v>
      </c>
      <c r="J90" s="71"/>
    </row>
    <row r="91" spans="1:10">
      <c r="A91" s="169" t="s">
        <v>346</v>
      </c>
      <c r="B91" s="68" t="s">
        <v>345</v>
      </c>
      <c r="D91" s="55">
        <v>0</v>
      </c>
      <c r="E91" s="71"/>
      <c r="F91" s="71" t="s">
        <v>333</v>
      </c>
      <c r="G91" s="98">
        <v>1</v>
      </c>
      <c r="H91" s="71"/>
      <c r="I91" s="4">
        <f>+G91*D91</f>
        <v>0</v>
      </c>
      <c r="J91" s="71"/>
    </row>
    <row r="92" spans="1:10">
      <c r="A92" s="169">
        <v>9</v>
      </c>
      <c r="B92" s="10" t="str">
        <f>+B82</f>
        <v xml:space="preserve">  Distribution</v>
      </c>
      <c r="C92" s="99" t="s">
        <v>182</v>
      </c>
      <c r="D92" s="55">
        <v>24384053</v>
      </c>
      <c r="E92" s="71"/>
      <c r="F92" s="4" t="str">
        <f t="shared" ref="F92:G94" si="0">+F82</f>
        <v>NA</v>
      </c>
      <c r="G92" s="22" t="str">
        <f t="shared" si="0"/>
        <v xml:space="preserve"> </v>
      </c>
      <c r="H92" s="71"/>
      <c r="I92" s="71" t="s">
        <v>2</v>
      </c>
      <c r="J92" s="71"/>
    </row>
    <row r="93" spans="1:10">
      <c r="A93" s="169">
        <v>10</v>
      </c>
      <c r="B93" s="10" t="str">
        <f>+B83</f>
        <v xml:space="preserve">  General &amp; Intangible</v>
      </c>
      <c r="C93" s="99" t="s">
        <v>271</v>
      </c>
      <c r="D93" s="55">
        <v>48127935</v>
      </c>
      <c r="E93" s="71"/>
      <c r="F93" s="4" t="str">
        <f t="shared" si="0"/>
        <v>W/S</v>
      </c>
      <c r="G93" s="22">
        <f t="shared" si="0"/>
        <v>0.38443007109453292</v>
      </c>
      <c r="H93" s="71"/>
      <c r="I93" s="4">
        <f>+G93*D93</f>
        <v>18501825.473683059</v>
      </c>
      <c r="J93" s="71"/>
    </row>
    <row r="94" spans="1:10" ht="16.5" thickBot="1">
      <c r="A94" s="169">
        <v>11</v>
      </c>
      <c r="B94" s="10" t="str">
        <f>+B84</f>
        <v xml:space="preserve">  Common</v>
      </c>
      <c r="C94" s="102"/>
      <c r="D94" s="56">
        <v>0</v>
      </c>
      <c r="E94" s="71"/>
      <c r="F94" s="4" t="str">
        <f t="shared" si="0"/>
        <v>CE</v>
      </c>
      <c r="G94" s="22">
        <f t="shared" si="0"/>
        <v>0.38443007109453292</v>
      </c>
      <c r="H94" s="71"/>
      <c r="I94" s="15">
        <f>+G94*D94</f>
        <v>0</v>
      </c>
      <c r="J94" s="71"/>
    </row>
    <row r="95" spans="1:10">
      <c r="A95" s="169">
        <v>12</v>
      </c>
      <c r="B95" s="68" t="s">
        <v>224</v>
      </c>
      <c r="C95" s="71"/>
      <c r="D95" s="4">
        <f>SUM(D88:D94)</f>
        <v>688484581</v>
      </c>
      <c r="E95" s="71"/>
      <c r="F95" s="71"/>
      <c r="G95" s="71"/>
      <c r="H95" s="71"/>
      <c r="I95" s="4">
        <f>SUM(I88:I94)</f>
        <v>200508184.00353217</v>
      </c>
      <c r="J95" s="71"/>
    </row>
    <row r="96" spans="1:10">
      <c r="A96" s="169"/>
      <c r="C96" s="71" t="s">
        <v>2</v>
      </c>
      <c r="E96" s="71"/>
      <c r="F96" s="71"/>
      <c r="G96" s="101"/>
      <c r="H96" s="71"/>
      <c r="J96" s="71"/>
    </row>
    <row r="97" spans="1:12">
      <c r="A97" s="169"/>
      <c r="B97" s="68" t="s">
        <v>63</v>
      </c>
      <c r="C97" s="71"/>
      <c r="D97" s="71"/>
      <c r="E97" s="71"/>
      <c r="F97" s="71"/>
      <c r="G97" s="71"/>
      <c r="H97" s="71"/>
      <c r="I97" s="71"/>
      <c r="J97" s="71"/>
    </row>
    <row r="98" spans="1:12">
      <c r="A98" s="169">
        <v>13</v>
      </c>
      <c r="B98" s="10" t="str">
        <f>+B88</f>
        <v xml:space="preserve">  Production</v>
      </c>
      <c r="C98" s="71" t="s">
        <v>198</v>
      </c>
      <c r="D98" s="4">
        <f t="shared" ref="D98:D104" si="1">D78-D88</f>
        <v>621262244</v>
      </c>
      <c r="E98" s="71"/>
      <c r="F98" s="71"/>
      <c r="G98" s="101"/>
      <c r="H98" s="71"/>
      <c r="I98" s="71" t="s">
        <v>2</v>
      </c>
      <c r="J98" s="71"/>
    </row>
    <row r="99" spans="1:12">
      <c r="A99" s="169">
        <v>14</v>
      </c>
      <c r="B99" s="10" t="str">
        <f>+B89</f>
        <v xml:space="preserve">  Transmission</v>
      </c>
      <c r="C99" s="71" t="s">
        <v>199</v>
      </c>
      <c r="D99" s="4">
        <f t="shared" si="1"/>
        <v>355282132</v>
      </c>
      <c r="E99" s="71"/>
      <c r="F99" s="71"/>
      <c r="G99" s="98"/>
      <c r="H99" s="71"/>
      <c r="I99" s="4">
        <f>I79-I89</f>
        <v>352624032.47015089</v>
      </c>
      <c r="J99" s="71"/>
    </row>
    <row r="100" spans="1:12">
      <c r="A100" s="169" t="s">
        <v>301</v>
      </c>
      <c r="B100" s="68" t="s">
        <v>332</v>
      </c>
      <c r="C100" s="71"/>
      <c r="D100" s="4">
        <f t="shared" si="1"/>
        <v>52977432</v>
      </c>
      <c r="E100" s="71"/>
      <c r="F100" s="71"/>
      <c r="G100" s="98"/>
      <c r="H100" s="71"/>
      <c r="I100" s="4">
        <f>I80-I90</f>
        <v>52977432</v>
      </c>
      <c r="J100" s="71"/>
    </row>
    <row r="101" spans="1:12" s="67" customFormat="1">
      <c r="A101" s="169" t="s">
        <v>347</v>
      </c>
      <c r="B101" s="68" t="s">
        <v>359</v>
      </c>
      <c r="C101" s="71"/>
      <c r="D101" s="4">
        <f t="shared" si="1"/>
        <v>0</v>
      </c>
      <c r="E101" s="71"/>
      <c r="F101" s="71"/>
      <c r="G101" s="98"/>
      <c r="H101" s="71"/>
      <c r="I101" s="4">
        <f>I81-I91</f>
        <v>0</v>
      </c>
      <c r="J101" s="103"/>
      <c r="L101" s="65"/>
    </row>
    <row r="102" spans="1:12">
      <c r="A102" s="169">
        <v>15</v>
      </c>
      <c r="B102" s="10" t="str">
        <f>+B92</f>
        <v xml:space="preserve">  Distribution</v>
      </c>
      <c r="C102" s="71" t="s">
        <v>200</v>
      </c>
      <c r="D102" s="4">
        <f t="shared" si="1"/>
        <v>72305918</v>
      </c>
      <c r="E102" s="71"/>
      <c r="F102" s="71"/>
      <c r="G102" s="101"/>
      <c r="H102" s="71"/>
      <c r="I102" s="71" t="s">
        <v>2</v>
      </c>
      <c r="J102" s="71"/>
    </row>
    <row r="103" spans="1:12">
      <c r="A103" s="169">
        <v>16</v>
      </c>
      <c r="B103" s="10" t="str">
        <f>+B93</f>
        <v xml:space="preserve">  General &amp; Intangible</v>
      </c>
      <c r="C103" s="71" t="s">
        <v>201</v>
      </c>
      <c r="D103" s="4">
        <f t="shared" si="1"/>
        <v>39782690</v>
      </c>
      <c r="E103" s="71"/>
      <c r="F103" s="71"/>
      <c r="G103" s="101"/>
      <c r="H103" s="71"/>
      <c r="I103" s="4">
        <f>I83-I93</f>
        <v>15293662.345031761</v>
      </c>
      <c r="J103" s="71"/>
    </row>
    <row r="104" spans="1:12" ht="16.5" thickBot="1">
      <c r="A104" s="169">
        <v>17</v>
      </c>
      <c r="B104" s="10" t="str">
        <f>+B94</f>
        <v xml:space="preserve">  Common</v>
      </c>
      <c r="C104" s="71" t="s">
        <v>202</v>
      </c>
      <c r="D104" s="15">
        <f t="shared" si="1"/>
        <v>0</v>
      </c>
      <c r="E104" s="71"/>
      <c r="F104" s="71"/>
      <c r="G104" s="101"/>
      <c r="H104" s="71"/>
      <c r="I104" s="15">
        <f>I84-I94</f>
        <v>0</v>
      </c>
      <c r="J104" s="71"/>
    </row>
    <row r="105" spans="1:12">
      <c r="A105" s="169">
        <v>18</v>
      </c>
      <c r="B105" s="68" t="s">
        <v>225</v>
      </c>
      <c r="C105" s="71"/>
      <c r="D105" s="4">
        <f>SUM(D98:D104)</f>
        <v>1141610416</v>
      </c>
      <c r="E105" s="71"/>
      <c r="F105" s="71" t="s">
        <v>64</v>
      </c>
      <c r="G105" s="24">
        <f>IF(I105&gt;0,I105/D105,0)</f>
        <v>0.36868542973698887</v>
      </c>
      <c r="H105" s="71"/>
      <c r="I105" s="4">
        <f>SUM(I98:I104)</f>
        <v>420895126.81518263</v>
      </c>
      <c r="J105" s="71"/>
    </row>
    <row r="106" spans="1:12">
      <c r="A106" s="169"/>
      <c r="C106" s="71"/>
      <c r="E106" s="71"/>
      <c r="H106" s="71"/>
      <c r="J106" s="71"/>
    </row>
    <row r="107" spans="1:12">
      <c r="A107" s="169"/>
      <c r="B107" s="68" t="s">
        <v>324</v>
      </c>
      <c r="C107" s="71"/>
      <c r="D107" s="71"/>
      <c r="E107" s="71"/>
      <c r="F107" s="71"/>
      <c r="G107" s="71"/>
      <c r="H107" s="71"/>
      <c r="I107" s="71"/>
      <c r="J107" s="71"/>
    </row>
    <row r="108" spans="1:12">
      <c r="A108" s="169">
        <v>19</v>
      </c>
      <c r="B108" s="68" t="s">
        <v>65</v>
      </c>
      <c r="C108" s="71"/>
      <c r="D108" s="58">
        <v>0</v>
      </c>
      <c r="E108" s="71"/>
      <c r="F108" s="71"/>
      <c r="G108" s="104" t="s">
        <v>169</v>
      </c>
      <c r="H108" s="71"/>
      <c r="I108" s="71">
        <v>0</v>
      </c>
      <c r="J108" s="71"/>
    </row>
    <row r="109" spans="1:12">
      <c r="A109" s="169">
        <v>20</v>
      </c>
      <c r="B109" s="68" t="s">
        <v>67</v>
      </c>
      <c r="C109" s="71"/>
      <c r="D109" s="58">
        <v>0</v>
      </c>
      <c r="E109" s="71"/>
      <c r="F109" s="71" t="s">
        <v>66</v>
      </c>
      <c r="G109" s="22">
        <f>+G105</f>
        <v>0.36868542973698887</v>
      </c>
      <c r="H109" s="71"/>
      <c r="I109" s="4">
        <f t="shared" ref="I109:I114" si="2">D109*G109</f>
        <v>0</v>
      </c>
      <c r="J109" s="71"/>
    </row>
    <row r="110" spans="1:12">
      <c r="A110" s="169">
        <v>21</v>
      </c>
      <c r="B110" s="68" t="s">
        <v>68</v>
      </c>
      <c r="C110" s="71"/>
      <c r="D110" s="55">
        <v>0</v>
      </c>
      <c r="E110" s="71"/>
      <c r="F110" s="71" t="s">
        <v>66</v>
      </c>
      <c r="G110" s="22">
        <f>+G109</f>
        <v>0.36868542973698887</v>
      </c>
      <c r="H110" s="71"/>
      <c r="I110" s="4">
        <f t="shared" si="2"/>
        <v>0</v>
      </c>
      <c r="J110" s="71"/>
    </row>
    <row r="111" spans="1:12">
      <c r="A111" s="169">
        <v>22</v>
      </c>
      <c r="B111" s="68" t="s">
        <v>69</v>
      </c>
      <c r="C111" s="71"/>
      <c r="D111" s="55">
        <v>0</v>
      </c>
      <c r="E111" s="71"/>
      <c r="F111" s="4" t="str">
        <f>+F110</f>
        <v>NP</v>
      </c>
      <c r="G111" s="22">
        <f>+G110</f>
        <v>0.36868542973698887</v>
      </c>
      <c r="H111" s="71"/>
      <c r="I111" s="4">
        <f t="shared" si="2"/>
        <v>0</v>
      </c>
      <c r="J111" s="71"/>
    </row>
    <row r="112" spans="1:12">
      <c r="A112" s="169">
        <v>23</v>
      </c>
      <c r="B112" s="65" t="s">
        <v>70</v>
      </c>
      <c r="C112" s="71"/>
      <c r="D112" s="55">
        <v>0</v>
      </c>
      <c r="E112" s="71"/>
      <c r="F112" s="4" t="str">
        <f>+F111</f>
        <v>NP</v>
      </c>
      <c r="G112" s="22">
        <f>+G111</f>
        <v>0.36868542973698887</v>
      </c>
      <c r="H112" s="71"/>
      <c r="I112" s="4">
        <f t="shared" si="2"/>
        <v>0</v>
      </c>
      <c r="J112" s="71"/>
    </row>
    <row r="113" spans="1:12">
      <c r="A113" s="169" t="s">
        <v>307</v>
      </c>
      <c r="B113" s="68" t="s">
        <v>308</v>
      </c>
      <c r="D113" s="55">
        <v>0</v>
      </c>
      <c r="E113" s="71"/>
      <c r="F113" s="71" t="s">
        <v>333</v>
      </c>
      <c r="G113" s="98">
        <v>1</v>
      </c>
      <c r="H113" s="71"/>
      <c r="I113" s="27">
        <f t="shared" si="2"/>
        <v>0</v>
      </c>
      <c r="J113" s="71"/>
    </row>
    <row r="114" spans="1:12" s="67" customFormat="1" ht="16.5" thickBot="1">
      <c r="A114" s="106" t="s">
        <v>358</v>
      </c>
      <c r="B114" s="107" t="s">
        <v>348</v>
      </c>
      <c r="C114" s="99"/>
      <c r="D114" s="57">
        <v>0</v>
      </c>
      <c r="E114" s="102"/>
      <c r="F114" s="102" t="s">
        <v>333</v>
      </c>
      <c r="G114" s="100">
        <v>1</v>
      </c>
      <c r="H114" s="102"/>
      <c r="I114" s="28">
        <f t="shared" si="2"/>
        <v>0</v>
      </c>
      <c r="J114" s="103"/>
      <c r="L114" s="65"/>
    </row>
    <row r="115" spans="1:12">
      <c r="A115" s="169">
        <v>24</v>
      </c>
      <c r="B115" s="68" t="s">
        <v>367</v>
      </c>
      <c r="C115" s="71"/>
      <c r="D115" s="4">
        <f>SUM(D108:D114)</f>
        <v>0</v>
      </c>
      <c r="E115" s="71"/>
      <c r="F115" s="71"/>
      <c r="G115" s="71"/>
      <c r="H115" s="71"/>
      <c r="I115" s="4">
        <f>SUM(I108:I114)</f>
        <v>0</v>
      </c>
      <c r="J115" s="71"/>
    </row>
    <row r="116" spans="1:12">
      <c r="A116" s="169"/>
      <c r="C116" s="71"/>
      <c r="E116" s="71"/>
      <c r="F116" s="71"/>
      <c r="G116" s="101"/>
      <c r="H116" s="71"/>
      <c r="J116" s="71"/>
    </row>
    <row r="117" spans="1:12">
      <c r="A117" s="169">
        <v>25</v>
      </c>
      <c r="B117" s="68" t="s">
        <v>71</v>
      </c>
      <c r="C117" s="71" t="s">
        <v>325</v>
      </c>
      <c r="D117" s="58">
        <v>55241</v>
      </c>
      <c r="E117" s="71"/>
      <c r="F117" s="4" t="str">
        <f>+F89</f>
        <v>TP</v>
      </c>
      <c r="G117" s="22">
        <f>+G89</f>
        <v>0.99251834164897124</v>
      </c>
      <c r="H117" s="71"/>
      <c r="I117" s="4">
        <f>+G117*D117</f>
        <v>54827.705711030823</v>
      </c>
      <c r="J117" s="71"/>
    </row>
    <row r="118" spans="1:12">
      <c r="A118" s="169"/>
      <c r="B118" s="68"/>
      <c r="C118" s="71"/>
      <c r="D118" s="71"/>
      <c r="E118" s="71"/>
      <c r="F118" s="71"/>
      <c r="G118" s="71"/>
      <c r="H118" s="71"/>
      <c r="I118" s="71"/>
      <c r="J118" s="71"/>
    </row>
    <row r="119" spans="1:12">
      <c r="A119" s="169"/>
      <c r="B119" s="68" t="s">
        <v>163</v>
      </c>
      <c r="D119" s="71"/>
      <c r="E119" s="71"/>
      <c r="F119" s="71"/>
      <c r="G119" s="71"/>
      <c r="H119" s="71"/>
      <c r="I119" s="71"/>
      <c r="J119" s="71"/>
    </row>
    <row r="120" spans="1:12">
      <c r="A120" s="169">
        <v>26</v>
      </c>
      <c r="B120" s="68" t="s">
        <v>164</v>
      </c>
      <c r="C120" s="71" t="s">
        <v>72</v>
      </c>
      <c r="D120" s="4">
        <f>D155/8</f>
        <v>6240847.375</v>
      </c>
      <c r="E120" s="71"/>
      <c r="F120" s="71"/>
      <c r="G120" s="101"/>
      <c r="H120" s="71"/>
      <c r="I120" s="4">
        <f>I155/8</f>
        <v>4005386.4386104192</v>
      </c>
      <c r="J120" s="71"/>
    </row>
    <row r="121" spans="1:12">
      <c r="A121" s="169">
        <v>27</v>
      </c>
      <c r="B121" s="68" t="s">
        <v>73</v>
      </c>
      <c r="C121" s="65" t="s">
        <v>326</v>
      </c>
      <c r="D121" s="58">
        <v>7200000</v>
      </c>
      <c r="E121" s="71"/>
      <c r="F121" s="71" t="s">
        <v>74</v>
      </c>
      <c r="G121" s="23">
        <f>I234</f>
        <v>0.9486416429377833</v>
      </c>
      <c r="H121" s="71"/>
      <c r="I121" s="5">
        <f>+G121*D121</f>
        <v>6830219.8291520402</v>
      </c>
      <c r="J121" s="102" t="s">
        <v>2</v>
      </c>
    </row>
    <row r="122" spans="1:12" ht="16.5" thickBot="1">
      <c r="A122" s="169">
        <v>28</v>
      </c>
      <c r="B122" s="68" t="s">
        <v>75</v>
      </c>
      <c r="C122" s="65" t="s">
        <v>327</v>
      </c>
      <c r="D122" s="58">
        <v>5100000</v>
      </c>
      <c r="E122" s="71"/>
      <c r="F122" s="71" t="s">
        <v>76</v>
      </c>
      <c r="G122" s="22">
        <f>+G85</f>
        <v>0.33954702451914021</v>
      </c>
      <c r="H122" s="71"/>
      <c r="I122" s="28">
        <f>+G122*D122</f>
        <v>1731689.825047615</v>
      </c>
      <c r="J122" s="108"/>
    </row>
    <row r="123" spans="1:12">
      <c r="A123" s="169">
        <v>29</v>
      </c>
      <c r="B123" s="68" t="s">
        <v>226</v>
      </c>
      <c r="C123" s="70"/>
      <c r="D123" s="4">
        <f>D120+D121+D122</f>
        <v>18540847.375</v>
      </c>
      <c r="E123" s="70"/>
      <c r="F123" s="70"/>
      <c r="G123" s="70"/>
      <c r="H123" s="70"/>
      <c r="I123" s="5">
        <f>I120+I121+I122</f>
        <v>12567296.092810076</v>
      </c>
      <c r="J123" s="102"/>
    </row>
    <row r="124" spans="1:12" ht="16.5" thickBot="1">
      <c r="C124" s="71"/>
      <c r="D124" s="109"/>
      <c r="E124" s="71"/>
      <c r="F124" s="71"/>
      <c r="G124" s="71"/>
      <c r="H124" s="71"/>
      <c r="I124" s="110"/>
      <c r="J124" s="71"/>
    </row>
    <row r="125" spans="1:12" ht="16.5" thickBot="1">
      <c r="A125" s="169">
        <v>30</v>
      </c>
      <c r="B125" s="107" t="s">
        <v>368</v>
      </c>
      <c r="C125" s="102"/>
      <c r="D125" s="29">
        <f>+D123+D117+D115+D105-D100-D101-D113</f>
        <v>1107229072.375</v>
      </c>
      <c r="E125" s="71"/>
      <c r="F125" s="71"/>
      <c r="G125" s="101"/>
      <c r="H125" s="71"/>
      <c r="I125" s="29">
        <f>+I123+I117+I115+I105-I100-I101-I113-I114</f>
        <v>380539818.61370373</v>
      </c>
      <c r="J125" s="71"/>
    </row>
    <row r="126" spans="1:12" ht="16.5" thickTop="1">
      <c r="A126" s="169"/>
      <c r="B126" s="107"/>
      <c r="C126" s="102"/>
      <c r="D126" s="71"/>
      <c r="E126" s="71"/>
      <c r="F126" s="71"/>
      <c r="G126" s="71"/>
      <c r="H126" s="71"/>
      <c r="I126" s="71"/>
      <c r="J126" s="71"/>
    </row>
    <row r="127" spans="1:12" ht="16.5" thickBot="1">
      <c r="A127" s="169" t="s">
        <v>245</v>
      </c>
      <c r="B127" s="107" t="s">
        <v>369</v>
      </c>
      <c r="C127" s="102"/>
      <c r="D127" s="30">
        <f>+D100+D113</f>
        <v>52977432</v>
      </c>
      <c r="E127" s="71"/>
      <c r="F127" s="71"/>
      <c r="G127" s="71"/>
      <c r="H127" s="71"/>
      <c r="I127" s="30">
        <f>+I100+I113</f>
        <v>52977432</v>
      </c>
      <c r="J127" s="71"/>
    </row>
    <row r="128" spans="1:12" ht="16.5" thickTop="1">
      <c r="A128" s="169"/>
      <c r="B128" s="107"/>
      <c r="C128" s="102"/>
      <c r="D128" s="71"/>
      <c r="E128" s="71"/>
      <c r="F128" s="71"/>
      <c r="G128" s="71"/>
      <c r="H128" s="71"/>
      <c r="I128" s="71"/>
      <c r="J128" s="71"/>
    </row>
    <row r="129" spans="1:13" ht="16.5" thickBot="1">
      <c r="A129" s="169" t="s">
        <v>349</v>
      </c>
      <c r="B129" s="107" t="s">
        <v>364</v>
      </c>
      <c r="C129" s="102"/>
      <c r="D129" s="30">
        <f>D101+D114</f>
        <v>0</v>
      </c>
      <c r="E129" s="71"/>
      <c r="F129" s="71"/>
      <c r="G129" s="71"/>
      <c r="H129" s="71"/>
      <c r="I129" s="30">
        <f>I101+I114</f>
        <v>0</v>
      </c>
      <c r="J129" s="103"/>
    </row>
    <row r="130" spans="1:13" ht="16.5" thickTop="1">
      <c r="A130" s="169"/>
      <c r="B130" s="68"/>
      <c r="C130" s="71"/>
      <c r="D130" s="71"/>
      <c r="E130" s="71"/>
      <c r="F130" s="71"/>
      <c r="G130" s="71"/>
      <c r="H130" s="71"/>
      <c r="I130" s="71"/>
      <c r="J130" s="71"/>
      <c r="K130" s="71"/>
    </row>
    <row r="131" spans="1:13">
      <c r="A131" s="169"/>
      <c r="B131" s="68"/>
      <c r="C131" s="71"/>
      <c r="D131" s="71"/>
      <c r="E131" s="71"/>
      <c r="F131" s="71"/>
      <c r="G131" s="71"/>
      <c r="H131" s="71"/>
      <c r="I131" s="71"/>
      <c r="J131" s="71"/>
      <c r="K131" s="71"/>
    </row>
    <row r="132" spans="1:13">
      <c r="A132" s="169"/>
      <c r="B132" s="68"/>
      <c r="C132" s="71"/>
      <c r="D132" s="71"/>
      <c r="E132" s="71"/>
      <c r="F132" s="71"/>
      <c r="G132" s="71"/>
      <c r="H132" s="71"/>
      <c r="I132" s="71"/>
      <c r="J132" s="71"/>
      <c r="K132" s="71"/>
    </row>
    <row r="133" spans="1:13">
      <c r="A133" s="169"/>
      <c r="B133" s="68"/>
      <c r="C133" s="71"/>
      <c r="D133" s="71"/>
      <c r="E133" s="71"/>
      <c r="F133" s="71"/>
      <c r="G133" s="71"/>
      <c r="H133" s="71"/>
      <c r="I133" s="71"/>
      <c r="J133" s="71"/>
      <c r="K133" s="71"/>
    </row>
    <row r="134" spans="1:13">
      <c r="A134" s="169"/>
      <c r="B134" s="68"/>
      <c r="C134" s="71"/>
      <c r="D134" s="71"/>
      <c r="E134" s="71"/>
      <c r="F134" s="71"/>
      <c r="G134" s="71"/>
      <c r="H134" s="71"/>
      <c r="I134" s="71"/>
      <c r="J134" s="71"/>
      <c r="K134" s="71"/>
    </row>
    <row r="135" spans="1:13">
      <c r="A135" s="169"/>
      <c r="B135" s="68"/>
      <c r="C135" s="71"/>
      <c r="D135" s="71"/>
      <c r="E135" s="71"/>
      <c r="F135" s="71"/>
      <c r="G135" s="71"/>
      <c r="H135" s="71"/>
      <c r="I135" s="71"/>
      <c r="J135" s="71"/>
      <c r="K135" s="66" t="s">
        <v>318</v>
      </c>
    </row>
    <row r="136" spans="1:13">
      <c r="B136" s="68"/>
      <c r="C136" s="68"/>
      <c r="D136" s="69"/>
      <c r="E136" s="68"/>
      <c r="F136" s="68"/>
      <c r="G136" s="68"/>
      <c r="H136" s="70"/>
      <c r="I136" s="70"/>
      <c r="J136" s="182" t="s">
        <v>190</v>
      </c>
      <c r="K136" s="182"/>
    </row>
    <row r="137" spans="1:13">
      <c r="A137" s="169"/>
      <c r="B137" s="68"/>
      <c r="C137" s="71"/>
      <c r="D137" s="71"/>
      <c r="E137" s="71"/>
      <c r="F137" s="71"/>
      <c r="G137" s="71"/>
      <c r="H137" s="71"/>
      <c r="I137" s="71"/>
      <c r="J137" s="71"/>
      <c r="K137" s="71"/>
    </row>
    <row r="138" spans="1:13">
      <c r="A138" s="169"/>
      <c r="B138" s="10" t="str">
        <f>B4</f>
        <v xml:space="preserve">Formula Rate - Non-Levelized </v>
      </c>
      <c r="C138" s="71"/>
      <c r="D138" s="4" t="str">
        <f>D4</f>
        <v xml:space="preserve">     Rate Formula Template</v>
      </c>
      <c r="E138" s="71"/>
      <c r="F138" s="71"/>
      <c r="G138" s="71"/>
      <c r="H138" s="71"/>
      <c r="J138" s="71"/>
      <c r="K138" s="31" t="str">
        <f>K4</f>
        <v>For the 12 months ended 12/31/18</v>
      </c>
    </row>
    <row r="139" spans="1:13">
      <c r="A139" s="169"/>
      <c r="B139" s="68"/>
      <c r="C139" s="71"/>
      <c r="D139" s="4" t="str">
        <f>D5</f>
        <v xml:space="preserve"> Utilizing RUS Form 12 Data</v>
      </c>
      <c r="E139" s="71"/>
      <c r="F139" s="71"/>
      <c r="G139" s="71"/>
      <c r="H139" s="71"/>
      <c r="I139" s="71"/>
      <c r="J139" s="71"/>
      <c r="K139" s="71"/>
    </row>
    <row r="140" spans="1:13">
      <c r="A140" s="169"/>
      <c r="C140" s="71"/>
      <c r="D140" s="71"/>
      <c r="E140" s="71"/>
      <c r="F140" s="71"/>
      <c r="G140" s="71"/>
      <c r="H140" s="71"/>
      <c r="I140" s="71"/>
      <c r="J140" s="71"/>
      <c r="K140" s="71"/>
    </row>
    <row r="141" spans="1:13">
      <c r="A141" s="169"/>
      <c r="D141" s="8" t="str">
        <f>D7</f>
        <v>Dairyland Power Cooperative</v>
      </c>
      <c r="J141" s="71"/>
      <c r="K141" s="71"/>
    </row>
    <row r="142" spans="1:13">
      <c r="A142" s="169"/>
      <c r="B142" s="169" t="s">
        <v>41</v>
      </c>
      <c r="C142" s="169" t="s">
        <v>42</v>
      </c>
      <c r="D142" s="169" t="s">
        <v>43</v>
      </c>
      <c r="E142" s="71" t="s">
        <v>2</v>
      </c>
      <c r="F142" s="71"/>
      <c r="G142" s="112" t="s">
        <v>44</v>
      </c>
      <c r="H142" s="71"/>
      <c r="I142" s="92" t="s">
        <v>45</v>
      </c>
      <c r="J142" s="71"/>
      <c r="K142" s="71"/>
    </row>
    <row r="143" spans="1:13">
      <c r="A143" s="169"/>
      <c r="B143" s="169"/>
      <c r="C143" s="70"/>
      <c r="D143" s="70"/>
      <c r="E143" s="70"/>
      <c r="F143" s="70"/>
      <c r="G143" s="70"/>
      <c r="H143" s="70"/>
      <c r="I143" s="70"/>
      <c r="J143" s="70"/>
      <c r="K143" s="94"/>
    </row>
    <row r="144" spans="1:13">
      <c r="A144" s="169" t="s">
        <v>4</v>
      </c>
      <c r="B144" s="68"/>
      <c r="C144" s="93" t="s">
        <v>46</v>
      </c>
      <c r="D144" s="71"/>
      <c r="E144" s="71"/>
      <c r="F144" s="71"/>
      <c r="G144" s="169"/>
      <c r="H144" s="71"/>
      <c r="I144" s="94" t="s">
        <v>47</v>
      </c>
      <c r="J144" s="71"/>
      <c r="K144" s="71"/>
      <c r="M144" s="71"/>
    </row>
    <row r="145" spans="1:13" ht="16.5" thickBot="1">
      <c r="A145" s="75" t="s">
        <v>6</v>
      </c>
      <c r="B145" s="68"/>
      <c r="C145" s="95" t="s">
        <v>48</v>
      </c>
      <c r="D145" s="94" t="s">
        <v>49</v>
      </c>
      <c r="E145" s="96"/>
      <c r="F145" s="94" t="s">
        <v>50</v>
      </c>
      <c r="H145" s="96"/>
      <c r="I145" s="169" t="s">
        <v>51</v>
      </c>
      <c r="J145" s="71"/>
      <c r="K145" s="71"/>
      <c r="M145" s="71"/>
    </row>
    <row r="146" spans="1:13">
      <c r="A146" s="169"/>
      <c r="B146" s="68" t="s">
        <v>253</v>
      </c>
      <c r="C146" s="71"/>
      <c r="D146" s="71"/>
      <c r="E146" s="71"/>
      <c r="F146" s="71"/>
      <c r="G146" s="71"/>
      <c r="H146" s="71"/>
      <c r="I146" s="71"/>
      <c r="J146" s="71"/>
      <c r="K146" s="71"/>
      <c r="M146" s="71"/>
    </row>
    <row r="147" spans="1:13">
      <c r="A147" s="169">
        <v>1</v>
      </c>
      <c r="B147" s="68" t="s">
        <v>77</v>
      </c>
      <c r="C147" s="65" t="s">
        <v>254</v>
      </c>
      <c r="D147" s="58">
        <v>40244037</v>
      </c>
      <c r="E147" s="71"/>
      <c r="F147" s="71" t="s">
        <v>74</v>
      </c>
      <c r="G147" s="23">
        <f>I234</f>
        <v>0.9486416429377833</v>
      </c>
      <c r="H147" s="102"/>
      <c r="I147" s="5">
        <f t="shared" ref="I147:I154" si="3">+G147*D147</f>
        <v>38177169.378128938</v>
      </c>
      <c r="J147" s="70"/>
      <c r="M147" s="71"/>
    </row>
    <row r="148" spans="1:13">
      <c r="A148" s="169">
        <v>2</v>
      </c>
      <c r="B148" s="68" t="s">
        <v>78</v>
      </c>
      <c r="C148" s="65" t="s">
        <v>79</v>
      </c>
      <c r="D148" s="58">
        <v>17469360</v>
      </c>
      <c r="E148" s="71"/>
      <c r="F148" s="71" t="s">
        <v>74</v>
      </c>
      <c r="G148" s="23">
        <f>+G147</f>
        <v>0.9486416429377833</v>
      </c>
      <c r="H148" s="102"/>
      <c r="I148" s="5">
        <f t="shared" si="3"/>
        <v>16572162.371471595</v>
      </c>
      <c r="J148" s="70"/>
      <c r="M148" s="71"/>
    </row>
    <row r="149" spans="1:13">
      <c r="A149" s="169">
        <v>3</v>
      </c>
      <c r="B149" s="68" t="s">
        <v>80</v>
      </c>
      <c r="C149" s="65" t="s">
        <v>255</v>
      </c>
      <c r="D149" s="58">
        <v>27923975</v>
      </c>
      <c r="E149" s="71"/>
      <c r="F149" s="71" t="s">
        <v>59</v>
      </c>
      <c r="G149" s="23">
        <f>I241</f>
        <v>0.38443007109453292</v>
      </c>
      <c r="H149" s="102"/>
      <c r="I149" s="5">
        <f t="shared" si="3"/>
        <v>10734815.69449196</v>
      </c>
      <c r="J149" s="71"/>
      <c r="M149" s="71"/>
    </row>
    <row r="150" spans="1:13">
      <c r="A150" s="169">
        <v>4</v>
      </c>
      <c r="B150" s="68" t="s">
        <v>81</v>
      </c>
      <c r="C150" s="71"/>
      <c r="D150" s="58">
        <v>0</v>
      </c>
      <c r="E150" s="71"/>
      <c r="F150" s="4" t="str">
        <f>+F149</f>
        <v>W/S</v>
      </c>
      <c r="G150" s="23">
        <f>I241</f>
        <v>0.38443007109453292</v>
      </c>
      <c r="H150" s="102"/>
      <c r="I150" s="5">
        <f t="shared" si="3"/>
        <v>0</v>
      </c>
      <c r="J150" s="71"/>
      <c r="M150" s="71"/>
    </row>
    <row r="151" spans="1:13">
      <c r="A151" s="169">
        <v>5</v>
      </c>
      <c r="B151" s="68" t="s">
        <v>203</v>
      </c>
      <c r="C151" s="71"/>
      <c r="D151" s="58">
        <v>771873</v>
      </c>
      <c r="E151" s="71"/>
      <c r="F151" s="4" t="str">
        <f>+F150</f>
        <v>W/S</v>
      </c>
      <c r="G151" s="23">
        <f>I241</f>
        <v>0.38443007109453292</v>
      </c>
      <c r="H151" s="102"/>
      <c r="I151" s="5">
        <f t="shared" si="3"/>
        <v>296731.19226595043</v>
      </c>
      <c r="J151" s="71"/>
      <c r="M151" s="71"/>
    </row>
    <row r="152" spans="1:13">
      <c r="A152" s="169" t="s">
        <v>170</v>
      </c>
      <c r="B152" s="68" t="s">
        <v>227</v>
      </c>
      <c r="C152" s="71"/>
      <c r="D152" s="58"/>
      <c r="E152" s="71"/>
      <c r="F152" s="4" t="str">
        <f>+F147</f>
        <v>TE</v>
      </c>
      <c r="G152" s="23">
        <f>+G147</f>
        <v>0.9486416429377833</v>
      </c>
      <c r="H152" s="102"/>
      <c r="I152" s="5">
        <f t="shared" si="3"/>
        <v>0</v>
      </c>
      <c r="J152" s="71"/>
      <c r="M152" s="71"/>
    </row>
    <row r="153" spans="1:13">
      <c r="A153" s="169">
        <v>6</v>
      </c>
      <c r="B153" s="68" t="s">
        <v>60</v>
      </c>
      <c r="C153" s="71"/>
      <c r="D153" s="58"/>
      <c r="E153" s="71"/>
      <c r="F153" s="71" t="s">
        <v>61</v>
      </c>
      <c r="G153" s="23">
        <f>K245</f>
        <v>0.38443007109453292</v>
      </c>
      <c r="H153" s="102"/>
      <c r="I153" s="5">
        <f t="shared" si="3"/>
        <v>0</v>
      </c>
      <c r="J153" s="71"/>
      <c r="M153" s="71"/>
    </row>
    <row r="154" spans="1:13" ht="16.5" thickBot="1">
      <c r="A154" s="169">
        <v>7</v>
      </c>
      <c r="B154" s="68" t="s">
        <v>82</v>
      </c>
      <c r="C154" s="71"/>
      <c r="D154" s="54"/>
      <c r="E154" s="71"/>
      <c r="F154" s="71" t="s">
        <v>55</v>
      </c>
      <c r="G154" s="100">
        <v>1</v>
      </c>
      <c r="H154" s="102"/>
      <c r="I154" s="28">
        <f t="shared" si="3"/>
        <v>0</v>
      </c>
      <c r="J154" s="71"/>
      <c r="M154" s="71"/>
    </row>
    <row r="155" spans="1:13">
      <c r="A155" s="169">
        <v>8</v>
      </c>
      <c r="B155" s="68" t="s">
        <v>177</v>
      </c>
      <c r="C155" s="71"/>
      <c r="D155" s="4">
        <f>+D147-D148+D149-D150-D151+D152+D153+D154</f>
        <v>49926779</v>
      </c>
      <c r="E155" s="71"/>
      <c r="F155" s="71"/>
      <c r="G155" s="102"/>
      <c r="H155" s="102"/>
      <c r="I155" s="5">
        <f>+I147-I148+I149-I150-I151+I152+I153+I154</f>
        <v>32043091.508883353</v>
      </c>
      <c r="J155" s="71"/>
      <c r="M155" s="71"/>
    </row>
    <row r="156" spans="1:13">
      <c r="A156" s="169"/>
      <c r="C156" s="71"/>
      <c r="E156" s="71"/>
      <c r="F156" s="71"/>
      <c r="G156" s="173"/>
      <c r="H156" s="71"/>
      <c r="J156" s="71"/>
      <c r="M156" s="71"/>
    </row>
    <row r="157" spans="1:13">
      <c r="A157" s="169"/>
      <c r="B157" s="68" t="s">
        <v>256</v>
      </c>
      <c r="C157" s="71"/>
      <c r="D157" s="71"/>
      <c r="E157" s="71"/>
      <c r="F157" s="71"/>
      <c r="G157" s="71"/>
      <c r="H157" s="71"/>
      <c r="I157" s="71"/>
      <c r="J157" s="71"/>
      <c r="M157" s="71"/>
    </row>
    <row r="158" spans="1:13">
      <c r="A158" s="169">
        <v>9</v>
      </c>
      <c r="B158" s="10" t="str">
        <f>+B147</f>
        <v xml:space="preserve">  Transmission </v>
      </c>
      <c r="C158" s="65" t="s">
        <v>183</v>
      </c>
      <c r="D158" s="58">
        <v>15611632</v>
      </c>
      <c r="E158" s="71"/>
      <c r="F158" s="71" t="s">
        <v>12</v>
      </c>
      <c r="G158" s="22">
        <f>+G117</f>
        <v>0.99251834164897124</v>
      </c>
      <c r="H158" s="71"/>
      <c r="I158" s="4">
        <f>+G158*D158</f>
        <v>15494831.103074012</v>
      </c>
      <c r="J158" s="71"/>
      <c r="M158" s="71"/>
    </row>
    <row r="159" spans="1:13">
      <c r="A159" s="169" t="s">
        <v>311</v>
      </c>
      <c r="B159" s="113" t="s">
        <v>343</v>
      </c>
      <c r="C159" s="65" t="s">
        <v>312</v>
      </c>
      <c r="D159" s="58">
        <v>0</v>
      </c>
      <c r="E159" s="71"/>
      <c r="F159" s="71" t="s">
        <v>333</v>
      </c>
      <c r="G159" s="98">
        <v>1</v>
      </c>
      <c r="H159" s="71"/>
      <c r="I159" s="4">
        <f>+G159*D159</f>
        <v>0</v>
      </c>
      <c r="J159" s="71"/>
      <c r="M159" s="71"/>
    </row>
    <row r="160" spans="1:13">
      <c r="A160" s="169">
        <v>10</v>
      </c>
      <c r="B160" s="68" t="s">
        <v>58</v>
      </c>
      <c r="C160" s="65" t="s">
        <v>257</v>
      </c>
      <c r="D160" s="58">
        <v>2314076</v>
      </c>
      <c r="E160" s="71"/>
      <c r="F160" s="71" t="s">
        <v>59</v>
      </c>
      <c r="G160" s="22">
        <f>+G149</f>
        <v>0.38443007109453292</v>
      </c>
      <c r="H160" s="71"/>
      <c r="I160" s="4">
        <f>+G160*D160</f>
        <v>889600.40119815234</v>
      </c>
      <c r="J160" s="71"/>
      <c r="M160" s="71"/>
    </row>
    <row r="161" spans="1:13" ht="16.5" thickBot="1">
      <c r="A161" s="169">
        <v>11</v>
      </c>
      <c r="B161" s="10" t="str">
        <f>+B153</f>
        <v xml:space="preserve">  Common</v>
      </c>
      <c r="C161" s="71"/>
      <c r="D161" s="54">
        <v>0</v>
      </c>
      <c r="E161" s="71"/>
      <c r="F161" s="71" t="s">
        <v>61</v>
      </c>
      <c r="G161" s="22">
        <f>+G153</f>
        <v>0.38443007109453292</v>
      </c>
      <c r="H161" s="71"/>
      <c r="I161" s="15">
        <f>+G161*D161</f>
        <v>0</v>
      </c>
      <c r="J161" s="71"/>
      <c r="M161" s="71"/>
    </row>
    <row r="162" spans="1:13">
      <c r="A162" s="169">
        <v>12</v>
      </c>
      <c r="B162" s="68" t="s">
        <v>228</v>
      </c>
      <c r="C162" s="71"/>
      <c r="D162" s="4">
        <f>SUM(D158:D161)</f>
        <v>17925708</v>
      </c>
      <c r="E162" s="71"/>
      <c r="F162" s="71"/>
      <c r="G162" s="71"/>
      <c r="H162" s="71"/>
      <c r="I162" s="4">
        <f>SUM(I158:I161)</f>
        <v>16384431.504272165</v>
      </c>
      <c r="J162" s="71"/>
      <c r="M162" s="71"/>
    </row>
    <row r="163" spans="1:13">
      <c r="A163" s="169"/>
      <c r="B163" s="68"/>
      <c r="C163" s="71"/>
      <c r="D163" s="71"/>
      <c r="E163" s="71"/>
      <c r="F163" s="71"/>
      <c r="G163" s="71"/>
      <c r="H163" s="71"/>
      <c r="I163" s="71"/>
      <c r="J163" s="71"/>
      <c r="M163" s="71"/>
    </row>
    <row r="164" spans="1:13">
      <c r="A164" s="169" t="s">
        <v>2</v>
      </c>
      <c r="B164" s="68" t="s">
        <v>204</v>
      </c>
      <c r="D164" s="71"/>
      <c r="E164" s="71"/>
      <c r="F164" s="71"/>
      <c r="G164" s="71"/>
      <c r="H164" s="71"/>
      <c r="I164" s="71"/>
      <c r="J164" s="71"/>
      <c r="M164" s="71"/>
    </row>
    <row r="165" spans="1:13">
      <c r="A165" s="169"/>
      <c r="B165" s="68" t="s">
        <v>83</v>
      </c>
      <c r="E165" s="71"/>
      <c r="F165" s="71"/>
      <c r="H165" s="71"/>
      <c r="J165" s="71"/>
      <c r="M165" s="71"/>
    </row>
    <row r="166" spans="1:13">
      <c r="A166" s="169">
        <v>13</v>
      </c>
      <c r="B166" s="68" t="s">
        <v>84</v>
      </c>
      <c r="C166" s="71"/>
      <c r="D166" s="59"/>
      <c r="E166" s="71"/>
      <c r="F166" s="71" t="s">
        <v>59</v>
      </c>
      <c r="G166" s="14">
        <f>+G160</f>
        <v>0.38443007109453292</v>
      </c>
      <c r="H166" s="71"/>
      <c r="I166" s="4">
        <f>+G166*D166</f>
        <v>0</v>
      </c>
      <c r="J166" s="71"/>
      <c r="M166" s="71"/>
    </row>
    <row r="167" spans="1:13">
      <c r="A167" s="169">
        <v>14</v>
      </c>
      <c r="B167" s="68" t="s">
        <v>85</v>
      </c>
      <c r="C167" s="71"/>
      <c r="D167" s="59">
        <v>14000</v>
      </c>
      <c r="E167" s="71"/>
      <c r="F167" s="4" t="str">
        <f>+F166</f>
        <v>W/S</v>
      </c>
      <c r="G167" s="14">
        <f>+G166</f>
        <v>0.38443007109453292</v>
      </c>
      <c r="H167" s="71"/>
      <c r="I167" s="4">
        <f>+G167*D167</f>
        <v>5382.0209953234607</v>
      </c>
      <c r="J167" s="71"/>
      <c r="M167" s="71"/>
    </row>
    <row r="168" spans="1:13">
      <c r="A168" s="169">
        <v>15</v>
      </c>
      <c r="B168" s="68" t="s">
        <v>86</v>
      </c>
      <c r="C168" s="71"/>
      <c r="D168" s="114"/>
      <c r="E168" s="71"/>
      <c r="F168" s="71"/>
      <c r="H168" s="71"/>
      <c r="J168" s="71"/>
      <c r="M168" s="71"/>
    </row>
    <row r="169" spans="1:13">
      <c r="A169" s="169">
        <v>16</v>
      </c>
      <c r="B169" s="68" t="s">
        <v>87</v>
      </c>
      <c r="C169" s="71"/>
      <c r="D169" s="59">
        <v>3412200</v>
      </c>
      <c r="E169" s="71"/>
      <c r="F169" s="71" t="s">
        <v>76</v>
      </c>
      <c r="G169" s="14">
        <f>+G85</f>
        <v>0.33954702451914021</v>
      </c>
      <c r="H169" s="71"/>
      <c r="I169" s="4">
        <f>+G169*D169</f>
        <v>1158602.3570642101</v>
      </c>
      <c r="J169" s="71"/>
      <c r="M169" s="71"/>
    </row>
    <row r="170" spans="1:13">
      <c r="A170" s="169">
        <v>17</v>
      </c>
      <c r="B170" s="68" t="s">
        <v>88</v>
      </c>
      <c r="C170" s="71"/>
      <c r="D170" s="59">
        <v>5393727</v>
      </c>
      <c r="E170" s="71"/>
      <c r="F170" s="71"/>
      <c r="G170" s="115" t="s">
        <v>169</v>
      </c>
      <c r="H170" s="71"/>
      <c r="I170" s="71">
        <v>0</v>
      </c>
      <c r="J170" s="71"/>
      <c r="M170" s="71"/>
    </row>
    <row r="171" spans="1:13">
      <c r="A171" s="169">
        <v>18</v>
      </c>
      <c r="B171" s="68" t="s">
        <v>89</v>
      </c>
      <c r="C171" s="71"/>
      <c r="D171" s="59">
        <v>0</v>
      </c>
      <c r="E171" s="71"/>
      <c r="F171" s="4" t="str">
        <f>+F169</f>
        <v>GP</v>
      </c>
      <c r="G171" s="14">
        <f>+G169</f>
        <v>0.33954702451914021</v>
      </c>
      <c r="H171" s="71"/>
      <c r="I171" s="4">
        <f>+G171*D171</f>
        <v>0</v>
      </c>
      <c r="J171" s="71"/>
      <c r="M171" s="71"/>
    </row>
    <row r="172" spans="1:13" ht="16.5" thickBot="1">
      <c r="A172" s="169">
        <v>19</v>
      </c>
      <c r="B172" s="68" t="s">
        <v>90</v>
      </c>
      <c r="C172" s="71"/>
      <c r="D172" s="56">
        <v>0</v>
      </c>
      <c r="E172" s="71"/>
      <c r="F172" s="71" t="s">
        <v>76</v>
      </c>
      <c r="G172" s="14">
        <f>+G171</f>
        <v>0.33954702451914021</v>
      </c>
      <c r="H172" s="71"/>
      <c r="I172" s="15">
        <f>+G172*D172</f>
        <v>0</v>
      </c>
      <c r="J172" s="71"/>
      <c r="M172" s="71"/>
    </row>
    <row r="173" spans="1:13">
      <c r="A173" s="169">
        <v>20</v>
      </c>
      <c r="B173" s="68" t="s">
        <v>229</v>
      </c>
      <c r="C173" s="71"/>
      <c r="D173" s="4">
        <f>SUM(D166:D172)</f>
        <v>8819927</v>
      </c>
      <c r="E173" s="71"/>
      <c r="F173" s="71"/>
      <c r="G173" s="78"/>
      <c r="H173" s="71"/>
      <c r="I173" s="4">
        <f>SUM(I166:I172)</f>
        <v>1163984.3780595337</v>
      </c>
      <c r="J173" s="71"/>
      <c r="M173" s="71"/>
    </row>
    <row r="174" spans="1:13">
      <c r="A174" s="169"/>
      <c r="B174" s="68"/>
      <c r="C174" s="71"/>
      <c r="D174" s="71"/>
      <c r="E174" s="71"/>
      <c r="F174" s="71"/>
      <c r="G174" s="78"/>
      <c r="H174" s="71"/>
      <c r="I174" s="71"/>
      <c r="J174" s="71"/>
      <c r="M174" s="71"/>
    </row>
    <row r="175" spans="1:13">
      <c r="A175" s="169"/>
      <c r="B175" s="68" t="s">
        <v>91</v>
      </c>
      <c r="C175" s="116" t="s">
        <v>92</v>
      </c>
      <c r="D175" s="71"/>
      <c r="E175" s="71"/>
      <c r="F175" s="71" t="s">
        <v>55</v>
      </c>
      <c r="G175" s="117"/>
      <c r="H175" s="71"/>
      <c r="I175" s="71"/>
      <c r="J175" s="71"/>
      <c r="M175" s="71"/>
    </row>
    <row r="176" spans="1:13">
      <c r="A176" s="169">
        <v>21</v>
      </c>
      <c r="B176" s="118" t="s">
        <v>93</v>
      </c>
      <c r="C176" s="71"/>
      <c r="D176" s="32">
        <f>IF(D314&gt;0,1-(((1-D315)*(1-D314))/(1-D315*D314*D316)),0)</f>
        <v>0</v>
      </c>
      <c r="E176" s="71"/>
      <c r="G176" s="117"/>
      <c r="H176" s="71"/>
      <c r="J176" s="71"/>
      <c r="M176" s="71"/>
    </row>
    <row r="177" spans="1:13">
      <c r="A177" s="169">
        <v>22</v>
      </c>
      <c r="B177" s="65" t="s">
        <v>94</v>
      </c>
      <c r="C177" s="71"/>
      <c r="D177" s="32">
        <f>IF(I256&gt;0,(D176/(1-D176))*(1-I254/I256),0)</f>
        <v>0</v>
      </c>
      <c r="E177" s="71"/>
      <c r="G177" s="117"/>
      <c r="H177" s="71"/>
      <c r="J177" s="71"/>
      <c r="M177" s="71"/>
    </row>
    <row r="178" spans="1:13">
      <c r="A178" s="169"/>
      <c r="B178" s="68" t="s">
        <v>266</v>
      </c>
      <c r="C178" s="71"/>
      <c r="D178" s="71"/>
      <c r="E178" s="71"/>
      <c r="G178" s="117"/>
      <c r="H178" s="71"/>
      <c r="J178" s="71"/>
      <c r="M178" s="71"/>
    </row>
    <row r="179" spans="1:13">
      <c r="A179" s="169"/>
      <c r="B179" s="68" t="s">
        <v>95</v>
      </c>
      <c r="C179" s="71"/>
      <c r="D179" s="71"/>
      <c r="E179" s="71"/>
      <c r="G179" s="117"/>
      <c r="H179" s="71"/>
      <c r="J179" s="71"/>
      <c r="M179" s="71"/>
    </row>
    <row r="180" spans="1:13">
      <c r="A180" s="169">
        <v>23</v>
      </c>
      <c r="B180" s="118" t="s">
        <v>96</v>
      </c>
      <c r="C180" s="71"/>
      <c r="D180" s="33">
        <f>IF(D176&gt;0,1/(1-D176),0)</f>
        <v>0</v>
      </c>
      <c r="E180" s="71"/>
      <c r="G180" s="117"/>
      <c r="H180" s="71"/>
      <c r="J180" s="71"/>
      <c r="M180" s="71"/>
    </row>
    <row r="181" spans="1:13">
      <c r="A181" s="169">
        <v>24</v>
      </c>
      <c r="B181" s="68" t="s">
        <v>184</v>
      </c>
      <c r="C181" s="71"/>
      <c r="D181" s="58">
        <v>0</v>
      </c>
      <c r="E181" s="71"/>
      <c r="G181" s="117"/>
      <c r="H181" s="71"/>
      <c r="J181" s="71"/>
      <c r="M181" s="71"/>
    </row>
    <row r="182" spans="1:13">
      <c r="A182" s="169"/>
      <c r="B182" s="68"/>
      <c r="C182" s="71"/>
      <c r="D182" s="71"/>
      <c r="E182" s="71"/>
      <c r="G182" s="117"/>
      <c r="H182" s="71"/>
      <c r="J182" s="71"/>
      <c r="M182" s="71"/>
    </row>
    <row r="183" spans="1:13">
      <c r="A183" s="169">
        <v>25</v>
      </c>
      <c r="B183" s="118" t="s">
        <v>97</v>
      </c>
      <c r="C183" s="116"/>
      <c r="D183" s="4">
        <f>D177*D187</f>
        <v>0</v>
      </c>
      <c r="E183" s="71"/>
      <c r="F183" s="71" t="s">
        <v>55</v>
      </c>
      <c r="G183" s="78"/>
      <c r="H183" s="71"/>
      <c r="I183" s="4">
        <f>D177*I187</f>
        <v>0</v>
      </c>
      <c r="J183" s="71"/>
      <c r="M183" s="71"/>
    </row>
    <row r="184" spans="1:13" ht="16.5" thickBot="1">
      <c r="A184" s="169">
        <v>26</v>
      </c>
      <c r="B184" s="65" t="s">
        <v>98</v>
      </c>
      <c r="C184" s="116"/>
      <c r="D184" s="15">
        <f>D180*D181</f>
        <v>0</v>
      </c>
      <c r="E184" s="71"/>
      <c r="F184" s="65" t="s">
        <v>66</v>
      </c>
      <c r="G184" s="14">
        <f>G105</f>
        <v>0.36868542973698887</v>
      </c>
      <c r="H184" s="71"/>
      <c r="I184" s="15">
        <f>G184*D184</f>
        <v>0</v>
      </c>
      <c r="J184" s="71"/>
      <c r="M184" s="71"/>
    </row>
    <row r="185" spans="1:13">
      <c r="A185" s="169">
        <v>27</v>
      </c>
      <c r="B185" s="118" t="s">
        <v>99</v>
      </c>
      <c r="C185" s="65" t="s">
        <v>100</v>
      </c>
      <c r="D185" s="34">
        <f>+D183+D184</f>
        <v>0</v>
      </c>
      <c r="E185" s="71"/>
      <c r="F185" s="71" t="s">
        <v>2</v>
      </c>
      <c r="G185" s="78" t="s">
        <v>2</v>
      </c>
      <c r="H185" s="71"/>
      <c r="I185" s="34">
        <f>+I183+I184</f>
        <v>0</v>
      </c>
      <c r="J185" s="71"/>
      <c r="M185" s="71"/>
    </row>
    <row r="186" spans="1:13">
      <c r="A186" s="169"/>
      <c r="B186" s="68"/>
      <c r="C186" s="116"/>
      <c r="D186" s="71"/>
      <c r="E186" s="71"/>
      <c r="F186" s="71"/>
      <c r="G186" s="117"/>
      <c r="H186" s="71"/>
      <c r="I186" s="102"/>
      <c r="J186" s="71"/>
      <c r="M186" s="71"/>
    </row>
    <row r="187" spans="1:13">
      <c r="A187" s="169">
        <v>28</v>
      </c>
      <c r="B187" s="68" t="s">
        <v>314</v>
      </c>
      <c r="C187" s="101"/>
      <c r="D187" s="102"/>
      <c r="E187" s="71"/>
      <c r="F187" s="71"/>
      <c r="G187" s="117"/>
      <c r="H187" s="71"/>
      <c r="I187" s="102"/>
      <c r="J187" s="71"/>
      <c r="M187" s="71"/>
    </row>
    <row r="188" spans="1:13">
      <c r="A188" s="169"/>
      <c r="B188" s="118" t="s">
        <v>370</v>
      </c>
      <c r="D188" s="5">
        <f>+$I256*(D125+D127+D129)</f>
        <v>74236890.730061054</v>
      </c>
      <c r="E188" s="71"/>
      <c r="F188" s="71" t="s">
        <v>55</v>
      </c>
      <c r="G188" s="117"/>
      <c r="H188" s="71"/>
      <c r="I188" s="5">
        <f>+$I256*(I125+I127+I129)</f>
        <v>27739003.911844894</v>
      </c>
      <c r="J188" s="71"/>
      <c r="M188" s="71"/>
    </row>
    <row r="189" spans="1:13">
      <c r="A189" s="169"/>
      <c r="B189" s="118"/>
      <c r="D189" s="71"/>
      <c r="E189" s="71"/>
      <c r="F189" s="71"/>
      <c r="G189" s="117"/>
      <c r="H189" s="71"/>
      <c r="I189" s="102"/>
      <c r="J189" s="71"/>
      <c r="M189" s="71"/>
    </row>
    <row r="190" spans="1:13">
      <c r="A190" s="169" t="s">
        <v>313</v>
      </c>
      <c r="B190" s="68" t="s">
        <v>371</v>
      </c>
      <c r="D190" s="71"/>
      <c r="E190" s="71"/>
      <c r="F190" s="71"/>
      <c r="G190" s="117"/>
      <c r="H190" s="71"/>
      <c r="I190" s="102"/>
      <c r="J190" s="71"/>
      <c r="M190" s="71"/>
    </row>
    <row r="191" spans="1:13">
      <c r="A191" s="169"/>
      <c r="B191" s="118" t="s">
        <v>372</v>
      </c>
      <c r="D191" s="4">
        <f>+$I271*D127</f>
        <v>262641.49208200822</v>
      </c>
      <c r="E191" s="71"/>
      <c r="F191" s="71" t="s">
        <v>333</v>
      </c>
      <c r="G191" s="100">
        <v>1</v>
      </c>
      <c r="H191" s="71"/>
      <c r="I191" s="5">
        <f>D191*G191</f>
        <v>262641.49208200822</v>
      </c>
      <c r="J191" s="71"/>
      <c r="M191" s="71"/>
    </row>
    <row r="192" spans="1:13">
      <c r="A192" s="169"/>
      <c r="B192" s="118"/>
      <c r="D192" s="71"/>
      <c r="E192" s="71"/>
      <c r="F192" s="71"/>
      <c r="G192" s="100"/>
      <c r="H192" s="71"/>
      <c r="I192" s="102"/>
      <c r="J192" s="71"/>
      <c r="M192" s="71"/>
    </row>
    <row r="193" spans="1:13">
      <c r="A193" s="169" t="s">
        <v>350</v>
      </c>
      <c r="B193" s="68" t="s">
        <v>351</v>
      </c>
      <c r="D193" s="71"/>
      <c r="E193" s="71"/>
      <c r="F193" s="71"/>
      <c r="G193" s="117"/>
      <c r="H193" s="71"/>
      <c r="I193" s="102"/>
      <c r="J193" s="71"/>
      <c r="M193" s="71"/>
    </row>
    <row r="194" spans="1:13">
      <c r="A194" s="169"/>
      <c r="B194" s="118" t="s">
        <v>363</v>
      </c>
      <c r="D194" s="4">
        <f>D129*I273</f>
        <v>0</v>
      </c>
      <c r="E194" s="71"/>
      <c r="F194" s="71" t="s">
        <v>333</v>
      </c>
      <c r="G194" s="100">
        <v>1</v>
      </c>
      <c r="H194" s="71"/>
      <c r="I194" s="5">
        <f>D194*G194</f>
        <v>0</v>
      </c>
      <c r="J194" s="71"/>
      <c r="M194" s="71"/>
    </row>
    <row r="195" spans="1:13">
      <c r="A195" s="169"/>
      <c r="B195" s="68"/>
      <c r="D195" s="105"/>
      <c r="E195" s="71"/>
      <c r="F195" s="71"/>
      <c r="G195" s="117"/>
      <c r="H195" s="71"/>
      <c r="I195" s="119"/>
      <c r="J195" s="71"/>
      <c r="M195" s="71"/>
    </row>
    <row r="196" spans="1:13">
      <c r="A196" s="169">
        <v>29</v>
      </c>
      <c r="B196" s="68" t="s">
        <v>373</v>
      </c>
      <c r="C196" s="71"/>
      <c r="D196" s="27">
        <f>+D188+D185+D173+D162+D155+D191+D194</f>
        <v>151171946.22214305</v>
      </c>
      <c r="E196" s="71"/>
      <c r="F196" s="71"/>
      <c r="G196" s="71"/>
      <c r="H196" s="71"/>
      <c r="I196" s="35">
        <f>+I188+I185+I173+I162+I155+I191+I194</f>
        <v>77593152.795141965</v>
      </c>
      <c r="J196" s="70"/>
      <c r="M196" s="71"/>
    </row>
    <row r="197" spans="1:13">
      <c r="A197" s="169"/>
      <c r="B197" s="68"/>
      <c r="C197" s="71"/>
      <c r="D197" s="105"/>
      <c r="E197" s="71"/>
      <c r="F197" s="71"/>
      <c r="G197" s="71"/>
      <c r="H197" s="71"/>
      <c r="I197" s="119"/>
      <c r="J197" s="70"/>
      <c r="M197" s="71"/>
    </row>
    <row r="198" spans="1:13">
      <c r="A198" s="169">
        <v>30</v>
      </c>
      <c r="B198" s="68" t="s">
        <v>240</v>
      </c>
      <c r="C198" s="71"/>
      <c r="D198" s="105"/>
      <c r="E198" s="71"/>
      <c r="F198" s="71"/>
      <c r="G198" s="71"/>
      <c r="H198" s="71"/>
      <c r="I198" s="119"/>
      <c r="J198" s="70"/>
      <c r="M198" s="71"/>
    </row>
    <row r="199" spans="1:13">
      <c r="A199" s="169"/>
      <c r="B199" s="68" t="s">
        <v>241</v>
      </c>
      <c r="C199" s="71"/>
      <c r="D199" s="105"/>
      <c r="E199" s="71"/>
      <c r="F199" s="71"/>
      <c r="G199" s="71"/>
      <c r="H199" s="71"/>
      <c r="I199" s="119"/>
      <c r="J199" s="70"/>
      <c r="M199" s="71"/>
    </row>
    <row r="200" spans="1:13">
      <c r="A200" s="169"/>
      <c r="B200" s="188" t="s">
        <v>206</v>
      </c>
      <c r="C200" s="188"/>
      <c r="I200" s="99"/>
      <c r="J200" s="70"/>
      <c r="M200" s="71"/>
    </row>
    <row r="201" spans="1:13">
      <c r="A201" s="169"/>
      <c r="B201" s="68" t="s">
        <v>205</v>
      </c>
      <c r="C201" s="71"/>
      <c r="D201" s="60">
        <f>'[2]Attach GG Proj #1- Year 1'!$L$73</f>
        <v>2734293.9733602605</v>
      </c>
      <c r="E201" s="71"/>
      <c r="F201" s="71"/>
      <c r="G201" s="71"/>
      <c r="H201" s="71"/>
      <c r="I201" s="60">
        <f>D201</f>
        <v>2734293.9733602605</v>
      </c>
      <c r="J201" s="70"/>
      <c r="M201" s="71"/>
    </row>
    <row r="202" spans="1:13">
      <c r="A202" s="169"/>
      <c r="B202" s="68"/>
      <c r="C202" s="71"/>
      <c r="D202" s="105"/>
      <c r="E202" s="71"/>
      <c r="F202" s="71"/>
      <c r="G202" s="71"/>
      <c r="H202" s="71"/>
      <c r="I202" s="119"/>
      <c r="J202" s="70"/>
      <c r="M202" s="71"/>
    </row>
    <row r="203" spans="1:13" ht="17.25" customHeight="1">
      <c r="A203" s="169" t="s">
        <v>245</v>
      </c>
      <c r="B203" s="68" t="s">
        <v>246</v>
      </c>
      <c r="C203" s="71"/>
      <c r="D203" s="105"/>
      <c r="E203" s="71"/>
      <c r="F203" s="71"/>
      <c r="G203" s="71"/>
      <c r="H203" s="71"/>
      <c r="I203" s="105"/>
      <c r="J203" s="70"/>
      <c r="M203" s="71"/>
    </row>
    <row r="204" spans="1:13" ht="17.25" customHeight="1">
      <c r="A204" s="169"/>
      <c r="B204" s="107" t="s">
        <v>272</v>
      </c>
      <c r="C204" s="71"/>
      <c r="D204" s="105"/>
      <c r="E204" s="71"/>
      <c r="F204" s="71"/>
      <c r="G204" s="71"/>
      <c r="H204" s="71"/>
      <c r="I204" s="105"/>
      <c r="J204" s="70"/>
      <c r="M204" s="71"/>
    </row>
    <row r="205" spans="1:13" ht="16.5" customHeight="1">
      <c r="A205" s="169"/>
      <c r="B205" s="189" t="s">
        <v>206</v>
      </c>
      <c r="C205" s="189"/>
      <c r="J205" s="70"/>
      <c r="M205" s="71"/>
    </row>
    <row r="206" spans="1:13" ht="17.25" customHeight="1" thickBot="1">
      <c r="A206" s="169"/>
      <c r="B206" s="68" t="s">
        <v>247</v>
      </c>
      <c r="C206" s="71"/>
      <c r="D206" s="54">
        <v>0</v>
      </c>
      <c r="E206" s="71"/>
      <c r="F206" s="71"/>
      <c r="G206" s="71"/>
      <c r="H206" s="71"/>
      <c r="I206" s="54">
        <v>0</v>
      </c>
      <c r="J206" s="70"/>
      <c r="M206" s="71"/>
    </row>
    <row r="207" spans="1:13" ht="17.25" customHeight="1" thickBot="1">
      <c r="A207" s="106">
        <v>31</v>
      </c>
      <c r="B207" s="99" t="s">
        <v>187</v>
      </c>
      <c r="C207" s="102"/>
      <c r="D207" s="36">
        <f>D196-D201-D206</f>
        <v>148437652.24878278</v>
      </c>
      <c r="E207" s="102"/>
      <c r="F207" s="102"/>
      <c r="G207" s="102"/>
      <c r="H207" s="102"/>
      <c r="I207" s="36">
        <f>I196-I201-I206</f>
        <v>74858858.82178171</v>
      </c>
      <c r="J207" s="120"/>
      <c r="M207" s="71"/>
    </row>
    <row r="208" spans="1:13" ht="16.5" thickTop="1">
      <c r="A208" s="169"/>
      <c r="B208" s="68" t="s">
        <v>248</v>
      </c>
      <c r="C208" s="71"/>
      <c r="D208" s="105"/>
      <c r="E208" s="71"/>
      <c r="F208" s="71"/>
      <c r="G208" s="71"/>
      <c r="H208" s="71"/>
      <c r="I208" s="105"/>
      <c r="J208" s="70"/>
      <c r="K208" s="70"/>
    </row>
    <row r="209" spans="1:13">
      <c r="A209" s="169"/>
      <c r="B209" s="68"/>
      <c r="C209" s="71"/>
      <c r="D209" s="105"/>
      <c r="E209" s="71"/>
      <c r="F209" s="71"/>
      <c r="G209" s="71"/>
      <c r="H209" s="71"/>
      <c r="I209" s="105"/>
      <c r="J209" s="70"/>
      <c r="K209" s="66" t="s">
        <v>318</v>
      </c>
    </row>
    <row r="210" spans="1:13">
      <c r="B210" s="68"/>
      <c r="C210" s="68"/>
      <c r="D210" s="69"/>
      <c r="E210" s="68"/>
      <c r="F210" s="68"/>
      <c r="G210" s="68"/>
      <c r="H210" s="70"/>
      <c r="I210" s="70"/>
      <c r="J210" s="182" t="s">
        <v>191</v>
      </c>
      <c r="K210" s="182"/>
    </row>
    <row r="211" spans="1:13">
      <c r="A211" s="169"/>
      <c r="J211" s="71"/>
      <c r="K211" s="71"/>
    </row>
    <row r="212" spans="1:13">
      <c r="A212" s="169"/>
      <c r="B212" s="10" t="str">
        <f>B4</f>
        <v xml:space="preserve">Formula Rate - Non-Levelized </v>
      </c>
      <c r="D212" s="18" t="str">
        <f>D4</f>
        <v xml:space="preserve">     Rate Formula Template</v>
      </c>
      <c r="J212" s="71"/>
      <c r="K212" s="9" t="str">
        <f>K4</f>
        <v>For the 12 months ended 12/31/18</v>
      </c>
    </row>
    <row r="213" spans="1:13">
      <c r="A213" s="169"/>
      <c r="B213" s="68"/>
      <c r="D213" s="18" t="str">
        <f>D5</f>
        <v xml:space="preserve"> Utilizing RUS Form 12 Data</v>
      </c>
      <c r="J213" s="71"/>
      <c r="K213" s="71"/>
    </row>
    <row r="214" spans="1:13">
      <c r="A214" s="169"/>
      <c r="D214" s="89"/>
      <c r="J214" s="71"/>
      <c r="K214" s="71"/>
    </row>
    <row r="215" spans="1:13">
      <c r="A215" s="169"/>
      <c r="D215" s="18" t="str">
        <f>D7</f>
        <v>Dairyland Power Cooperative</v>
      </c>
      <c r="J215" s="71"/>
      <c r="K215" s="71"/>
    </row>
    <row r="216" spans="1:13">
      <c r="A216" s="169" t="s">
        <v>4</v>
      </c>
      <c r="C216" s="68"/>
      <c r="D216" s="169"/>
      <c r="E216" s="68"/>
      <c r="F216" s="68"/>
      <c r="G216" s="68"/>
      <c r="H216" s="68"/>
      <c r="I216" s="68"/>
      <c r="J216" s="68"/>
      <c r="K216" s="68"/>
    </row>
    <row r="217" spans="1:13" ht="16.5" thickBot="1">
      <c r="A217" s="75" t="s">
        <v>6</v>
      </c>
      <c r="C217" s="97" t="s">
        <v>101</v>
      </c>
      <c r="E217" s="70"/>
      <c r="F217" s="70"/>
      <c r="G217" s="70"/>
      <c r="H217" s="70"/>
      <c r="I217" s="70"/>
      <c r="J217" s="71"/>
      <c r="K217" s="71"/>
    </row>
    <row r="218" spans="1:13">
      <c r="A218" s="169"/>
      <c r="B218" s="68" t="s">
        <v>104</v>
      </c>
      <c r="C218" s="70"/>
      <c r="D218" s="70"/>
      <c r="E218" s="70"/>
      <c r="F218" s="70"/>
      <c r="G218" s="70"/>
      <c r="H218" s="70"/>
      <c r="I218" s="70"/>
      <c r="J218" s="71"/>
      <c r="K218" s="71"/>
    </row>
    <row r="219" spans="1:13">
      <c r="A219" s="169">
        <v>1</v>
      </c>
      <c r="B219" s="70" t="s">
        <v>208</v>
      </c>
      <c r="C219" s="70"/>
      <c r="D219" s="71"/>
      <c r="E219" s="71"/>
      <c r="F219" s="71"/>
      <c r="G219" s="71"/>
      <c r="H219" s="71"/>
      <c r="I219" s="4">
        <f>+D79</f>
        <v>534204559</v>
      </c>
      <c r="J219" s="71"/>
      <c r="K219" s="71"/>
    </row>
    <row r="220" spans="1:13">
      <c r="A220" s="169">
        <v>2</v>
      </c>
      <c r="B220" s="70" t="s">
        <v>207</v>
      </c>
      <c r="D220" s="121"/>
      <c r="I220" s="58">
        <v>0</v>
      </c>
      <c r="J220" s="71"/>
      <c r="K220" s="71"/>
    </row>
    <row r="221" spans="1:13" ht="16.5" thickBot="1">
      <c r="A221" s="169">
        <v>3</v>
      </c>
      <c r="B221" s="122" t="s">
        <v>230</v>
      </c>
      <c r="C221" s="122"/>
      <c r="D221" s="105"/>
      <c r="E221" s="71"/>
      <c r="F221" s="71"/>
      <c r="G221" s="123"/>
      <c r="H221" s="71"/>
      <c r="I221" s="54">
        <v>3996736</v>
      </c>
      <c r="J221" s="71"/>
      <c r="K221" s="71"/>
    </row>
    <row r="222" spans="1:13">
      <c r="A222" s="169">
        <v>4</v>
      </c>
      <c r="B222" s="70" t="s">
        <v>171</v>
      </c>
      <c r="C222" s="70"/>
      <c r="D222" s="71"/>
      <c r="E222" s="71"/>
      <c r="F222" s="71"/>
      <c r="G222" s="123"/>
      <c r="H222" s="71"/>
      <c r="I222" s="4">
        <f>I219-I220-I221</f>
        <v>530207823</v>
      </c>
      <c r="J222" s="71"/>
      <c r="K222" s="71"/>
      <c r="M222" s="121"/>
    </row>
    <row r="223" spans="1:13" ht="9" customHeight="1">
      <c r="A223" s="169"/>
      <c r="C223" s="70"/>
      <c r="D223" s="71"/>
      <c r="E223" s="71"/>
      <c r="F223" s="71"/>
      <c r="G223" s="123"/>
      <c r="H223" s="71"/>
      <c r="J223" s="71"/>
      <c r="K223" s="71"/>
      <c r="M223" s="121"/>
    </row>
    <row r="224" spans="1:13">
      <c r="A224" s="169">
        <v>5</v>
      </c>
      <c r="B224" s="70" t="s">
        <v>231</v>
      </c>
      <c r="C224" s="74"/>
      <c r="D224" s="124"/>
      <c r="E224" s="124"/>
      <c r="F224" s="124"/>
      <c r="G224" s="92"/>
      <c r="H224" s="71" t="s">
        <v>105</v>
      </c>
      <c r="I224" s="26">
        <f>IF(I219&gt;0,I222/I219,0)</f>
        <v>0.99251834164897124</v>
      </c>
      <c r="J224" s="71"/>
      <c r="K224" s="71"/>
      <c r="M224" s="121"/>
    </row>
    <row r="225" spans="1:13" ht="9" customHeight="1">
      <c r="J225" s="71"/>
      <c r="K225" s="71"/>
      <c r="M225" s="121"/>
    </row>
    <row r="226" spans="1:13">
      <c r="B226" s="68" t="s">
        <v>102</v>
      </c>
      <c r="J226" s="71"/>
      <c r="K226" s="71"/>
      <c r="M226" s="121"/>
    </row>
    <row r="227" spans="1:13" ht="9" customHeight="1">
      <c r="J227" s="71"/>
      <c r="K227" s="71"/>
      <c r="M227" s="121"/>
    </row>
    <row r="228" spans="1:13">
      <c r="A228" s="169">
        <v>6</v>
      </c>
      <c r="B228" s="65" t="s">
        <v>209</v>
      </c>
      <c r="D228" s="70"/>
      <c r="E228" s="70"/>
      <c r="F228" s="70"/>
      <c r="G228" s="169"/>
      <c r="H228" s="70"/>
      <c r="I228" s="4">
        <f>+D147</f>
        <v>40244037</v>
      </c>
      <c r="J228" s="71"/>
      <c r="K228" s="71"/>
      <c r="M228" s="121"/>
    </row>
    <row r="229" spans="1:13" ht="16.5" thickBot="1">
      <c r="A229" s="169">
        <v>7</v>
      </c>
      <c r="B229" s="122" t="s">
        <v>210</v>
      </c>
      <c r="C229" s="122"/>
      <c r="D229" s="105"/>
      <c r="E229" s="105"/>
      <c r="F229" s="71"/>
      <c r="G229" s="71"/>
      <c r="H229" s="71"/>
      <c r="I229" s="57">
        <v>1779086</v>
      </c>
      <c r="J229" s="71"/>
      <c r="K229" s="71"/>
      <c r="M229" s="121"/>
    </row>
    <row r="230" spans="1:13">
      <c r="A230" s="169">
        <v>8</v>
      </c>
      <c r="B230" s="70" t="s">
        <v>211</v>
      </c>
      <c r="C230" s="74"/>
      <c r="D230" s="124"/>
      <c r="E230" s="124"/>
      <c r="F230" s="124"/>
      <c r="G230" s="92"/>
      <c r="H230" s="124"/>
      <c r="I230" s="4">
        <f>+I228-I229</f>
        <v>38464951</v>
      </c>
      <c r="J230" s="71"/>
      <c r="K230" s="71"/>
      <c r="M230" s="121"/>
    </row>
    <row r="231" spans="1:13">
      <c r="A231" s="169"/>
      <c r="B231" s="70"/>
      <c r="C231" s="70"/>
      <c r="D231" s="71"/>
      <c r="E231" s="71"/>
      <c r="F231" s="71"/>
      <c r="G231" s="71"/>
      <c r="J231" s="71"/>
      <c r="K231" s="71"/>
      <c r="M231" s="121"/>
    </row>
    <row r="232" spans="1:13">
      <c r="A232" s="169">
        <v>9</v>
      </c>
      <c r="B232" s="70" t="s">
        <v>212</v>
      </c>
      <c r="C232" s="70"/>
      <c r="D232" s="71"/>
      <c r="E232" s="71"/>
      <c r="F232" s="71"/>
      <c r="G232" s="71"/>
      <c r="H232" s="71"/>
      <c r="I232" s="23">
        <f>IF(I228&gt;0,I230/I228,0)</f>
        <v>0.95579255629846482</v>
      </c>
      <c r="M232" s="121"/>
    </row>
    <row r="233" spans="1:13">
      <c r="A233" s="169">
        <v>10</v>
      </c>
      <c r="B233" s="70" t="s">
        <v>213</v>
      </c>
      <c r="C233" s="70"/>
      <c r="D233" s="71"/>
      <c r="E233" s="71"/>
      <c r="F233" s="71"/>
      <c r="G233" s="71"/>
      <c r="H233" s="70" t="s">
        <v>12</v>
      </c>
      <c r="I233" s="37">
        <f>IF(I219&gt;0,I222/I219,0)</f>
        <v>0.99251834164897124</v>
      </c>
      <c r="M233" s="121"/>
    </row>
    <row r="234" spans="1:13">
      <c r="A234" s="169">
        <v>11</v>
      </c>
      <c r="B234" s="70" t="s">
        <v>214</v>
      </c>
      <c r="C234" s="70"/>
      <c r="D234" s="70"/>
      <c r="E234" s="70"/>
      <c r="F234" s="70"/>
      <c r="G234" s="70"/>
      <c r="H234" s="70" t="s">
        <v>103</v>
      </c>
      <c r="I234" s="38">
        <f>+I233*I232</f>
        <v>0.9486416429377833</v>
      </c>
      <c r="M234" s="121"/>
    </row>
    <row r="235" spans="1:13">
      <c r="I235" s="99"/>
      <c r="M235" s="121"/>
    </row>
    <row r="236" spans="1:13" ht="16.5" thickBot="1">
      <c r="A236" s="169" t="s">
        <v>2</v>
      </c>
      <c r="B236" s="68" t="s">
        <v>106</v>
      </c>
      <c r="C236" s="71"/>
      <c r="D236" s="125" t="s">
        <v>107</v>
      </c>
      <c r="E236" s="125" t="s">
        <v>12</v>
      </c>
      <c r="F236" s="71"/>
      <c r="G236" s="125" t="s">
        <v>108</v>
      </c>
      <c r="H236" s="71"/>
      <c r="I236" s="71"/>
      <c r="J236" s="71"/>
      <c r="K236" s="71"/>
      <c r="M236" s="121"/>
    </row>
    <row r="237" spans="1:13">
      <c r="A237" s="169">
        <v>12</v>
      </c>
      <c r="B237" s="68" t="s">
        <v>53</v>
      </c>
      <c r="C237" s="71"/>
      <c r="D237" s="58">
        <v>17739167</v>
      </c>
      <c r="E237" s="126">
        <v>0</v>
      </c>
      <c r="F237" s="126"/>
      <c r="G237" s="4">
        <f>D237*E237</f>
        <v>0</v>
      </c>
      <c r="H237" s="71"/>
      <c r="I237" s="71"/>
      <c r="J237" s="71"/>
      <c r="K237" s="71"/>
      <c r="M237" s="121"/>
    </row>
    <row r="238" spans="1:13">
      <c r="A238" s="169">
        <v>13</v>
      </c>
      <c r="B238" s="68" t="s">
        <v>56</v>
      </c>
      <c r="C238" s="71"/>
      <c r="D238" s="58">
        <v>11876618</v>
      </c>
      <c r="E238" s="39">
        <f>+I233</f>
        <v>0.99251834164897124</v>
      </c>
      <c r="F238" s="126"/>
      <c r="G238" s="4">
        <f>D238*E238</f>
        <v>11787761.201758321</v>
      </c>
      <c r="H238" s="71"/>
      <c r="I238" s="71"/>
      <c r="J238" s="71"/>
      <c r="K238" s="71"/>
      <c r="M238" s="121"/>
    </row>
    <row r="239" spans="1:13">
      <c r="A239" s="169">
        <v>14</v>
      </c>
      <c r="B239" s="68" t="s">
        <v>57</v>
      </c>
      <c r="C239" s="71"/>
      <c r="D239" s="58">
        <v>1047168</v>
      </c>
      <c r="E239" s="126">
        <v>0</v>
      </c>
      <c r="F239" s="126"/>
      <c r="G239" s="4">
        <f>D239*E239</f>
        <v>0</v>
      </c>
      <c r="H239" s="71"/>
      <c r="I239" s="127" t="s">
        <v>109</v>
      </c>
      <c r="J239" s="71"/>
      <c r="K239" s="71"/>
      <c r="M239" s="121"/>
    </row>
    <row r="240" spans="1:13" ht="16.5" thickBot="1">
      <c r="A240" s="169">
        <v>15</v>
      </c>
      <c r="B240" s="68" t="s">
        <v>110</v>
      </c>
      <c r="C240" s="71"/>
      <c r="D240" s="54">
        <v>0</v>
      </c>
      <c r="E240" s="126">
        <v>0</v>
      </c>
      <c r="F240" s="126"/>
      <c r="G240" s="15">
        <f>D240*E240</f>
        <v>0</v>
      </c>
      <c r="H240" s="71"/>
      <c r="I240" s="75" t="s">
        <v>111</v>
      </c>
      <c r="J240" s="71"/>
      <c r="K240" s="71"/>
      <c r="M240" s="121"/>
    </row>
    <row r="241" spans="1:19">
      <c r="A241" s="169">
        <v>16</v>
      </c>
      <c r="B241" s="68" t="s">
        <v>167</v>
      </c>
      <c r="C241" s="71"/>
      <c r="D241" s="4">
        <f>SUM(D237:D240)</f>
        <v>30662953</v>
      </c>
      <c r="E241" s="71"/>
      <c r="F241" s="71"/>
      <c r="G241" s="4">
        <f>SUM(G237:G240)</f>
        <v>11787761.201758321</v>
      </c>
      <c r="H241" s="169" t="s">
        <v>112</v>
      </c>
      <c r="I241" s="22">
        <f>IF(G241&gt;0,G241/D241,0)</f>
        <v>0.38443007109453292</v>
      </c>
      <c r="J241" s="128" t="s">
        <v>267</v>
      </c>
      <c r="K241" s="71"/>
      <c r="M241" s="121"/>
    </row>
    <row r="242" spans="1:19" ht="9" customHeight="1">
      <c r="A242" s="169" t="s">
        <v>2</v>
      </c>
      <c r="B242" s="68" t="s">
        <v>2</v>
      </c>
      <c r="C242" s="71" t="s">
        <v>2</v>
      </c>
      <c r="E242" s="71"/>
      <c r="F242" s="71"/>
      <c r="K242" s="71"/>
      <c r="M242" s="121"/>
    </row>
    <row r="243" spans="1:19">
      <c r="A243" s="169"/>
      <c r="B243" s="68" t="s">
        <v>215</v>
      </c>
      <c r="C243" s="71"/>
      <c r="D243" s="93" t="s">
        <v>107</v>
      </c>
      <c r="E243" s="71"/>
      <c r="F243" s="71"/>
      <c r="G243" s="123" t="s">
        <v>113</v>
      </c>
      <c r="H243" s="117" t="s">
        <v>2</v>
      </c>
      <c r="I243" s="101" t="s">
        <v>114</v>
      </c>
      <c r="J243" s="71"/>
      <c r="K243" s="71"/>
    </row>
    <row r="244" spans="1:19">
      <c r="A244" s="169">
        <v>17</v>
      </c>
      <c r="B244" s="68" t="s">
        <v>115</v>
      </c>
      <c r="C244" s="71"/>
      <c r="D244" s="58">
        <v>1</v>
      </c>
      <c r="E244" s="71"/>
      <c r="G244" s="169" t="s">
        <v>116</v>
      </c>
      <c r="H244" s="117"/>
      <c r="I244" s="169" t="s">
        <v>117</v>
      </c>
      <c r="J244" s="71"/>
      <c r="K244" s="169" t="s">
        <v>61</v>
      </c>
    </row>
    <row r="245" spans="1:19">
      <c r="A245" s="169">
        <v>18</v>
      </c>
      <c r="B245" s="68" t="s">
        <v>118</v>
      </c>
      <c r="C245" s="71"/>
      <c r="D245" s="58">
        <v>0</v>
      </c>
      <c r="E245" s="71"/>
      <c r="G245" s="14">
        <f>IF(D247&gt;0,D244/D247,0)</f>
        <v>1</v>
      </c>
      <c r="H245" s="123" t="s">
        <v>119</v>
      </c>
      <c r="I245" s="14">
        <f>I241</f>
        <v>0.38443007109453292</v>
      </c>
      <c r="J245" s="117" t="s">
        <v>112</v>
      </c>
      <c r="K245" s="14">
        <f>I245*G245</f>
        <v>0.38443007109453292</v>
      </c>
    </row>
    <row r="246" spans="1:19" ht="16.5" thickBot="1">
      <c r="A246" s="169">
        <v>19</v>
      </c>
      <c r="B246" s="129" t="s">
        <v>120</v>
      </c>
      <c r="C246" s="79"/>
      <c r="D246" s="54">
        <v>0</v>
      </c>
      <c r="E246" s="71"/>
      <c r="F246" s="71"/>
      <c r="G246" s="71" t="s">
        <v>2</v>
      </c>
      <c r="H246" s="71"/>
      <c r="I246" s="71"/>
      <c r="J246" s="71"/>
      <c r="K246" s="71"/>
    </row>
    <row r="247" spans="1:19">
      <c r="A247" s="169">
        <v>20</v>
      </c>
      <c r="B247" s="68" t="s">
        <v>216</v>
      </c>
      <c r="C247" s="71"/>
      <c r="D247" s="4">
        <f>D244+D245+D246</f>
        <v>1</v>
      </c>
      <c r="E247" s="71"/>
      <c r="F247" s="71"/>
      <c r="G247" s="71"/>
      <c r="H247" s="71"/>
      <c r="I247" s="71"/>
      <c r="J247" s="71"/>
      <c r="K247" s="71"/>
    </row>
    <row r="248" spans="1:19" ht="9" customHeight="1">
      <c r="A248" s="169"/>
      <c r="B248" s="68" t="s">
        <v>2</v>
      </c>
      <c r="C248" s="71"/>
      <c r="E248" s="71"/>
      <c r="F248" s="71"/>
      <c r="G248" s="71"/>
      <c r="H248" s="71"/>
      <c r="I248" s="71" t="s">
        <v>2</v>
      </c>
      <c r="J248" s="71" t="s">
        <v>2</v>
      </c>
      <c r="K248" s="71"/>
    </row>
    <row r="249" spans="1:19" ht="16.5" thickBot="1">
      <c r="A249" s="169"/>
      <c r="B249" s="68" t="s">
        <v>121</v>
      </c>
      <c r="C249" s="71"/>
      <c r="D249" s="125" t="s">
        <v>107</v>
      </c>
      <c r="E249" s="71"/>
      <c r="F249" s="71"/>
      <c r="G249" s="71"/>
      <c r="H249" s="71"/>
      <c r="J249" s="71"/>
      <c r="K249" s="71"/>
    </row>
    <row r="250" spans="1:19">
      <c r="A250" s="169">
        <v>21</v>
      </c>
      <c r="B250" s="71" t="s">
        <v>258</v>
      </c>
      <c r="C250" s="70"/>
      <c r="D250" s="61">
        <v>40731926</v>
      </c>
      <c r="E250" s="71"/>
      <c r="F250" s="71"/>
      <c r="G250" s="71"/>
      <c r="H250" s="71"/>
      <c r="I250" s="71"/>
      <c r="J250" s="71"/>
      <c r="K250" s="71"/>
    </row>
    <row r="251" spans="1:19" ht="9" customHeight="1">
      <c r="A251" s="169"/>
      <c r="B251" s="68"/>
      <c r="C251" s="71"/>
      <c r="D251" s="71"/>
      <c r="E251" s="71"/>
      <c r="F251" s="71"/>
      <c r="G251" s="71"/>
      <c r="H251" s="71"/>
      <c r="I251" s="71"/>
      <c r="J251" s="71"/>
      <c r="K251" s="71"/>
    </row>
    <row r="252" spans="1:19">
      <c r="A252" s="169"/>
      <c r="B252" s="68"/>
      <c r="C252" s="71"/>
      <c r="D252" s="71"/>
      <c r="E252" s="71"/>
      <c r="F252" s="71"/>
      <c r="G252" s="123" t="s">
        <v>122</v>
      </c>
      <c r="H252" s="71"/>
      <c r="I252" s="71"/>
      <c r="J252" s="71"/>
      <c r="K252" s="71"/>
    </row>
    <row r="253" spans="1:19" ht="16.5" thickBot="1">
      <c r="A253" s="169"/>
      <c r="B253" s="68"/>
      <c r="C253" s="70"/>
      <c r="D253" s="75" t="s">
        <v>107</v>
      </c>
      <c r="E253" s="75" t="s">
        <v>123</v>
      </c>
      <c r="F253" s="71"/>
      <c r="G253" s="75" t="s">
        <v>124</v>
      </c>
      <c r="H253" s="71"/>
      <c r="I253" s="75" t="s">
        <v>125</v>
      </c>
      <c r="J253" s="71"/>
      <c r="K253" s="71"/>
    </row>
    <row r="254" spans="1:19">
      <c r="A254" s="169">
        <v>22</v>
      </c>
      <c r="B254" s="68" t="s">
        <v>328</v>
      </c>
      <c r="C254" s="70" t="s">
        <v>260</v>
      </c>
      <c r="D254" s="58">
        <v>852035276</v>
      </c>
      <c r="E254" s="40">
        <f>IF($D$256&gt;0,D254/$D$256,0)</f>
        <v>0.7320870507814039</v>
      </c>
      <c r="F254" s="131"/>
      <c r="G254" s="42">
        <f>IF(D254&gt;0,D250/D254,0)</f>
        <v>4.7805445557632054E-2</v>
      </c>
      <c r="I254" s="41">
        <f>G254*E254</f>
        <v>3.4997747649577818E-2</v>
      </c>
      <c r="J254" s="128" t="s">
        <v>126</v>
      </c>
    </row>
    <row r="255" spans="1:19" ht="16.5" thickBot="1">
      <c r="A255" s="169">
        <v>23</v>
      </c>
      <c r="B255" s="68" t="s">
        <v>329</v>
      </c>
      <c r="C255" s="70" t="s">
        <v>259</v>
      </c>
      <c r="D255" s="54">
        <v>311808935</v>
      </c>
      <c r="E255" s="43">
        <f>IF($D$256&gt;0,D255/$D$256,0)</f>
        <v>0.26791294921859604</v>
      </c>
      <c r="F255" s="131"/>
      <c r="G255" s="41">
        <f>I258</f>
        <v>0.1082</v>
      </c>
      <c r="I255" s="44">
        <f>G255*E255</f>
        <v>2.8988181105452093E-2</v>
      </c>
      <c r="J255" s="71"/>
    </row>
    <row r="256" spans="1:19" ht="12.75" customHeight="1">
      <c r="A256" s="169">
        <v>24</v>
      </c>
      <c r="B256" s="68" t="s">
        <v>217</v>
      </c>
      <c r="C256" s="70"/>
      <c r="D256" s="4">
        <f>SUM(D254:D255)</f>
        <v>1163844211</v>
      </c>
      <c r="E256" s="40">
        <f>IF($D$256&gt;0,D256/$D$256,0)</f>
        <v>1</v>
      </c>
      <c r="F256" s="131"/>
      <c r="G256" s="131"/>
      <c r="I256" s="41">
        <f>SUM(I254:I255)</f>
        <v>6.3985928755029911E-2</v>
      </c>
      <c r="J256" s="128" t="s">
        <v>127</v>
      </c>
      <c r="O256" s="133"/>
      <c r="P256" s="134"/>
      <c r="Q256" s="134"/>
      <c r="R256" s="134"/>
      <c r="S256" s="135"/>
    </row>
    <row r="257" spans="1:19">
      <c r="A257" s="169" t="s">
        <v>2</v>
      </c>
      <c r="B257" s="68"/>
      <c r="D257" s="71"/>
      <c r="E257" s="71" t="s">
        <v>2</v>
      </c>
      <c r="F257" s="71"/>
      <c r="G257" s="71"/>
      <c r="H257" s="71"/>
      <c r="I257" s="131"/>
      <c r="O257" s="136" t="s">
        <v>380</v>
      </c>
      <c r="P257" s="121"/>
      <c r="Q257" s="121"/>
      <c r="R257" s="121"/>
      <c r="S257" s="137"/>
    </row>
    <row r="258" spans="1:19">
      <c r="A258" s="169">
        <v>25</v>
      </c>
      <c r="E258" s="71"/>
      <c r="F258" s="71"/>
      <c r="G258" s="111" t="s">
        <v>188</v>
      </c>
      <c r="H258" s="71"/>
      <c r="I258" s="45">
        <f>S258+S259</f>
        <v>0.1082</v>
      </c>
      <c r="O258" s="136" t="s">
        <v>381</v>
      </c>
      <c r="P258" s="121"/>
      <c r="Q258" s="121"/>
      <c r="R258" s="121"/>
      <c r="S258" s="62">
        <v>0.1032</v>
      </c>
    </row>
    <row r="259" spans="1:19">
      <c r="A259" s="169">
        <v>26</v>
      </c>
      <c r="G259" s="66" t="s">
        <v>189</v>
      </c>
      <c r="I259" s="39">
        <f>IF(I256&gt;0,G254/I256,0)</f>
        <v>0.74712435199081306</v>
      </c>
      <c r="K259" s="71"/>
      <c r="O259" s="136" t="s">
        <v>382</v>
      </c>
      <c r="P259" s="121"/>
      <c r="Q259" s="121"/>
      <c r="R259" s="121"/>
      <c r="S259" s="62">
        <v>5.0000000000000001E-3</v>
      </c>
    </row>
    <row r="260" spans="1:19">
      <c r="A260" s="169"/>
      <c r="G260" s="66"/>
      <c r="I260" s="126"/>
      <c r="K260" s="71"/>
      <c r="O260" s="138"/>
      <c r="P260" s="139"/>
      <c r="Q260" s="139"/>
      <c r="R260" s="139"/>
      <c r="S260" s="140"/>
    </row>
    <row r="261" spans="1:19">
      <c r="A261" s="169"/>
      <c r="B261" s="65" t="s">
        <v>374</v>
      </c>
      <c r="G261" s="66"/>
      <c r="I261" s="126"/>
      <c r="K261" s="71"/>
    </row>
    <row r="262" spans="1:19">
      <c r="A262" s="169">
        <v>27</v>
      </c>
      <c r="B262" s="68" t="s">
        <v>334</v>
      </c>
      <c r="E262" s="130">
        <v>0.65</v>
      </c>
      <c r="F262" s="131"/>
      <c r="G262" s="41">
        <f>+G254</f>
        <v>4.7805445557632054E-2</v>
      </c>
      <c r="I262" s="41">
        <f>G262*E262</f>
        <v>3.1073539612460836E-2</v>
      </c>
      <c r="J262" s="128" t="s">
        <v>126</v>
      </c>
    </row>
    <row r="263" spans="1:19" ht="16.5" thickBot="1">
      <c r="A263" s="169">
        <v>28</v>
      </c>
      <c r="B263" s="68" t="s">
        <v>335</v>
      </c>
      <c r="E263" s="132">
        <v>0.35</v>
      </c>
      <c r="F263" s="131"/>
      <c r="G263" s="41">
        <f>I258</f>
        <v>0.1082</v>
      </c>
      <c r="I263" s="44">
        <f>G263*E263</f>
        <v>3.7870000000000001E-2</v>
      </c>
      <c r="J263" s="71"/>
    </row>
    <row r="264" spans="1:19">
      <c r="A264" s="169">
        <v>29</v>
      </c>
      <c r="B264" s="68" t="s">
        <v>315</v>
      </c>
      <c r="E264" s="40">
        <f>SUM(E262:E263)</f>
        <v>1</v>
      </c>
      <c r="F264" s="131"/>
      <c r="G264" s="131"/>
      <c r="I264" s="41">
        <f>SUM(I262:I263)</f>
        <v>6.894353961246083E-2</v>
      </c>
      <c r="J264" s="128" t="s">
        <v>356</v>
      </c>
    </row>
    <row r="265" spans="1:19">
      <c r="A265" s="169"/>
      <c r="B265" s="68"/>
      <c r="E265" s="130"/>
      <c r="F265" s="131"/>
      <c r="G265" s="131"/>
      <c r="I265" s="131"/>
      <c r="J265" s="128"/>
    </row>
    <row r="266" spans="1:19">
      <c r="A266" s="169"/>
      <c r="B266" s="65" t="s">
        <v>354</v>
      </c>
      <c r="G266" s="66"/>
      <c r="I266" s="126"/>
      <c r="K266" s="71"/>
    </row>
    <row r="267" spans="1:19">
      <c r="A267" s="169" t="s">
        <v>337</v>
      </c>
      <c r="B267" s="68" t="s">
        <v>334</v>
      </c>
      <c r="E267" s="130">
        <v>0.6</v>
      </c>
      <c r="F267" s="131"/>
      <c r="G267" s="41">
        <f>G254</f>
        <v>4.7805445557632054E-2</v>
      </c>
      <c r="I267" s="41">
        <f>G267*E267</f>
        <v>2.8683267334579231E-2</v>
      </c>
      <c r="J267" s="128" t="s">
        <v>126</v>
      </c>
    </row>
    <row r="268" spans="1:19" ht="16.5" thickBot="1">
      <c r="A268" s="169" t="s">
        <v>338</v>
      </c>
      <c r="B268" s="68" t="s">
        <v>335</v>
      </c>
      <c r="E268" s="132">
        <v>0.4</v>
      </c>
      <c r="F268" s="131"/>
      <c r="G268" s="41">
        <f>I258</f>
        <v>0.1082</v>
      </c>
      <c r="I268" s="44">
        <f>G268*E268</f>
        <v>4.3280000000000006E-2</v>
      </c>
      <c r="J268" s="71"/>
    </row>
    <row r="269" spans="1:19">
      <c r="A269" s="169" t="s">
        <v>339</v>
      </c>
      <c r="B269" s="68" t="s">
        <v>341</v>
      </c>
      <c r="E269" s="40">
        <f>SUM(E267:E268)</f>
        <v>1</v>
      </c>
      <c r="F269" s="131"/>
      <c r="G269" s="131"/>
      <c r="I269" s="41">
        <f>SUM(I267:I268)</f>
        <v>7.1963267334579237E-2</v>
      </c>
      <c r="J269" s="128" t="s">
        <v>355</v>
      </c>
    </row>
    <row r="270" spans="1:19">
      <c r="A270" s="169"/>
      <c r="B270" s="68"/>
      <c r="E270" s="130"/>
      <c r="F270" s="131"/>
      <c r="G270" s="131"/>
      <c r="I270" s="131"/>
      <c r="J270" s="128"/>
    </row>
    <row r="271" spans="1:19">
      <c r="A271" s="169" t="s">
        <v>340</v>
      </c>
      <c r="B271" s="65" t="s">
        <v>362</v>
      </c>
      <c r="H271" s="66"/>
      <c r="I271" s="46">
        <f>I264-I256</f>
        <v>4.9576108574309191E-3</v>
      </c>
      <c r="J271" s="128"/>
    </row>
    <row r="272" spans="1:19">
      <c r="A272" s="169"/>
      <c r="B272" s="68"/>
      <c r="E272" s="130"/>
      <c r="F272" s="131"/>
      <c r="G272" s="131"/>
      <c r="I272" s="131"/>
      <c r="J272" s="128"/>
    </row>
    <row r="273" spans="1:11">
      <c r="A273" s="169" t="s">
        <v>361</v>
      </c>
      <c r="B273" s="65" t="s">
        <v>360</v>
      </c>
      <c r="H273" s="66"/>
      <c r="I273" s="46">
        <f>I269-I256</f>
        <v>7.9773385795493257E-3</v>
      </c>
      <c r="J273" s="128"/>
    </row>
    <row r="274" spans="1:11">
      <c r="A274" s="169"/>
      <c r="B274" s="68"/>
      <c r="E274" s="130"/>
      <c r="F274" s="131"/>
      <c r="G274" s="131"/>
      <c r="I274" s="131"/>
      <c r="J274" s="128"/>
    </row>
    <row r="275" spans="1:11">
      <c r="A275" s="169"/>
      <c r="B275" s="68" t="s">
        <v>128</v>
      </c>
      <c r="C275" s="70"/>
      <c r="D275" s="70"/>
      <c r="E275" s="70"/>
      <c r="F275" s="70"/>
      <c r="G275" s="70"/>
      <c r="H275" s="70"/>
      <c r="I275" s="70"/>
      <c r="J275" s="70"/>
      <c r="K275" s="70"/>
    </row>
    <row r="276" spans="1:11" ht="16.5" thickBot="1">
      <c r="A276" s="169"/>
      <c r="B276" s="68"/>
      <c r="C276" s="68"/>
      <c r="D276" s="68"/>
      <c r="E276" s="68"/>
      <c r="F276" s="68"/>
      <c r="G276" s="68"/>
      <c r="H276" s="68"/>
      <c r="I276" s="75" t="s">
        <v>129</v>
      </c>
      <c r="J276" s="123"/>
      <c r="K276" s="123"/>
    </row>
    <row r="277" spans="1:11">
      <c r="A277" s="169"/>
      <c r="B277" s="68" t="s">
        <v>218</v>
      </c>
      <c r="C277" s="70"/>
      <c r="D277" s="70"/>
      <c r="E277" s="70"/>
      <c r="F277" s="70"/>
      <c r="G277" s="141" t="s">
        <v>2</v>
      </c>
      <c r="H277" s="142"/>
      <c r="I277" s="99"/>
      <c r="J277" s="123"/>
      <c r="K277" s="123"/>
    </row>
    <row r="278" spans="1:11">
      <c r="A278" s="143">
        <v>30</v>
      </c>
      <c r="B278" s="65" t="s">
        <v>130</v>
      </c>
      <c r="C278" s="70"/>
      <c r="D278" s="70"/>
      <c r="E278" s="70" t="s">
        <v>131</v>
      </c>
      <c r="F278" s="70"/>
      <c r="H278" s="142"/>
      <c r="I278" s="58">
        <v>0</v>
      </c>
      <c r="J278" s="123"/>
      <c r="K278" s="123"/>
    </row>
    <row r="279" spans="1:11" ht="16.5" thickBot="1">
      <c r="A279" s="143">
        <v>31</v>
      </c>
      <c r="B279" s="109" t="s">
        <v>165</v>
      </c>
      <c r="C279" s="122"/>
      <c r="D279" s="121"/>
      <c r="E279" s="144"/>
      <c r="F279" s="144"/>
      <c r="G279" s="144"/>
      <c r="H279" s="70"/>
      <c r="I279" s="54">
        <v>0</v>
      </c>
      <c r="J279" s="123"/>
      <c r="K279" s="123"/>
    </row>
    <row r="280" spans="1:11">
      <c r="A280" s="143">
        <v>32</v>
      </c>
      <c r="B280" s="65" t="s">
        <v>132</v>
      </c>
      <c r="C280" s="70"/>
      <c r="E280" s="70"/>
      <c r="F280" s="70"/>
      <c r="G280" s="70"/>
      <c r="H280" s="70"/>
      <c r="I280" s="25">
        <f>+I278-I279</f>
        <v>0</v>
      </c>
      <c r="J280" s="123"/>
      <c r="K280" s="123"/>
    </row>
    <row r="281" spans="1:11" ht="9" customHeight="1">
      <c r="A281" s="169"/>
      <c r="C281" s="70"/>
      <c r="E281" s="70"/>
      <c r="F281" s="70"/>
      <c r="G281" s="70"/>
      <c r="H281" s="70"/>
      <c r="I281" s="145"/>
      <c r="J281" s="123"/>
      <c r="K281" s="123"/>
    </row>
    <row r="282" spans="1:11">
      <c r="A282" s="143">
        <v>33</v>
      </c>
      <c r="B282" s="68" t="s">
        <v>219</v>
      </c>
      <c r="C282" s="70"/>
      <c r="E282" s="70"/>
      <c r="F282" s="70"/>
      <c r="G282" s="90"/>
      <c r="H282" s="70"/>
      <c r="I282" s="63">
        <v>14500</v>
      </c>
      <c r="J282" s="99"/>
      <c r="K282" s="146"/>
    </row>
    <row r="283" spans="1:11" ht="9" customHeight="1">
      <c r="A283" s="169"/>
      <c r="C283" s="70"/>
      <c r="D283" s="70"/>
      <c r="E283" s="70"/>
      <c r="F283" s="70"/>
      <c r="G283" s="70"/>
      <c r="H283" s="70"/>
      <c r="I283" s="145"/>
      <c r="J283" s="99"/>
      <c r="K283" s="146"/>
    </row>
    <row r="284" spans="1:11">
      <c r="B284" s="68" t="s">
        <v>133</v>
      </c>
      <c r="C284" s="70"/>
      <c r="D284" s="70"/>
      <c r="E284" s="70"/>
      <c r="F284" s="70"/>
      <c r="G284" s="70"/>
      <c r="H284" s="70"/>
      <c r="K284" s="147"/>
    </row>
    <row r="285" spans="1:11">
      <c r="A285" s="143">
        <v>34</v>
      </c>
      <c r="B285" s="68" t="s">
        <v>134</v>
      </c>
      <c r="C285" s="71"/>
      <c r="D285" s="71"/>
      <c r="E285" s="71"/>
      <c r="F285" s="71"/>
      <c r="G285" s="71"/>
      <c r="H285" s="71"/>
      <c r="I285" s="63">
        <v>22080760</v>
      </c>
      <c r="J285" s="71"/>
      <c r="K285" s="147"/>
    </row>
    <row r="286" spans="1:11">
      <c r="A286" s="143">
        <v>35</v>
      </c>
      <c r="B286" s="148" t="s">
        <v>166</v>
      </c>
      <c r="C286" s="144"/>
      <c r="D286" s="144"/>
      <c r="E286" s="144"/>
      <c r="F286" s="144"/>
      <c r="G286" s="70"/>
      <c r="H286" s="70"/>
      <c r="I286" s="63">
        <v>14748000</v>
      </c>
      <c r="K286" s="147"/>
    </row>
    <row r="287" spans="1:11">
      <c r="A287" s="169" t="s">
        <v>330</v>
      </c>
      <c r="B287" s="149" t="s">
        <v>273</v>
      </c>
      <c r="C287" s="150"/>
      <c r="D287" s="144"/>
      <c r="E287" s="144"/>
      <c r="F287" s="144"/>
      <c r="G287" s="70"/>
      <c r="H287" s="70"/>
      <c r="I287" s="63">
        <v>2760000</v>
      </c>
      <c r="K287" s="147"/>
    </row>
    <row r="288" spans="1:11" ht="16.5" thickBot="1">
      <c r="A288" s="169" t="s">
        <v>331</v>
      </c>
      <c r="B288" s="151" t="s">
        <v>274</v>
      </c>
      <c r="C288" s="152"/>
      <c r="D288" s="144"/>
      <c r="E288" s="144"/>
      <c r="F288" s="144"/>
      <c r="G288" s="70"/>
      <c r="H288" s="70"/>
      <c r="I288" s="64">
        <v>0</v>
      </c>
      <c r="K288" s="147"/>
    </row>
    <row r="289" spans="1:11">
      <c r="A289" s="143">
        <v>36</v>
      </c>
      <c r="B289" s="65" t="s">
        <v>249</v>
      </c>
      <c r="C289" s="169"/>
      <c r="D289" s="71"/>
      <c r="E289" s="71"/>
      <c r="F289" s="71"/>
      <c r="G289" s="71"/>
      <c r="H289" s="70"/>
      <c r="I289" s="3">
        <f>+I285-I286-I287-I288</f>
        <v>4572760</v>
      </c>
      <c r="J289" s="71"/>
      <c r="K289" s="147"/>
    </row>
    <row r="290" spans="1:11">
      <c r="A290" s="169"/>
    </row>
    <row r="291" spans="1:11">
      <c r="A291" s="169"/>
    </row>
    <row r="292" spans="1:11">
      <c r="A292" s="169"/>
    </row>
    <row r="293" spans="1:11">
      <c r="A293" s="169"/>
      <c r="K293" s="66" t="s">
        <v>318</v>
      </c>
    </row>
    <row r="294" spans="1:11">
      <c r="B294" s="68"/>
      <c r="C294" s="68"/>
      <c r="D294" s="69"/>
      <c r="E294" s="68"/>
      <c r="F294" s="68"/>
      <c r="G294" s="68"/>
      <c r="H294" s="70"/>
      <c r="I294" s="70"/>
      <c r="J294" s="182" t="s">
        <v>192</v>
      </c>
      <c r="K294" s="182"/>
    </row>
    <row r="295" spans="1:11">
      <c r="A295" s="169"/>
      <c r="B295" s="47" t="str">
        <f>B4</f>
        <v xml:space="preserve">Formula Rate - Non-Levelized </v>
      </c>
      <c r="C295" s="169"/>
      <c r="D295" s="4" t="str">
        <f>D4</f>
        <v xml:space="preserve">     Rate Formula Template</v>
      </c>
      <c r="E295" s="71"/>
      <c r="F295" s="71"/>
      <c r="G295" s="71"/>
      <c r="H295" s="70"/>
      <c r="J295" s="99"/>
      <c r="K295" s="48" t="str">
        <f>K4</f>
        <v>For the 12 months ended 12/31/18</v>
      </c>
    </row>
    <row r="296" spans="1:11">
      <c r="A296" s="169"/>
      <c r="B296" s="153"/>
      <c r="C296" s="169"/>
      <c r="D296" s="4" t="str">
        <f>D5</f>
        <v xml:space="preserve"> Utilizing RUS Form 12 Data</v>
      </c>
      <c r="E296" s="71"/>
      <c r="F296" s="71"/>
      <c r="G296" s="71"/>
      <c r="H296" s="70"/>
      <c r="I296" s="154"/>
      <c r="J296" s="99"/>
      <c r="K296" s="102"/>
    </row>
    <row r="297" spans="1:11">
      <c r="A297" s="169"/>
      <c r="B297" s="153"/>
      <c r="C297" s="169"/>
      <c r="D297" s="71"/>
      <c r="E297" s="71"/>
      <c r="F297" s="71"/>
      <c r="G297" s="71"/>
      <c r="H297" s="70"/>
      <c r="I297" s="154"/>
      <c r="J297" s="99"/>
      <c r="K297" s="102"/>
    </row>
    <row r="298" spans="1:11">
      <c r="A298" s="169"/>
      <c r="B298" s="153"/>
      <c r="C298" s="169"/>
      <c r="D298" s="4" t="str">
        <f>D7</f>
        <v>Dairyland Power Cooperative</v>
      </c>
      <c r="E298" s="71"/>
      <c r="F298" s="71"/>
      <c r="G298" s="71"/>
      <c r="H298" s="70"/>
      <c r="I298" s="154"/>
      <c r="J298" s="99"/>
      <c r="K298" s="102"/>
    </row>
    <row r="299" spans="1:11">
      <c r="B299" s="68" t="s">
        <v>135</v>
      </c>
      <c r="C299" s="169"/>
      <c r="D299" s="71"/>
      <c r="E299" s="71"/>
      <c r="F299" s="71"/>
      <c r="G299" s="71"/>
      <c r="H299" s="70"/>
      <c r="I299" s="71"/>
      <c r="J299" s="70"/>
      <c r="K299" s="71"/>
    </row>
    <row r="300" spans="1:11">
      <c r="A300" s="169"/>
      <c r="B300" s="155" t="s">
        <v>194</v>
      </c>
      <c r="C300" s="169"/>
      <c r="D300" s="71"/>
      <c r="E300" s="71"/>
      <c r="F300" s="71"/>
      <c r="G300" s="71"/>
      <c r="H300" s="70"/>
      <c r="I300" s="71"/>
      <c r="J300" s="70"/>
      <c r="K300" s="71"/>
    </row>
    <row r="301" spans="1:11">
      <c r="A301" s="169" t="s">
        <v>136</v>
      </c>
      <c r="B301" s="155" t="s">
        <v>195</v>
      </c>
      <c r="C301" s="169"/>
      <c r="D301" s="71"/>
      <c r="E301" s="71"/>
      <c r="F301" s="71"/>
      <c r="G301" s="71"/>
      <c r="H301" s="70"/>
      <c r="I301" s="71"/>
      <c r="J301" s="70"/>
      <c r="K301" s="71"/>
    </row>
    <row r="302" spans="1:11" ht="16.5" thickBot="1">
      <c r="A302" s="75" t="s">
        <v>137</v>
      </c>
      <c r="B302" s="155"/>
      <c r="C302" s="169"/>
      <c r="D302" s="71"/>
      <c r="E302" s="71"/>
      <c r="F302" s="71"/>
      <c r="G302" s="71"/>
      <c r="H302" s="70"/>
      <c r="I302" s="71"/>
      <c r="J302" s="70"/>
      <c r="K302" s="71"/>
    </row>
    <row r="303" spans="1:11" ht="32.25" customHeight="1">
      <c r="A303" s="156" t="s">
        <v>138</v>
      </c>
      <c r="B303" s="186" t="s">
        <v>242</v>
      </c>
      <c r="C303" s="186"/>
      <c r="D303" s="186"/>
      <c r="E303" s="186"/>
      <c r="F303" s="186"/>
      <c r="G303" s="186"/>
      <c r="H303" s="186"/>
      <c r="I303" s="186"/>
      <c r="J303" s="186"/>
      <c r="K303" s="186"/>
    </row>
    <row r="304" spans="1:11" ht="63" customHeight="1">
      <c r="A304" s="156" t="s">
        <v>139</v>
      </c>
      <c r="B304" s="186" t="s">
        <v>243</v>
      </c>
      <c r="C304" s="186"/>
      <c r="D304" s="186"/>
      <c r="E304" s="186"/>
      <c r="F304" s="186"/>
      <c r="G304" s="186"/>
      <c r="H304" s="186"/>
      <c r="I304" s="186"/>
      <c r="J304" s="186"/>
      <c r="K304" s="186"/>
    </row>
    <row r="305" spans="1:11" ht="15.75" customHeight="1">
      <c r="A305" s="156" t="s">
        <v>140</v>
      </c>
      <c r="B305" s="186" t="s">
        <v>244</v>
      </c>
      <c r="C305" s="186"/>
      <c r="D305" s="186"/>
      <c r="E305" s="186"/>
      <c r="F305" s="186"/>
      <c r="G305" s="186"/>
      <c r="H305" s="186"/>
      <c r="I305" s="186"/>
      <c r="J305" s="186"/>
      <c r="K305" s="186"/>
    </row>
    <row r="306" spans="1:11" ht="15.75" customHeight="1">
      <c r="A306" s="156" t="s">
        <v>141</v>
      </c>
      <c r="B306" s="186" t="s">
        <v>244</v>
      </c>
      <c r="C306" s="186"/>
      <c r="D306" s="186"/>
      <c r="E306" s="186"/>
      <c r="F306" s="186"/>
      <c r="G306" s="186"/>
      <c r="H306" s="186"/>
      <c r="I306" s="186"/>
      <c r="J306" s="186"/>
      <c r="K306" s="186"/>
    </row>
    <row r="307" spans="1:11" ht="15.75" customHeight="1">
      <c r="A307" s="156" t="s">
        <v>142</v>
      </c>
      <c r="B307" s="186" t="s">
        <v>268</v>
      </c>
      <c r="C307" s="186"/>
      <c r="D307" s="186"/>
      <c r="E307" s="186"/>
      <c r="F307" s="186"/>
      <c r="G307" s="186"/>
      <c r="H307" s="186"/>
      <c r="I307" s="186"/>
      <c r="J307" s="186"/>
      <c r="K307" s="186"/>
    </row>
    <row r="308" spans="1:11" ht="48" customHeight="1">
      <c r="A308" s="156" t="s">
        <v>143</v>
      </c>
      <c r="B308" s="185" t="s">
        <v>342</v>
      </c>
      <c r="C308" s="185"/>
      <c r="D308" s="185"/>
      <c r="E308" s="185"/>
      <c r="F308" s="185"/>
      <c r="G308" s="185"/>
      <c r="H308" s="185"/>
      <c r="I308" s="185"/>
      <c r="J308" s="185"/>
      <c r="K308" s="185"/>
    </row>
    <row r="309" spans="1:11">
      <c r="A309" s="156" t="s">
        <v>144</v>
      </c>
      <c r="B309" s="185" t="s">
        <v>172</v>
      </c>
      <c r="C309" s="185"/>
      <c r="D309" s="185"/>
      <c r="E309" s="185"/>
      <c r="F309" s="185"/>
      <c r="G309" s="185"/>
      <c r="H309" s="185"/>
      <c r="I309" s="185"/>
      <c r="J309" s="185"/>
      <c r="K309" s="185"/>
    </row>
    <row r="310" spans="1:11" ht="32.25" customHeight="1">
      <c r="A310" s="156" t="s">
        <v>145</v>
      </c>
      <c r="B310" s="185" t="s">
        <v>261</v>
      </c>
      <c r="C310" s="185"/>
      <c r="D310" s="185"/>
      <c r="E310" s="185"/>
      <c r="F310" s="185"/>
      <c r="G310" s="185"/>
      <c r="H310" s="185"/>
      <c r="I310" s="185"/>
      <c r="J310" s="185"/>
      <c r="K310" s="185"/>
    </row>
    <row r="311" spans="1:11" ht="32.25" customHeight="1">
      <c r="A311" s="156" t="s">
        <v>146</v>
      </c>
      <c r="B311" s="186" t="s">
        <v>233</v>
      </c>
      <c r="C311" s="186"/>
      <c r="D311" s="186"/>
      <c r="E311" s="186"/>
      <c r="F311" s="186"/>
      <c r="G311" s="186"/>
      <c r="H311" s="186"/>
      <c r="I311" s="186"/>
      <c r="J311" s="186"/>
      <c r="K311" s="186"/>
    </row>
    <row r="312" spans="1:11" ht="32.25" customHeight="1">
      <c r="A312" s="156" t="s">
        <v>147</v>
      </c>
      <c r="B312" s="185" t="s">
        <v>234</v>
      </c>
      <c r="C312" s="185"/>
      <c r="D312" s="185"/>
      <c r="E312" s="185"/>
      <c r="F312" s="185"/>
      <c r="G312" s="185"/>
      <c r="H312" s="185"/>
      <c r="I312" s="185"/>
      <c r="J312" s="185"/>
      <c r="K312" s="185"/>
    </row>
    <row r="313" spans="1:11" ht="78" customHeight="1">
      <c r="A313" s="156" t="s">
        <v>148</v>
      </c>
      <c r="B313" s="185" t="s">
        <v>275</v>
      </c>
      <c r="C313" s="185"/>
      <c r="D313" s="185"/>
      <c r="E313" s="185"/>
      <c r="F313" s="185"/>
      <c r="G313" s="185"/>
      <c r="H313" s="185"/>
      <c r="I313" s="185"/>
      <c r="J313" s="185"/>
      <c r="K313" s="185"/>
    </row>
    <row r="314" spans="1:11">
      <c r="A314" s="156" t="s">
        <v>2</v>
      </c>
      <c r="B314" s="170" t="s">
        <v>232</v>
      </c>
      <c r="C314" s="171" t="s">
        <v>149</v>
      </c>
      <c r="D314" s="7">
        <v>0</v>
      </c>
      <c r="E314" s="171"/>
      <c r="F314" s="157"/>
      <c r="G314" s="157"/>
      <c r="H314" s="171"/>
      <c r="I314" s="157"/>
      <c r="J314" s="171"/>
      <c r="K314" s="171"/>
    </row>
    <row r="315" spans="1:11" ht="15.75" customHeight="1">
      <c r="A315" s="156"/>
      <c r="B315" s="171"/>
      <c r="C315" s="171" t="s">
        <v>150</v>
      </c>
      <c r="D315" s="7">
        <v>0</v>
      </c>
      <c r="E315" s="185" t="s">
        <v>151</v>
      </c>
      <c r="F315" s="185"/>
      <c r="G315" s="185"/>
      <c r="H315" s="185"/>
      <c r="I315" s="185"/>
      <c r="J315" s="185"/>
      <c r="K315" s="185"/>
    </row>
    <row r="316" spans="1:11" ht="15.75" customHeight="1">
      <c r="A316" s="156"/>
      <c r="B316" s="171"/>
      <c r="C316" s="171" t="s">
        <v>152</v>
      </c>
      <c r="D316" s="7">
        <v>0</v>
      </c>
      <c r="E316" s="185" t="s">
        <v>153</v>
      </c>
      <c r="F316" s="185"/>
      <c r="G316" s="185"/>
      <c r="H316" s="185"/>
      <c r="I316" s="185"/>
      <c r="J316" s="185"/>
      <c r="K316" s="185"/>
    </row>
    <row r="317" spans="1:11" ht="15.75" customHeight="1">
      <c r="A317" s="156" t="s">
        <v>154</v>
      </c>
      <c r="B317" s="185" t="s">
        <v>173</v>
      </c>
      <c r="C317" s="185"/>
      <c r="D317" s="185"/>
      <c r="E317" s="185"/>
      <c r="F317" s="185"/>
      <c r="G317" s="185"/>
      <c r="H317" s="185"/>
      <c r="I317" s="185"/>
      <c r="J317" s="185"/>
      <c r="K317" s="185"/>
    </row>
    <row r="318" spans="1:11" ht="32.25" customHeight="1">
      <c r="A318" s="156" t="s">
        <v>155</v>
      </c>
      <c r="B318" s="185" t="s">
        <v>235</v>
      </c>
      <c r="C318" s="185"/>
      <c r="D318" s="185"/>
      <c r="E318" s="185"/>
      <c r="F318" s="185"/>
      <c r="G318" s="185"/>
      <c r="H318" s="185"/>
      <c r="I318" s="185"/>
      <c r="J318" s="185"/>
      <c r="K318" s="185"/>
    </row>
    <row r="319" spans="1:11" ht="48" customHeight="1">
      <c r="A319" s="156" t="s">
        <v>156</v>
      </c>
      <c r="B319" s="185" t="s">
        <v>276</v>
      </c>
      <c r="C319" s="185"/>
      <c r="D319" s="185"/>
      <c r="E319" s="185"/>
      <c r="F319" s="185"/>
      <c r="G319" s="185"/>
      <c r="H319" s="185"/>
      <c r="I319" s="185"/>
      <c r="J319" s="185"/>
      <c r="K319" s="185"/>
    </row>
    <row r="320" spans="1:11">
      <c r="A320" s="156" t="s">
        <v>157</v>
      </c>
      <c r="B320" s="185" t="s">
        <v>174</v>
      </c>
      <c r="C320" s="185"/>
      <c r="D320" s="185"/>
      <c r="E320" s="185"/>
      <c r="F320" s="185"/>
      <c r="G320" s="185"/>
      <c r="H320" s="185"/>
      <c r="I320" s="185"/>
      <c r="J320" s="185"/>
      <c r="K320" s="185"/>
    </row>
    <row r="321" spans="1:11" ht="145.5" customHeight="1">
      <c r="A321" s="156" t="s">
        <v>158</v>
      </c>
      <c r="B321" s="187" t="s">
        <v>389</v>
      </c>
      <c r="C321" s="187"/>
      <c r="D321" s="187"/>
      <c r="E321" s="187"/>
      <c r="F321" s="187"/>
      <c r="G321" s="187"/>
      <c r="H321" s="187"/>
      <c r="I321" s="187"/>
      <c r="J321" s="187"/>
      <c r="K321" s="187"/>
    </row>
    <row r="322" spans="1:11" ht="32.25" customHeight="1">
      <c r="A322" s="156" t="s">
        <v>159</v>
      </c>
      <c r="B322" s="185" t="s">
        <v>236</v>
      </c>
      <c r="C322" s="185"/>
      <c r="D322" s="185"/>
      <c r="E322" s="185"/>
      <c r="F322" s="185"/>
      <c r="G322" s="185"/>
      <c r="H322" s="185"/>
      <c r="I322" s="185"/>
      <c r="J322" s="185"/>
      <c r="K322" s="185"/>
    </row>
    <row r="323" spans="1:11" ht="15.75" customHeight="1">
      <c r="A323" s="156" t="s">
        <v>160</v>
      </c>
      <c r="B323" s="185" t="s">
        <v>161</v>
      </c>
      <c r="C323" s="185"/>
      <c r="D323" s="185"/>
      <c r="E323" s="185"/>
      <c r="F323" s="185"/>
      <c r="G323" s="185"/>
      <c r="H323" s="185"/>
      <c r="I323" s="185"/>
      <c r="J323" s="185"/>
      <c r="K323" s="185"/>
    </row>
    <row r="324" spans="1:11" ht="48" customHeight="1">
      <c r="A324" s="156" t="s">
        <v>175</v>
      </c>
      <c r="B324" s="185" t="s">
        <v>269</v>
      </c>
      <c r="C324" s="185"/>
      <c r="D324" s="185"/>
      <c r="E324" s="185"/>
      <c r="F324" s="185"/>
      <c r="G324" s="185"/>
      <c r="H324" s="185"/>
      <c r="I324" s="185"/>
      <c r="J324" s="185"/>
      <c r="K324" s="185"/>
    </row>
    <row r="325" spans="1:11" ht="63.75" customHeight="1">
      <c r="A325" s="158" t="s">
        <v>176</v>
      </c>
      <c r="B325" s="185" t="s">
        <v>270</v>
      </c>
      <c r="C325" s="185"/>
      <c r="D325" s="185"/>
      <c r="E325" s="185"/>
      <c r="F325" s="185"/>
      <c r="G325" s="185"/>
      <c r="H325" s="185"/>
      <c r="I325" s="185"/>
      <c r="J325" s="185"/>
      <c r="K325" s="185"/>
    </row>
    <row r="326" spans="1:11" ht="15.75" customHeight="1">
      <c r="A326" s="158" t="s">
        <v>185</v>
      </c>
      <c r="B326" s="185" t="s">
        <v>384</v>
      </c>
      <c r="C326" s="185"/>
      <c r="D326" s="185"/>
      <c r="E326" s="185"/>
      <c r="F326" s="185"/>
      <c r="G326" s="185"/>
      <c r="H326" s="185"/>
      <c r="I326" s="185"/>
      <c r="J326" s="185"/>
      <c r="K326" s="185"/>
    </row>
    <row r="327" spans="1:11" ht="32.25" customHeight="1">
      <c r="A327" s="158" t="s">
        <v>186</v>
      </c>
      <c r="B327" s="185" t="s">
        <v>385</v>
      </c>
      <c r="C327" s="185"/>
      <c r="D327" s="185"/>
      <c r="E327" s="185"/>
      <c r="F327" s="185"/>
      <c r="G327" s="185"/>
      <c r="H327" s="185"/>
      <c r="I327" s="185"/>
      <c r="J327" s="185"/>
      <c r="K327" s="185"/>
    </row>
    <row r="328" spans="1:11" s="142" customFormat="1" ht="15.75" customHeight="1">
      <c r="A328" s="158" t="s">
        <v>250</v>
      </c>
      <c r="B328" s="185" t="s">
        <v>383</v>
      </c>
      <c r="C328" s="185"/>
      <c r="D328" s="185"/>
      <c r="E328" s="185"/>
      <c r="F328" s="185"/>
      <c r="G328" s="185"/>
      <c r="H328" s="185"/>
      <c r="I328" s="185"/>
      <c r="J328" s="185"/>
      <c r="K328" s="185"/>
    </row>
    <row r="329" spans="1:11" s="142" customFormat="1" ht="33.75" customHeight="1">
      <c r="A329" s="158" t="s">
        <v>251</v>
      </c>
      <c r="B329" s="185" t="s">
        <v>386</v>
      </c>
      <c r="C329" s="185"/>
      <c r="D329" s="185"/>
      <c r="E329" s="185"/>
      <c r="F329" s="185"/>
      <c r="G329" s="185"/>
      <c r="H329" s="185"/>
      <c r="I329" s="185"/>
      <c r="J329" s="185"/>
      <c r="K329" s="185"/>
    </row>
    <row r="330" spans="1:11" s="142" customFormat="1">
      <c r="A330" s="159" t="s">
        <v>262</v>
      </c>
      <c r="B330" s="160" t="s">
        <v>263</v>
      </c>
      <c r="C330" s="120"/>
      <c r="D330" s="161"/>
      <c r="E330" s="120"/>
      <c r="F330" s="120"/>
      <c r="G330" s="120"/>
      <c r="H330" s="120"/>
      <c r="I330" s="102"/>
      <c r="J330" s="120"/>
      <c r="K330" s="102"/>
    </row>
    <row r="331" spans="1:11" s="142" customFormat="1">
      <c r="A331" s="159" t="s">
        <v>265</v>
      </c>
      <c r="B331" s="162" t="s">
        <v>264</v>
      </c>
      <c r="C331" s="163"/>
      <c r="D331" s="164"/>
      <c r="E331" s="163"/>
      <c r="F331" s="141"/>
      <c r="G331" s="141"/>
      <c r="H331" s="141"/>
      <c r="I331" s="165"/>
      <c r="J331" s="141"/>
      <c r="K331" s="165"/>
    </row>
    <row r="332" spans="1:11" ht="48.75" customHeight="1">
      <c r="A332" s="166" t="s">
        <v>303</v>
      </c>
      <c r="B332" s="183" t="s">
        <v>317</v>
      </c>
      <c r="C332" s="183"/>
      <c r="D332" s="183"/>
      <c r="E332" s="183"/>
      <c r="F332" s="183"/>
      <c r="G332" s="183"/>
      <c r="H332" s="183"/>
      <c r="I332" s="183"/>
      <c r="J332" s="183"/>
      <c r="K332" s="183"/>
    </row>
    <row r="333" spans="1:11" ht="33" customHeight="1">
      <c r="A333" s="166" t="s">
        <v>304</v>
      </c>
      <c r="B333" s="184" t="s">
        <v>375</v>
      </c>
      <c r="C333" s="184"/>
      <c r="D333" s="184"/>
      <c r="E333" s="184"/>
      <c r="F333" s="184"/>
      <c r="G333" s="184"/>
      <c r="H333" s="184"/>
      <c r="I333" s="184"/>
      <c r="J333" s="184"/>
      <c r="K333" s="184"/>
    </row>
    <row r="334" spans="1:11" ht="15.75" customHeight="1">
      <c r="A334" s="166" t="s">
        <v>305</v>
      </c>
      <c r="B334" s="183" t="s">
        <v>306</v>
      </c>
      <c r="C334" s="183"/>
      <c r="D334" s="183"/>
      <c r="E334" s="183"/>
      <c r="F334" s="183"/>
      <c r="G334" s="183"/>
      <c r="H334" s="183"/>
      <c r="I334" s="183"/>
      <c r="J334" s="183"/>
      <c r="K334" s="183"/>
    </row>
    <row r="335" spans="1:11" ht="33" customHeight="1">
      <c r="A335" s="166" t="s">
        <v>309</v>
      </c>
      <c r="B335" s="184" t="s">
        <v>376</v>
      </c>
      <c r="C335" s="184"/>
      <c r="D335" s="184"/>
      <c r="E335" s="184"/>
      <c r="F335" s="184"/>
      <c r="G335" s="184"/>
      <c r="H335" s="184"/>
      <c r="I335" s="184"/>
      <c r="J335" s="184"/>
      <c r="K335" s="184"/>
    </row>
    <row r="336" spans="1:11" ht="33" customHeight="1">
      <c r="A336" s="166" t="s">
        <v>310</v>
      </c>
      <c r="B336" s="184" t="s">
        <v>377</v>
      </c>
      <c r="C336" s="184"/>
      <c r="D336" s="184"/>
      <c r="E336" s="184"/>
      <c r="F336" s="184"/>
      <c r="G336" s="184"/>
      <c r="H336" s="184"/>
      <c r="I336" s="184"/>
      <c r="J336" s="184"/>
      <c r="K336" s="184"/>
    </row>
    <row r="337" spans="1:11" ht="48.75" customHeight="1">
      <c r="A337" s="166" t="s">
        <v>316</v>
      </c>
      <c r="B337" s="184" t="s">
        <v>378</v>
      </c>
      <c r="C337" s="184"/>
      <c r="D337" s="184"/>
      <c r="E337" s="184"/>
      <c r="F337" s="184"/>
      <c r="G337" s="184"/>
      <c r="H337" s="184"/>
      <c r="I337" s="184"/>
      <c r="J337" s="184"/>
      <c r="K337" s="184"/>
    </row>
    <row r="338" spans="1:11" ht="51" customHeight="1">
      <c r="A338" s="166" t="s">
        <v>336</v>
      </c>
      <c r="B338" s="184" t="s">
        <v>388</v>
      </c>
      <c r="C338" s="184"/>
      <c r="D338" s="184"/>
      <c r="E338" s="184"/>
      <c r="F338" s="184"/>
      <c r="G338" s="184"/>
      <c r="H338" s="184"/>
      <c r="I338" s="184"/>
      <c r="J338" s="184"/>
      <c r="K338" s="184"/>
    </row>
    <row r="339" spans="1:11" ht="39.75" customHeight="1">
      <c r="A339" s="166" t="s">
        <v>352</v>
      </c>
      <c r="B339" s="183" t="s">
        <v>387</v>
      </c>
      <c r="C339" s="183"/>
      <c r="D339" s="183"/>
      <c r="E339" s="183"/>
      <c r="F339" s="183"/>
      <c r="G339" s="183"/>
      <c r="H339" s="183"/>
      <c r="I339" s="183"/>
      <c r="J339" s="183"/>
      <c r="K339" s="183"/>
    </row>
    <row r="340" spans="1:11" ht="36.75" customHeight="1">
      <c r="A340" s="167" t="s">
        <v>353</v>
      </c>
      <c r="B340" s="184" t="s">
        <v>357</v>
      </c>
      <c r="C340" s="184"/>
      <c r="D340" s="184"/>
      <c r="E340" s="184"/>
      <c r="F340" s="184"/>
      <c r="G340" s="184"/>
      <c r="H340" s="184"/>
      <c r="I340" s="184"/>
      <c r="J340" s="184"/>
      <c r="K340" s="184"/>
    </row>
    <row r="341" spans="1:11">
      <c r="A341" s="169"/>
      <c r="B341" s="70"/>
      <c r="C341" s="70"/>
      <c r="D341" s="70"/>
      <c r="E341" s="70"/>
      <c r="F341" s="70"/>
      <c r="G341" s="70"/>
      <c r="H341" s="70"/>
      <c r="I341" s="70"/>
      <c r="J341" s="70"/>
      <c r="K341" s="70"/>
    </row>
    <row r="342" spans="1:11">
      <c r="A342" s="169"/>
      <c r="B342" s="70"/>
      <c r="C342" s="70"/>
      <c r="D342" s="70"/>
      <c r="E342" s="70"/>
      <c r="F342" s="70"/>
      <c r="G342" s="70"/>
      <c r="H342" s="70"/>
      <c r="I342" s="70"/>
      <c r="J342" s="70"/>
      <c r="K342" s="70"/>
    </row>
    <row r="343" spans="1:11">
      <c r="A343" s="169"/>
      <c r="B343" s="70"/>
      <c r="C343" s="70"/>
      <c r="D343" s="70"/>
      <c r="E343" s="70"/>
      <c r="F343" s="70"/>
      <c r="G343" s="70"/>
      <c r="H343" s="70"/>
      <c r="I343" s="70"/>
      <c r="J343" s="70"/>
      <c r="K343" s="70"/>
    </row>
    <row r="344" spans="1:11">
      <c r="A344" s="169"/>
      <c r="B344" s="70"/>
      <c r="C344" s="70"/>
      <c r="D344" s="70"/>
      <c r="E344" s="70"/>
      <c r="F344" s="70"/>
      <c r="G344" s="70"/>
      <c r="H344" s="70"/>
      <c r="I344" s="70"/>
      <c r="J344" s="70"/>
      <c r="K344" s="70"/>
    </row>
    <row r="345" spans="1:11">
      <c r="A345" s="169"/>
      <c r="B345" s="70"/>
      <c r="C345" s="70"/>
      <c r="D345" s="70"/>
      <c r="E345" s="70"/>
      <c r="F345" s="70"/>
      <c r="G345" s="70"/>
      <c r="H345" s="70"/>
      <c r="I345" s="70"/>
      <c r="J345" s="70"/>
      <c r="K345" s="70"/>
    </row>
    <row r="346" spans="1:11">
      <c r="A346" s="169"/>
      <c r="B346" s="70"/>
      <c r="C346" s="70"/>
      <c r="D346" s="70"/>
      <c r="E346" s="70"/>
      <c r="F346" s="70"/>
      <c r="G346" s="70"/>
      <c r="H346" s="70"/>
      <c r="I346" s="70"/>
      <c r="J346" s="70"/>
      <c r="K346" s="70"/>
    </row>
    <row r="347" spans="1:11">
      <c r="A347" s="169"/>
      <c r="B347" s="70"/>
      <c r="C347" s="70"/>
      <c r="D347" s="70"/>
      <c r="E347" s="70"/>
      <c r="F347" s="70"/>
      <c r="G347" s="70"/>
      <c r="H347" s="70"/>
      <c r="I347" s="70"/>
      <c r="J347" s="70"/>
      <c r="K347" s="70"/>
    </row>
    <row r="348" spans="1:11">
      <c r="A348" s="169"/>
      <c r="B348" s="70"/>
      <c r="C348" s="70"/>
      <c r="D348" s="70"/>
      <c r="E348" s="70"/>
      <c r="F348" s="70"/>
      <c r="G348" s="70"/>
      <c r="H348" s="70"/>
      <c r="I348" s="70"/>
      <c r="J348" s="70"/>
      <c r="K348" s="70"/>
    </row>
    <row r="349" spans="1:11">
      <c r="A349" s="169"/>
      <c r="B349" s="70"/>
      <c r="C349" s="70"/>
      <c r="D349" s="70"/>
      <c r="E349" s="70"/>
      <c r="F349" s="70"/>
      <c r="G349" s="70"/>
      <c r="H349" s="70"/>
      <c r="I349" s="70"/>
      <c r="J349" s="70"/>
      <c r="K349" s="70"/>
    </row>
    <row r="350" spans="1:11">
      <c r="A350" s="169"/>
      <c r="B350" s="70"/>
      <c r="C350" s="70"/>
      <c r="D350" s="70"/>
      <c r="E350" s="70"/>
      <c r="F350" s="70"/>
      <c r="G350" s="70"/>
      <c r="H350" s="70"/>
      <c r="I350" s="70"/>
      <c r="J350" s="70"/>
      <c r="K350" s="70"/>
    </row>
    <row r="351" spans="1:11">
      <c r="A351" s="169"/>
      <c r="B351" s="70"/>
      <c r="C351" s="70"/>
      <c r="D351" s="70"/>
      <c r="E351" s="70"/>
      <c r="F351" s="70"/>
      <c r="G351" s="70"/>
      <c r="H351" s="70"/>
      <c r="I351" s="70"/>
      <c r="J351" s="70"/>
      <c r="K351" s="70"/>
    </row>
    <row r="352" spans="1:11">
      <c r="A352" s="169"/>
      <c r="B352" s="70"/>
      <c r="C352" s="70"/>
      <c r="D352" s="70"/>
      <c r="E352" s="70"/>
      <c r="F352" s="70"/>
      <c r="G352" s="70"/>
      <c r="H352" s="70"/>
      <c r="I352" s="70"/>
      <c r="J352" s="70"/>
      <c r="K352" s="70"/>
    </row>
    <row r="353" spans="2:11">
      <c r="B353" s="70"/>
      <c r="C353" s="70"/>
      <c r="D353" s="70"/>
      <c r="E353" s="70"/>
      <c r="F353" s="70"/>
      <c r="G353" s="70"/>
      <c r="H353" s="70"/>
      <c r="I353" s="70"/>
      <c r="J353" s="70"/>
      <c r="K353" s="70"/>
    </row>
    <row r="354" spans="2:11">
      <c r="B354" s="70"/>
      <c r="C354" s="70"/>
      <c r="D354" s="70"/>
      <c r="E354" s="70"/>
      <c r="F354" s="70"/>
      <c r="G354" s="70"/>
      <c r="H354" s="70"/>
      <c r="I354" s="70"/>
      <c r="J354" s="70"/>
      <c r="K354" s="70"/>
    </row>
    <row r="355" spans="2:11">
      <c r="B355" s="70"/>
      <c r="C355" s="70"/>
      <c r="D355" s="70"/>
      <c r="E355" s="70"/>
      <c r="F355" s="70"/>
      <c r="G355" s="70"/>
      <c r="H355" s="70"/>
      <c r="I355" s="70"/>
      <c r="J355" s="70"/>
      <c r="K355" s="70"/>
    </row>
    <row r="356" spans="2:11">
      <c r="B356" s="70"/>
      <c r="C356" s="70"/>
      <c r="D356" s="70"/>
      <c r="E356" s="70"/>
      <c r="F356" s="70"/>
      <c r="G356" s="70"/>
      <c r="H356" s="70"/>
      <c r="I356" s="70"/>
      <c r="J356" s="70"/>
      <c r="K356" s="70"/>
    </row>
    <row r="357" spans="2:11">
      <c r="B357" s="70"/>
      <c r="C357" s="70"/>
      <c r="D357" s="70"/>
      <c r="E357" s="70"/>
      <c r="F357" s="70"/>
      <c r="G357" s="70"/>
      <c r="H357" s="70"/>
      <c r="I357" s="70"/>
      <c r="J357" s="70"/>
      <c r="K357" s="70"/>
    </row>
    <row r="358" spans="2:11">
      <c r="B358" s="70"/>
      <c r="C358" s="70"/>
      <c r="D358" s="70"/>
      <c r="E358" s="70"/>
      <c r="F358" s="70"/>
      <c r="G358" s="70"/>
      <c r="H358" s="70"/>
      <c r="I358" s="70"/>
      <c r="J358" s="70"/>
      <c r="K358" s="70"/>
    </row>
    <row r="359" spans="2:11">
      <c r="B359" s="70"/>
      <c r="C359" s="70"/>
      <c r="D359" s="70"/>
      <c r="E359" s="70"/>
      <c r="F359" s="70"/>
      <c r="G359" s="70"/>
      <c r="H359" s="70"/>
      <c r="I359" s="70"/>
      <c r="J359" s="70"/>
      <c r="K359" s="70"/>
    </row>
    <row r="360" spans="2:11">
      <c r="B360" s="70"/>
      <c r="C360" s="70"/>
      <c r="D360" s="70"/>
      <c r="E360" s="70"/>
      <c r="F360" s="70"/>
      <c r="G360" s="70"/>
      <c r="H360" s="70"/>
      <c r="I360" s="70"/>
      <c r="J360" s="70"/>
      <c r="K360" s="70"/>
    </row>
    <row r="361" spans="2:11">
      <c r="B361" s="70"/>
      <c r="C361" s="70"/>
      <c r="D361" s="70"/>
      <c r="E361" s="70"/>
      <c r="F361" s="70"/>
      <c r="G361" s="70"/>
      <c r="H361" s="70"/>
      <c r="I361" s="70"/>
      <c r="J361" s="70"/>
      <c r="K361" s="70"/>
    </row>
  </sheetData>
  <sheetProtection algorithmName="SHA-512" hashValue="B/robMofPufnfRP+rdGfgh3QRWCxzZxJJvIqWdArXqXW5iluWBT1ZTTBPFf1kyChIQWNxkP+/uzPTrd+Hsknmw==" saltValue="ZN7Y8a3zn/7jEm7qYn5dyA==" spinCount="100000" sheet="1" formatCells="0" formatColumns="0"/>
  <mergeCells count="42">
    <mergeCell ref="J2:K2"/>
    <mergeCell ref="B200:C200"/>
    <mergeCell ref="J136:K136"/>
    <mergeCell ref="B205:C205"/>
    <mergeCell ref="B337:K337"/>
    <mergeCell ref="B332:K332"/>
    <mergeCell ref="B333:K333"/>
    <mergeCell ref="B334:K334"/>
    <mergeCell ref="B335:K335"/>
    <mergeCell ref="B336:K336"/>
    <mergeCell ref="B326:K326"/>
    <mergeCell ref="B325:K325"/>
    <mergeCell ref="B327:K327"/>
    <mergeCell ref="B328:K328"/>
    <mergeCell ref="B329:K329"/>
    <mergeCell ref="B312:K312"/>
    <mergeCell ref="B311:K311"/>
    <mergeCell ref="B310:K310"/>
    <mergeCell ref="B309:K309"/>
    <mergeCell ref="B324:K324"/>
    <mergeCell ref="B322:K322"/>
    <mergeCell ref="E316:K316"/>
    <mergeCell ref="B321:K321"/>
    <mergeCell ref="B320:K320"/>
    <mergeCell ref="B323:K323"/>
    <mergeCell ref="B319:K319"/>
    <mergeCell ref="J294:K294"/>
    <mergeCell ref="J67:K67"/>
    <mergeCell ref="B339:K339"/>
    <mergeCell ref="B340:K340"/>
    <mergeCell ref="B338:K338"/>
    <mergeCell ref="J210:K210"/>
    <mergeCell ref="B318:K318"/>
    <mergeCell ref="B317:K317"/>
    <mergeCell ref="B306:K306"/>
    <mergeCell ref="E315:K315"/>
    <mergeCell ref="B307:K307"/>
    <mergeCell ref="B305:K305"/>
    <mergeCell ref="B304:K304"/>
    <mergeCell ref="B303:K303"/>
    <mergeCell ref="B308:K308"/>
    <mergeCell ref="B313:K313"/>
  </mergeCells>
  <phoneticPr fontId="0" type="noConversion"/>
  <pageMargins left="0.5" right="0.25" top="0.75" bottom="0.75" header="0.5" footer="0.5"/>
  <pageSetup scale="50" fitToHeight="5" orientation="portrait" r:id="rId1"/>
  <headerFooter alignWithMargins="0">
    <oddFooter>&amp;RV36
EFF 4.8.17</oddFooter>
  </headerFooter>
  <rowBreaks count="4" manualBreakCount="4">
    <brk id="65" max="16383" man="1"/>
    <brk id="134" max="16383" man="1"/>
    <brk id="208" max="16383" man="1"/>
    <brk id="292" max="16383" man="1"/>
  </rowBreaks>
  <ignoredErrors>
    <ignoredError sqref="I32" unlockedFormula="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zoomScale="80" zoomScaleNormal="80" workbookViewId="0">
      <selection activeCell="C10" sqref="C10"/>
    </sheetView>
  </sheetViews>
  <sheetFormatPr defaultRowHeight="15"/>
  <cols>
    <col min="1" max="1" width="20.44140625" customWidth="1"/>
    <col min="2" max="2" width="42.109375" customWidth="1"/>
    <col min="3" max="3" width="13.109375" customWidth="1"/>
  </cols>
  <sheetData>
    <row r="1" spans="1:3" ht="15.75">
      <c r="A1" s="177" t="s">
        <v>391</v>
      </c>
    </row>
    <row r="4" spans="1:3">
      <c r="A4" t="s">
        <v>392</v>
      </c>
      <c r="B4" t="s">
        <v>393</v>
      </c>
      <c r="C4">
        <f>'Att O_DPC'!I22</f>
        <v>1734707</v>
      </c>
    </row>
    <row r="5" spans="1:3">
      <c r="A5" t="s">
        <v>394</v>
      </c>
      <c r="B5" t="s">
        <v>395</v>
      </c>
      <c r="C5" s="178">
        <f>'Att O_DPC'!I28</f>
        <v>5040848.415000001</v>
      </c>
    </row>
    <row r="6" spans="1:3">
      <c r="C6">
        <f>SUM(C4:C5)</f>
        <v>6775555.415000001</v>
      </c>
    </row>
    <row r="8" spans="1:3">
      <c r="B8" t="s">
        <v>397</v>
      </c>
      <c r="C8" s="181">
        <v>1.387E-3</v>
      </c>
    </row>
    <row r="10" spans="1:3" ht="15.75" thickBot="1">
      <c r="B10" t="s">
        <v>398</v>
      </c>
      <c r="C10" s="179">
        <f>ROUND(C6*C8*24,0)</f>
        <v>225545</v>
      </c>
    </row>
    <row r="11" spans="1:3" ht="15.75" thickTop="1">
      <c r="B11" t="s">
        <v>396</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Att O_DPC</vt:lpstr>
      <vt:lpstr>True-up Interest Calc.</vt:lpstr>
      <vt:lpstr>'Att O_DPC'!Print_Area</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Jerry Iverson</dc:creator>
  <cp:lastModifiedBy>Brent Dwyer</cp:lastModifiedBy>
  <cp:lastPrinted>2018-01-13T16:16:56Z</cp:lastPrinted>
  <dcterms:created xsi:type="dcterms:W3CDTF">2008-03-20T17:17:48Z</dcterms:created>
  <dcterms:modified xsi:type="dcterms:W3CDTF">2018-01-13T16:20:39Z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