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525" yWindow="45" windowWidth="20730" windowHeight="11760" tabRatio="833"/>
  </bookViews>
  <sheets>
    <sheet name="Nonlevelized-IOU" sheetId="56" r:id="rId1"/>
    <sheet name="Reg Assets &amp; Liab" sheetId="22" state="hidden" r:id="rId2"/>
    <sheet name="Attach GG Proj #1- 2012" sheetId="54" r:id="rId3"/>
    <sheet name="Historical Rate TO Support Data" sheetId="55" r:id="rId4"/>
    <sheet name="Project Descriptions" sheetId="61" r:id="rId5"/>
    <sheet name="Net Plant in Service" sheetId="58" r:id="rId6"/>
    <sheet name="Trans Plant In OATT" sheetId="37" r:id="rId7"/>
    <sheet name="EPRI Dues detail" sheetId="62" r:id="rId8"/>
    <sheet name="Merger &amp; Transaction Costs" sheetId="57" r:id="rId9"/>
    <sheet name="Land Held for Future Use" sheetId="32" r:id="rId10"/>
    <sheet name="Sch 1 Rcvble Exp" sheetId="59" r:id="rId11"/>
    <sheet name="Schedule 1 Charges acct 561" sheetId="9" state="hidden" r:id="rId12"/>
    <sheet name="Allocate M&amp;S" sheetId="12" r:id="rId13"/>
    <sheet name="Rev Cred Support" sheetId="20" r:id="rId14"/>
    <sheet name="Partner KW" sheetId="13" r:id="rId15"/>
    <sheet name="Account 561 " sheetId="60" r:id="rId16"/>
  </sheets>
  <externalReferences>
    <externalReference r:id="rId17"/>
    <externalReference r:id="rId18"/>
  </externalReferences>
  <definedNames>
    <definedName name="_1BK_10" localSheetId="8">#REF!</definedName>
    <definedName name="_1BK_10" localSheetId="5">#REF!</definedName>
    <definedName name="_1BK_10">#REF!</definedName>
    <definedName name="ALLOC_TABLE">[1]alloc!$B$10:$O$117</definedName>
    <definedName name="CH_COS" localSheetId="2">#REF!</definedName>
    <definedName name="CH_COS" localSheetId="8">#REF!</definedName>
    <definedName name="CH_COS">#REF!</definedName>
    <definedName name="f" localSheetId="8">#REF!</definedName>
    <definedName name="f">#REF!</definedName>
    <definedName name="file_number" localSheetId="8">[1]input_data!#REF!</definedName>
    <definedName name="file_number">[1]input_data!#REF!</definedName>
    <definedName name="NSP_COS" localSheetId="2">#REF!</definedName>
    <definedName name="NSP_COS" localSheetId="8">#REF!</definedName>
    <definedName name="NSP_COS">#REF!</definedName>
    <definedName name="period">[1]input_data!$B$12</definedName>
    <definedName name="_xlnm.Print_Area" localSheetId="12">'Allocate M&amp;S'!$A$1:$G$21</definedName>
    <definedName name="_xlnm.Print_Area" localSheetId="2">'Attach GG Proj #1- 2012'!$A$1:$N$111</definedName>
    <definedName name="_xlnm.Print_Area" localSheetId="8">'Merger &amp; Transaction Costs'!$A$1:$B$29</definedName>
    <definedName name="_xlnm.Print_Area" localSheetId="5">'Net Plant in Service'!$A$1:$I$35</definedName>
    <definedName name="_xlnm.Print_Area" localSheetId="0">'Nonlevelized-IOU'!$A$1:$K$319</definedName>
    <definedName name="_xlnm.Print_Area" localSheetId="14">'Partner KW'!$A$2:$O$20</definedName>
    <definedName name="_xlnm.Print_Area" localSheetId="1">'Reg Assets &amp; Liab'!$A$1:$B$38</definedName>
    <definedName name="_xlnm.Print_Area" localSheetId="13">'Rev Cred Support'!$A$1:$C$42</definedName>
    <definedName name="_xlnm.Print_Area" localSheetId="10">'Sch 1 Rcvble Exp'!$A$1:$F$39</definedName>
    <definedName name="_xlnm.Print_Area" localSheetId="11">'Schedule 1 Charges acct 561'!$A$1:$B$43</definedName>
    <definedName name="_xlnm.Print_Area" localSheetId="6">'Trans Plant In OATT'!#REF!</definedName>
    <definedName name="Print1" localSheetId="2">#REF!</definedName>
    <definedName name="Print1" localSheetId="8">#REF!</definedName>
    <definedName name="Print1" localSheetId="5">#REF!</definedName>
    <definedName name="Print1">#REF!</definedName>
    <definedName name="Print3" localSheetId="2">#REF!</definedName>
    <definedName name="Print3" localSheetId="8">#REF!</definedName>
    <definedName name="Print3">#REF!</definedName>
    <definedName name="Print4" localSheetId="2">#REF!</definedName>
    <definedName name="Print4" localSheetId="8">#REF!</definedName>
    <definedName name="Print4">#REF!</definedName>
    <definedName name="Print5" localSheetId="8">#REF!</definedName>
    <definedName name="Print5">#REF!</definedName>
    <definedName name="ProjIDList" localSheetId="8">#REF!</definedName>
    <definedName name="ProjIDList">#REF!</definedName>
    <definedName name="PSCo_COS" localSheetId="8">#REF!</definedName>
    <definedName name="PSCo_COS">#REF!</definedName>
    <definedName name="q_MTEP06_App_AB_Facility" localSheetId="8">#REF!</definedName>
    <definedName name="q_MTEP06_App_AB_Facility">#REF!</definedName>
    <definedName name="q_MTEP06_App_AB_Projects" localSheetId="8">#REF!</definedName>
    <definedName name="q_MTEP06_App_AB_Projects">#REF!</definedName>
    <definedName name="revreq" localSheetId="8">#REF!</definedName>
    <definedName name="revreq">#REF!</definedName>
    <definedName name="SPS_COS" localSheetId="8">#REF!</definedName>
    <definedName name="SPS_COS">#REF!</definedName>
    <definedName name="VERSION">[1]macros!$B$38</definedName>
    <definedName name="Xcel" localSheetId="9">'[2]Data Entry and Forecaster'!#REF!</definedName>
    <definedName name="Xcel" localSheetId="8">'[2]Data Entry and Forecaster'!#REF!</definedName>
    <definedName name="Xcel" localSheetId="6">'[2]Data Entry and Forecaster'!#REF!</definedName>
    <definedName name="Xcel">'[2]Data Entry and Forecaster'!#REF!</definedName>
    <definedName name="Xcel_COS" localSheetId="2">#REF!</definedName>
    <definedName name="Xcel_COS" localSheetId="8">#REF!</definedName>
    <definedName name="Xcel_COS" localSheetId="5">#REF!</definedName>
    <definedName name="Xcel_COS">#REF!</definedName>
  </definedNames>
  <calcPr calcId="145621"/>
</workbook>
</file>

<file path=xl/calcChain.xml><?xml version="1.0" encoding="utf-8"?>
<calcChain xmlns="http://schemas.openxmlformats.org/spreadsheetml/2006/main">
  <c r="B13" i="12" l="1"/>
  <c r="O11" i="13" l="1"/>
  <c r="N11" i="13"/>
  <c r="C10" i="32" l="1"/>
  <c r="B10" i="32"/>
  <c r="B20" i="57" l="1"/>
  <c r="B18" i="62" l="1"/>
  <c r="B17" i="62"/>
  <c r="B12" i="62"/>
  <c r="B8" i="62"/>
  <c r="C13" i="12" l="1"/>
  <c r="B36" i="20" l="1"/>
  <c r="G18" i="58" l="1"/>
  <c r="G9" i="58" l="1"/>
  <c r="F14" i="60" l="1"/>
  <c r="F15" i="60"/>
  <c r="D12" i="55" l="1"/>
  <c r="B29" i="57" l="1"/>
  <c r="F17" i="55" l="1"/>
  <c r="E17" i="55"/>
  <c r="D17" i="55"/>
  <c r="C17" i="55"/>
  <c r="F12" i="55"/>
  <c r="E12" i="55"/>
  <c r="C12" i="55"/>
  <c r="B26" i="57" l="1"/>
  <c r="I22" i="56" l="1"/>
  <c r="B22" i="57" l="1"/>
  <c r="C38" i="20" l="1"/>
  <c r="F9" i="60" l="1"/>
  <c r="F8" i="60"/>
  <c r="F7" i="60"/>
  <c r="E10" i="60"/>
  <c r="E12" i="60" s="1"/>
  <c r="E16" i="60" s="1"/>
  <c r="F13" i="60"/>
  <c r="D10" i="60"/>
  <c r="F10" i="60" l="1"/>
  <c r="D16" i="60"/>
  <c r="F12" i="60"/>
  <c r="F16" i="60" l="1"/>
  <c r="N13" i="13" l="1"/>
  <c r="O13" i="13" s="1"/>
  <c r="I29" i="56" s="1"/>
  <c r="B28" i="9" l="1"/>
  <c r="C7" i="59"/>
  <c r="A8" i="59"/>
  <c r="A9" i="59" s="1"/>
  <c r="A10" i="59" s="1"/>
  <c r="A11" i="59" s="1"/>
  <c r="A12" i="59" s="1"/>
  <c r="A13" i="59" s="1"/>
  <c r="A14" i="59" s="1"/>
  <c r="A15" i="59" s="1"/>
  <c r="A16" i="59" s="1"/>
  <c r="F19" i="59" l="1"/>
  <c r="F23" i="59" s="1"/>
  <c r="F29" i="59" s="1"/>
  <c r="A17" i="59"/>
  <c r="A18" i="59" s="1"/>
  <c r="A19" i="59" s="1"/>
  <c r="D19" i="59"/>
  <c r="A20" i="59" l="1"/>
  <c r="A21" i="59" s="1"/>
  <c r="A22" i="59" s="1"/>
  <c r="A23" i="59" s="1"/>
  <c r="A24" i="59" l="1"/>
  <c r="A25" i="59" s="1"/>
  <c r="A26" i="59" s="1"/>
  <c r="A27" i="59" s="1"/>
  <c r="A28" i="59" s="1"/>
  <c r="A29" i="59" s="1"/>
  <c r="A30" i="59" s="1"/>
  <c r="A31" i="59" s="1"/>
  <c r="A32" i="59" s="1"/>
  <c r="A33" i="59" s="1"/>
  <c r="A34" i="59" s="1"/>
  <c r="A35" i="59" s="1"/>
  <c r="A36" i="59" s="1"/>
  <c r="A37" i="59" s="1"/>
  <c r="A38" i="59" s="1"/>
  <c r="A39" i="59" s="1"/>
  <c r="D29" i="59"/>
  <c r="D23" i="59"/>
  <c r="I213" i="56" l="1"/>
  <c r="D12" i="12"/>
  <c r="D11" i="12"/>
  <c r="D10" i="12"/>
  <c r="D13" i="12" l="1"/>
  <c r="E12" i="12" s="1"/>
  <c r="E10" i="12" l="1"/>
  <c r="E11" i="12"/>
  <c r="I9" i="58" l="1"/>
  <c r="F31" i="58"/>
  <c r="E28" i="58"/>
  <c r="E31" i="58" s="1"/>
  <c r="I27" i="58"/>
  <c r="I26" i="58"/>
  <c r="I25" i="58"/>
  <c r="I24" i="58"/>
  <c r="G23" i="58"/>
  <c r="G28" i="58" s="1"/>
  <c r="I22" i="58"/>
  <c r="I21" i="58"/>
  <c r="I20" i="58"/>
  <c r="I19" i="58"/>
  <c r="I18" i="58"/>
  <c r="C23" i="58"/>
  <c r="I13" i="58"/>
  <c r="I12" i="58"/>
  <c r="I11" i="58"/>
  <c r="I10" i="58"/>
  <c r="G14" i="58"/>
  <c r="I8" i="58"/>
  <c r="G31" i="58" l="1"/>
  <c r="I14" i="58"/>
  <c r="C28" i="58"/>
  <c r="I28" i="58" s="1"/>
  <c r="I23" i="58"/>
  <c r="C14" i="58"/>
  <c r="I31" i="58" l="1"/>
  <c r="C31" i="58"/>
  <c r="I269" i="56"/>
  <c r="B19" i="20" l="1"/>
  <c r="I270" i="56" l="1"/>
  <c r="F10" i="55"/>
  <c r="B18" i="57" l="1"/>
  <c r="B12" i="57"/>
  <c r="G229" i="56" l="1"/>
  <c r="G231" i="56"/>
  <c r="G232" i="56"/>
  <c r="D239" i="56"/>
  <c r="G237" i="56" s="1"/>
  <c r="I268" i="56"/>
  <c r="I265" i="56"/>
  <c r="D14" i="56" s="1"/>
  <c r="N224" i="56"/>
  <c r="N227" i="56" s="1"/>
  <c r="N221" i="56"/>
  <c r="N220" i="56"/>
  <c r="C19" i="55"/>
  <c r="E10" i="55"/>
  <c r="E14" i="55" s="1"/>
  <c r="D112" i="56"/>
  <c r="D279" i="56"/>
  <c r="K276" i="56"/>
  <c r="I263" i="56"/>
  <c r="G254" i="56"/>
  <c r="I248" i="56"/>
  <c r="I235" i="56"/>
  <c r="D207" i="56"/>
  <c r="H204" i="56"/>
  <c r="F171" i="56"/>
  <c r="C171" i="56"/>
  <c r="F167" i="56"/>
  <c r="C167" i="56"/>
  <c r="B161" i="56"/>
  <c r="B159" i="56"/>
  <c r="I155" i="56"/>
  <c r="C154" i="56"/>
  <c r="F153" i="56"/>
  <c r="F151" i="56"/>
  <c r="F152" i="56" s="1"/>
  <c r="D142" i="56"/>
  <c r="K139" i="56"/>
  <c r="F108" i="56"/>
  <c r="D101" i="56"/>
  <c r="F93" i="56"/>
  <c r="B93" i="56"/>
  <c r="B101" i="56" s="1"/>
  <c r="F92" i="56"/>
  <c r="B92" i="56"/>
  <c r="B100" i="56" s="1"/>
  <c r="G91" i="56"/>
  <c r="F91" i="56"/>
  <c r="B91" i="56"/>
  <c r="B99" i="56" s="1"/>
  <c r="F90" i="56"/>
  <c r="F112" i="56" s="1"/>
  <c r="B90" i="56"/>
  <c r="B98" i="56" s="1"/>
  <c r="G89" i="56"/>
  <c r="F89" i="56"/>
  <c r="F105" i="56" s="1"/>
  <c r="F170" i="56" s="1"/>
  <c r="B89" i="56"/>
  <c r="B97" i="56" s="1"/>
  <c r="D75" i="56"/>
  <c r="K72" i="56"/>
  <c r="I46" i="56"/>
  <c r="I45" i="56"/>
  <c r="F15" i="56"/>
  <c r="F16" i="56" s="1"/>
  <c r="F17" i="56" s="1"/>
  <c r="C10" i="55"/>
  <c r="C14" i="55" s="1"/>
  <c r="E74" i="54"/>
  <c r="D10" i="55" s="1"/>
  <c r="D14" i="55" s="1"/>
  <c r="L19" i="55"/>
  <c r="K19" i="55"/>
  <c r="J19" i="55"/>
  <c r="I19" i="55"/>
  <c r="H19" i="55"/>
  <c r="G19" i="55"/>
  <c r="F19" i="55"/>
  <c r="E19" i="55"/>
  <c r="D19" i="55"/>
  <c r="L14" i="55"/>
  <c r="K14" i="55"/>
  <c r="J14" i="55"/>
  <c r="I14" i="55"/>
  <c r="H14" i="55"/>
  <c r="G14" i="55"/>
  <c r="F14" i="55"/>
  <c r="M93" i="54"/>
  <c r="G65" i="54"/>
  <c r="G63" i="54"/>
  <c r="N62" i="54"/>
  <c r="G62" i="54"/>
  <c r="C62" i="54"/>
  <c r="F11" i="12"/>
  <c r="B18" i="12" s="1"/>
  <c r="B16" i="22"/>
  <c r="B28" i="22"/>
  <c r="B26" i="22"/>
  <c r="B21" i="9"/>
  <c r="B19" i="9"/>
  <c r="B23" i="9" s="1"/>
  <c r="B32" i="9"/>
  <c r="I15" i="13"/>
  <c r="K15" i="13"/>
  <c r="M15" i="13"/>
  <c r="B14" i="22"/>
  <c r="D10" i="32"/>
  <c r="B10" i="9"/>
  <c r="B14" i="9" s="1"/>
  <c r="I219" i="56" l="1"/>
  <c r="I211" i="56"/>
  <c r="I214" i="56" s="1"/>
  <c r="I216" i="56" s="1"/>
  <c r="D98" i="56"/>
  <c r="I250" i="56"/>
  <c r="D255" i="56" s="1"/>
  <c r="D256" i="56" s="1"/>
  <c r="E255" i="56" s="1"/>
  <c r="I255" i="56" s="1"/>
  <c r="G11" i="12"/>
  <c r="I148" i="56"/>
  <c r="D156" i="56"/>
  <c r="D115" i="56" s="1"/>
  <c r="L15" i="13"/>
  <c r="F15" i="13"/>
  <c r="B15" i="13"/>
  <c r="J15" i="13"/>
  <c r="E15" i="13"/>
  <c r="H15" i="13"/>
  <c r="D15" i="13"/>
  <c r="G15" i="13"/>
  <c r="C15" i="13"/>
  <c r="D97" i="56"/>
  <c r="D233" i="56"/>
  <c r="D99" i="56"/>
  <c r="G253" i="56"/>
  <c r="I30" i="56"/>
  <c r="N222" i="56"/>
  <c r="N228" i="56" s="1"/>
  <c r="D173" i="56"/>
  <c r="D176" i="56"/>
  <c r="D180" i="56" s="1"/>
  <c r="D184" i="56" s="1"/>
  <c r="B30" i="22"/>
  <c r="I272" i="56"/>
  <c r="D15" i="56" s="1"/>
  <c r="I221" i="56"/>
  <c r="I223" i="56" s="1"/>
  <c r="D94" i="56"/>
  <c r="F12" i="12"/>
  <c r="D100" i="56"/>
  <c r="N9" i="13"/>
  <c r="D162" i="56"/>
  <c r="B18" i="22"/>
  <c r="D86" i="56"/>
  <c r="D118" i="56" l="1"/>
  <c r="E253" i="56"/>
  <c r="I253" i="56" s="1"/>
  <c r="E254" i="56"/>
  <c r="I254" i="56" s="1"/>
  <c r="B19" i="12"/>
  <c r="G12" i="12"/>
  <c r="O9" i="13"/>
  <c r="I27" i="56" s="1"/>
  <c r="N15" i="13"/>
  <c r="O15" i="13" s="1"/>
  <c r="D102" i="56"/>
  <c r="G82" i="56"/>
  <c r="E230" i="56"/>
  <c r="G230" i="56" s="1"/>
  <c r="G233" i="56" s="1"/>
  <c r="I233" i="56" s="1"/>
  <c r="G14" i="56"/>
  <c r="I224" i="56"/>
  <c r="I225" i="56" s="1"/>
  <c r="F10" i="12"/>
  <c r="E13" i="12"/>
  <c r="D110" i="56" l="1"/>
  <c r="I34" i="56"/>
  <c r="I256" i="56"/>
  <c r="D177" i="56" s="1"/>
  <c r="B17" i="12"/>
  <c r="B20" i="12" s="1"/>
  <c r="G10" i="12"/>
  <c r="G13" i="12" s="1"/>
  <c r="D120" i="56"/>
  <c r="G116" i="56"/>
  <c r="I116" i="56" s="1"/>
  <c r="G147" i="56"/>
  <c r="I237" i="56"/>
  <c r="K237" i="56" s="1"/>
  <c r="G85" i="56" s="1"/>
  <c r="G84" i="56"/>
  <c r="I14" i="56"/>
  <c r="G15" i="56"/>
  <c r="G90" i="56"/>
  <c r="I82" i="56"/>
  <c r="D187" i="56" l="1"/>
  <c r="D183" i="56" s="1"/>
  <c r="D185" i="56" s="1"/>
  <c r="D190" i="56" s="1"/>
  <c r="I90" i="56"/>
  <c r="I98" i="56" s="1"/>
  <c r="G112" i="56"/>
  <c r="I85" i="56"/>
  <c r="G93" i="56"/>
  <c r="G18" i="54"/>
  <c r="I15" i="56"/>
  <c r="G16" i="56"/>
  <c r="G92" i="56"/>
  <c r="I84" i="56"/>
  <c r="G153" i="56"/>
  <c r="I153" i="56" s="1"/>
  <c r="G149" i="56"/>
  <c r="I149" i="56" s="1"/>
  <c r="I147" i="56"/>
  <c r="I86" i="56" l="1"/>
  <c r="G86" i="56" s="1"/>
  <c r="G117" i="56" s="1"/>
  <c r="I117" i="56" s="1"/>
  <c r="G150" i="56"/>
  <c r="I92" i="56"/>
  <c r="I100" i="56" s="1"/>
  <c r="G154" i="56"/>
  <c r="I93" i="56"/>
  <c r="I101" i="56" s="1"/>
  <c r="G159" i="56"/>
  <c r="I159" i="56" s="1"/>
  <c r="I112" i="56"/>
  <c r="G17" i="56"/>
  <c r="I17" i="56" s="1"/>
  <c r="I16" i="56"/>
  <c r="G19" i="54"/>
  <c r="G169" i="56" l="1"/>
  <c r="G171" i="56" s="1"/>
  <c r="I171" i="56" s="1"/>
  <c r="I18" i="56"/>
  <c r="I94" i="56"/>
  <c r="I102" i="56"/>
  <c r="G102" i="56" s="1"/>
  <c r="G184" i="56" s="1"/>
  <c r="I184" i="56" s="1"/>
  <c r="G161" i="56"/>
  <c r="I161" i="56" s="1"/>
  <c r="I154" i="56"/>
  <c r="I150" i="56"/>
  <c r="G160" i="56"/>
  <c r="G151" i="56"/>
  <c r="I169" i="56" l="1"/>
  <c r="G172" i="56"/>
  <c r="I172" i="56" s="1"/>
  <c r="G106" i="56"/>
  <c r="G107" i="56" s="1"/>
  <c r="I160" i="56"/>
  <c r="G166" i="56"/>
  <c r="I151" i="56"/>
  <c r="G152" i="56"/>
  <c r="I152" i="56" s="1"/>
  <c r="I106" i="56" l="1"/>
  <c r="I156" i="56"/>
  <c r="I115" i="56" s="1"/>
  <c r="I118" i="56" s="1"/>
  <c r="G167" i="56"/>
  <c r="I167" i="56" s="1"/>
  <c r="I166" i="56"/>
  <c r="G108" i="56"/>
  <c r="I108" i="56" s="1"/>
  <c r="G109" i="56"/>
  <c r="I109" i="56" s="1"/>
  <c r="I107" i="56"/>
  <c r="G26" i="54"/>
  <c r="G27" i="54" s="1"/>
  <c r="L27" i="54" s="1"/>
  <c r="I162" i="56"/>
  <c r="I110" i="56" l="1"/>
  <c r="I120" i="56" s="1"/>
  <c r="I187" i="56" s="1"/>
  <c r="G22" i="54"/>
  <c r="G23" i="54" s="1"/>
  <c r="L23" i="54" s="1"/>
  <c r="I173" i="56"/>
  <c r="G30" i="54" s="1"/>
  <c r="G31" i="54" s="1"/>
  <c r="L31" i="54" s="1"/>
  <c r="L33" i="54" l="1"/>
  <c r="G40" i="54"/>
  <c r="G41" i="54" s="1"/>
  <c r="L41" i="54" s="1"/>
  <c r="I183" i="56"/>
  <c r="I185" i="56" s="1"/>
  <c r="G36" i="54" s="1"/>
  <c r="G37" i="54" s="1"/>
  <c r="L37" i="54" s="1"/>
  <c r="F73" i="54" l="1"/>
  <c r="G73" i="54" s="1"/>
  <c r="F76" i="54"/>
  <c r="G76" i="54" s="1"/>
  <c r="F74" i="54"/>
  <c r="G74" i="54" s="1"/>
  <c r="F75" i="54"/>
  <c r="G75" i="54" s="1"/>
  <c r="L43" i="54"/>
  <c r="I190" i="56"/>
  <c r="I74" i="54" l="1"/>
  <c r="J74" i="54" s="1"/>
  <c r="L74" i="54" s="1"/>
  <c r="N74" i="54" s="1"/>
  <c r="I76" i="54"/>
  <c r="J76" i="54" s="1"/>
  <c r="L76" i="54" s="1"/>
  <c r="N76" i="54" s="1"/>
  <c r="I75" i="54"/>
  <c r="J75" i="54" s="1"/>
  <c r="L75" i="54" s="1"/>
  <c r="N75" i="54" s="1"/>
  <c r="I73" i="54"/>
  <c r="J73" i="54" s="1"/>
  <c r="L73" i="54" s="1"/>
  <c r="L93" i="54" l="1"/>
  <c r="L95" i="54" s="1"/>
  <c r="N73" i="54"/>
  <c r="N93" i="54" s="1"/>
  <c r="D194" i="56" s="1"/>
  <c r="I194" i="56" l="1"/>
  <c r="I199" i="56" s="1"/>
  <c r="I11" i="56" s="1"/>
  <c r="I24" i="56" s="1"/>
  <c r="D36" i="56" s="1"/>
  <c r="D199" i="56"/>
  <c r="D41" i="56" l="1"/>
  <c r="D37" i="56"/>
  <c r="I40" i="56"/>
  <c r="D42" i="56"/>
  <c r="I42" i="56"/>
  <c r="I41" i="56"/>
  <c r="D40" i="56"/>
</calcChain>
</file>

<file path=xl/comments1.xml><?xml version="1.0" encoding="utf-8"?>
<comments xmlns="http://schemas.openxmlformats.org/spreadsheetml/2006/main">
  <authors>
    <author>Lilly, Kathy</author>
  </authors>
  <commentList>
    <comment ref="C14" authorId="0">
      <text>
        <r>
          <rPr>
            <b/>
            <sz val="9"/>
            <color indexed="81"/>
            <rFont val="Tahoma"/>
            <family val="2"/>
          </rPr>
          <t>Lilly, Kathy:</t>
        </r>
        <r>
          <rPr>
            <sz val="9"/>
            <color indexed="81"/>
            <rFont val="Tahoma"/>
            <family val="2"/>
          </rPr>
          <t xml:space="preserve">
FF1 page 204-207</t>
        </r>
      </text>
    </comment>
    <comment ref="C28" authorId="0">
      <text>
        <r>
          <rPr>
            <b/>
            <sz val="9"/>
            <color indexed="81"/>
            <rFont val="Tahoma"/>
            <family val="2"/>
          </rPr>
          <t>Lilly, Kathy:</t>
        </r>
        <r>
          <rPr>
            <sz val="9"/>
            <color indexed="81"/>
            <rFont val="Tahoma"/>
            <family val="2"/>
          </rPr>
          <t xml:space="preserve">
FF1 page 219
</t>
        </r>
      </text>
    </comment>
    <comment ref="E28" authorId="0">
      <text>
        <r>
          <rPr>
            <b/>
            <sz val="9"/>
            <color indexed="81"/>
            <rFont val="Tahoma"/>
            <family val="2"/>
          </rPr>
          <t>Lilly, Kathy:</t>
        </r>
        <r>
          <rPr>
            <sz val="9"/>
            <color indexed="81"/>
            <rFont val="Tahoma"/>
            <family val="2"/>
          </rPr>
          <t xml:space="preserve">
FF1 page 200
</t>
        </r>
      </text>
    </comment>
  </commentList>
</comments>
</file>

<file path=xl/comments2.xml><?xml version="1.0" encoding="utf-8"?>
<comments xmlns="http://schemas.openxmlformats.org/spreadsheetml/2006/main">
  <authors>
    <author>Jay Rasmussen</author>
  </authors>
  <commentList>
    <comment ref="A17" authorId="0">
      <text>
        <r>
          <rPr>
            <b/>
            <sz val="8"/>
            <color indexed="81"/>
            <rFont val="Tahoma"/>
            <family val="2"/>
          </rPr>
          <t>Jay Rasmussen:</t>
        </r>
        <r>
          <rPr>
            <sz val="8"/>
            <color indexed="81"/>
            <rFont val="Tahoma"/>
            <family val="2"/>
          </rPr>
          <t xml:space="preserve">
Detail from Power Plant System</t>
        </r>
      </text>
    </comment>
  </commentList>
</comments>
</file>

<file path=xl/comments3.xml><?xml version="1.0" encoding="utf-8"?>
<comments xmlns="http://schemas.openxmlformats.org/spreadsheetml/2006/main">
  <authors>
    <author>Jay Rasmussen</author>
  </authors>
  <commentList>
    <comment ref="A36" authorId="0">
      <text>
        <r>
          <rPr>
            <b/>
            <sz val="8"/>
            <color indexed="81"/>
            <rFont val="Tahoma"/>
            <family val="2"/>
          </rPr>
          <t>Jay Rasmussen:</t>
        </r>
        <r>
          <rPr>
            <sz val="8"/>
            <color indexed="81"/>
            <rFont val="Tahoma"/>
            <family val="2"/>
          </rPr>
          <t xml:space="preserve">
Bulk Transmission Revenue less JTS Partner allocated share.</t>
        </r>
      </text>
    </comment>
  </commentList>
</comments>
</file>

<file path=xl/sharedStrings.xml><?xml version="1.0" encoding="utf-8"?>
<sst xmlns="http://schemas.openxmlformats.org/spreadsheetml/2006/main" count="886" uniqueCount="659">
  <si>
    <t>Materials and Supplies</t>
  </si>
  <si>
    <t>205.5.g &amp; 207.99.g</t>
  </si>
  <si>
    <t>336.11.b</t>
  </si>
  <si>
    <t>227.8.c &amp; .16.c</t>
  </si>
  <si>
    <t>1a</t>
  </si>
  <si>
    <t>Account 456.1 entry shall be the annual total of the quarterly values reported at Form 1, 330.x.n.</t>
  </si>
  <si>
    <t>V</t>
  </si>
  <si>
    <t xml:space="preserve">Formula Rate - Non-Levelized </t>
  </si>
  <si>
    <t xml:space="preserve">     Rate Formula Template</t>
  </si>
  <si>
    <t xml:space="preserve"> </t>
  </si>
  <si>
    <t xml:space="preserve"> Utilizing FERC Form 1 Data</t>
  </si>
  <si>
    <t>Line</t>
  </si>
  <si>
    <t>Allocated</t>
  </si>
  <si>
    <t>No.</t>
  </si>
  <si>
    <t>Amount</t>
  </si>
  <si>
    <t xml:space="preserve">REVENUE CREDITS </t>
  </si>
  <si>
    <t>Total</t>
  </si>
  <si>
    <t>Allocator</t>
  </si>
  <si>
    <t>TP</t>
  </si>
  <si>
    <t xml:space="preserve">  Account No. 454</t>
  </si>
  <si>
    <t>NET REVENUE REQUIREMENT</t>
  </si>
  <si>
    <t xml:space="preserve">DIVISOR </t>
  </si>
  <si>
    <t xml:space="preserve">  Average of 12 coincident system peaks for requirements (RQ) service       </t>
  </si>
  <si>
    <t>(Note A)</t>
  </si>
  <si>
    <t>(Note B)</t>
  </si>
  <si>
    <t>(Note C)</t>
  </si>
  <si>
    <t>(Note D)</t>
  </si>
  <si>
    <t>Annual Cost ($/kW/Yr)</t>
  </si>
  <si>
    <t>Peak Rate</t>
  </si>
  <si>
    <t>Off-Peak Rate</t>
  </si>
  <si>
    <t>Point-To-Point Rate ($/kW/Wk)</t>
  </si>
  <si>
    <t>Point-To-Point Rate ($/kW/Day)</t>
  </si>
  <si>
    <t>Capped at weekly rate</t>
  </si>
  <si>
    <t>Point-To-Point Rate ($/MWh)</t>
  </si>
  <si>
    <t>Capped at weekly</t>
  </si>
  <si>
    <t xml:space="preserve"> times 1,000)</t>
  </si>
  <si>
    <t>and daily rates</t>
  </si>
  <si>
    <t>Short Term</t>
  </si>
  <si>
    <t>Long Term</t>
  </si>
  <si>
    <t>(1)</t>
  </si>
  <si>
    <t>(2)</t>
  </si>
  <si>
    <t>(3)</t>
  </si>
  <si>
    <t>(4)</t>
  </si>
  <si>
    <t>(5)</t>
  </si>
  <si>
    <t>Form No. 1</t>
  </si>
  <si>
    <t>Transmission</t>
  </si>
  <si>
    <t>Page, Line, Col.</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</si>
  <si>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</si>
  <si>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</si>
  <si>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</si>
  <si>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</si>
  <si>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</si>
  <si>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</si>
  <si>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</si>
  <si>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</si>
  <si>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</si>
  <si>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</si>
  <si>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</si>
  <si>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356.1</t>
  </si>
  <si>
    <t>GP=</t>
  </si>
  <si>
    <t>NET PLANT IN SERVICE</t>
  </si>
  <si>
    <t>NP=</t>
  </si>
  <si>
    <t>273.8.k</t>
  </si>
  <si>
    <t>NP</t>
  </si>
  <si>
    <t>275.2.k</t>
  </si>
  <si>
    <t>277.9.k</t>
  </si>
  <si>
    <t>234.8.c</t>
  </si>
  <si>
    <t xml:space="preserve">LAND HELD FOR FUTURE USE </t>
  </si>
  <si>
    <t>214.x.d  (Note G)</t>
  </si>
  <si>
    <t xml:space="preserve">  Materials &amp; Supplies  (Note G)</t>
  </si>
  <si>
    <t>TE</t>
  </si>
  <si>
    <t>GP</t>
  </si>
  <si>
    <t xml:space="preserve">  Transmission </t>
  </si>
  <si>
    <t xml:space="preserve">     Less Account 565</t>
  </si>
  <si>
    <t xml:space="preserve">  A&amp;G</t>
  </si>
  <si>
    <t xml:space="preserve">     Less FERC Annual Fees</t>
  </si>
  <si>
    <t xml:space="preserve">  Transmission Lease Payments</t>
  </si>
  <si>
    <t>336.7.b</t>
  </si>
  <si>
    <t>TAXES OTHER THAN INCOME TAXES  (Note J)</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</si>
  <si>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</si>
  <si>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</si>
  <si>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</si>
  <si>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</si>
  <si>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</si>
  <si>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</si>
  <si>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</si>
  <si>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</si>
  <si>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</si>
  <si>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</si>
  <si>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 xml:space="preserve">RETURN </t>
  </si>
  <si>
    <t xml:space="preserve">                SUPPORTING CALCULATIONS AND NOTES</t>
  </si>
  <si>
    <t xml:space="preserve">TRANSMISSION EXPENSES </t>
  </si>
  <si>
    <t>TE=</t>
  </si>
  <si>
    <t>TRANSMISSION PLANT INCLUDED IN ISO RATES</t>
  </si>
  <si>
    <t>TP=</t>
  </si>
  <si>
    <t>WAGES &amp; SALARY ALLOCATOR   (W&amp;S)</t>
  </si>
  <si>
    <t>Form 1 Reference</t>
  </si>
  <si>
    <t>$</t>
  </si>
  <si>
    <t>Allocation</t>
  </si>
  <si>
    <t>354.20.b</t>
  </si>
  <si>
    <t>W&amp;S Allocator</t>
  </si>
  <si>
    <t xml:space="preserve">  Other</t>
  </si>
  <si>
    <t>($ / Allocation)</t>
  </si>
  <si>
    <t>=</t>
  </si>
  <si>
    <t>% Electric</t>
  </si>
  <si>
    <t xml:space="preserve">  Electric</t>
  </si>
  <si>
    <t>200.3.c</t>
  </si>
  <si>
    <t>(line 17 / line 20)</t>
  </si>
  <si>
    <t>(line 16)</t>
  </si>
  <si>
    <t>CE</t>
  </si>
  <si>
    <t xml:space="preserve">  Gas</t>
  </si>
  <si>
    <t>*</t>
  </si>
  <si>
    <t xml:space="preserve">  Water</t>
  </si>
  <si>
    <t>RETURN (R)</t>
  </si>
  <si>
    <t>Preferred Dividends (118.29c) (positive number)</t>
  </si>
  <si>
    <t xml:space="preserve">                                          Development of Common Stock:</t>
  </si>
  <si>
    <t>Common Stock</t>
  </si>
  <si>
    <t>(sum lines 23-25)</t>
  </si>
  <si>
    <t>Cost</t>
  </si>
  <si>
    <t>%</t>
  </si>
  <si>
    <t>(Note P)</t>
  </si>
  <si>
    <t>Weighted</t>
  </si>
  <si>
    <t>=WCLTD</t>
  </si>
  <si>
    <t xml:space="preserve">  Common Stock  (line 26)</t>
  </si>
  <si>
    <t>=R</t>
  </si>
  <si>
    <t>REVENUE CREDITS</t>
  </si>
  <si>
    <t>ACCOUNT 447 (SALES FOR RESALE)</t>
  </si>
  <si>
    <t>(310-311)</t>
  </si>
  <si>
    <t>(Note Q)</t>
  </si>
  <si>
    <t xml:space="preserve">  Total of (a)-(b)</t>
  </si>
  <si>
    <t>(330.x.n)</t>
  </si>
  <si>
    <t xml:space="preserve">  a. Transmission charges for all transmission transactions </t>
  </si>
  <si>
    <t>Note</t>
  </si>
  <si>
    <t>Letter</t>
  </si>
  <si>
    <t>A</t>
  </si>
  <si>
    <t>B</t>
  </si>
  <si>
    <t>C</t>
  </si>
  <si>
    <t>D</t>
  </si>
  <si>
    <t>E</t>
  </si>
  <si>
    <t>F</t>
  </si>
  <si>
    <t>G</t>
  </si>
  <si>
    <t>Identified in Form 1 as being only transmission related.</t>
  </si>
  <si>
    <t>H</t>
  </si>
  <si>
    <t>I</t>
  </si>
  <si>
    <t>J</t>
  </si>
  <si>
    <t>K</t>
  </si>
  <si>
    <t>L</t>
  </si>
  <si>
    <t>M</t>
  </si>
  <si>
    <t>N</t>
  </si>
  <si>
    <t>O</t>
  </si>
  <si>
    <t>P</t>
  </si>
  <si>
    <t>Q</t>
  </si>
  <si>
    <t>R</t>
  </si>
  <si>
    <t>Customer Account</t>
  </si>
  <si>
    <t>Administrative and General</t>
  </si>
  <si>
    <t>Account 454</t>
  </si>
  <si>
    <t>Joint Owner Adjustments and Deferrals</t>
  </si>
  <si>
    <t>Portion attributable to Transmission</t>
  </si>
  <si>
    <t>Revenue Credit Applicable to Attachment O</t>
  </si>
  <si>
    <t>Per Books Total, Page 300</t>
  </si>
  <si>
    <t>Rent from Electric Property in per Books Total above</t>
  </si>
  <si>
    <t>Revenue Credits, Accounts 454 and 456</t>
  </si>
  <si>
    <t>Includes income related only to transmission facilities, such as pole attachments, rentals and special use.</t>
  </si>
  <si>
    <t xml:space="preserve">  Plus Contract Demand of firm P-T-P over one year</t>
  </si>
  <si>
    <t>TOTAL REVENUE CREDITS  (sum lines 2-5)</t>
  </si>
  <si>
    <t xml:space="preserve">Network &amp; P-to-P Rate ($/kW/Mo) </t>
  </si>
  <si>
    <t xml:space="preserve">  Account No. 281 (enter negative)</t>
  </si>
  <si>
    <t xml:space="preserve">  Account No. 282 (enter negative)</t>
  </si>
  <si>
    <t xml:space="preserve">  Account No. 283 (enter negative)</t>
  </si>
  <si>
    <t xml:space="preserve">  Account No. 255 (enter negative)</t>
  </si>
  <si>
    <t xml:space="preserve">  Account No. 190 </t>
  </si>
  <si>
    <t>RATE BASE  (sum lines 18, 24, 25, &amp; 29)</t>
  </si>
  <si>
    <t xml:space="preserve">  Prepayments (Account 165)</t>
  </si>
  <si>
    <t xml:space="preserve">  a. Bundled Non-RQ Sales for Resale (311.x.h)</t>
  </si>
  <si>
    <t xml:space="preserve">  Revenues from Grandfathered Interzonal Transactions</t>
  </si>
  <si>
    <t xml:space="preserve">  Revenues from service provided by the ISO at a discount</t>
  </si>
  <si>
    <t xml:space="preserve">  Less 12 CP of firm P-T-P over one year (enter negative)</t>
  </si>
  <si>
    <t>Divisor (sum lines 8-14)</t>
  </si>
  <si>
    <t>(line 7 / line 15)</t>
  </si>
  <si>
    <t>(line 16 / 12)</t>
  </si>
  <si>
    <t>(line 16 / 52; line 16 / 52)</t>
  </si>
  <si>
    <t>Total Income Taxes</t>
  </si>
  <si>
    <t xml:space="preserve">  Total  (sum lines 17 - 19)</t>
  </si>
  <si>
    <t>Load</t>
  </si>
  <si>
    <t>(page 4, line 34)</t>
  </si>
  <si>
    <t>(page 4, line 37)</t>
  </si>
  <si>
    <t xml:space="preserve">  Plus 12 CP of firm bundled sales over one year not in line 8</t>
  </si>
  <si>
    <t xml:space="preserve">  Plus 12 CP of Network Load not in line 8</t>
  </si>
  <si>
    <t>FIT =</t>
  </si>
  <si>
    <t>SIT=</t>
  </si>
  <si>
    <t xml:space="preserve">  (State Income Tax Rate or Composite SIT)</t>
  </si>
  <si>
    <t>p =</t>
  </si>
  <si>
    <t xml:space="preserve">  (percent of federal income tax deductible for state purposes)</t>
  </si>
  <si>
    <t xml:space="preserve">     T=1 - {[(1 - SIT) * (1 - FIT)] / (1 - SIT * FIT * p)} =</t>
  </si>
  <si>
    <t xml:space="preserve">     CIT=(T/1-T) * (1-(WCLTD/R)) =</t>
  </si>
  <si>
    <t xml:space="preserve">      1 / (1 - T)  = (from line 21)</t>
  </si>
  <si>
    <t xml:space="preserve">       and FIT, SIT &amp; p are as given in footnote K.</t>
  </si>
  <si>
    <t>Income Tax Calculation = line 22 * line 28</t>
  </si>
  <si>
    <t>REV. REQUIREMENT  (sum lines 8, 12, 20, 27, 28)</t>
  </si>
  <si>
    <t>ITC adjustment (line 23 * line 24)</t>
  </si>
  <si>
    <t>(line 25 plus line 26)</t>
  </si>
  <si>
    <t>calculated</t>
  </si>
  <si>
    <t>WS</t>
  </si>
  <si>
    <t xml:space="preserve">  Less Contract Demands from service over one year provided by ISO at a discount (enter negative)</t>
  </si>
  <si>
    <t>WORKING CAPITAL  (Note H)</t>
  </si>
  <si>
    <t xml:space="preserve">  CWC  </t>
  </si>
  <si>
    <t>Total  (sum lines 27-29)</t>
  </si>
  <si>
    <t xml:space="preserve">  b. Transmission charges for all transmission transactions included in Divisor on Page 1</t>
  </si>
  <si>
    <t xml:space="preserve">  b. Bundled Sales for Resale  included in Divisor on page 1</t>
  </si>
  <si>
    <t>Enter dollar amounts</t>
  </si>
  <si>
    <t xml:space="preserve">  Total  (sum lines 12-15)</t>
  </si>
  <si>
    <t xml:space="preserve">Less Preferred Stock (line 28) </t>
  </si>
  <si>
    <t>5a</t>
  </si>
  <si>
    <t>zero</t>
  </si>
  <si>
    <t xml:space="preserve">The FERC's annual charges for the year assessed the Transmission Owner for service under this tariff. </t>
  </si>
  <si>
    <t>S</t>
  </si>
  <si>
    <t>(Note T)</t>
  </si>
  <si>
    <t>T</t>
  </si>
  <si>
    <t>Transmission plant included in ISO rates  (line 1 less lines 2 &amp; 3)</t>
  </si>
  <si>
    <t>DEI Peak Demand excluding load not responsible for Reporting</t>
  </si>
  <si>
    <t>Attachment O</t>
  </si>
  <si>
    <t>page 1 of 5</t>
  </si>
  <si>
    <t>page 2 of 5</t>
  </si>
  <si>
    <t>page 3 of 5</t>
  </si>
  <si>
    <t>page 4 of 5</t>
  </si>
  <si>
    <t>page 5 of 5</t>
  </si>
  <si>
    <t>Revenue Credits for Sched 1/Acct 561</t>
  </si>
  <si>
    <t>transactions &lt;1 yr</t>
  </si>
  <si>
    <t>non-firm</t>
  </si>
  <si>
    <t>transactions w/ load not in divisor</t>
  </si>
  <si>
    <t>total Revenue Credits</t>
  </si>
  <si>
    <t>Schedule 1 Recoverable Expenses</t>
  </si>
  <si>
    <t>219.25.c</t>
  </si>
  <si>
    <t>219.26.c</t>
  </si>
  <si>
    <t>Duke Energy Midwest</t>
  </si>
  <si>
    <t>Average</t>
  </si>
  <si>
    <t>Notes:</t>
  </si>
  <si>
    <t>219.20-24.c</t>
  </si>
  <si>
    <t>267.8.h</t>
  </si>
  <si>
    <t>263.i</t>
  </si>
  <si>
    <t>201.3.d</t>
  </si>
  <si>
    <t>201.3.e</t>
  </si>
  <si>
    <t>111.57.c</t>
  </si>
  <si>
    <t>U</t>
  </si>
  <si>
    <t>207.58.g</t>
  </si>
  <si>
    <t>207.75.g</t>
  </si>
  <si>
    <t>Acct 561.BA for Schedule 24</t>
  </si>
  <si>
    <t>Balancing Authority Costs</t>
  </si>
  <si>
    <t>Proprietary Capital (112.16.c)</t>
  </si>
  <si>
    <t>Less Account 216.1 (112.12.c)  (enter negative)</t>
  </si>
  <si>
    <t xml:space="preserve">  Preferred Stock  (112.3.c)</t>
  </si>
  <si>
    <t>Duke Energy Indiana</t>
  </si>
  <si>
    <t>Long Term Interest (117, sum of 62.c through 67.c)</t>
  </si>
  <si>
    <t>DEI</t>
  </si>
  <si>
    <t>205.46.g</t>
  </si>
  <si>
    <t>321.112.b</t>
  </si>
  <si>
    <t>321.96.b</t>
  </si>
  <si>
    <t>323.197.b</t>
  </si>
  <si>
    <t>354.21.b</t>
  </si>
  <si>
    <t>354.23.b</t>
  </si>
  <si>
    <t>Accumulated Depreciation</t>
  </si>
  <si>
    <t>Gross Plant In Service</t>
  </si>
  <si>
    <t>Intangible</t>
  </si>
  <si>
    <t>Production</t>
  </si>
  <si>
    <t>Distribution</t>
  </si>
  <si>
    <t>General</t>
  </si>
  <si>
    <t>Source:  FERC Form 1 Page 214</t>
  </si>
  <si>
    <t>Steam</t>
  </si>
  <si>
    <t>Nuclear</t>
  </si>
  <si>
    <t>Hydraulic (Conventional)</t>
  </si>
  <si>
    <t>Other</t>
  </si>
  <si>
    <t>Total Production</t>
  </si>
  <si>
    <t>Attachment GG</t>
  </si>
  <si>
    <t xml:space="preserve"> Utilizing Attachment O Data</t>
  </si>
  <si>
    <t>Page 1 of 2</t>
  </si>
  <si>
    <t>O&amp;M EXPENSE</t>
  </si>
  <si>
    <t>9</t>
  </si>
  <si>
    <t>10</t>
  </si>
  <si>
    <t>TAXES OTHER THAN INCOME TAXES</t>
  </si>
  <si>
    <t>11</t>
  </si>
  <si>
    <t>Total Other Taxes</t>
  </si>
  <si>
    <t>12</t>
  </si>
  <si>
    <t>INCOME TAXES</t>
  </si>
  <si>
    <t>Return on Rate Base</t>
  </si>
  <si>
    <t>Page 2 of 2</t>
  </si>
  <si>
    <t>(Note F)</t>
  </si>
  <si>
    <t>(line 16 / 260; line 16 / 365)</t>
  </si>
  <si>
    <t>(line 16 / 4,160; line 16 / 8,760</t>
  </si>
  <si>
    <t>Acct 561.1 - 561.3 available for Schedule 1</t>
  </si>
  <si>
    <t>Revenue Credits for Sched 1 Acct 561.1 - 561.3</t>
  </si>
  <si>
    <t>36a</t>
  </si>
  <si>
    <t>W</t>
  </si>
  <si>
    <t>X</t>
  </si>
  <si>
    <t>p227</t>
  </si>
  <si>
    <t>Indiana / Duke Energy Indiana</t>
  </si>
  <si>
    <t>Reported on FERC From 1</t>
  </si>
  <si>
    <t>Transmision Related</t>
  </si>
  <si>
    <t>Non-Transmission Related Portion</t>
  </si>
  <si>
    <t>Various</t>
  </si>
  <si>
    <t>Detail of Land Held for Future Use</t>
  </si>
  <si>
    <t>GIP</t>
  </si>
  <si>
    <t>Project Name</t>
  </si>
  <si>
    <t>Adjusted Balances</t>
  </si>
  <si>
    <t>A&amp;G Expense, Page 323, line 197, column b</t>
  </si>
  <si>
    <t>Adjusted A&amp;G Expense for Attachment O</t>
  </si>
  <si>
    <t>Transmission Expense, Page 321, line 112, column b</t>
  </si>
  <si>
    <t>Adjusted Transmission Expense for Attachment O</t>
  </si>
  <si>
    <t>A&amp;G Expense</t>
  </si>
  <si>
    <t>Transmission Expense</t>
  </si>
  <si>
    <r>
      <rPr>
        <b/>
        <sz val="12"/>
        <rFont val="Arial"/>
        <family val="2"/>
      </rPr>
      <t>Less:</t>
    </r>
    <r>
      <rPr>
        <sz val="12"/>
        <rFont val="Arial"/>
        <family val="2"/>
      </rPr>
      <t xml:space="preserve"> Balancing Authority costs that should have been recorded in account 561, instead were recorded in Account 920 after accounting system change</t>
    </r>
  </si>
  <si>
    <r>
      <rPr>
        <b/>
        <sz val="12"/>
        <rFont val="Arial"/>
        <family val="2"/>
      </rPr>
      <t>Add:</t>
    </r>
    <r>
      <rPr>
        <sz val="12"/>
        <rFont val="Arial"/>
        <family val="2"/>
      </rPr>
      <t xml:space="preserve"> Balancing Authority costs that should have been recorded in account 561, instead were recorded in Account 920 after accounting system change</t>
    </r>
  </si>
  <si>
    <t>Balancing Authority Costs in 561 through 561.3</t>
  </si>
  <si>
    <t>B.A. Costs in Transmission Expense on Page 321 of FF1</t>
  </si>
  <si>
    <t>Adjusted B.A Costs for Attachment O</t>
  </si>
  <si>
    <r>
      <t xml:space="preserve">Total Balancing Authority Costs </t>
    </r>
    <r>
      <rPr>
        <b/>
        <sz val="12"/>
        <rFont val="Arial"/>
        <family val="2"/>
      </rPr>
      <t>(561.BA)</t>
    </r>
    <r>
      <rPr>
        <sz val="12"/>
        <rFont val="Arial"/>
        <family val="2"/>
      </rPr>
      <t xml:space="preserve"> in Adjusted Transmission Expense</t>
    </r>
  </si>
  <si>
    <t>FASB 106 and FAS 109 Regulatory Assets &amp; Liabilities</t>
  </si>
  <si>
    <t>Per Books Total, Page 275, line 2, column k</t>
  </si>
  <si>
    <t>Account 282</t>
  </si>
  <si>
    <t>Account 190</t>
  </si>
  <si>
    <t>Transmission plant included in OATT Ancillary Services</t>
  </si>
  <si>
    <t>Determination of Transmission plant included in OATT Ancillary Services</t>
  </si>
  <si>
    <t>Remove Non-Transmission and Non-MISO Related Revenues:</t>
  </si>
  <si>
    <r>
      <t>Common Transmission</t>
    </r>
    <r>
      <rPr>
        <b/>
        <sz val="10"/>
        <rFont val="Arial"/>
        <family val="2"/>
      </rPr>
      <t xml:space="preserve">   (Note 1)</t>
    </r>
  </si>
  <si>
    <t>Note 1:  Revenues associated with Common lines that are 69KV, below MISO 100KV limit.</t>
  </si>
  <si>
    <r>
      <rPr>
        <b/>
        <sz val="12"/>
        <rFont val="Arial"/>
        <family val="2"/>
      </rPr>
      <t>Less:</t>
    </r>
    <r>
      <rPr>
        <sz val="12"/>
        <rFont val="Arial"/>
        <family val="2"/>
      </rPr>
      <t xml:space="preserve"> FAS 106 and FAS 109 Related items  </t>
    </r>
    <r>
      <rPr>
        <b/>
        <sz val="12"/>
        <rFont val="Arial"/>
        <family val="2"/>
      </rPr>
      <t>Note:1</t>
    </r>
  </si>
  <si>
    <t>Formula Rate calculation</t>
  </si>
  <si>
    <t>To be completed in conjunction with Attachment O.</t>
  </si>
  <si>
    <t>Gross Transmission Plant - Total</t>
  </si>
  <si>
    <t>Attach O, p 2, line 2 col 5 (Note A)</t>
  </si>
  <si>
    <t>Net Transmission Plant - Total</t>
  </si>
  <si>
    <t>Total O&amp;M Allocated to Transmission</t>
  </si>
  <si>
    <t>Attach O, p 3, line 8 col 5</t>
  </si>
  <si>
    <t>Annual Allocation Factor for O&amp;M</t>
  </si>
  <si>
    <t>(line 3 divided by line 1 col 3)</t>
  </si>
  <si>
    <t>5</t>
  </si>
  <si>
    <t>Attach O, p 3, line 20 col 5</t>
  </si>
  <si>
    <t>6</t>
  </si>
  <si>
    <t>Annual Allocation Factor for Other Taxes</t>
  </si>
  <si>
    <t>(line 5 divided by line 1 col 3)</t>
  </si>
  <si>
    <t>7</t>
  </si>
  <si>
    <t>Annual Allocation Factor for Expense</t>
  </si>
  <si>
    <t>8</t>
  </si>
  <si>
    <t>Attach O, p 3, line 27 col 5</t>
  </si>
  <si>
    <t>Annual Allocation Factor for Income Taxes</t>
  </si>
  <si>
    <t>Attach O, p 3, line 28 col 5</t>
  </si>
  <si>
    <t>Annual Allocation Factor for Return on Rate Base</t>
  </si>
  <si>
    <t>(line 10 divided by line 2 col 3)</t>
  </si>
  <si>
    <t>Annual Allocation Factor for Return</t>
  </si>
  <si>
    <t xml:space="preserve">                           Network Upgrade Charge Calculation By Project</t>
  </si>
  <si>
    <t>Line No.</t>
  </si>
  <si>
    <t>MTEP Project Number</t>
  </si>
  <si>
    <t xml:space="preserve">Project Gross Plant </t>
  </si>
  <si>
    <t>Annual Expense Charge</t>
  </si>
  <si>
    <t xml:space="preserve">Project Net Plant </t>
  </si>
  <si>
    <t>Annual Return Charge</t>
  </si>
  <si>
    <t>Project Depreciation Expense</t>
  </si>
  <si>
    <t>Annual Revenue Requirement</t>
  </si>
  <si>
    <t>True-Up Adjustment</t>
  </si>
  <si>
    <t>Network Upgrade Charge</t>
  </si>
  <si>
    <t>(Col. 3 * Col. 4)</t>
  </si>
  <si>
    <t>(Col. 6 * Col. 7)</t>
  </si>
  <si>
    <t>(Note E)</t>
  </si>
  <si>
    <t>(Sum Col. 5, 8 &amp; 9)</t>
  </si>
  <si>
    <t>Sum Col. 10 &amp; 11
(Note G)</t>
  </si>
  <si>
    <t>1b</t>
  </si>
  <si>
    <t>1c</t>
  </si>
  <si>
    <t>2</t>
  </si>
  <si>
    <t>Annual Totals</t>
  </si>
  <si>
    <t>Rev. Req. Adj For Attachment O</t>
  </si>
  <si>
    <t>Project Net Plant is the Project Gross Plant Identified in Column 3 less the associated Accumulated Depreciation.</t>
  </si>
  <si>
    <t>Project Depreciation Expense is the actual value booked for the project and included in the Depreciation Expense in Attachment O page 3 line 12.</t>
  </si>
  <si>
    <t>True-Up Adjustment is included pursuant to a FERC approved methodology if applicable.</t>
  </si>
  <si>
    <t>LESS ATTACHMENT GG ADJUSTMENT [Attachment GG, page 2, line 3, column 10]   (Note W)</t>
  </si>
  <si>
    <t>DEI - Final Production Peak</t>
  </si>
  <si>
    <r>
      <rPr>
        <b/>
        <sz val="12"/>
        <rFont val="Arial"/>
        <family val="2"/>
      </rPr>
      <t>Less:</t>
    </r>
    <r>
      <rPr>
        <sz val="12"/>
        <rFont val="Arial"/>
        <family val="2"/>
      </rPr>
      <t xml:space="preserve">  FAS 106 and FAS 109 Related items  </t>
    </r>
    <r>
      <rPr>
        <b/>
        <sz val="12"/>
        <rFont val="Arial"/>
        <family val="2"/>
      </rPr>
      <t>Note 1</t>
    </r>
  </si>
  <si>
    <t>Lafayette Southeast to Tipmont Concord Jct</t>
  </si>
  <si>
    <t>(2)  Only WVPA's firm is included in Monthly peaks</t>
  </si>
  <si>
    <t>(1)  Months where Pricing Zone peak is not equivalent to DEI peak as reported on FERC Form 1 Page 401b</t>
  </si>
  <si>
    <t>Edwardsport 345 kV Sub</t>
  </si>
  <si>
    <t>Peak as would be reported on page 401, column d of Form 1 at the time of the applicable pricing zone coincident monthly peaks.</t>
  </si>
  <si>
    <t>Labeled LF on page 328 of Form 1 at the time of the applicable pricing zone coincident monthly peaks.</t>
  </si>
  <si>
    <t>GENERAL AND COMMON (G&amp;C) DEPRECIATION EXPENSE</t>
  </si>
  <si>
    <t>Total G&amp;C Depreciation Expense</t>
  </si>
  <si>
    <t>Annual Allocation Factor for G&amp;C Depreciation Expense</t>
  </si>
  <si>
    <t>13</t>
  </si>
  <si>
    <t>14</t>
  </si>
  <si>
    <t>Attach O, p 3, lines 10 &amp; 11, col 5 (Note H)</t>
  </si>
  <si>
    <t>Sum of line 4, 6, and 8</t>
  </si>
  <si>
    <t>Attachment GG - Supporting Data for Network Upgrade Charge Calculation - Historical Rate Transmission Owner</t>
  </si>
  <si>
    <t xml:space="preserve">Rate Year </t>
  </si>
  <si>
    <t>Reporting Company</t>
  </si>
  <si>
    <t>Reliability</t>
  </si>
  <si>
    <t>MTEP Project ID</t>
  </si>
  <si>
    <t>Project 5</t>
  </si>
  <si>
    <t>Project 6</t>
  </si>
  <si>
    <t>Project 7</t>
  </si>
  <si>
    <t>Project 8</t>
  </si>
  <si>
    <t>Project 9</t>
  </si>
  <si>
    <t>Project 10</t>
  </si>
  <si>
    <t>Pricing Zone</t>
  </si>
  <si>
    <t>XYZ</t>
  </si>
  <si>
    <t>Allocation Type Per Attachment FF</t>
  </si>
  <si>
    <t>Gross Plant Column (3)</t>
  </si>
  <si>
    <t>End of Year Balance</t>
  </si>
  <si>
    <t>Net Plant Column (6)</t>
  </si>
  <si>
    <t>Depreciation Expense</t>
  </si>
  <si>
    <t>Column (9)</t>
  </si>
  <si>
    <t>Project Amortization Expense</t>
  </si>
  <si>
    <t>Depreciation Expense Total</t>
  </si>
  <si>
    <t>Allocation of 163 Account</t>
  </si>
  <si>
    <t>Percentage</t>
  </si>
  <si>
    <t>Total M&amp;S</t>
  </si>
  <si>
    <t>Support for Page 2 of 5</t>
  </si>
  <si>
    <t>Sum of line 11 and 13</t>
  </si>
  <si>
    <r>
      <t>Gross Transmission Plant is that identified on page 2 line 2 of Attachment O and includes any sub lines 2a or 2b etc. and is inclusive of any CWIP included in rate base when authorized by FERC order</t>
    </r>
    <r>
      <rPr>
        <sz val="12"/>
        <rFont val="Arial MT"/>
      </rPr>
      <t xml:space="preserve"> less any prefunded AFUDC, if applicable.</t>
    </r>
  </si>
  <si>
    <r>
      <t xml:space="preserve">Net Transmission Plant is that identified on page 2 line 14 of Attachment O and includes any sub lines 14a or 14b etc. and is inclusive of any CWIP included in rate base when authorized by FERC order </t>
    </r>
    <r>
      <rPr>
        <sz val="12"/>
        <rFont val="Arial MT"/>
      </rPr>
      <t>less any prefunded AFUDC, if applicable.</t>
    </r>
  </si>
  <si>
    <t>The Total General and Common Depreciation Expense excludes any depreciation expense directly associated with a project and thereby included in page 2 column 9.</t>
  </si>
  <si>
    <t>NOTE:  Project 1263 listed above as 100% of Project balance.  Attachment GG shows 50% to be recovered via RECB process, G.O. 50% excluded.</t>
  </si>
  <si>
    <t>Tower Lease Revenues in per Books Total above</t>
  </si>
  <si>
    <t xml:space="preserve">Feb </t>
  </si>
  <si>
    <t>Attach O, p 2, line 14 and 23b col 5 (Note B)</t>
  </si>
  <si>
    <t>(line 7 divided by line 1 col 3)</t>
  </si>
  <si>
    <t>(line 12 divided by line 2 col 3)</t>
  </si>
  <si>
    <t>(Page 1 line 9)</t>
  </si>
  <si>
    <t>(Page 1 line 14)</t>
  </si>
  <si>
    <t>Project Gross Plant is the total capital investment for the project calculated in the same method as the gross plant value in line 1 and includes CWIP in rate base less any prefunded AFUDC, if applicable.  This value includes subsequent capital investments required to maintain the facilities to their original capabilities.</t>
  </si>
  <si>
    <t>Dresser Trans Sub</t>
  </si>
  <si>
    <t>Rate Formula Template</t>
  </si>
  <si>
    <t>Utilizing FERC Form 1 Data</t>
  </si>
  <si>
    <t>GROSS REVENUE REQUIREMENT  (page 3, line 31)</t>
  </si>
  <si>
    <t xml:space="preserve">  Account No. 456.1</t>
  </si>
  <si>
    <t xml:space="preserve">  Less Contract Demand from Grandfathered Interzonal Transactions over one year (enter negative)  (Note S)</t>
  </si>
  <si>
    <t>FERC Annual Charge ($/MWh)</t>
  </si>
  <si>
    <t>GROSS PLANT IN SERVICE  (Note AA)</t>
  </si>
  <si>
    <t>TOTAL GROSS PLANT  (sum lines 1-5)</t>
  </si>
  <si>
    <t>ACCUMULATED DEPRECIATION  (Note AA)</t>
  </si>
  <si>
    <t>219.28.c &amp; 200.21.c</t>
  </si>
  <si>
    <t>TOTAL ACCUM. DEPRECIATION  (sum lines 7-11)</t>
  </si>
  <si>
    <t>(line 1- line 7)</t>
  </si>
  <si>
    <t>(line 2- line 8)</t>
  </si>
  <si>
    <t>(line 3 - line 9)</t>
  </si>
  <si>
    <t>(line 4 - line 10)</t>
  </si>
  <si>
    <t>(line 5 - line 11)</t>
  </si>
  <si>
    <t>TOTAL NET PLANT  (sum lines 13-17)</t>
  </si>
  <si>
    <t>ADJUSTMENTS TO RATE BASE  (Note F)</t>
  </si>
  <si>
    <t>TOTAL ADJUSTMENTS  (sum lines 19 - 23)</t>
  </si>
  <si>
    <t>TOTAL WORKING CAPITAL  (sum lines 26 - 28)</t>
  </si>
  <si>
    <t>O&amp;M  (Note BB)</t>
  </si>
  <si>
    <t xml:space="preserve">     Less LSE Expenses included in Transmission O&amp;M Accounts  (Note V)</t>
  </si>
  <si>
    <t xml:space="preserve">     Less EPRI &amp; Reg. Comm. Exp. &amp; Non-safety  Ad.  (Note I)</t>
  </si>
  <si>
    <t xml:space="preserve">     Plus Transmission Related Reg. Comm.  Exp.  (Note I)</t>
  </si>
  <si>
    <t>TOTAL O&amp;M  (sum lines 1, 3, 5a, 6, 7 less lines 1a, 2, 4, 5)</t>
  </si>
  <si>
    <t>DEPRECIATION AND AMORTIZATION EXPENSE (Note AA)</t>
  </si>
  <si>
    <t>336.10.f &amp; 336.1.f</t>
  </si>
  <si>
    <t>TOTAL DEPRECIATION  (sum lines 9 - 11)</t>
  </si>
  <si>
    <t>(Note K)</t>
  </si>
  <si>
    <t xml:space="preserve">       where WCLTD=(page 4, line 27) and R= (page 4, line 30)</t>
  </si>
  <si>
    <t>Amortized Investment Tax Credit (266.8.f) (enter negative)</t>
  </si>
  <si>
    <t xml:space="preserve">  [Rate Base (page 2, line 30) * Rate of Return (page 4, line 30)]</t>
  </si>
  <si>
    <t xml:space="preserve">[Revenue Requirement for facilities included on page 2, line 2, and also  </t>
  </si>
  <si>
    <t>included in Attachment GG]</t>
  </si>
  <si>
    <t>30a</t>
  </si>
  <si>
    <t>included in Attachment MM]</t>
  </si>
  <si>
    <t>REV. REQUIREMENT TO BE COLLECTED UNDER ATTACHMENT O</t>
  </si>
  <si>
    <t>(line 29 - line 30 - line 30a)</t>
  </si>
  <si>
    <t>Total transmission plant  (page 2, line 2, column 3)</t>
  </si>
  <si>
    <t>Less transmission plant excluded from ISO rates  (Note M)</t>
  </si>
  <si>
    <t>Less transmission plant included in OATT Ancillary Services  (Note N )</t>
  </si>
  <si>
    <t>Percentage of transmission plant included in ISO Rates  (line 4 divided by line 1)</t>
  </si>
  <si>
    <t>Please fill out info requested in the box below</t>
  </si>
  <si>
    <t>Total transmission expenses  (page 3, line 1, column 3)</t>
  </si>
  <si>
    <t>Less transmission expenses included in OATT Ancillary Services  (Note L)</t>
  </si>
  <si>
    <t>Acct 561.1 - 561.3, 561.BA included in Line 7</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</si>
  <si>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</si>
  <si>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</si>
  <si>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</si>
  <si>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</si>
  <si>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Net Schedule 1 Expenses (Acct 561.1-561.3 minus Credits)</t>
  </si>
  <si>
    <t>354.24, 25, 26.b</t>
  </si>
  <si>
    <t>COMMON PLANT ALLOCATOR  (CE)  (Note O)</t>
  </si>
  <si>
    <t xml:space="preserve">  Long Term Debt (112, sum of  18.c through 21.c)</t>
  </si>
  <si>
    <t>ACCOUNT 454 (RENT FROM ELECTRIC PROPERTY)  (Note R)</t>
  </si>
  <si>
    <t>ACCOUNT 456.1 (OTHER ELECTRIC REVENUES)  (Note U)</t>
  </si>
  <si>
    <t>36b</t>
  </si>
  <si>
    <t xml:space="preserve">  Total of (a)-(b)-(c)-(d)</t>
  </si>
  <si>
    <t>General Note:   References to pages in this formulary rate are indicated as:  (page#, line#, col.#)</t>
  </si>
  <si>
    <t>References to data from FERC Form 1 are indicated as:   #.y.x  (page, line, column)</t>
  </si>
  <si>
    <t>Labeled LF, LU, IF, IU on pages 310-311 of Form 1at the time of the applicable pricing zone coincident monthly peaks.</t>
  </si>
  <si>
    <t>Cash Working Capital assigned to transmission is one-eighth of O&amp;M allocated to transmission at page 3, line 8, column 5.  Prepayments are the electric related prepayments booked to Account No. 165 and reported on Page 111, line 57 in the Form 1.</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</si>
  <si>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</si>
  <si>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</si>
  <si>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t>
  </si>
  <si>
    <t>Inputs Required:</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</si>
  <si>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</si>
  <si>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t>Removes transmission plant determined by Commission order to be state-jurisdictional according to the seven-factor test (until Form 1 balances are adjusted to reflect application of seven-factor test).</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</si>
  <si>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</si>
  <si>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Line 33 must equal zero since all short-term power sales must be unbundled and the transmission component reflected in Account No. 456.1 and all other uses are to be included in the divisor.</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</si>
  <si>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</si>
  <si>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</si>
  <si>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 xml:space="preserve">Account Nos. 561.4 and 561.8 consist of RTO expenses billed to load-serving entities and are not included in Transmission Owner revenue requirements.  </t>
  </si>
  <si>
    <t>Y</t>
  </si>
  <si>
    <t>Z</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</si>
  <si>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</si>
  <si>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</si>
  <si>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</si>
  <si>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</si>
  <si>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Note 1:  For DEI there are no reg assets or liabilities and therefore no need to adjust the Accumulated Deferred Income Taxes for FASB 106.</t>
  </si>
  <si>
    <t>Page 1 of 1</t>
  </si>
  <si>
    <t>Support for Page 3 of 5</t>
  </si>
  <si>
    <t>Support for Page 4 of 5</t>
  </si>
  <si>
    <t>Less:  Merger related Costs</t>
  </si>
  <si>
    <t>Administrative &amp; General Charges included on Attachment O</t>
  </si>
  <si>
    <t>Taxes Other than Income Taxes</t>
  </si>
  <si>
    <t xml:space="preserve">  Labor Related</t>
  </si>
  <si>
    <t>LESS ATTACHMENT MM ADJUSTMENT [Attachment MM, page 2, line 3, column 14]   (Note Y)</t>
  </si>
  <si>
    <t xml:space="preserve">  c. Transmission charges associated with Attachment GG  (Note X)</t>
  </si>
  <si>
    <t xml:space="preserve">  d. Transmission charges associated with Attachment MM  (Note Z)</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</si>
  <si>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</si>
  <si>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Pursuant to Attachment GG of the Midwest ISO Tariff, removes dollar amount of revenue requirements calculated pursuant to Attachment GG.</t>
  </si>
  <si>
    <t xml:space="preserve">Removes from revenue credits revenues that are distributed pursuant to Schedules associated with Attachment GG of the Midwest ISO Tariff, since the Transmission Owner's Attachment O revenue requirements have already been reduced by the Attachment GG revenue requirements.  </t>
  </si>
  <si>
    <t>Pursuant to Attachment MM of the Midwest ISO Tariff, removes dollar amount of revenue requirements calculated pursuant to Attachment MM.</t>
  </si>
  <si>
    <t xml:space="preserve">Removes from revenue credits revenues that are distributed pursuant to Schedules associated with Attachment MM of the Midwest ISO Tariff, since the Transmission Owner's Attachment O revenue requirements have already been reduced by the Attachment MM revenue requirements.  </t>
  </si>
  <si>
    <t>The Network Upgrade Charge is the value to be used in Schedules 26, 37, and 38.</t>
  </si>
  <si>
    <t>Total Merger Related Costs excluded from Attachment O</t>
  </si>
  <si>
    <t xml:space="preserve">Mar </t>
  </si>
  <si>
    <t>Per Books Total, Page 234, line 8</t>
  </si>
  <si>
    <t>1d</t>
  </si>
  <si>
    <t>Concord to Crawfordsville</t>
  </si>
  <si>
    <t>Aug</t>
  </si>
  <si>
    <t xml:space="preserve">Adjusted </t>
  </si>
  <si>
    <t xml:space="preserve">M&amp;S </t>
  </si>
  <si>
    <t>Schedule 26 and 37</t>
  </si>
  <si>
    <t>Less:  Merger and Acquisition related Costs</t>
  </si>
  <si>
    <t>Administrative &amp; General Charges (FERC Form 1)</t>
  </si>
  <si>
    <t xml:space="preserve">    Payroll (FERC Form 1)</t>
  </si>
  <si>
    <t>Support for page 2 of 5</t>
  </si>
  <si>
    <t>Net Plant in Service</t>
  </si>
  <si>
    <t>Attachement O</t>
  </si>
  <si>
    <t>Per FERC Form1</t>
  </si>
  <si>
    <t>Amort of Other Assets</t>
  </si>
  <si>
    <t>Asset Retirement Obligation</t>
  </si>
  <si>
    <t>Adjusted Attachment O</t>
  </si>
  <si>
    <t>Account 102</t>
  </si>
  <si>
    <t xml:space="preserve">  Total Gross Plant</t>
  </si>
  <si>
    <t>a</t>
  </si>
  <si>
    <t>Gallagher Units 1 &amp; 3</t>
  </si>
  <si>
    <t xml:space="preserve">  Total Accum Depreciation</t>
  </si>
  <si>
    <t>Net plant in Service</t>
  </si>
  <si>
    <t>a - per company records</t>
  </si>
  <si>
    <r>
      <rPr>
        <b/>
        <sz val="12"/>
        <rFont val="Arial"/>
        <family val="2"/>
      </rPr>
      <t>Add:</t>
    </r>
    <r>
      <rPr>
        <sz val="12"/>
        <rFont val="Arial"/>
        <family val="2"/>
      </rPr>
      <t xml:space="preserve"> Joint Owner Reconciliation</t>
    </r>
  </si>
  <si>
    <t>M&amp;S (acct 154)</t>
  </si>
  <si>
    <t>M&amp;S (direct 163)</t>
  </si>
  <si>
    <t>Sub-Total</t>
  </si>
  <si>
    <t>Total 163</t>
  </si>
  <si>
    <t>163 - other</t>
  </si>
  <si>
    <t>Company:</t>
  </si>
  <si>
    <t>Rate Year:</t>
  </si>
  <si>
    <r>
      <t>True-Up Year</t>
    </r>
    <r>
      <rPr>
        <vertAlign val="superscript"/>
        <sz val="11"/>
        <rFont val="Calibri"/>
        <family val="2"/>
        <scheme val="minor"/>
      </rPr>
      <t>1</t>
    </r>
    <r>
      <rPr>
        <sz val="11"/>
        <rFont val="Calibri"/>
        <family val="2"/>
        <scheme val="minor"/>
      </rPr>
      <t>:</t>
    </r>
  </si>
  <si>
    <t>Projected or Actual:</t>
  </si>
  <si>
    <t>(a)</t>
  </si>
  <si>
    <t>(b)</t>
  </si>
  <si>
    <t>(c)</t>
  </si>
  <si>
    <t>Account 561.1</t>
  </si>
  <si>
    <t>Account 561.2</t>
  </si>
  <si>
    <t>Account 561.3</t>
  </si>
  <si>
    <t xml:space="preserve">   Subtotal</t>
  </si>
  <si>
    <t>Account 561.BA for Schedule 24</t>
  </si>
  <si>
    <t>Input 1:  Account 561 Available excluding revenue credits</t>
  </si>
  <si>
    <t>Input 2:  True-Up Adjustment Principal &amp; Interest Under(Over) Recovery</t>
  </si>
  <si>
    <r>
      <t>Input 3: Revenue Credits</t>
    </r>
    <r>
      <rPr>
        <sz val="11"/>
        <rFont val="Calibri"/>
        <family val="2"/>
        <scheme val="minor"/>
      </rPr>
      <t xml:space="preserve"> </t>
    </r>
    <r>
      <rPr>
        <sz val="8"/>
        <rFont val="Calibri"/>
        <family val="2"/>
        <scheme val="minor"/>
      </rPr>
      <t>(Current year Schedule 1 Revenue Credits, excluding True-Up Adjustment)</t>
    </r>
  </si>
  <si>
    <t>Schedule 1 Net Expenses including True-Up Adjustment</t>
  </si>
  <si>
    <r>
      <t xml:space="preserve">Note 1: </t>
    </r>
    <r>
      <rPr>
        <strike/>
        <sz val="11"/>
        <rFont val="Calibri"/>
        <family val="2"/>
        <scheme val="minor"/>
      </rPr>
      <t xml:space="preserve"> </t>
    </r>
    <r>
      <rPr>
        <sz val="11"/>
        <rFont val="Calibri"/>
        <family val="2"/>
        <scheme val="minor"/>
      </rPr>
      <t>Utilized by forward-looking Transmission Owners.  Line 21 will be supported by a True-Up Worksheet.</t>
    </r>
  </si>
  <si>
    <t>Note 2:  Source references may vary by company; page references are to each company's source document; analogous figures</t>
  </si>
  <si>
    <t xml:space="preserve">   would be provided for projected year.  Inputs in whole dollars.</t>
  </si>
  <si>
    <t>Note 3:  Revenue collected by the Transmission Owner or ITC under this Schedule 1 for firm transactions of less than 1 year,</t>
  </si>
  <si>
    <t>all non-firm transactions, and any other transactions whose loads are not included in the Attachment O Zonal Rate Divisor for the zone.</t>
  </si>
  <si>
    <t>This revenue credit is derived from the MISO MR Settlements file by subtracting Schedule 9 revenues related to Schedule 1</t>
  </si>
  <si>
    <t>from the total Schedule 1 revenues, which results in the total revenue credit for Schedule 1.</t>
  </si>
  <si>
    <r>
      <t>(Form 1, footnote to p 320, Lines 85,86,87)</t>
    </r>
    <r>
      <rPr>
        <vertAlign val="superscript"/>
        <sz val="11"/>
        <rFont val="Calibri"/>
        <family val="2"/>
        <scheme val="minor"/>
      </rPr>
      <t xml:space="preserve"> 2</t>
    </r>
  </si>
  <si>
    <t>(Form 1, p 321, Line 87)</t>
  </si>
  <si>
    <t>(Form 1, p 321, Line 86)</t>
  </si>
  <si>
    <r>
      <t>(Form 1, p 321, Line 85)</t>
    </r>
    <r>
      <rPr>
        <vertAlign val="superscript"/>
        <sz val="11"/>
        <rFont val="Calibri"/>
        <family val="2"/>
        <scheme val="minor"/>
      </rPr>
      <t>2,</t>
    </r>
  </si>
  <si>
    <t>N/A</t>
  </si>
  <si>
    <r>
      <t>(Form 1, page 330,footnote)</t>
    </r>
    <r>
      <rPr>
        <vertAlign val="superscript"/>
        <sz val="11"/>
        <rFont val="Calibri"/>
        <family val="2"/>
        <scheme val="minor"/>
      </rPr>
      <t>2, 3</t>
    </r>
  </si>
  <si>
    <t>Actual</t>
  </si>
  <si>
    <t>Account 456.1</t>
  </si>
  <si>
    <t>Revenue Associated with MISO Schedues 7, 8, 26 and 37</t>
  </si>
  <si>
    <r>
      <t xml:space="preserve">WVPA/IMPA share of MISO Schedule 7 and 8 revenue </t>
    </r>
    <r>
      <rPr>
        <b/>
        <sz val="10"/>
        <rFont val="Arial"/>
        <family val="2"/>
      </rPr>
      <t xml:space="preserve"> (Note 2)</t>
    </r>
  </si>
  <si>
    <t>Note 2:  Joint Transmission System ("JTS") ageement owners are Wabash Valley Power Association ("WVPA"), Indiana Municipal Power Agency ("IMPA") and Duke Energy.</t>
  </si>
  <si>
    <t>Account</t>
  </si>
  <si>
    <t>Description</t>
  </si>
  <si>
    <t>Load Dispatch-Reliability</t>
  </si>
  <si>
    <t>Load Dispatch-Mnitor&amp;OprTrnSys</t>
  </si>
  <si>
    <t>Load Dispatch - TransSvc&amp;Sch</t>
  </si>
  <si>
    <t>Total 561.1-561.3</t>
  </si>
  <si>
    <t>Scheduling-Sys Cntrl&amp;Disp Svs</t>
  </si>
  <si>
    <t>Reliability, Plang, and Stand Dev</t>
  </si>
  <si>
    <t>Reliability-Plan&amp;Stds Dev</t>
  </si>
  <si>
    <t>Total 561</t>
  </si>
  <si>
    <t>Transmission Expense on Page 321 of FF1</t>
  </si>
  <si>
    <t>Reclass Joint Owner</t>
  </si>
  <si>
    <t>Revised</t>
  </si>
  <si>
    <t>Reclass for Account 561</t>
  </si>
  <si>
    <t xml:space="preserve">    Less:  Merger and Acquisition related Costs</t>
  </si>
  <si>
    <t>Attachment GG - Description of Facilities Included in Network Upgrade Charge</t>
  </si>
  <si>
    <t>Facility ID</t>
  </si>
  <si>
    <t>Project Record Date</t>
  </si>
  <si>
    <t>Description of Facilities Included in Network Upgrade Charge as of Record Date</t>
  </si>
  <si>
    <t>Lafayette Southeast to Tipmont Concord Jct.  13819 reconductor with 954ACSR 100C.</t>
  </si>
  <si>
    <t>Edwardsport 345kV Sub.  New 345kV breaker and one half switching station.  This LGIA to include eight 345 kV, 3000A, 50kA circuit breakers, 345 kV interconnection metering, foundations, steel structures, grounding, relaying, control cables, and associated equipment.</t>
  </si>
  <si>
    <t>New 345kV breaker and one half switching station.  This LGIA to include eight 345 kV, 3000A, 50kA circuit breakers, 345 kV interconnection metering, foundations, steel structures, grounding, relaying, control cables, and associated equipment.</t>
  </si>
  <si>
    <t>Dresser Bank 3.  Add a 3rd 345/138kV transformer at Dresser Sub in a temporary bus configuration to achieve I.S. date of 6/1/2010</t>
  </si>
  <si>
    <t>Reconfigure Dresser substation bus and breakers, etc. for final Bank 3 configuration.</t>
  </si>
  <si>
    <t>Recondutor 13819 circuit with 954ACSR 100C</t>
  </si>
  <si>
    <t>Per Books Total Revenues, Page 300</t>
  </si>
  <si>
    <t>Jun</t>
  </si>
  <si>
    <t>Nov</t>
  </si>
  <si>
    <t>Depreciation and Amortization included on Attachment O</t>
  </si>
  <si>
    <t>Total Labor Related taxes included on Attachment O</t>
  </si>
  <si>
    <t>Year to Date 2015</t>
  </si>
  <si>
    <t>6a</t>
  </si>
  <si>
    <t>Adjustments to Net Revenue Requirement (Note CC)</t>
  </si>
  <si>
    <t>Interest on Adjustments (Note DD)</t>
  </si>
  <si>
    <t>6b</t>
  </si>
  <si>
    <t>6c</t>
  </si>
  <si>
    <t>Total Ajustment (line 6a + line 6b)</t>
  </si>
  <si>
    <t>Debt cost rate = long-term interest (line 21) / long term debt (line 27).  Preferred cost rate = preferred dividends (line 22) / preferred outstanding (line 28).   ROE will be supported in the original filing and no change in ROE may be made absent a filing with FERC.  A 50 basis point adder for RTO participation may be added to the ROE up to the upper end of the zone of reasonableness established by FERC</t>
  </si>
  <si>
    <t>CC</t>
  </si>
  <si>
    <t>Adjustments required pursuant to Section V (Changes to Annual Updates) of Attachment O.  Refunds shall be entered as a negative number to reduce</t>
  </si>
  <si>
    <t>the net revenue requirement.  Surcharges shall be entered as a positive number to increase the net revenue requirement.</t>
  </si>
  <si>
    <t>DD</t>
  </si>
  <si>
    <t xml:space="preserve">Interest required pursuant to Section V (Changes to Annual Updates) of Attachment O.  Interest on any refunds shall be entered as a negative number to </t>
  </si>
  <si>
    <t>reduce the net revenue requirement. Interest on surcharge shall be entered as a positive number to increase the net revenue requirement.</t>
  </si>
  <si>
    <t>(line 1 minus line 6 plus Line 6c)</t>
  </si>
  <si>
    <t>Depreciation and Amortization General Plant and Intangible (FERC Form 1)</t>
  </si>
  <si>
    <t>Long Term Interest (FERC Form 1)</t>
  </si>
  <si>
    <t>Long Term Interest included on Attachment O</t>
  </si>
  <si>
    <t>Merger Transaction Related Costs</t>
  </si>
  <si>
    <t>561700</t>
  </si>
  <si>
    <t>Generation Interconect Studies</t>
  </si>
  <si>
    <t>as of 12/31/2016</t>
  </si>
  <si>
    <t>For the 12 months ended 12/31/2016</t>
  </si>
  <si>
    <t xml:space="preserve">Jul </t>
  </si>
  <si>
    <t>2016 Monthly Peaks in Megawatts</t>
  </si>
  <si>
    <t>Jan (1)</t>
  </si>
  <si>
    <t>Apr (1)</t>
  </si>
  <si>
    <t>May (1)</t>
  </si>
  <si>
    <t>Sep (1)</t>
  </si>
  <si>
    <t>Oct (1)</t>
  </si>
  <si>
    <t>Dec (1)</t>
  </si>
  <si>
    <t>EPRI Dues - Functionalization</t>
  </si>
  <si>
    <t>A&amp;G</t>
  </si>
  <si>
    <t>Transmission FERC Form 1</t>
  </si>
  <si>
    <t>EPRI Dues</t>
  </si>
  <si>
    <t>Tranmission Expense Page 321.112.b</t>
  </si>
  <si>
    <t>For  the 12 months ended 12/31/2016</t>
  </si>
  <si>
    <t>Excluding reimbursable projects</t>
  </si>
  <si>
    <t>Less - Purchase Power Agreement</t>
  </si>
  <si>
    <t>Plus - Network Load not included</t>
  </si>
</sst>
</file>

<file path=xl/styles.xml><?xml version="1.0" encoding="utf-8"?>
<styleSheet xmlns="http://schemas.openxmlformats.org/spreadsheetml/2006/main" xmlns:mc="http://schemas.openxmlformats.org/markup-compatibility/2006" xmlns:x14ac="http://schemas.microsoft.com/office/spreadsheetml/2009/9/ac" mc:Ignorable="x14ac">
  <numFmts count="116">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0.0"/>
    <numFmt numFmtId="173" formatCode="&quot;$&quot;#,##0.000"/>
    <numFmt numFmtId="174" formatCode="&quot;$&quot;#,##0.00"/>
    <numFmt numFmtId="175" formatCode="_(* #,##0_);_(* \(#,##0\);_(* &quot;-&quot;??_);_(@_)"/>
    <numFmt numFmtId="176" formatCode="_(&quot;$&quot;* #,##0_);_(&quot;$&quot;* \(#,##0\);_(&quot;$&quot;* &quot;-&quot;??_);_(@_)"/>
    <numFmt numFmtId="177" formatCode="m/d/yy;@"/>
    <numFmt numFmtId="178" formatCode="_(* #,##0.0%_);_(* \(#,##0.0%\);_(* &quot;- %&quot;??_);_(@_)"/>
    <numFmt numFmtId="179" formatCode="#,##0.000_);\(#,##0.000\)"/>
    <numFmt numFmtId="180" formatCode="0_);\(0\)"/>
    <numFmt numFmtId="181" formatCode="_(* #,##0.0\¢_m;[Red]_(* \-#,##0.0\¢_m;[Green]_(* 0.0\¢_m;_(@_)_%"/>
    <numFmt numFmtId="182" formatCode="_(* #,##0.00\¢_m;[Red]_(* \-#,##0.00\¢_m;[Green]_(* 0.00\¢_m;_(@_)_%"/>
    <numFmt numFmtId="183" formatCode="_(* #,##0.000\¢_m;[Red]_(* \-#,##0.000\¢_m;[Green]_(* 0.000\¢_m;_(@_)_%"/>
    <numFmt numFmtId="184" formatCode="_(_(\£* #,##0_)_%;[Red]_(\(\£* #,##0\)_%;[Green]_(_(\£* #,##0_)_%;_(@_)_%"/>
    <numFmt numFmtId="185" formatCode="_(_(\£* #,##0.0_)_%;[Red]_(\(\£* #,##0.0\)_%;[Green]_(_(\£* #,##0.0_)_%;_(@_)_%"/>
    <numFmt numFmtId="186" formatCode="_(_(\£* #,##0.00_)_%;[Red]_(\(\£* #,##0.00\)_%;[Green]_(_(\£* #,##0.00_)_%;_(@_)_%"/>
    <numFmt numFmtId="187" formatCode="0.0%_);\(0.0%\)"/>
    <numFmt numFmtId="188" formatCode="\•\ \ @"/>
    <numFmt numFmtId="189" formatCode="_(_(\•_ #0_)_%;[Red]_(_(\•_ \-#0\)_%;[Green]_(_(\•_ #0_)_%;_(_(\•_ @_)_%"/>
    <numFmt numFmtId="190" formatCode="_(_(_•_ \•_ #0_)_%;[Red]_(_(_•_ \•_ \-#0\)_%;[Green]_(_(_•_ \•_ #0_)_%;_(_(_•_ \•_ @_)_%"/>
    <numFmt numFmtId="191" formatCode="_(_(_•_ _•_ \•_ #0_)_%;[Red]_(_(_•_ _•_ \•_ \-#0\)_%;[Green]_(_(_•_ _•_ \•_ #0_)_%;_(_(_•_ \•_ @_)_%"/>
    <numFmt numFmtId="192" formatCode="#,##0,_);\(#,##0,\)"/>
    <numFmt numFmtId="193" formatCode="#,##0.0_);\(#,##0.0\)"/>
    <numFmt numFmtId="194" formatCode="0.0,_);\(0.0,\)"/>
    <numFmt numFmtId="195" formatCode="0.00,_);\(0.00,\)"/>
    <numFmt numFmtId="196" formatCode="_(_(_$* #,##0.0_)_%;[Red]_(\(_$* #,##0.0\)_%;[Green]_(_(_$* #,##0.0_)_%;_(@_)_%"/>
    <numFmt numFmtId="197" formatCode="_(_(_$* #,##0.00_)_%;[Red]_(\(_$* #,##0.00\)_%;[Green]_(_(_$* #,##0.00_)_%;_(@_)_%"/>
    <numFmt numFmtId="198" formatCode="_(_(_$* #,##0.000_)_%;[Red]_(\(_$* #,##0.000\)_%;[Green]_(_(_$* #,##0.000_)_%;_(@_)_%"/>
    <numFmt numFmtId="199" formatCode="_._.* #,##0.0_)_%;_._.* \(#,##0.0\)_%;_._.* \ ?_)_%"/>
    <numFmt numFmtId="200" formatCode="_._.* #,##0.00_)_%;_._.* \(#,##0.00\)_%;_._.* \ ?_)_%"/>
    <numFmt numFmtId="201" formatCode="_._.* #,##0.000_)_%;_._.* \(#,##0.000\)_%;_._.* \ ?_)_%"/>
    <numFmt numFmtId="202" formatCode="_._.* #,##0.0000_)_%;_._.* \(#,##0.0000\)_%;_._.* \ ?_)_%"/>
    <numFmt numFmtId="203" formatCode="_(_(&quot;$&quot;* #,##0.0_)_%;[Red]_(\(&quot;$&quot;* #,##0.0\)_%;[Green]_(_(&quot;$&quot;* #,##0.0_)_%;_(@_)_%"/>
    <numFmt numFmtId="204" formatCode="_(_(&quot;$&quot;* #,##0.00_)_%;[Red]_(\(&quot;$&quot;* #,##0.00\)_%;[Green]_(_(&quot;$&quot;* #,##0.00_)_%;_(@_)_%"/>
    <numFmt numFmtId="205" formatCode="_(_(&quot;$&quot;* #,##0.000_)_%;[Red]_(\(&quot;$&quot;* #,##0.000\)_%;[Green]_(_(&quot;$&quot;* #,##0.000_)_%;_(@_)_%"/>
    <numFmt numFmtId="206" formatCode="_._.&quot;$&quot;* #,##0.0_)_%;_._.&quot;$&quot;* \(#,##0.0\)_%;_._.&quot;$&quot;* \ ?_)_%"/>
    <numFmt numFmtId="207" formatCode="_._.&quot;$&quot;* #,##0.00_)_%;_._.&quot;$&quot;* \(#,##0.00\)_%;_._.&quot;$&quot;* \ ?_)_%"/>
    <numFmt numFmtId="208" formatCode="_._.&quot;$&quot;* #,##0.000_)_%;_._.&quot;$&quot;* \(#,##0.000\)_%;_._.&quot;$&quot;* \ ?_)_%"/>
    <numFmt numFmtId="209" formatCode="_._.&quot;$&quot;* #,##0.0000_)_%;_._.&quot;$&quot;* \(#,##0.0000\)_%;_._.&quot;$&quot;* \ ?_)_%"/>
    <numFmt numFmtId="210" formatCode="&quot;$&quot;#,##0,_);\(&quot;$&quot;#,##0,\)"/>
    <numFmt numFmtId="211" formatCode="&quot;$&quot;#,##0.0_);\(&quot;$&quot;#,##0.0\)"/>
    <numFmt numFmtId="212" formatCode="&quot;$&quot;0.0,_);\(&quot;$&quot;0.0,\)"/>
    <numFmt numFmtId="213" formatCode="&quot;$&quot;0.00,_);\(&quot;$&quot;0.00,\)"/>
    <numFmt numFmtId="214" formatCode="&quot;$&quot;#,##0.000_);\(&quot;$&quot;#,##0.000\)"/>
    <numFmt numFmtId="215" formatCode="_(* dd\-mmm\-yy_)_%"/>
    <numFmt numFmtId="216" formatCode="_(* dd\ mmmm\ yyyy_)_%"/>
    <numFmt numFmtId="217" formatCode="_(* mmmm\ dd\,\ yyyy_)_%"/>
    <numFmt numFmtId="218" formatCode="_(* dd\.mm\.yyyy_)_%"/>
    <numFmt numFmtId="219" formatCode="_(* mm/dd/yyyy_)_%"/>
    <numFmt numFmtId="220" formatCode="#,##0.0\x_);\(#,##0.0\x\)"/>
    <numFmt numFmtId="221" formatCode="#,##0.00\x_);\(#,##0.00\x\)"/>
    <numFmt numFmtId="222" formatCode="[$€-2]\ #,##0_);\([$€-2]\ #,##0\)"/>
    <numFmt numFmtId="223" formatCode="[$€-2]\ #,##0.0_);\([$€-2]\ #,##0.0\)"/>
    <numFmt numFmtId="224" formatCode="_([$€-2]* #,##0.00_);_([$€-2]* \(#,##0.00\);_([$€-2]* &quot;-&quot;??_)"/>
    <numFmt numFmtId="225" formatCode="General_)_%"/>
    <numFmt numFmtId="226" formatCode="_(_(#0_)_%;[Red]_(_(\-#0\)_%;[Green]_(_(#0_)_%;_(_(@_)_%"/>
    <numFmt numFmtId="227" formatCode="_(_(_•_ #0_)_%;[Red]_(_(_•_ \-#0\)_%;[Green]_(_(_•_ #0_)_%;_(_(_•_ @_)_%"/>
    <numFmt numFmtId="228" formatCode="_(_(_•_ _•_ #0_)_%;[Red]_(_(_•_ _•_ \-#0\)_%;[Green]_(_(_•_ _•_ #0_)_%;_(_(_•_ _•_ @_)_%"/>
    <numFmt numFmtId="229" formatCode="_(_(_•_ _•_ _•_ #0_)_%;[Red]_(_(_•_ _•_ _•_ \-#0\)_%;[Green]_(_(_•_ _•_ _•_ #0_)_%;_(_(_•_ _•_ _•_ @_)_%"/>
    <numFmt numFmtId="230" formatCode="#,##0\x;\(#,##0\x\)"/>
    <numFmt numFmtId="231" formatCode="0.0\x;\(0.0\x\)"/>
    <numFmt numFmtId="232" formatCode="#,##0.00\x;\(#,##0.00\x\)"/>
    <numFmt numFmtId="233" formatCode="#,##0.000\x;\(#,##0.000\x\)"/>
    <numFmt numFmtId="234" formatCode="0.0_);\(0.0\)"/>
    <numFmt numFmtId="235" formatCode="0%;\(0%\)"/>
    <numFmt numFmtId="236" formatCode="0.00\ \x_);\(0.00\ \x\)"/>
    <numFmt numFmtId="237" formatCode="_(* #,##0_);_(* \(#,##0\);_(* &quot;-&quot;????_);_(@_)"/>
    <numFmt numFmtId="238" formatCode="0__"/>
    <numFmt numFmtId="239" formatCode="h:mmAM/PM"/>
    <numFmt numFmtId="240" formatCode="0&quot; E&quot;"/>
    <numFmt numFmtId="241" formatCode="yyyy"/>
    <numFmt numFmtId="242" formatCode="&quot;$&quot;#,##0.0"/>
    <numFmt numFmtId="243" formatCode="0.0%;\(0.0%\)"/>
    <numFmt numFmtId="244" formatCode="0.00%_);\(0.00%\)"/>
    <numFmt numFmtId="245" formatCode="0.000%_);\(0.000%\)"/>
    <numFmt numFmtId="246" formatCode="_(0_)%;\(0\)%;\ \ ?_)%"/>
    <numFmt numFmtId="247" formatCode="_._._(* 0_)%;_._.* \(0\)%;_._._(* \ ?_)%"/>
    <numFmt numFmtId="248" formatCode="0%_);\(0%\)"/>
    <numFmt numFmtId="249" formatCode="_(* #,##0_)_%;[Red]_(* \(#,##0\)_%;[Green]_(* 0_)_%;_(@_)_%"/>
    <numFmt numFmtId="250" formatCode="_(* #,##0.0%_);[Red]_(* \-#,##0.0%_);[Green]_(* 0.0%_);_(@_)_%"/>
    <numFmt numFmtId="251" formatCode="_(* #,##0.00%_);[Red]_(* \-#,##0.00%_);[Green]_(* 0.00%_);_(@_)_%"/>
    <numFmt numFmtId="252" formatCode="_(* #,##0.000%_);[Red]_(* \-#,##0.000%_);[Green]_(* 0.000%_);_(@_)_%"/>
    <numFmt numFmtId="253" formatCode="_(0.0_)%;\(0.0\)%;\ \ ?_)%"/>
    <numFmt numFmtId="254" formatCode="_._._(* 0.0_)%;_._.* \(0.0\)%;_._._(* \ ?_)%"/>
    <numFmt numFmtId="255" formatCode="_(0.00_)%;\(0.00\)%;\ \ ?_)%"/>
    <numFmt numFmtId="256" formatCode="_._._(* 0.00_)%;_._.* \(0.00\)%;_._._(* \ ?_)%"/>
    <numFmt numFmtId="257" formatCode="_(0.000_)%;\(0.000\)%;\ \ ?_)%"/>
    <numFmt numFmtId="258" formatCode="_._._(* 0.000_)%;_._.* \(0.000\)%;_._._(* \ ?_)%"/>
    <numFmt numFmtId="259" formatCode="_(0.0000_)%;\(0.0000\)%;\ \ ?_)%"/>
    <numFmt numFmtId="260" formatCode="_._._(* 0.0000_)%;_._.* \(0.0000\)%;_._._(* \ ?_)%"/>
    <numFmt numFmtId="261" formatCode="mmmm\ dd\,\ yy"/>
    <numFmt numFmtId="262" formatCode="0.0\x"/>
    <numFmt numFmtId="263" formatCode="_(* #,##0_);_(* \(#,##0\);_(* \ ?_)"/>
    <numFmt numFmtId="264" formatCode="_(* #,##0.0_);_(* \(#,##0.0\);_(* \ ?_)"/>
    <numFmt numFmtId="265" formatCode="_(* #,##0.00_);_(* \(#,##0.00\);_(* \ ?_)"/>
    <numFmt numFmtId="266" formatCode="_(* #,##0.000_);_(* \(#,##0.000\);_(* \ ?_)"/>
    <numFmt numFmtId="267" formatCode="_(&quot;$&quot;* #,##0_);_(&quot;$&quot;* \(#,##0\);_(&quot;$&quot;* \ ?_)"/>
    <numFmt numFmtId="268" formatCode="_(&quot;$&quot;* #,##0.0_);_(&quot;$&quot;* \(#,##0.0\);_(&quot;$&quot;* \ ?_)"/>
    <numFmt numFmtId="269" formatCode="_(&quot;$&quot;* #,##0.00_);_(&quot;$&quot;* \(#,##0.00\);_(&quot;$&quot;* \ ?_)"/>
    <numFmt numFmtId="270" formatCode="_(&quot;$&quot;* #,##0.000_);_(&quot;$&quot;* \(#,##0.000\);_(&quot;$&quot;* \ ?_)"/>
    <numFmt numFmtId="271" formatCode="0000&quot;A&quot;"/>
    <numFmt numFmtId="272" formatCode="0&quot;E&quot;"/>
    <numFmt numFmtId="273" formatCode="0000&quot;E&quot;"/>
  </numFmts>
  <fonts count="137">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Arial MT"/>
    </font>
    <font>
      <sz val="12"/>
      <name val="Times New Roman"/>
      <family val="1"/>
    </font>
    <font>
      <sz val="10"/>
      <name val="Arial MT"/>
    </font>
    <font>
      <sz val="12"/>
      <name val="Arial"/>
      <family val="2"/>
    </font>
    <font>
      <b/>
      <sz val="12"/>
      <name val="Arial"/>
      <family val="2"/>
    </font>
    <font>
      <sz val="12"/>
      <color indexed="10"/>
      <name val="Arial"/>
      <family val="2"/>
    </font>
    <font>
      <sz val="11"/>
      <name val="Arial"/>
      <family val="2"/>
    </font>
    <font>
      <b/>
      <sz val="12"/>
      <name val="Arial MT"/>
    </font>
    <font>
      <sz val="14"/>
      <name val="Arial MT"/>
    </font>
    <font>
      <sz val="12"/>
      <color indexed="17"/>
      <name val="Arial MT"/>
    </font>
    <font>
      <u/>
      <sz val="12"/>
      <color indexed="17"/>
      <name val="Arial MT"/>
    </font>
    <font>
      <sz val="12"/>
      <color indexed="10"/>
      <name val="Arial MT"/>
    </font>
    <font>
      <sz val="10"/>
      <name val="Arial"/>
      <family val="2"/>
    </font>
    <font>
      <b/>
      <u/>
      <sz val="10"/>
      <name val="Arial"/>
      <family val="2"/>
    </font>
    <font>
      <u val="singleAccounting"/>
      <sz val="10"/>
      <name val="Arial"/>
      <family val="2"/>
    </font>
    <font>
      <u val="doubleAccounting"/>
      <sz val="10"/>
      <name val="Arial"/>
      <family val="2"/>
    </font>
    <font>
      <b/>
      <sz val="10"/>
      <name val="Arial"/>
      <family val="2"/>
    </font>
    <font>
      <sz val="10"/>
      <name val="Arial"/>
      <family val="2"/>
    </font>
    <font>
      <sz val="10"/>
      <color indexed="12"/>
      <name val="Arial"/>
      <family val="2"/>
    </font>
    <font>
      <b/>
      <sz val="8"/>
      <color indexed="81"/>
      <name val="Tahoma"/>
      <family val="2"/>
    </font>
    <font>
      <sz val="8"/>
      <color indexed="81"/>
      <name val="Tahoma"/>
      <family val="2"/>
    </font>
    <font>
      <b/>
      <u val="double"/>
      <sz val="12"/>
      <name val="Arial"/>
      <family val="2"/>
    </font>
    <font>
      <u/>
      <sz val="10"/>
      <name val="Arial"/>
      <family val="2"/>
    </font>
    <font>
      <b/>
      <u val="singleAccounting"/>
      <sz val="10"/>
      <name val="Arial"/>
      <family val="2"/>
    </font>
    <font>
      <u val="singleAccounting"/>
      <sz val="10"/>
      <color indexed="12"/>
      <name val="Arial"/>
      <family val="2"/>
    </font>
    <font>
      <u val="doubleAccounting"/>
      <sz val="10"/>
      <name val="Arial"/>
      <family val="2"/>
    </font>
    <font>
      <u val="doubleAccounting"/>
      <sz val="10"/>
      <color indexed="12"/>
      <name val="Arial"/>
      <family val="2"/>
    </font>
    <font>
      <u val="singleAccounting"/>
      <sz val="12"/>
      <name val="Arial MT"/>
    </font>
    <font>
      <sz val="8"/>
      <name val="Arial"/>
      <family val="2"/>
    </font>
    <font>
      <b/>
      <sz val="10"/>
      <color indexed="12"/>
      <name val="Arial"/>
      <family val="2"/>
    </font>
    <font>
      <b/>
      <u val="singleAccounting"/>
      <sz val="10"/>
      <name val="Arial"/>
      <family val="2"/>
    </font>
    <font>
      <u val="doubleAccounting"/>
      <sz val="12"/>
      <name val="Arial MT"/>
    </font>
    <font>
      <b/>
      <u val="singleAccounting"/>
      <sz val="12"/>
      <name val="Arial"/>
      <family val="2"/>
    </font>
    <font>
      <u val="singleAccounting"/>
      <sz val="12"/>
      <name val="Arial"/>
      <family val="2"/>
    </font>
    <font>
      <b/>
      <sz val="14"/>
      <name val="Arial"/>
      <family val="2"/>
    </font>
    <font>
      <b/>
      <sz val="11"/>
      <name val="Arial"/>
      <family val="2"/>
    </font>
    <font>
      <sz val="10"/>
      <name val="Arial"/>
      <family val="2"/>
    </font>
    <font>
      <u val="doubleAccounting"/>
      <sz val="10"/>
      <color indexed="12"/>
      <name val="Arial"/>
      <family val="2"/>
    </font>
    <font>
      <sz val="10"/>
      <name val="Arial Narrow"/>
      <family val="2"/>
    </font>
    <font>
      <sz val="10"/>
      <name val="MS Sans Serif"/>
      <family val="2"/>
    </font>
    <font>
      <u val="doubleAccounting"/>
      <sz val="12"/>
      <name val="Arial"/>
      <family val="2"/>
    </font>
    <font>
      <u val="doubleAccounting"/>
      <sz val="12"/>
      <color rgb="FF0000FF"/>
      <name val="Arial MT"/>
    </font>
    <font>
      <sz val="12"/>
      <color rgb="FF0000FF"/>
      <name val="Arial"/>
      <family val="2"/>
    </font>
    <font>
      <u val="singleAccounting"/>
      <sz val="12"/>
      <color rgb="FF0000FF"/>
      <name val="Arial"/>
      <family val="2"/>
    </font>
    <font>
      <u val="doubleAccounting"/>
      <sz val="12"/>
      <color rgb="FF0000FF"/>
      <name val="Arial"/>
      <family val="2"/>
    </font>
    <font>
      <sz val="10"/>
      <color rgb="FF0000FF"/>
      <name val="Arial"/>
      <family val="2"/>
    </font>
    <font>
      <b/>
      <u/>
      <sz val="12"/>
      <name val="Arial MT"/>
    </font>
    <font>
      <sz val="10"/>
      <name val="MS Sans Serif"/>
      <family val="2"/>
    </font>
    <font>
      <sz val="10"/>
      <name val="Arial"/>
      <family val="2"/>
    </font>
    <font>
      <sz val="14"/>
      <name val="Arial"/>
      <family val="2"/>
    </font>
    <font>
      <sz val="10"/>
      <color theme="4"/>
      <name val="Arial"/>
      <family val="2"/>
    </font>
    <font>
      <sz val="9"/>
      <name val="Arial"/>
      <family val="2"/>
    </font>
    <font>
      <b/>
      <sz val="10"/>
      <color indexed="9"/>
      <name val="Arial"/>
      <family val="2"/>
    </font>
    <font>
      <b/>
      <sz val="10"/>
      <color indexed="9"/>
      <name val="Arial MT"/>
    </font>
    <font>
      <sz val="10"/>
      <name val="C Helvetica Condensed"/>
    </font>
    <font>
      <sz val="10"/>
      <color indexed="12"/>
      <name val="Times New Roman"/>
      <family val="1"/>
    </font>
    <font>
      <sz val="10"/>
      <name val="Times New Roman"/>
      <family val="1"/>
    </font>
    <font>
      <b/>
      <sz val="10"/>
      <color indexed="8"/>
      <name val="Times New Roman"/>
      <family val="1"/>
    </font>
    <font>
      <b/>
      <i/>
      <sz val="14"/>
      <name val="Arial"/>
      <family val="2"/>
    </font>
    <font>
      <b/>
      <sz val="24"/>
      <name val="Arial Narrow"/>
      <family val="2"/>
    </font>
    <font>
      <b/>
      <i/>
      <sz val="12"/>
      <name val="Arial"/>
      <family val="2"/>
    </font>
    <font>
      <i/>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9"/>
      <color indexed="12"/>
      <name val="Arial"/>
      <family val="2"/>
    </font>
    <font>
      <sz val="9"/>
      <name val="Times New Roman"/>
      <family val="1"/>
    </font>
    <font>
      <b/>
      <sz val="9"/>
      <name val="Arial"/>
      <family val="2"/>
    </font>
    <font>
      <sz val="12"/>
      <name val="Helv"/>
    </font>
    <font>
      <sz val="11"/>
      <name val="Times New Roman"/>
      <family val="1"/>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4"/>
      <name val="Book Antiqua"/>
      <family val="1"/>
    </font>
    <font>
      <i/>
      <sz val="10"/>
      <name val="Book Antiqua"/>
      <family val="1"/>
    </font>
    <font>
      <b/>
      <sz val="10"/>
      <color indexed="22"/>
      <name val="Arial"/>
      <family val="2"/>
    </font>
    <font>
      <sz val="10"/>
      <color indexed="12"/>
      <name val="Book Antiqua"/>
      <family val="1"/>
    </font>
    <font>
      <i/>
      <sz val="16"/>
      <name val="Times New Roman"/>
      <family val="1"/>
    </font>
    <font>
      <sz val="7"/>
      <name val="Small Fonts"/>
      <family val="2"/>
    </font>
    <font>
      <u/>
      <sz val="10"/>
      <name val="Times New Roman"/>
      <family val="1"/>
    </font>
    <font>
      <b/>
      <sz val="10"/>
      <name val="MS Sans Serif"/>
      <family val="2"/>
    </font>
    <font>
      <sz val="8"/>
      <color indexed="38"/>
      <name val="Arial"/>
      <family val="2"/>
    </font>
    <font>
      <b/>
      <i/>
      <sz val="16"/>
      <name val="Arial"/>
      <family val="2"/>
    </font>
    <font>
      <b/>
      <sz val="12"/>
      <color indexed="32"/>
      <name val="Arial"/>
      <family val="2"/>
    </font>
    <font>
      <i/>
      <sz val="11"/>
      <name val="Arial"/>
      <family val="2"/>
    </font>
    <font>
      <sz val="10"/>
      <color indexed="40"/>
      <name val="Arial"/>
      <family val="2"/>
    </font>
    <font>
      <sz val="10"/>
      <color indexed="8"/>
      <name val="Times New Roman"/>
      <family val="1"/>
    </font>
    <font>
      <b/>
      <i/>
      <sz val="12"/>
      <name val="Times New Roman"/>
      <family val="1"/>
    </font>
    <font>
      <sz val="10"/>
      <name val="Futura UBS Bk"/>
      <family val="2"/>
    </font>
    <font>
      <sz val="10"/>
      <color indexed="8"/>
      <name val="MS Sans Serif"/>
      <family val="2"/>
    </font>
    <font>
      <sz val="10"/>
      <color indexed="8"/>
      <name val="Arial"/>
      <family val="2"/>
    </font>
    <font>
      <b/>
      <sz val="10"/>
      <color indexed="8"/>
      <name val="Arial"/>
      <family val="2"/>
    </font>
    <font>
      <b/>
      <sz val="9"/>
      <name val="Times New Roman"/>
      <family val="1"/>
    </font>
    <font>
      <b/>
      <sz val="10"/>
      <color indexed="10"/>
      <name val="Arial"/>
      <family val="2"/>
    </font>
    <font>
      <i/>
      <sz val="8"/>
      <name val="Times New Roman"/>
      <family val="1"/>
    </font>
    <font>
      <sz val="10"/>
      <color indexed="21"/>
      <name val="Arial"/>
      <family val="2"/>
    </font>
    <font>
      <b/>
      <sz val="8"/>
      <name val="Arial"/>
      <family val="2"/>
    </font>
    <font>
      <u/>
      <sz val="10"/>
      <color indexed="12"/>
      <name val="Arial"/>
      <family val="2"/>
    </font>
    <font>
      <b/>
      <sz val="12"/>
      <name val="Times New Roman"/>
      <family val="1"/>
    </font>
    <font>
      <strike/>
      <sz val="12"/>
      <color indexed="10"/>
      <name val="Times New Roman"/>
      <family val="1"/>
    </font>
    <font>
      <b/>
      <sz val="12"/>
      <color indexed="48"/>
      <name val="Times New Roman"/>
      <family val="1"/>
    </font>
    <font>
      <strike/>
      <sz val="12"/>
      <color indexed="53"/>
      <name val="Arial MT"/>
    </font>
    <font>
      <sz val="12"/>
      <color indexed="10"/>
      <name val="Times New Roman"/>
      <family val="1"/>
    </font>
    <font>
      <b/>
      <sz val="14"/>
      <color theme="1"/>
      <name val="Calibri"/>
      <family val="2"/>
      <scheme val="minor"/>
    </font>
    <font>
      <sz val="10"/>
      <color theme="1"/>
      <name val="Arial"/>
      <family val="2"/>
    </font>
    <font>
      <u val="singleAccounting"/>
      <sz val="10"/>
      <color theme="1"/>
      <name val="Arial"/>
      <family val="2"/>
    </font>
    <font>
      <sz val="9"/>
      <color indexed="81"/>
      <name val="Tahoma"/>
      <family val="2"/>
    </font>
    <font>
      <b/>
      <sz val="9"/>
      <color indexed="81"/>
      <name val="Tahoma"/>
      <family val="2"/>
    </font>
    <font>
      <b/>
      <sz val="10"/>
      <color theme="1"/>
      <name val="Arial"/>
      <family val="2"/>
    </font>
    <font>
      <u val="doubleAccounting"/>
      <sz val="10"/>
      <color rgb="FF002060"/>
      <name val="Arial"/>
      <family val="2"/>
    </font>
    <font>
      <sz val="10"/>
      <color rgb="FF002060"/>
      <name val="Arial"/>
      <family val="2"/>
    </font>
    <font>
      <u/>
      <sz val="10"/>
      <color rgb="FF002060"/>
      <name val="Arial"/>
      <family val="2"/>
    </font>
    <font>
      <sz val="11"/>
      <color theme="1"/>
      <name val="Times New Roman"/>
      <family val="2"/>
    </font>
    <font>
      <sz val="11"/>
      <name val="Calibri"/>
      <family val="2"/>
      <scheme val="minor"/>
    </font>
    <font>
      <b/>
      <sz val="16"/>
      <name val="Calibri"/>
      <family val="2"/>
      <scheme val="minor"/>
    </font>
    <font>
      <b/>
      <sz val="11"/>
      <name val="Calibri"/>
      <family val="2"/>
      <scheme val="minor"/>
    </font>
    <font>
      <vertAlign val="superscript"/>
      <sz val="11"/>
      <name val="Calibri"/>
      <family val="2"/>
      <scheme val="minor"/>
    </font>
    <font>
      <sz val="8"/>
      <name val="Calibri"/>
      <family val="2"/>
      <scheme val="minor"/>
    </font>
    <font>
      <strike/>
      <sz val="11"/>
      <name val="Calibri"/>
      <family val="2"/>
      <scheme val="minor"/>
    </font>
    <font>
      <u/>
      <sz val="12"/>
      <name val="Arial MT"/>
    </font>
    <font>
      <sz val="12"/>
      <color theme="3" tint="0.39997558519241921"/>
      <name val="Arial MT"/>
    </font>
    <font>
      <b/>
      <sz val="10"/>
      <name val="Arial Narrow"/>
      <family val="2"/>
    </font>
    <font>
      <u/>
      <sz val="12"/>
      <name val="Arial"/>
      <family val="2"/>
    </font>
  </fonts>
  <fills count="19">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50"/>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
      <patternFill patternType="solid">
        <fgColor rgb="FFFFFF00"/>
        <bgColor indexed="64"/>
      </patternFill>
    </fill>
    <fill>
      <patternFill patternType="solid">
        <fgColor indexed="8"/>
        <bgColor indexed="64"/>
      </patternFill>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26"/>
        <bgColor indexed="64"/>
      </patternFill>
    </fill>
    <fill>
      <patternFill patternType="lightGray">
        <fgColor indexed="38"/>
        <bgColor indexed="23"/>
      </patternFill>
    </fill>
    <fill>
      <patternFill patternType="mediumGray">
        <fgColor indexed="22"/>
      </patternFill>
    </fill>
    <fill>
      <patternFill patternType="solid">
        <fgColor rgb="FFFFFF99"/>
        <bgColor indexed="64"/>
      </patternFill>
    </fill>
  </fills>
  <borders count="26">
    <border>
      <left/>
      <right/>
      <top/>
      <bottom/>
      <diagonal/>
    </border>
    <border>
      <left/>
      <right/>
      <top/>
      <bottom style="medium">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diagonal/>
    </border>
    <border>
      <left/>
      <right/>
      <top/>
      <bottom style="hair">
        <color indexed="64"/>
      </bottom>
      <diagonal/>
    </border>
    <border>
      <left/>
      <right/>
      <top style="medium">
        <color indexed="64"/>
      </top>
      <bottom style="medium">
        <color indexed="64"/>
      </bottom>
      <diagonal/>
    </border>
    <border>
      <left/>
      <right/>
      <top/>
      <bottom style="hair">
        <color indexed="20"/>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s>
  <cellStyleXfs count="341">
    <xf numFmtId="174" fontId="0" fillId="0" borderId="0" applyProtection="0"/>
    <xf numFmtId="43" fontId="22" fillId="0" borderId="0" applyFont="0" applyFill="0" applyBorder="0" applyAlignment="0" applyProtection="0"/>
    <xf numFmtId="43" fontId="44" fillId="0" borderId="0" applyFont="0" applyFill="0" applyBorder="0" applyAlignment="0" applyProtection="0"/>
    <xf numFmtId="44" fontId="22" fillId="0" borderId="0" applyFont="0" applyFill="0" applyBorder="0" applyAlignment="0" applyProtection="0"/>
    <xf numFmtId="0" fontId="43" fillId="0" borderId="0">
      <alignment vertical="top"/>
    </xf>
    <xf numFmtId="174" fontId="5" fillId="0" borderId="0" applyProtection="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9"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0" fontId="17" fillId="0" borderId="0"/>
    <xf numFmtId="174" fontId="5" fillId="0" borderId="0" applyProtection="0"/>
    <xf numFmtId="43" fontId="17" fillId="0" borderId="0" applyFont="0" applyFill="0" applyBorder="0" applyAlignment="0" applyProtection="0"/>
    <xf numFmtId="44" fontId="17" fillId="0" borderId="0" applyFont="0" applyFill="0" applyBorder="0" applyAlignment="0" applyProtection="0"/>
    <xf numFmtId="9" fontId="17" fillId="0" borderId="0" applyFont="0" applyFill="0" applyBorder="0" applyAlignment="0" applyProtection="0"/>
    <xf numFmtId="43" fontId="44" fillId="0" borderId="0" applyFont="0" applyFill="0" applyBorder="0" applyAlignment="0" applyProtection="0"/>
    <xf numFmtId="0" fontId="43" fillId="0" borderId="0">
      <alignment vertical="top"/>
    </xf>
    <xf numFmtId="0" fontId="53" fillId="0" borderId="0"/>
    <xf numFmtId="0" fontId="43" fillId="0" borderId="0">
      <alignment vertical="top"/>
    </xf>
    <xf numFmtId="174" fontId="5" fillId="0" borderId="0" applyProtection="0"/>
    <xf numFmtId="174" fontId="5" fillId="0" borderId="0" applyProtection="0"/>
    <xf numFmtId="44" fontId="53" fillId="0" borderId="0" applyFont="0" applyFill="0" applyBorder="0" applyAlignment="0" applyProtection="0"/>
    <xf numFmtId="0" fontId="53" fillId="0" borderId="0"/>
    <xf numFmtId="181" fontId="59" fillId="0" borderId="0" applyFont="0" applyFill="0" applyBorder="0" applyAlignment="0" applyProtection="0"/>
    <xf numFmtId="182" fontId="59" fillId="0" borderId="0" applyFont="0" applyFill="0" applyBorder="0" applyAlignment="0" applyProtection="0"/>
    <xf numFmtId="183" fontId="59" fillId="0" borderId="0" applyFont="0" applyFill="0" applyBorder="0" applyAlignment="0" applyProtection="0"/>
    <xf numFmtId="184" fontId="59" fillId="0" borderId="0" applyFont="0" applyFill="0" applyBorder="0" applyAlignment="0" applyProtection="0"/>
    <xf numFmtId="185" fontId="59" fillId="0" borderId="0" applyFont="0" applyFill="0" applyBorder="0" applyAlignment="0" applyProtection="0"/>
    <xf numFmtId="186" fontId="59" fillId="0" borderId="0" applyFont="0" applyFill="0" applyBorder="0" applyAlignment="0" applyProtection="0"/>
    <xf numFmtId="0" fontId="56" fillId="0" borderId="0"/>
    <xf numFmtId="187" fontId="17" fillId="10" borderId="0" applyNumberFormat="0" applyFill="0" applyBorder="0" applyAlignment="0" applyProtection="0">
      <alignment horizontal="right" vertical="center"/>
    </xf>
    <xf numFmtId="187" fontId="23" fillId="0" borderId="0" applyNumberFormat="0" applyFill="0" applyBorder="0" applyAlignment="0" applyProtection="0"/>
    <xf numFmtId="0" fontId="17" fillId="0" borderId="6" applyNumberFormat="0" applyFont="0" applyFill="0" applyAlignment="0" applyProtection="0"/>
    <xf numFmtId="188" fontId="6" fillId="0" borderId="0" applyFont="0" applyFill="0" applyBorder="0" applyAlignment="0" applyProtection="0"/>
    <xf numFmtId="189" fontId="59" fillId="0" borderId="0" applyFont="0" applyFill="0" applyBorder="0" applyProtection="0">
      <alignment horizontal="left"/>
    </xf>
    <xf numFmtId="190" fontId="59" fillId="0" borderId="0" applyFont="0" applyFill="0" applyBorder="0" applyProtection="0">
      <alignment horizontal="left"/>
    </xf>
    <xf numFmtId="191" fontId="59" fillId="0" borderId="0" applyFont="0" applyFill="0" applyBorder="0" applyProtection="0">
      <alignment horizontal="left"/>
    </xf>
    <xf numFmtId="37" fontId="60" fillId="0" borderId="0" applyFont="0" applyFill="0" applyBorder="0" applyAlignment="0" applyProtection="0">
      <alignment vertical="center"/>
      <protection locked="0"/>
    </xf>
    <xf numFmtId="192" fontId="61" fillId="0" borderId="0" applyFont="0" applyFill="0" applyBorder="0" applyAlignment="0" applyProtection="0"/>
    <xf numFmtId="0" fontId="62" fillId="0" borderId="0"/>
    <xf numFmtId="0" fontId="62" fillId="0" borderId="0"/>
    <xf numFmtId="174" fontId="33" fillId="0" borderId="0" applyFill="0"/>
    <xf numFmtId="174" fontId="33" fillId="0" borderId="0">
      <alignment horizontal="center"/>
    </xf>
    <xf numFmtId="0" fontId="33" fillId="0" borderId="0" applyFill="0">
      <alignment horizontal="center"/>
    </xf>
    <xf numFmtId="174" fontId="39" fillId="0" borderId="19" applyFill="0"/>
    <xf numFmtId="0" fontId="53" fillId="0" borderId="0" applyFont="0" applyAlignment="0"/>
    <xf numFmtId="0" fontId="63" fillId="0" borderId="0" applyFill="0">
      <alignment vertical="top"/>
    </xf>
    <xf numFmtId="0" fontId="39" fillId="0" borderId="0" applyFill="0">
      <alignment horizontal="left" vertical="top"/>
    </xf>
    <xf numFmtId="174" fontId="9" fillId="0" borderId="10" applyFill="0"/>
    <xf numFmtId="0" fontId="53" fillId="0" borderId="0" applyNumberFormat="0" applyFont="0" applyAlignment="0"/>
    <xf numFmtId="0" fontId="63" fillId="0" borderId="0" applyFill="0">
      <alignment wrapText="1"/>
    </xf>
    <xf numFmtId="0" fontId="39" fillId="0" borderId="0" applyFill="0">
      <alignment horizontal="left" vertical="top" wrapText="1"/>
    </xf>
    <xf numFmtId="174" fontId="40" fillId="0" borderId="0" applyFill="0"/>
    <xf numFmtId="0" fontId="64" fillId="0" borderId="0" applyNumberFormat="0" applyFont="0" applyAlignment="0">
      <alignment horizontal="center"/>
    </xf>
    <xf numFmtId="0" fontId="65" fillId="0" borderId="0" applyFill="0">
      <alignment vertical="top" wrapText="1"/>
    </xf>
    <xf numFmtId="0" fontId="9" fillId="0" borderId="0" applyFill="0">
      <alignment horizontal="left" vertical="top" wrapText="1"/>
    </xf>
    <xf numFmtId="174" fontId="53" fillId="0" borderId="0" applyFill="0"/>
    <xf numFmtId="0" fontId="64" fillId="0" borderId="0" applyNumberFormat="0" applyFont="0" applyAlignment="0">
      <alignment horizontal="center"/>
    </xf>
    <xf numFmtId="0" fontId="66" fillId="0" borderId="0" applyFill="0">
      <alignment vertical="center" wrapText="1"/>
    </xf>
    <xf numFmtId="0" fontId="8" fillId="0" borderId="0">
      <alignment horizontal="left" vertical="center" wrapText="1"/>
    </xf>
    <xf numFmtId="174" fontId="56" fillId="0" borderId="0" applyFill="0"/>
    <xf numFmtId="0" fontId="64" fillId="0" borderId="0" applyNumberFormat="0" applyFont="0" applyAlignment="0">
      <alignment horizontal="center"/>
    </xf>
    <xf numFmtId="0" fontId="67" fillId="0" borderId="0" applyFill="0">
      <alignment horizontal="center" vertical="center" wrapText="1"/>
    </xf>
    <xf numFmtId="0" fontId="17" fillId="0" borderId="0" applyFill="0">
      <alignment horizontal="center" vertical="center" wrapText="1"/>
    </xf>
    <xf numFmtId="174" fontId="68" fillId="0" borderId="0" applyFill="0"/>
    <xf numFmtId="0" fontId="64" fillId="0" borderId="0" applyNumberFormat="0" applyFont="0" applyAlignment="0">
      <alignment horizontal="center"/>
    </xf>
    <xf numFmtId="0" fontId="69" fillId="0" borderId="0" applyFill="0">
      <alignment horizontal="center" vertical="center" wrapText="1"/>
    </xf>
    <xf numFmtId="0" fontId="70" fillId="0" borderId="0" applyFill="0">
      <alignment horizontal="center" vertical="center" wrapText="1"/>
    </xf>
    <xf numFmtId="174" fontId="71" fillId="0" borderId="0" applyFill="0"/>
    <xf numFmtId="0" fontId="64" fillId="0" borderId="0" applyNumberFormat="0" applyFont="0" applyAlignment="0">
      <alignment horizontal="center"/>
    </xf>
    <xf numFmtId="0" fontId="72" fillId="0" borderId="0">
      <alignment horizontal="center" wrapText="1"/>
    </xf>
    <xf numFmtId="0" fontId="68" fillId="0" borderId="0" applyFill="0">
      <alignment horizontal="center" wrapText="1"/>
    </xf>
    <xf numFmtId="193" fontId="73" fillId="0" borderId="0" applyFont="0" applyFill="0" applyBorder="0" applyAlignment="0" applyProtection="0">
      <protection locked="0"/>
    </xf>
    <xf numFmtId="194" fontId="73" fillId="0" borderId="0" applyFont="0" applyFill="0" applyBorder="0" applyAlignment="0" applyProtection="0">
      <protection locked="0"/>
    </xf>
    <xf numFmtId="39" fontId="17" fillId="0" borderId="0" applyFont="0" applyFill="0" applyBorder="0" applyAlignment="0" applyProtection="0"/>
    <xf numFmtId="195" fontId="74" fillId="0" borderId="0" applyFont="0" applyFill="0" applyBorder="0" applyAlignment="0" applyProtection="0"/>
    <xf numFmtId="179" fontId="61" fillId="0" borderId="0" applyFont="0" applyFill="0" applyBorder="0" applyAlignment="0" applyProtection="0"/>
    <xf numFmtId="0" fontId="17" fillId="0" borderId="6" applyNumberFormat="0" applyFont="0" applyFill="0" applyBorder="0" applyProtection="0">
      <alignment horizontal="centerContinuous" vertical="center"/>
    </xf>
    <xf numFmtId="0" fontId="75" fillId="0" borderId="0" applyFill="0" applyBorder="0" applyProtection="0">
      <alignment horizontal="center"/>
      <protection locked="0"/>
    </xf>
    <xf numFmtId="0" fontId="53"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96" fontId="59" fillId="0" borderId="0" applyFont="0" applyFill="0" applyBorder="0" applyAlignment="0" applyProtection="0"/>
    <xf numFmtId="197" fontId="59" fillId="0" borderId="0" applyFont="0" applyFill="0" applyBorder="0" applyAlignment="0" applyProtection="0"/>
    <xf numFmtId="198" fontId="59" fillId="0" borderId="0" applyFont="0" applyFill="0" applyBorder="0" applyAlignment="0" applyProtection="0"/>
    <xf numFmtId="199" fontId="77" fillId="0" borderId="0" applyFont="0" applyFill="0" applyBorder="0" applyAlignment="0" applyProtection="0"/>
    <xf numFmtId="200" fontId="78" fillId="0" borderId="0" applyFont="0" applyFill="0" applyBorder="0" applyAlignment="0" applyProtection="0"/>
    <xf numFmtId="201" fontId="78" fillId="0" borderId="0" applyFont="0" applyFill="0" applyBorder="0" applyAlignment="0" applyProtection="0"/>
    <xf numFmtId="202" fontId="40" fillId="0" borderId="0" applyFont="0" applyFill="0" applyBorder="0" applyAlignment="0" applyProtection="0">
      <protection locked="0"/>
    </xf>
    <xf numFmtId="43" fontId="17" fillId="0" borderId="0" applyFont="0" applyFill="0" applyBorder="0" applyAlignment="0" applyProtection="0"/>
    <xf numFmtId="43" fontId="17" fillId="0" borderId="0" applyFont="0" applyFill="0" applyBorder="0" applyAlignment="0" applyProtection="0"/>
    <xf numFmtId="37" fontId="79" fillId="0" borderId="0" applyFill="0" applyBorder="0" applyAlignment="0" applyProtection="0"/>
    <xf numFmtId="3" fontId="53" fillId="0" borderId="0" applyFont="0" applyFill="0" applyBorder="0" applyAlignment="0" applyProtection="0"/>
    <xf numFmtId="0" fontId="39" fillId="0" borderId="0" applyFill="0" applyBorder="0" applyAlignment="0" applyProtection="0">
      <protection locked="0"/>
    </xf>
    <xf numFmtId="203" fontId="59" fillId="0" borderId="0" applyFont="0" applyFill="0" applyBorder="0" applyAlignment="0" applyProtection="0"/>
    <xf numFmtId="204" fontId="59" fillId="0" borderId="0" applyFont="0" applyFill="0" applyBorder="0" applyAlignment="0" applyProtection="0"/>
    <xf numFmtId="205" fontId="59" fillId="0" borderId="0" applyFont="0" applyFill="0" applyBorder="0" applyAlignment="0" applyProtection="0"/>
    <xf numFmtId="206" fontId="78" fillId="0" borderId="0" applyFont="0" applyFill="0" applyBorder="0" applyAlignment="0" applyProtection="0"/>
    <xf numFmtId="207" fontId="78" fillId="0" borderId="0" applyFont="0" applyFill="0" applyBorder="0" applyAlignment="0" applyProtection="0"/>
    <xf numFmtId="208" fontId="78" fillId="0" borderId="0" applyFont="0" applyFill="0" applyBorder="0" applyAlignment="0" applyProtection="0"/>
    <xf numFmtId="209" fontId="40" fillId="0" borderId="0" applyFont="0" applyFill="0" applyBorder="0" applyAlignment="0" applyProtection="0">
      <protection locked="0"/>
    </xf>
    <xf numFmtId="44" fontId="17" fillId="0" borderId="0" applyFont="0" applyFill="0" applyBorder="0" applyAlignment="0" applyProtection="0"/>
    <xf numFmtId="44" fontId="17" fillId="0" borderId="0" applyFont="0" applyFill="0" applyBorder="0" applyAlignment="0" applyProtection="0"/>
    <xf numFmtId="5" fontId="79" fillId="0" borderId="0" applyFill="0" applyBorder="0" applyAlignment="0" applyProtection="0"/>
    <xf numFmtId="5" fontId="53" fillId="0" borderId="0" applyFont="0" applyFill="0" applyBorder="0" applyAlignment="0" applyProtection="0"/>
    <xf numFmtId="5" fontId="17" fillId="0" borderId="0" applyFont="0" applyFill="0" applyBorder="0" applyAlignment="0" applyProtection="0"/>
    <xf numFmtId="210" fontId="61" fillId="0" borderId="0" applyFont="0" applyFill="0" applyBorder="0" applyAlignment="0" applyProtection="0"/>
    <xf numFmtId="211" fontId="17" fillId="0" borderId="0" applyFont="0" applyFill="0" applyBorder="0" applyAlignment="0" applyProtection="0"/>
    <xf numFmtId="212" fontId="73" fillId="0" borderId="0" applyFont="0" applyFill="0" applyBorder="0" applyAlignment="0" applyProtection="0">
      <protection locked="0"/>
    </xf>
    <xf numFmtId="7" fontId="33" fillId="0" borderId="0" applyFont="0" applyFill="0" applyBorder="0" applyAlignment="0" applyProtection="0"/>
    <xf numFmtId="213" fontId="74" fillId="0" borderId="0" applyFont="0" applyFill="0" applyBorder="0" applyAlignment="0" applyProtection="0"/>
    <xf numFmtId="214" fontId="80" fillId="0" borderId="0" applyFont="0" applyFill="0" applyBorder="0" applyAlignment="0" applyProtection="0"/>
    <xf numFmtId="0" fontId="81" fillId="11" borderId="20" applyNumberFormat="0" applyFont="0" applyFill="0" applyAlignment="0" applyProtection="0">
      <alignment horizontal="left" indent="1"/>
    </xf>
    <xf numFmtId="14" fontId="53" fillId="0" borderId="0" applyFont="0" applyFill="0" applyBorder="0" applyAlignment="0" applyProtection="0"/>
    <xf numFmtId="215" fontId="59" fillId="0" borderId="0" applyFont="0" applyFill="0" applyBorder="0" applyProtection="0"/>
    <xf numFmtId="216" fontId="59" fillId="0" borderId="0" applyFont="0" applyFill="0" applyBorder="0" applyProtection="0"/>
    <xf numFmtId="217" fontId="59" fillId="0" borderId="0" applyFont="0" applyFill="0" applyBorder="0" applyAlignment="0" applyProtection="0"/>
    <xf numFmtId="218" fontId="59" fillId="0" borderId="0" applyFont="0" applyFill="0" applyBorder="0" applyAlignment="0" applyProtection="0"/>
    <xf numFmtId="219" fontId="59" fillId="0" borderId="0" applyFont="0" applyFill="0" applyBorder="0" applyAlignment="0" applyProtection="0"/>
    <xf numFmtId="177" fontId="82" fillId="0" borderId="0" applyFont="0" applyFill="0" applyBorder="0" applyAlignment="0" applyProtection="0"/>
    <xf numFmtId="5" fontId="83" fillId="0" borderId="0" applyBorder="0"/>
    <xf numFmtId="211" fontId="83" fillId="0" borderId="0" applyBorder="0"/>
    <xf numFmtId="7" fontId="83" fillId="0" borderId="0" applyBorder="0"/>
    <xf numFmtId="37" fontId="83" fillId="0" borderId="0" applyBorder="0"/>
    <xf numFmtId="193" fontId="83" fillId="0" borderId="0" applyBorder="0"/>
    <xf numFmtId="220" fontId="83" fillId="0" borderId="0" applyBorder="0"/>
    <xf numFmtId="39" fontId="83" fillId="0" borderId="0" applyBorder="0"/>
    <xf numFmtId="221" fontId="83" fillId="0" borderId="0" applyBorder="0"/>
    <xf numFmtId="7" fontId="53" fillId="0" borderId="0" applyFont="0" applyFill="0" applyBorder="0" applyAlignment="0" applyProtection="0"/>
    <xf numFmtId="222" fontId="61" fillId="0" borderId="0" applyFont="0" applyFill="0" applyBorder="0" applyAlignment="0" applyProtection="0"/>
    <xf numFmtId="223" fontId="61" fillId="0" borderId="0" applyFont="0" applyFill="0" applyAlignment="0" applyProtection="0"/>
    <xf numFmtId="222" fontId="61" fillId="0" borderId="0" applyFont="0" applyFill="0" applyBorder="0" applyAlignment="0" applyProtection="0"/>
    <xf numFmtId="224" fontId="33" fillId="0" borderId="0" applyFont="0" applyFill="0" applyBorder="0" applyAlignment="0" applyProtection="0"/>
    <xf numFmtId="2" fontId="53" fillId="0" borderId="0" applyFont="0" applyFill="0" applyBorder="0" applyAlignment="0" applyProtection="0"/>
    <xf numFmtId="0" fontId="84" fillId="0" borderId="0"/>
    <xf numFmtId="193" fontId="85" fillId="0" borderId="0" applyNumberFormat="0" applyFill="0" applyBorder="0" applyAlignment="0" applyProtection="0"/>
    <xf numFmtId="0" fontId="33" fillId="0" borderId="0" applyFont="0" applyFill="0" applyBorder="0" applyAlignment="0" applyProtection="0"/>
    <xf numFmtId="0" fontId="59" fillId="0" borderId="0" applyFont="0" applyFill="0" applyBorder="0" applyProtection="0">
      <alignment horizontal="center" wrapText="1"/>
    </xf>
    <xf numFmtId="225" fontId="59" fillId="0" borderId="0" applyFont="0" applyFill="0" applyBorder="0" applyProtection="0">
      <alignment horizontal="right"/>
    </xf>
    <xf numFmtId="0" fontId="85" fillId="0" borderId="0" applyNumberFormat="0" applyFill="0" applyBorder="0" applyAlignment="0" applyProtection="0"/>
    <xf numFmtId="0" fontId="86" fillId="12" borderId="0" applyNumberFormat="0" applyFill="0" applyBorder="0" applyAlignment="0" applyProtection="0"/>
    <xf numFmtId="0" fontId="9" fillId="0" borderId="21" applyNumberFormat="0" applyAlignment="0" applyProtection="0">
      <alignment horizontal="left" vertical="center"/>
    </xf>
    <xf numFmtId="0" fontId="9" fillId="0" borderId="16">
      <alignment horizontal="left" vertical="center"/>
    </xf>
    <xf numFmtId="14" fontId="21" fillId="13" borderId="1">
      <alignment horizontal="center" vertical="center" wrapText="1"/>
    </xf>
    <xf numFmtId="0" fontId="75" fillId="0" borderId="0" applyFill="0" applyAlignment="0" applyProtection="0">
      <protection locked="0"/>
    </xf>
    <xf numFmtId="0" fontId="75" fillId="0" borderId="6" applyFill="0" applyAlignment="0" applyProtection="0">
      <protection locked="0"/>
    </xf>
    <xf numFmtId="0" fontId="87" fillId="0" borderId="1"/>
    <xf numFmtId="0" fontId="88" fillId="0" borderId="0"/>
    <xf numFmtId="0" fontId="89" fillId="0" borderId="6" applyNumberFormat="0" applyFill="0" applyAlignment="0" applyProtection="0"/>
    <xf numFmtId="0" fontId="82" fillId="14" borderId="0" applyNumberFormat="0" applyFont="0" applyBorder="0" applyAlignment="0" applyProtection="0"/>
    <xf numFmtId="0" fontId="34" fillId="3" borderId="14" applyNumberFormat="0" applyAlignment="0" applyProtection="0"/>
    <xf numFmtId="226" fontId="59" fillId="0" borderId="0" applyFont="0" applyFill="0" applyBorder="0" applyProtection="0">
      <alignment horizontal="left"/>
    </xf>
    <xf numFmtId="227" fontId="59" fillId="0" borderId="0" applyFont="0" applyFill="0" applyBorder="0" applyProtection="0">
      <alignment horizontal="left"/>
    </xf>
    <xf numFmtId="228" fontId="59" fillId="0" borderId="0" applyFont="0" applyFill="0" applyBorder="0" applyProtection="0">
      <alignment horizontal="left"/>
    </xf>
    <xf numFmtId="229" fontId="59" fillId="0" borderId="0" applyFont="0" applyFill="0" applyBorder="0" applyProtection="0">
      <alignment horizontal="left"/>
    </xf>
    <xf numFmtId="10" fontId="33" fillId="15" borderId="14" applyNumberFormat="0" applyBorder="0" applyAlignment="0" applyProtection="0"/>
    <xf numFmtId="5" fontId="90" fillId="0" borderId="0" applyBorder="0"/>
    <xf numFmtId="211" fontId="90" fillId="0" borderId="0" applyBorder="0"/>
    <xf numFmtId="7" fontId="90" fillId="0" borderId="0" applyBorder="0"/>
    <xf numFmtId="37" fontId="90" fillId="0" borderId="0" applyBorder="0"/>
    <xf numFmtId="193" fontId="90" fillId="0" borderId="0" applyBorder="0"/>
    <xf numFmtId="220" fontId="90" fillId="0" borderId="0" applyBorder="0"/>
    <xf numFmtId="39" fontId="90" fillId="0" borderId="0" applyBorder="0"/>
    <xf numFmtId="221" fontId="90" fillId="0" borderId="0" applyBorder="0"/>
    <xf numFmtId="0" fontId="82" fillId="0" borderId="3" applyNumberFormat="0" applyFont="0" applyFill="0" applyAlignment="0" applyProtection="0"/>
    <xf numFmtId="0" fontId="91" fillId="0" borderId="0"/>
    <xf numFmtId="230" fontId="17" fillId="0" borderId="0" applyFont="0" applyFill="0" applyBorder="0" applyAlignment="0" applyProtection="0"/>
    <xf numFmtId="231" fontId="17" fillId="0" borderId="0" applyFont="0" applyFill="0" applyBorder="0" applyAlignment="0" applyProtection="0"/>
    <xf numFmtId="232" fontId="17" fillId="0" borderId="0" applyFont="0" applyFill="0" applyBorder="0" applyAlignment="0" applyProtection="0"/>
    <xf numFmtId="233" fontId="17" fillId="0" borderId="0" applyFont="0" applyFill="0" applyBorder="0" applyAlignment="0" applyProtection="0"/>
    <xf numFmtId="0" fontId="53" fillId="0" borderId="0" applyFont="0" applyFill="0" applyBorder="0" applyAlignment="0" applyProtection="0">
      <alignment horizontal="right"/>
    </xf>
    <xf numFmtId="234" fontId="17" fillId="0" borderId="0" applyFont="0" applyFill="0" applyBorder="0" applyAlignment="0" applyProtection="0"/>
    <xf numFmtId="37" fontId="92" fillId="0" borderId="0"/>
    <xf numFmtId="0" fontId="61" fillId="0" borderId="0"/>
    <xf numFmtId="0" fontId="17" fillId="0" borderId="0"/>
    <xf numFmtId="0" fontId="17" fillId="0" borderId="0"/>
    <xf numFmtId="0" fontId="17" fillId="0" borderId="0"/>
    <xf numFmtId="0" fontId="17" fillId="0" borderId="0"/>
    <xf numFmtId="0" fontId="6" fillId="16" borderId="0" applyNumberFormat="0" applyFont="0" applyBorder="0" applyAlignment="0"/>
    <xf numFmtId="235" fontId="17" fillId="0" borderId="0" applyFont="0" applyFill="0" applyBorder="0" applyAlignment="0" applyProtection="0"/>
    <xf numFmtId="236" fontId="93" fillId="0" borderId="0"/>
    <xf numFmtId="235" fontId="17" fillId="0" borderId="0" applyFont="0" applyFill="0" applyBorder="0" applyAlignment="0" applyProtection="0"/>
    <xf numFmtId="235" fontId="17" fillId="0" borderId="0" applyFont="0" applyFill="0" applyBorder="0" applyAlignment="0" applyProtection="0"/>
    <xf numFmtId="235" fontId="17" fillId="0" borderId="0" applyFont="0" applyFill="0" applyBorder="0" applyAlignment="0" applyProtection="0"/>
    <xf numFmtId="237" fontId="53" fillId="0" borderId="0"/>
    <xf numFmtId="238" fontId="61" fillId="0" borderId="0"/>
    <xf numFmtId="238" fontId="61" fillId="0" borderId="0"/>
    <xf numFmtId="236" fontId="93" fillId="0" borderId="0"/>
    <xf numFmtId="0" fontId="61" fillId="0" borderId="0"/>
    <xf numFmtId="236" fontId="79" fillId="0" borderId="0"/>
    <xf numFmtId="237" fontId="53" fillId="0" borderId="0"/>
    <xf numFmtId="238" fontId="61" fillId="0" borderId="0"/>
    <xf numFmtId="238" fontId="61" fillId="0" borderId="0"/>
    <xf numFmtId="0" fontId="61" fillId="0" borderId="0"/>
    <xf numFmtId="0" fontId="61" fillId="0" borderId="0"/>
    <xf numFmtId="239" fontId="61" fillId="0" borderId="0"/>
    <xf numFmtId="170" fontId="61" fillId="0" borderId="0"/>
    <xf numFmtId="240" fontId="61" fillId="0" borderId="0"/>
    <xf numFmtId="239" fontId="61" fillId="0" borderId="0"/>
    <xf numFmtId="170" fontId="61" fillId="0" borderId="0"/>
    <xf numFmtId="241" fontId="61" fillId="0" borderId="0"/>
    <xf numFmtId="241" fontId="61" fillId="0" borderId="0"/>
    <xf numFmtId="242" fontId="61" fillId="0" borderId="0"/>
    <xf numFmtId="240" fontId="61" fillId="0" borderId="0"/>
    <xf numFmtId="169" fontId="61" fillId="0" borderId="0"/>
    <xf numFmtId="242" fontId="61" fillId="0" borderId="0"/>
    <xf numFmtId="242" fontId="61" fillId="0" borderId="0"/>
    <xf numFmtId="0" fontId="61" fillId="0" borderId="0"/>
    <xf numFmtId="235" fontId="17" fillId="0" borderId="0" applyFont="0" applyFill="0" applyBorder="0" applyAlignment="0" applyProtection="0"/>
    <xf numFmtId="235" fontId="17" fillId="0" borderId="0" applyFont="0" applyFill="0" applyBorder="0" applyAlignment="0" applyProtection="0"/>
    <xf numFmtId="235" fontId="17" fillId="0" borderId="0" applyFont="0" applyFill="0" applyBorder="0" applyAlignment="0" applyProtection="0"/>
    <xf numFmtId="236" fontId="93" fillId="0" borderId="0"/>
    <xf numFmtId="236" fontId="93" fillId="0" borderId="0"/>
    <xf numFmtId="235" fontId="17" fillId="0" borderId="0" applyFont="0" applyFill="0" applyBorder="0" applyAlignment="0" applyProtection="0"/>
    <xf numFmtId="236" fontId="93" fillId="0" borderId="0"/>
    <xf numFmtId="236" fontId="93" fillId="0" borderId="0"/>
    <xf numFmtId="239" fontId="61" fillId="0" borderId="0"/>
    <xf numFmtId="170" fontId="61" fillId="0" borderId="0"/>
    <xf numFmtId="240" fontId="61" fillId="0" borderId="0"/>
    <xf numFmtId="239" fontId="61" fillId="0" borderId="0"/>
    <xf numFmtId="170" fontId="61" fillId="0" borderId="0"/>
    <xf numFmtId="241" fontId="61" fillId="0" borderId="0"/>
    <xf numFmtId="241" fontId="61" fillId="0" borderId="0"/>
    <xf numFmtId="242" fontId="61" fillId="0" borderId="0"/>
    <xf numFmtId="240" fontId="61" fillId="0" borderId="0"/>
    <xf numFmtId="169" fontId="61" fillId="0" borderId="0"/>
    <xf numFmtId="242" fontId="61" fillId="0" borderId="0"/>
    <xf numFmtId="242" fontId="61" fillId="0" borderId="0"/>
    <xf numFmtId="243" fontId="56" fillId="7" borderId="0" applyFont="0" applyFill="0" applyBorder="0" applyAlignment="0" applyProtection="0"/>
    <xf numFmtId="244" fontId="56" fillId="7" borderId="0" applyFont="0" applyFill="0" applyBorder="0" applyAlignment="0" applyProtection="0"/>
    <xf numFmtId="245" fontId="17" fillId="0" borderId="0" applyFont="0" applyFill="0" applyBorder="0" applyAlignment="0" applyProtection="0"/>
    <xf numFmtId="246" fontId="78" fillId="0" borderId="0" applyFont="0" applyFill="0" applyBorder="0" applyAlignment="0" applyProtection="0"/>
    <xf numFmtId="247" fontId="77" fillId="0" borderId="0" applyFont="0" applyFill="0" applyBorder="0" applyAlignment="0" applyProtection="0"/>
    <xf numFmtId="248" fontId="53" fillId="0" borderId="0" applyFont="0" applyFill="0" applyBorder="0" applyAlignment="0" applyProtection="0"/>
    <xf numFmtId="249" fontId="59" fillId="0" borderId="0" applyFont="0" applyFill="0" applyBorder="0" applyAlignment="0" applyProtection="0"/>
    <xf numFmtId="250" fontId="59" fillId="0" borderId="0" applyFont="0" applyFill="0" applyBorder="0" applyAlignment="0" applyProtection="0"/>
    <xf numFmtId="251" fontId="59" fillId="0" borderId="0" applyFont="0" applyFill="0" applyBorder="0" applyAlignment="0" applyProtection="0"/>
    <xf numFmtId="252" fontId="59" fillId="0" borderId="0" applyFont="0" applyFill="0" applyBorder="0" applyAlignment="0" applyProtection="0"/>
    <xf numFmtId="253" fontId="78" fillId="0" borderId="0" applyFont="0" applyFill="0" applyBorder="0" applyAlignment="0" applyProtection="0"/>
    <xf numFmtId="254" fontId="77" fillId="0" borderId="0" applyFont="0" applyFill="0" applyBorder="0" applyAlignment="0" applyProtection="0"/>
    <xf numFmtId="255" fontId="78" fillId="0" borderId="0" applyFont="0" applyFill="0" applyBorder="0" applyAlignment="0" applyProtection="0"/>
    <xf numFmtId="256" fontId="77" fillId="0" borderId="0" applyFont="0" applyFill="0" applyBorder="0" applyAlignment="0" applyProtection="0"/>
    <xf numFmtId="257" fontId="78" fillId="0" borderId="0" applyFont="0" applyFill="0" applyBorder="0" applyAlignment="0" applyProtection="0"/>
    <xf numFmtId="258" fontId="77" fillId="0" borderId="0" applyFont="0" applyFill="0" applyBorder="0" applyAlignment="0" applyProtection="0"/>
    <xf numFmtId="259" fontId="40" fillId="0" borderId="0" applyFont="0" applyFill="0" applyBorder="0" applyAlignment="0" applyProtection="0">
      <protection locked="0"/>
    </xf>
    <xf numFmtId="260" fontId="7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187" fontId="79" fillId="0" borderId="0" applyFill="0" applyBorder="0" applyAlignment="0" applyProtection="0"/>
    <xf numFmtId="9" fontId="83" fillId="0" borderId="0" applyBorder="0"/>
    <xf numFmtId="171" fontId="83" fillId="0" borderId="0" applyBorder="0"/>
    <xf numFmtId="10" fontId="83" fillId="0" borderId="0" applyBorder="0"/>
    <xf numFmtId="0" fontId="44" fillId="0" borderId="0" applyNumberFormat="0" applyFont="0" applyFill="0" applyBorder="0" applyAlignment="0" applyProtection="0">
      <alignment horizontal="left"/>
    </xf>
    <xf numFmtId="15" fontId="44" fillId="0" borderId="0" applyFont="0" applyFill="0" applyBorder="0" applyAlignment="0" applyProtection="0"/>
    <xf numFmtId="4" fontId="44" fillId="0" borderId="0" applyFont="0" applyFill="0" applyBorder="0" applyAlignment="0" applyProtection="0"/>
    <xf numFmtId="3" fontId="53" fillId="0" borderId="0">
      <alignment horizontal="left" vertical="top"/>
    </xf>
    <xf numFmtId="0" fontId="94" fillId="0" borderId="1">
      <alignment horizontal="center"/>
    </xf>
    <xf numFmtId="3" fontId="44" fillId="0" borderId="0" applyFont="0" applyFill="0" applyBorder="0" applyAlignment="0" applyProtection="0"/>
    <xf numFmtId="0" fontId="44" fillId="17" borderId="0" applyNumberFormat="0" applyFont="0" applyBorder="0" applyAlignment="0" applyProtection="0"/>
    <xf numFmtId="3" fontId="53" fillId="0" borderId="0">
      <alignment horizontal="right" vertical="top"/>
    </xf>
    <xf numFmtId="41" fontId="8" fillId="5" borderId="17" applyFill="0"/>
    <xf numFmtId="0" fontId="95" fillId="0" borderId="0">
      <alignment horizontal="left" indent="7"/>
    </xf>
    <xf numFmtId="41" fontId="8" fillId="0" borderId="17" applyFill="0">
      <alignment horizontal="left" indent="2"/>
    </xf>
    <xf numFmtId="174" fontId="75" fillId="0" borderId="6" applyFill="0">
      <alignment horizontal="right"/>
    </xf>
    <xf numFmtId="0" fontId="21" fillId="0" borderId="14" applyNumberFormat="0" applyFont="0" applyBorder="0">
      <alignment horizontal="right"/>
    </xf>
    <xf numFmtId="0" fontId="96" fillId="0" borderId="0" applyFill="0"/>
    <xf numFmtId="0" fontId="9" fillId="0" borderId="0" applyFill="0"/>
    <xf numFmtId="4" fontId="75" fillId="0" borderId="6" applyFill="0"/>
    <xf numFmtId="0" fontId="53" fillId="0" borderId="0" applyNumberFormat="0" applyFont="0" applyBorder="0" applyAlignment="0"/>
    <xf numFmtId="0" fontId="65" fillId="0" borderId="0" applyFill="0">
      <alignment horizontal="left" indent="1"/>
    </xf>
    <xf numFmtId="0" fontId="97" fillId="0" borderId="0" applyFill="0">
      <alignment horizontal="left" indent="1"/>
    </xf>
    <xf numFmtId="4" fontId="56" fillId="0" borderId="0" applyFill="0"/>
    <xf numFmtId="0" fontId="53" fillId="0" borderId="0" applyNumberFormat="0" applyFont="0" applyFill="0" applyBorder="0" applyAlignment="0"/>
    <xf numFmtId="0" fontId="65" fillId="0" borderId="0" applyFill="0">
      <alignment horizontal="left" indent="2"/>
    </xf>
    <xf numFmtId="0" fontId="9" fillId="0" borderId="0" applyFill="0">
      <alignment horizontal="left" indent="2"/>
    </xf>
    <xf numFmtId="4" fontId="56" fillId="0" borderId="0" applyFill="0"/>
    <xf numFmtId="0" fontId="53" fillId="0" borderId="0" applyNumberFormat="0" applyFont="0" applyBorder="0" applyAlignment="0"/>
    <xf numFmtId="0" fontId="98" fillId="0" borderId="0">
      <alignment horizontal="left" indent="3"/>
    </xf>
    <xf numFmtId="0" fontId="11" fillId="0" borderId="0" applyFill="0">
      <alignment horizontal="left" indent="3"/>
    </xf>
    <xf numFmtId="4" fontId="56" fillId="0" borderId="0" applyFill="0"/>
    <xf numFmtId="0" fontId="53" fillId="0" borderId="0" applyNumberFormat="0" applyFont="0" applyBorder="0" applyAlignment="0"/>
    <xf numFmtId="0" fontId="67" fillId="0" borderId="0">
      <alignment horizontal="left" indent="4"/>
    </xf>
    <xf numFmtId="0" fontId="17" fillId="0" borderId="0" applyFill="0">
      <alignment horizontal="left" indent="4"/>
    </xf>
    <xf numFmtId="4" fontId="68" fillId="0" borderId="0" applyFill="0"/>
    <xf numFmtId="0" fontId="53" fillId="0" borderId="0" applyNumberFormat="0" applyFont="0" applyBorder="0" applyAlignment="0"/>
    <xf numFmtId="0" fontId="69" fillId="0" borderId="0">
      <alignment horizontal="left" indent="5"/>
    </xf>
    <xf numFmtId="0" fontId="70" fillId="0" borderId="0" applyFill="0">
      <alignment horizontal="left" indent="5"/>
    </xf>
    <xf numFmtId="4" fontId="71" fillId="0" borderId="0" applyFill="0"/>
    <xf numFmtId="0" fontId="53" fillId="0" borderId="0" applyNumberFormat="0" applyFont="0" applyFill="0" applyBorder="0" applyAlignment="0"/>
    <xf numFmtId="0" fontId="72" fillId="0" borderId="0" applyFill="0">
      <alignment horizontal="left" indent="6"/>
    </xf>
    <xf numFmtId="0" fontId="68" fillId="0" borderId="0" applyFill="0">
      <alignment horizontal="left" indent="6"/>
    </xf>
    <xf numFmtId="0" fontId="82" fillId="0" borderId="4" applyNumberFormat="0" applyFont="0" applyFill="0" applyAlignment="0" applyProtection="0"/>
    <xf numFmtId="0" fontId="99" fillId="0" borderId="0" applyNumberFormat="0" applyFill="0" applyBorder="0" applyAlignment="0" applyProtection="0"/>
    <xf numFmtId="0" fontId="100" fillId="0" borderId="0"/>
    <xf numFmtId="0" fontId="100" fillId="0" borderId="0"/>
    <xf numFmtId="0" fontId="101" fillId="0" borderId="1">
      <alignment horizontal="right"/>
    </xf>
    <xf numFmtId="261" fontId="80" fillId="0" borderId="0">
      <alignment horizontal="center"/>
    </xf>
    <xf numFmtId="262" fontId="102" fillId="0" borderId="0">
      <alignment horizontal="center"/>
    </xf>
    <xf numFmtId="0" fontId="103" fillId="0" borderId="0" applyNumberFormat="0" applyFill="0" applyBorder="0" applyAlignment="0" applyProtection="0"/>
    <xf numFmtId="0" fontId="104" fillId="0" borderId="0" applyNumberFormat="0" applyBorder="0" applyAlignment="0"/>
    <xf numFmtId="0" fontId="105" fillId="0" borderId="0" applyNumberFormat="0" applyBorder="0" applyAlignment="0"/>
    <xf numFmtId="0" fontId="82" fillId="11" borderId="0" applyNumberFormat="0" applyFont="0" applyBorder="0" applyAlignment="0" applyProtection="0"/>
    <xf numFmtId="243" fontId="106" fillId="0" borderId="16" applyNumberFormat="0" applyFont="0" applyFill="0" applyAlignment="0" applyProtection="0"/>
    <xf numFmtId="0" fontId="107" fillId="0" borderId="0" applyFill="0" applyBorder="0" applyProtection="0">
      <alignment horizontal="left" vertical="top"/>
    </xf>
    <xf numFmtId="0" fontId="108" fillId="0" borderId="0" applyAlignment="0">
      <alignment horizontal="centerContinuous"/>
    </xf>
    <xf numFmtId="0" fontId="17" fillId="0" borderId="10" applyNumberFormat="0" applyFont="0" applyFill="0" applyAlignment="0" applyProtection="0"/>
    <xf numFmtId="0" fontId="109" fillId="0" borderId="0" applyNumberFormat="0" applyFill="0" applyBorder="0" applyAlignment="0" applyProtection="0"/>
    <xf numFmtId="263" fontId="77" fillId="0" borderId="0" applyFont="0" applyFill="0" applyBorder="0" applyAlignment="0" applyProtection="0"/>
    <xf numFmtId="264" fontId="77" fillId="0" borderId="0" applyFont="0" applyFill="0" applyBorder="0" applyAlignment="0" applyProtection="0"/>
    <xf numFmtId="265" fontId="77" fillId="0" borderId="0" applyFont="0" applyFill="0" applyBorder="0" applyAlignment="0" applyProtection="0"/>
    <xf numFmtId="266" fontId="77" fillId="0" borderId="0" applyFont="0" applyFill="0" applyBorder="0" applyAlignment="0" applyProtection="0"/>
    <xf numFmtId="267" fontId="77" fillId="0" borderId="0" applyFont="0" applyFill="0" applyBorder="0" applyAlignment="0" applyProtection="0"/>
    <xf numFmtId="268" fontId="77" fillId="0" borderId="0" applyFont="0" applyFill="0" applyBorder="0" applyAlignment="0" applyProtection="0"/>
    <xf numFmtId="269" fontId="77" fillId="0" borderId="0" applyFont="0" applyFill="0" applyBorder="0" applyAlignment="0" applyProtection="0"/>
    <xf numFmtId="270" fontId="77" fillId="0" borderId="0" applyFont="0" applyFill="0" applyBorder="0" applyAlignment="0" applyProtection="0"/>
    <xf numFmtId="271" fontId="110" fillId="11" borderId="22" applyFont="0" applyFill="0" applyBorder="0" applyAlignment="0" applyProtection="0"/>
    <xf numFmtId="271" fontId="61" fillId="0" borderId="0" applyFont="0" applyFill="0" applyBorder="0" applyAlignment="0" applyProtection="0"/>
    <xf numFmtId="272" fontId="74" fillId="0" borderId="0" applyFont="0" applyFill="0" applyBorder="0" applyAlignment="0" applyProtection="0"/>
    <xf numFmtId="273" fontId="80" fillId="0" borderId="16" applyFont="0" applyFill="0" applyBorder="0" applyAlignment="0" applyProtection="0">
      <alignment horizontal="right"/>
      <protection locked="0"/>
    </xf>
    <xf numFmtId="0" fontId="17" fillId="0" borderId="0"/>
    <xf numFmtId="174" fontId="5" fillId="0" borderId="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126" fillId="0" borderId="0"/>
    <xf numFmtId="0" fontId="8" fillId="0" borderId="0"/>
    <xf numFmtId="43" fontId="2"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cellStyleXfs>
  <cellXfs count="606">
    <xf numFmtId="174" fontId="0" fillId="0" borderId="0" xfId="0" applyAlignment="1"/>
    <xf numFmtId="0" fontId="6" fillId="0" borderId="0" xfId="0" applyNumberFormat="1" applyFont="1" applyAlignment="1" applyProtection="1">
      <alignment horizontal="center"/>
      <protection locked="0"/>
    </xf>
    <xf numFmtId="3" fontId="8" fillId="0" borderId="0" xfId="0" applyNumberFormat="1" applyFont="1" applyFill="1" applyBorder="1"/>
    <xf numFmtId="174" fontId="13" fillId="0" borderId="0" xfId="0" applyFont="1" applyAlignment="1"/>
    <xf numFmtId="174" fontId="0" fillId="0" borderId="0" xfId="0" applyFill="1" applyAlignment="1"/>
    <xf numFmtId="0" fontId="6" fillId="0" borderId="0" xfId="0" applyNumberFormat="1" applyFont="1" applyFill="1" applyAlignment="1" applyProtection="1">
      <alignment horizontal="center"/>
      <protection locked="0"/>
    </xf>
    <xf numFmtId="174" fontId="14" fillId="0" borderId="0" xfId="0" applyFont="1" applyAlignment="1"/>
    <xf numFmtId="174" fontId="0" fillId="0" borderId="0" xfId="0" applyAlignment="1">
      <alignment horizontal="center"/>
    </xf>
    <xf numFmtId="174" fontId="0" fillId="0" borderId="3" xfId="0" applyBorder="1" applyAlignment="1"/>
    <xf numFmtId="3" fontId="14" fillId="0" borderId="0" xfId="0" applyNumberFormat="1" applyFont="1" applyBorder="1" applyAlignment="1"/>
    <xf numFmtId="174" fontId="15" fillId="0" borderId="0" xfId="0" applyFont="1" applyBorder="1"/>
    <xf numFmtId="174" fontId="14" fillId="0" borderId="0" xfId="0" applyFont="1" applyBorder="1"/>
    <xf numFmtId="174" fontId="0" fillId="0" borderId="0" xfId="0" applyBorder="1" applyAlignment="1"/>
    <xf numFmtId="174" fontId="14" fillId="0" borderId="0" xfId="0" applyFont="1" applyBorder="1" applyAlignment="1">
      <alignment horizontal="left" wrapText="1"/>
    </xf>
    <xf numFmtId="174" fontId="14" fillId="0" borderId="0" xfId="0" applyFont="1" applyBorder="1" applyAlignment="1"/>
    <xf numFmtId="174" fontId="14" fillId="0" borderId="6" xfId="0" applyFont="1" applyBorder="1" applyAlignment="1"/>
    <xf numFmtId="174" fontId="17" fillId="0" borderId="0" xfId="0" applyFont="1" applyAlignment="1"/>
    <xf numFmtId="0" fontId="22" fillId="0" borderId="0" xfId="9"/>
    <xf numFmtId="0" fontId="17" fillId="0" borderId="0" xfId="9" applyFont="1"/>
    <xf numFmtId="0" fontId="17" fillId="0" borderId="0" xfId="9" applyFont="1" applyAlignment="1">
      <alignment horizontal="center"/>
    </xf>
    <xf numFmtId="0" fontId="22" fillId="0" borderId="0" xfId="10"/>
    <xf numFmtId="0" fontId="27" fillId="0" borderId="0" xfId="10" applyFont="1" applyAlignment="1">
      <alignment horizontal="center"/>
    </xf>
    <xf numFmtId="0" fontId="28" fillId="0" borderId="0" xfId="10" applyFont="1" applyAlignment="1">
      <alignment horizontal="center"/>
    </xf>
    <xf numFmtId="41" fontId="22" fillId="0" borderId="0" xfId="1" applyNumberFormat="1"/>
    <xf numFmtId="0" fontId="22" fillId="0" borderId="0" xfId="10" applyAlignment="1">
      <alignment horizontal="left" indent="1"/>
    </xf>
    <xf numFmtId="0" fontId="22" fillId="0" borderId="0" xfId="10" applyAlignment="1">
      <alignment horizontal="left" vertical="center" wrapText="1" indent="2"/>
    </xf>
    <xf numFmtId="41" fontId="20" fillId="0" borderId="0" xfId="1" applyNumberFormat="1" applyFont="1" applyAlignment="1">
      <alignment vertical="center"/>
    </xf>
    <xf numFmtId="0" fontId="22" fillId="0" borderId="0" xfId="10" applyAlignment="1">
      <alignment horizontal="center"/>
    </xf>
    <xf numFmtId="0" fontId="8" fillId="0" borderId="0" xfId="0" applyNumberFormat="1" applyFont="1" applyAlignment="1" applyProtection="1">
      <alignment horizontal="right"/>
      <protection locked="0"/>
    </xf>
    <xf numFmtId="0" fontId="17" fillId="0" borderId="0" xfId="0" applyNumberFormat="1" applyFont="1" applyAlignment="1" applyProtection="1">
      <alignment horizontal="right"/>
      <protection locked="0"/>
    </xf>
    <xf numFmtId="3" fontId="8" fillId="2" borderId="0" xfId="0" applyNumberFormat="1" applyFont="1" applyFill="1" applyBorder="1" applyAlignment="1"/>
    <xf numFmtId="41" fontId="17" fillId="0" borderId="0" xfId="9" applyNumberFormat="1" applyFont="1"/>
    <xf numFmtId="174" fontId="32" fillId="0" borderId="0" xfId="0" applyFont="1" applyAlignment="1"/>
    <xf numFmtId="0" fontId="26" fillId="0" borderId="0" xfId="10" applyFont="1" applyAlignment="1">
      <alignment horizontal="centerContinuous"/>
    </xf>
    <xf numFmtId="0" fontId="18" fillId="0" borderId="0" xfId="10" applyFont="1" applyAlignment="1">
      <alignment horizontal="centerContinuous"/>
    </xf>
    <xf numFmtId="174" fontId="17" fillId="0" borderId="0" xfId="0" applyFont="1" applyFill="1" applyBorder="1" applyAlignment="1"/>
    <xf numFmtId="0" fontId="22" fillId="0" borderId="0" xfId="7"/>
    <xf numFmtId="41" fontId="17" fillId="0" borderId="0" xfId="1" applyNumberFormat="1" applyFont="1"/>
    <xf numFmtId="174" fontId="21" fillId="0" borderId="0" xfId="0" applyFont="1" applyAlignment="1">
      <alignment horizontal="centerContinuous"/>
    </xf>
    <xf numFmtId="0" fontId="22" fillId="0" borderId="0" xfId="8"/>
    <xf numFmtId="174" fontId="17" fillId="0" borderId="0" xfId="0" applyFont="1" applyAlignment="1">
      <alignment horizontal="centerContinuous"/>
    </xf>
    <xf numFmtId="174" fontId="17" fillId="0" borderId="0" xfId="0" applyFont="1"/>
    <xf numFmtId="174" fontId="17" fillId="0" borderId="0" xfId="0" quotePrefix="1" applyFont="1"/>
    <xf numFmtId="7" fontId="17" fillId="0" borderId="0" xfId="0" applyNumberFormat="1" applyFont="1"/>
    <xf numFmtId="41" fontId="5" fillId="0" borderId="0" xfId="0" applyNumberFormat="1" applyFont="1" applyAlignment="1"/>
    <xf numFmtId="42" fontId="36" fillId="0" borderId="0" xfId="0" applyNumberFormat="1" applyFont="1" applyAlignment="1"/>
    <xf numFmtId="174" fontId="8" fillId="0" borderId="0" xfId="0" applyFont="1"/>
    <xf numFmtId="174" fontId="8" fillId="0" borderId="0" xfId="0" applyFont="1" applyFill="1" applyBorder="1" applyAlignment="1"/>
    <xf numFmtId="0" fontId="8" fillId="0" borderId="0" xfId="0" applyNumberFormat="1" applyFont="1" applyFill="1" applyBorder="1" applyAlignment="1"/>
    <xf numFmtId="0" fontId="8" fillId="0" borderId="0" xfId="0" applyNumberFormat="1" applyFont="1" applyFill="1" applyBorder="1" applyAlignment="1">
      <alignment horizontal="center"/>
    </xf>
    <xf numFmtId="174" fontId="5" fillId="0" borderId="0" xfId="0" applyFont="1" applyFill="1" applyBorder="1" applyAlignment="1"/>
    <xf numFmtId="0" fontId="8" fillId="0" borderId="0" xfId="0" applyNumberFormat="1" applyFont="1" applyFill="1" applyBorder="1"/>
    <xf numFmtId="0" fontId="8" fillId="0" borderId="0" xfId="0" applyNumberFormat="1" applyFont="1" applyFill="1" applyBorder="1" applyProtection="1">
      <protection locked="0"/>
    </xf>
    <xf numFmtId="3" fontId="8" fillId="0" borderId="0" xfId="0" applyNumberFormat="1" applyFont="1" applyFill="1" applyBorder="1" applyAlignment="1"/>
    <xf numFmtId="0" fontId="8" fillId="0" borderId="0" xfId="0" applyNumberFormat="1" applyFont="1" applyFill="1" applyBorder="1" applyAlignment="1" applyProtection="1">
      <protection locked="0"/>
    </xf>
    <xf numFmtId="174" fontId="8" fillId="0" borderId="0" xfId="0" applyFont="1" applyFill="1" applyBorder="1" applyAlignment="1">
      <alignment horizontal="center"/>
    </xf>
    <xf numFmtId="44" fontId="0" fillId="0" borderId="0" xfId="0" applyNumberFormat="1" applyFill="1" applyAlignment="1"/>
    <xf numFmtId="0" fontId="22" fillId="0" borderId="0" xfId="6" applyAlignment="1">
      <alignment horizontal="center"/>
    </xf>
    <xf numFmtId="0" fontId="22" fillId="0" borderId="0" xfId="6"/>
    <xf numFmtId="0" fontId="19" fillId="0" borderId="0" xfId="6" applyFont="1" applyBorder="1" applyAlignment="1">
      <alignment horizontal="centerContinuous"/>
    </xf>
    <xf numFmtId="0" fontId="19" fillId="0" borderId="0" xfId="6" applyFont="1" applyBorder="1" applyAlignment="1">
      <alignment horizontal="center"/>
    </xf>
    <xf numFmtId="0" fontId="17" fillId="0" borderId="0" xfId="6" applyFont="1" applyBorder="1" applyAlignment="1">
      <alignment horizontal="left"/>
    </xf>
    <xf numFmtId="0" fontId="17" fillId="0" borderId="0" xfId="6" applyFont="1" applyBorder="1" applyAlignment="1">
      <alignment horizontal="left" indent="1"/>
    </xf>
    <xf numFmtId="42" fontId="30" fillId="0" borderId="0" xfId="8" applyNumberFormat="1" applyFont="1"/>
    <xf numFmtId="0" fontId="35" fillId="0" borderId="0" xfId="8" applyFont="1" applyAlignment="1">
      <alignment horizontal="center"/>
    </xf>
    <xf numFmtId="41" fontId="23" fillId="0" borderId="0" xfId="8" applyNumberFormat="1" applyFont="1"/>
    <xf numFmtId="0" fontId="21" fillId="0" borderId="0" xfId="6" applyFont="1" applyBorder="1" applyAlignment="1">
      <alignment horizontal="center"/>
    </xf>
    <xf numFmtId="0" fontId="28" fillId="0" borderId="0" xfId="6" applyFont="1" applyAlignment="1">
      <alignment horizontal="centerContinuous"/>
    </xf>
    <xf numFmtId="42" fontId="31" fillId="0" borderId="0" xfId="8" applyNumberFormat="1" applyFont="1"/>
    <xf numFmtId="178" fontId="29" fillId="0" borderId="0" xfId="8" applyNumberFormat="1" applyFont="1"/>
    <xf numFmtId="0" fontId="22" fillId="0" borderId="0" xfId="8" applyAlignment="1">
      <alignment horizontal="left" indent="1"/>
    </xf>
    <xf numFmtId="0" fontId="6" fillId="0" borderId="0" xfId="0" applyNumberFormat="1" applyFont="1" applyFill="1" applyAlignment="1"/>
    <xf numFmtId="3" fontId="6" fillId="0" borderId="0" xfId="0" applyNumberFormat="1" applyFont="1" applyFill="1" applyAlignment="1"/>
    <xf numFmtId="3" fontId="6" fillId="0" borderId="0" xfId="0" applyNumberFormat="1" applyFont="1" applyBorder="1" applyAlignment="1"/>
    <xf numFmtId="3" fontId="6" fillId="0" borderId="0" xfId="0" applyNumberFormat="1" applyFont="1" applyAlignment="1"/>
    <xf numFmtId="0" fontId="6" fillId="0" borderId="0" xfId="0" applyNumberFormat="1" applyFont="1"/>
    <xf numFmtId="0" fontId="6" fillId="0" borderId="0" xfId="0" applyNumberFormat="1" applyFont="1" applyFill="1"/>
    <xf numFmtId="174" fontId="6" fillId="0" borderId="0" xfId="0" applyFont="1" applyAlignment="1"/>
    <xf numFmtId="3" fontId="6" fillId="2" borderId="1" xfId="0" applyNumberFormat="1" applyFont="1" applyFill="1" applyBorder="1" applyAlignment="1"/>
    <xf numFmtId="174" fontId="6" fillId="0" borderId="0" xfId="0" applyFont="1" applyFill="1" applyAlignment="1"/>
    <xf numFmtId="3" fontId="6" fillId="0" borderId="2" xfId="0" applyNumberFormat="1" applyFont="1" applyBorder="1" applyAlignment="1"/>
    <xf numFmtId="0" fontId="6" fillId="0" borderId="0" xfId="0" applyNumberFormat="1" applyFont="1" applyFill="1" applyAlignment="1">
      <alignment horizontal="left"/>
    </xf>
    <xf numFmtId="0" fontId="23" fillId="0" borderId="0" xfId="9" applyFont="1" applyAlignment="1">
      <alignment horizontal="left"/>
    </xf>
    <xf numFmtId="0" fontId="41" fillId="0" borderId="0" xfId="9" applyFont="1"/>
    <xf numFmtId="10" fontId="17" fillId="0" borderId="0" xfId="11" applyNumberFormat="1" applyFont="1"/>
    <xf numFmtId="41" fontId="41" fillId="0" borderId="0" xfId="9" applyNumberFormat="1" applyFont="1" applyBorder="1"/>
    <xf numFmtId="174" fontId="32" fillId="0" borderId="0" xfId="0" applyFont="1" applyAlignment="1">
      <alignment horizontal="center"/>
    </xf>
    <xf numFmtId="174" fontId="0" fillId="0" borderId="8" xfId="0" applyFont="1" applyBorder="1" applyAlignment="1">
      <alignment horizontal="center"/>
    </xf>
    <xf numFmtId="174" fontId="32" fillId="0" borderId="0" xfId="0" applyFont="1" applyAlignment="1">
      <alignment horizontal="center" wrapText="1"/>
    </xf>
    <xf numFmtId="41" fontId="0" fillId="0" borderId="0" xfId="0" applyNumberFormat="1" applyAlignment="1"/>
    <xf numFmtId="42" fontId="46" fillId="0" borderId="0" xfId="0" applyNumberFormat="1" applyFont="1" applyAlignment="1"/>
    <xf numFmtId="42" fontId="20" fillId="0" borderId="0" xfId="8" applyNumberFormat="1" applyFont="1"/>
    <xf numFmtId="0" fontId="22" fillId="0" borderId="0" xfId="7" applyAlignment="1">
      <alignment horizontal="left" vertical="center"/>
    </xf>
    <xf numFmtId="174" fontId="9" fillId="0" borderId="0" xfId="0" applyFont="1" applyAlignment="1">
      <alignment horizontal="centerContinuous"/>
    </xf>
    <xf numFmtId="174" fontId="8" fillId="0" borderId="0" xfId="0" applyFont="1" applyAlignment="1">
      <alignment horizontal="centerContinuous"/>
    </xf>
    <xf numFmtId="0" fontId="8" fillId="0" borderId="0" xfId="8" applyFont="1"/>
    <xf numFmtId="0" fontId="9" fillId="0" borderId="0" xfId="6" applyFont="1" applyBorder="1" applyAlignment="1">
      <alignment horizontal="center"/>
    </xf>
    <xf numFmtId="0" fontId="37" fillId="0" borderId="0" xfId="6" applyFont="1" applyAlignment="1">
      <alignment horizontal="centerContinuous"/>
    </xf>
    <xf numFmtId="0" fontId="37" fillId="0" borderId="0" xfId="8" applyFont="1" applyAlignment="1">
      <alignment horizontal="center"/>
    </xf>
    <xf numFmtId="0" fontId="8" fillId="0" borderId="0" xfId="6" applyFont="1" applyBorder="1" applyAlignment="1">
      <alignment horizontal="left"/>
    </xf>
    <xf numFmtId="42" fontId="8" fillId="0" borderId="0" xfId="8" applyNumberFormat="1" applyFont="1"/>
    <xf numFmtId="0" fontId="8" fillId="0" borderId="0" xfId="8" applyFont="1" applyAlignment="1">
      <alignment horizontal="left"/>
    </xf>
    <xf numFmtId="41" fontId="48" fillId="0" borderId="0" xfId="7" applyNumberFormat="1" applyFont="1" applyFill="1"/>
    <xf numFmtId="0" fontId="8" fillId="0" borderId="0" xfId="8" applyFont="1" applyAlignment="1">
      <alignment horizontal="left" vertical="center"/>
    </xf>
    <xf numFmtId="42" fontId="45" fillId="0" borderId="0" xfId="8" applyNumberFormat="1" applyFont="1" applyAlignment="1">
      <alignment horizontal="left" vertical="center"/>
    </xf>
    <xf numFmtId="174" fontId="39" fillId="0" borderId="0" xfId="0" applyFont="1" applyAlignment="1">
      <alignment horizontal="centerContinuous"/>
    </xf>
    <xf numFmtId="41" fontId="38" fillId="0" borderId="0" xfId="7" applyNumberFormat="1" applyFont="1" applyFill="1"/>
    <xf numFmtId="0" fontId="8" fillId="0" borderId="0" xfId="8" applyFont="1" applyAlignment="1">
      <alignment horizontal="left" vertical="center" indent="1"/>
    </xf>
    <xf numFmtId="0" fontId="8" fillId="0" borderId="0" xfId="8" applyFont="1" applyAlignment="1">
      <alignment horizontal="left" wrapText="1"/>
    </xf>
    <xf numFmtId="0" fontId="8" fillId="0" borderId="0" xfId="8" applyFont="1" applyAlignment="1">
      <alignment horizontal="left" vertical="center" wrapText="1"/>
    </xf>
    <xf numFmtId="42" fontId="45" fillId="0" borderId="0" xfId="8" applyNumberFormat="1" applyFont="1" applyAlignment="1">
      <alignment vertical="center"/>
    </xf>
    <xf numFmtId="0" fontId="9" fillId="0" borderId="8" xfId="8" applyFont="1" applyBorder="1" applyAlignment="1">
      <alignment horizontal="center"/>
    </xf>
    <xf numFmtId="42" fontId="49" fillId="0" borderId="0" xfId="7" applyNumberFormat="1" applyFont="1" applyFill="1" applyAlignment="1">
      <alignment vertical="center"/>
    </xf>
    <xf numFmtId="41" fontId="23" fillId="0" borderId="0" xfId="8" applyNumberFormat="1" applyFont="1" applyFill="1"/>
    <xf numFmtId="41" fontId="29" fillId="0" borderId="0" xfId="8" applyNumberFormat="1" applyFont="1" applyFill="1"/>
    <xf numFmtId="42" fontId="47" fillId="0" borderId="0" xfId="8" applyNumberFormat="1" applyFont="1"/>
    <xf numFmtId="41" fontId="47" fillId="0" borderId="0" xfId="8" applyNumberFormat="1" applyFont="1"/>
    <xf numFmtId="42" fontId="50" fillId="0" borderId="0" xfId="8" applyNumberFormat="1" applyFont="1"/>
    <xf numFmtId="42" fontId="20" fillId="0" borderId="0" xfId="8" applyNumberFormat="1" applyFont="1" applyFill="1"/>
    <xf numFmtId="41" fontId="23" fillId="0" borderId="0" xfId="6" applyNumberFormat="1" applyFont="1" applyFill="1" applyBorder="1" applyAlignment="1">
      <alignment horizontal="center"/>
    </xf>
    <xf numFmtId="174" fontId="0" fillId="0" borderId="0" xfId="0" applyFill="1" applyBorder="1" applyAlignment="1"/>
    <xf numFmtId="174" fontId="0" fillId="0" borderId="0" xfId="0" applyFill="1" applyBorder="1" applyAlignment="1">
      <alignment horizontal="right"/>
    </xf>
    <xf numFmtId="0" fontId="8" fillId="0" borderId="0" xfId="0" applyNumberFormat="1" applyFont="1" applyFill="1" applyBorder="1" applyAlignment="1" applyProtection="1">
      <alignment horizontal="left"/>
      <protection locked="0"/>
    </xf>
    <xf numFmtId="0" fontId="8" fillId="0" borderId="0" xfId="0" applyNumberFormat="1" applyFont="1" applyFill="1" applyBorder="1" applyAlignment="1" applyProtection="1">
      <alignment horizontal="right"/>
      <protection locked="0"/>
    </xf>
    <xf numFmtId="0" fontId="0" fillId="0" borderId="0" xfId="0" applyNumberFormat="1" applyFont="1" applyFill="1" applyBorder="1"/>
    <xf numFmtId="0" fontId="14" fillId="0" borderId="0" xfId="0" applyNumberFormat="1" applyFont="1" applyFill="1" applyBorder="1"/>
    <xf numFmtId="174" fontId="0" fillId="0" borderId="0" xfId="0" applyFont="1" applyFill="1" applyBorder="1" applyAlignment="1"/>
    <xf numFmtId="0" fontId="14" fillId="0" borderId="0" xfId="0" applyNumberFormat="1" applyFont="1" applyFill="1" applyBorder="1" applyAlignment="1">
      <alignment horizontal="center"/>
    </xf>
    <xf numFmtId="0" fontId="0" fillId="0" borderId="0" xfId="0" applyNumberFormat="1" applyFill="1" applyBorder="1" applyAlignment="1" applyProtection="1">
      <alignment horizontal="center"/>
      <protection locked="0"/>
    </xf>
    <xf numFmtId="49" fontId="8" fillId="2" borderId="0" xfId="0" applyNumberFormat="1" applyFont="1" applyFill="1" applyBorder="1" applyAlignment="1">
      <alignment horizontal="center"/>
    </xf>
    <xf numFmtId="49" fontId="8" fillId="0" borderId="0" xfId="0" applyNumberFormat="1" applyFont="1" applyFill="1" applyBorder="1"/>
    <xf numFmtId="49" fontId="8" fillId="0" borderId="0" xfId="0" applyNumberFormat="1" applyFont="1" applyFill="1" applyBorder="1" applyAlignment="1">
      <alignment horizontal="center"/>
    </xf>
    <xf numFmtId="3" fontId="0" fillId="0" borderId="0" xfId="0" applyNumberFormat="1" applyFont="1" applyFill="1" applyBorder="1" applyAlignment="1"/>
    <xf numFmtId="0" fontId="0" fillId="0" borderId="0" xfId="0" applyNumberFormat="1" applyFont="1" applyFill="1" applyBorder="1" applyAlignment="1"/>
    <xf numFmtId="3" fontId="9"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174" fontId="9" fillId="0" borderId="0" xfId="0" applyFont="1" applyFill="1" applyBorder="1" applyAlignment="1">
      <alignment horizontal="center"/>
    </xf>
    <xf numFmtId="0" fontId="9" fillId="0" borderId="0" xfId="0" applyNumberFormat="1" applyFont="1" applyFill="1" applyBorder="1" applyAlignment="1" applyProtection="1">
      <alignment horizontal="center"/>
      <protection locked="0"/>
    </xf>
    <xf numFmtId="0" fontId="12" fillId="0" borderId="0" xfId="0" applyNumberFormat="1" applyFont="1" applyFill="1" applyBorder="1" applyAlignment="1">
      <alignment horizontal="center"/>
    </xf>
    <xf numFmtId="0" fontId="9" fillId="0" borderId="0" xfId="0" applyNumberFormat="1" applyFont="1" applyFill="1" applyBorder="1" applyAlignment="1"/>
    <xf numFmtId="0" fontId="51" fillId="0" borderId="0" xfId="0" applyNumberFormat="1" applyFont="1" applyFill="1" applyBorder="1" applyAlignment="1" applyProtection="1">
      <alignment horizontal="center"/>
      <protection locked="0"/>
    </xf>
    <xf numFmtId="3" fontId="0" fillId="0" borderId="0" xfId="0" applyNumberFormat="1" applyFill="1" applyBorder="1" applyAlignment="1">
      <alignment horizontal="center"/>
    </xf>
    <xf numFmtId="3" fontId="8" fillId="0" borderId="0" xfId="0" applyNumberFormat="1" applyFont="1" applyFill="1" applyBorder="1" applyAlignment="1">
      <alignment horizontal="center"/>
    </xf>
    <xf numFmtId="41" fontId="8" fillId="2" borderId="0" xfId="0" applyNumberFormat="1" applyFont="1" applyFill="1" applyBorder="1" applyAlignment="1"/>
    <xf numFmtId="10" fontId="8" fillId="0" borderId="0" xfId="0" applyNumberFormat="1" applyFont="1" applyFill="1" applyBorder="1" applyAlignment="1"/>
    <xf numFmtId="10" fontId="0" fillId="0" borderId="0" xfId="12" applyNumberFormat="1" applyFont="1" applyFill="1" applyBorder="1" applyAlignment="1"/>
    <xf numFmtId="10" fontId="9" fillId="0" borderId="0" xfId="0" applyNumberFormat="1" applyFont="1" applyFill="1" applyBorder="1" applyAlignment="1"/>
    <xf numFmtId="3" fontId="12" fillId="0" borderId="0" xfId="0" applyNumberFormat="1" applyFont="1" applyFill="1" applyBorder="1" applyAlignment="1"/>
    <xf numFmtId="165" fontId="9" fillId="0" borderId="0" xfId="0" applyNumberFormat="1" applyFont="1" applyFill="1" applyBorder="1" applyAlignment="1"/>
    <xf numFmtId="49" fontId="0" fillId="0" borderId="0" xfId="0" applyNumberFormat="1" applyFill="1" applyBorder="1" applyAlignment="1">
      <alignment horizontal="center"/>
    </xf>
    <xf numFmtId="0" fontId="9"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49" fontId="12" fillId="0" borderId="0" xfId="0" applyNumberFormat="1" applyFont="1" applyFill="1" applyBorder="1" applyAlignment="1">
      <alignment horizontal="center"/>
    </xf>
    <xf numFmtId="174" fontId="12" fillId="0" borderId="0" xfId="0" applyFont="1" applyFill="1" applyBorder="1" applyAlignment="1"/>
    <xf numFmtId="3" fontId="9" fillId="0" borderId="0" xfId="0" applyNumberFormat="1" applyFont="1" applyFill="1" applyBorder="1" applyAlignment="1"/>
    <xf numFmtId="10" fontId="9" fillId="0" borderId="0" xfId="12" applyNumberFormat="1" applyFont="1" applyFill="1" applyBorder="1" applyAlignment="1"/>
    <xf numFmtId="0" fontId="0" fillId="0" borderId="0" xfId="0" applyNumberFormat="1" applyFont="1" applyFill="1" applyBorder="1" applyAlignment="1">
      <alignment horizontal="fill"/>
    </xf>
    <xf numFmtId="49" fontId="0" fillId="0" borderId="0" xfId="0" applyNumberFormat="1" applyFont="1" applyFill="1" applyBorder="1" applyAlignment="1">
      <alignment horizontal="center"/>
    </xf>
    <xf numFmtId="174" fontId="16" fillId="0" borderId="0" xfId="0" applyFont="1" applyFill="1" applyBorder="1" applyAlignment="1"/>
    <xf numFmtId="3" fontId="10" fillId="0" borderId="0" xfId="0" applyNumberFormat="1" applyFont="1" applyFill="1" applyBorder="1" applyAlignment="1"/>
    <xf numFmtId="164" fontId="8" fillId="0" borderId="0" xfId="0" applyNumberFormat="1" applyFont="1" applyFill="1" applyBorder="1" applyAlignment="1">
      <alignment horizontal="center"/>
    </xf>
    <xf numFmtId="10" fontId="8" fillId="0" borderId="0" xfId="12" applyNumberFormat="1" applyFont="1" applyFill="1" applyBorder="1" applyAlignment="1"/>
    <xf numFmtId="170" fontId="0" fillId="0" borderId="0" xfId="0" applyNumberFormat="1" applyFill="1" applyBorder="1" applyAlignment="1"/>
    <xf numFmtId="0" fontId="10" fillId="0" borderId="0" xfId="0" applyNumberFormat="1" applyFont="1" applyFill="1" applyBorder="1"/>
    <xf numFmtId="49" fontId="6" fillId="0" borderId="0" xfId="0" applyNumberFormat="1" applyFont="1" applyFill="1" applyBorder="1" applyAlignment="1">
      <alignment horizontal="left"/>
    </xf>
    <xf numFmtId="0" fontId="6" fillId="0" borderId="0" xfId="0" applyNumberFormat="1" applyFont="1" applyFill="1" applyBorder="1" applyAlignment="1">
      <alignment horizontal="right"/>
    </xf>
    <xf numFmtId="0" fontId="0" fillId="0" borderId="0" xfId="0" applyNumberFormat="1" applyFont="1" applyFill="1" applyBorder="1" applyAlignment="1">
      <alignment horizontal="right"/>
    </xf>
    <xf numFmtId="49" fontId="0" fillId="0" borderId="0" xfId="0" applyNumberFormat="1" applyFill="1" applyBorder="1" applyAlignment="1">
      <alignment horizontal="left"/>
    </xf>
    <xf numFmtId="174" fontId="8" fillId="0" borderId="0" xfId="0" applyFont="1" applyFill="1" applyBorder="1" applyAlignment="1">
      <alignment horizontal="right"/>
    </xf>
    <xf numFmtId="180" fontId="9" fillId="0" borderId="0" xfId="0" applyNumberFormat="1" applyFont="1" applyFill="1" applyBorder="1" applyAlignment="1">
      <alignment horizontal="center"/>
    </xf>
    <xf numFmtId="174" fontId="12" fillId="0" borderId="15" xfId="0" applyFont="1" applyFill="1" applyBorder="1" applyAlignment="1">
      <alignment horizontal="center" wrapText="1"/>
    </xf>
    <xf numFmtId="174" fontId="12" fillId="0" borderId="16" xfId="0" applyFont="1" applyFill="1" applyBorder="1" applyAlignment="1"/>
    <xf numFmtId="174" fontId="12" fillId="0" borderId="16" xfId="0" applyFont="1" applyFill="1" applyBorder="1" applyAlignment="1">
      <alignment horizontal="center" wrapText="1"/>
    </xf>
    <xf numFmtId="0" fontId="9" fillId="0" borderId="16" xfId="0" applyNumberFormat="1" applyFont="1" applyFill="1" applyBorder="1" applyAlignment="1">
      <alignment horizontal="center" wrapText="1"/>
    </xf>
    <xf numFmtId="174" fontId="12" fillId="0" borderId="14" xfId="0" applyFont="1" applyFill="1" applyBorder="1" applyAlignment="1">
      <alignment horizontal="center" wrapText="1"/>
    </xf>
    <xf numFmtId="3" fontId="9" fillId="0" borderId="14" xfId="0" applyNumberFormat="1" applyFont="1" applyFill="1" applyBorder="1" applyAlignment="1">
      <alignment horizontal="center" wrapText="1"/>
    </xf>
    <xf numFmtId="3" fontId="9" fillId="0" borderId="16" xfId="0" applyNumberFormat="1" applyFont="1" applyFill="1" applyBorder="1" applyAlignment="1">
      <alignment horizontal="center" wrapText="1"/>
    </xf>
    <xf numFmtId="0" fontId="8" fillId="0" borderId="15" xfId="0" applyNumberFormat="1" applyFont="1" applyFill="1" applyBorder="1"/>
    <xf numFmtId="0" fontId="8" fillId="0" borderId="16" xfId="0" applyNumberFormat="1" applyFont="1" applyFill="1" applyBorder="1"/>
    <xf numFmtId="0" fontId="8" fillId="0" borderId="16" xfId="0" applyNumberFormat="1" applyFont="1" applyFill="1" applyBorder="1" applyAlignment="1">
      <alignment horizontal="center"/>
    </xf>
    <xf numFmtId="0" fontId="8" fillId="0" borderId="14" xfId="0" applyNumberFormat="1" applyFont="1" applyFill="1" applyBorder="1" applyAlignment="1">
      <alignment horizontal="center"/>
    </xf>
    <xf numFmtId="3" fontId="8" fillId="0" borderId="16" xfId="0" applyNumberFormat="1" applyFont="1" applyFill="1" applyBorder="1" applyAlignment="1">
      <alignment horizontal="center"/>
    </xf>
    <xf numFmtId="3" fontId="8" fillId="0" borderId="14" xfId="0" applyNumberFormat="1" applyFont="1" applyFill="1" applyBorder="1" applyAlignment="1">
      <alignment horizontal="center" wrapText="1"/>
    </xf>
    <xf numFmtId="0" fontId="8" fillId="0" borderId="3" xfId="0" applyNumberFormat="1" applyFont="1" applyFill="1" applyBorder="1"/>
    <xf numFmtId="0" fontId="8" fillId="0" borderId="17" xfId="0" applyNumberFormat="1" applyFont="1" applyFill="1" applyBorder="1"/>
    <xf numFmtId="3" fontId="8" fillId="0" borderId="17" xfId="0" applyNumberFormat="1" applyFont="1" applyFill="1" applyBorder="1" applyAlignment="1"/>
    <xf numFmtId="174" fontId="0" fillId="0" borderId="3" xfId="0" applyFill="1" applyBorder="1" applyAlignment="1"/>
    <xf numFmtId="176" fontId="0" fillId="2" borderId="0" xfId="13" applyNumberFormat="1" applyFont="1" applyFill="1" applyBorder="1" applyAlignment="1"/>
    <xf numFmtId="174" fontId="0" fillId="0" borderId="17" xfId="0" applyFill="1" applyBorder="1" applyAlignment="1"/>
    <xf numFmtId="170" fontId="0" fillId="2" borderId="0" xfId="0" applyNumberFormat="1" applyFill="1" applyBorder="1" applyAlignment="1"/>
    <xf numFmtId="176" fontId="8" fillId="2" borderId="0" xfId="13" applyNumberFormat="1" applyFont="1" applyFill="1" applyBorder="1" applyAlignment="1"/>
    <xf numFmtId="174" fontId="7" fillId="0" borderId="0" xfId="0" applyFont="1" applyFill="1" applyBorder="1" applyAlignment="1"/>
    <xf numFmtId="174" fontId="7" fillId="0" borderId="17" xfId="0" applyFont="1" applyFill="1" applyBorder="1" applyAlignment="1"/>
    <xf numFmtId="174" fontId="0" fillId="0" borderId="5" xfId="0" applyFill="1" applyBorder="1" applyAlignment="1"/>
    <xf numFmtId="174" fontId="0" fillId="0" borderId="6" xfId="0" applyFill="1" applyBorder="1" applyAlignment="1"/>
    <xf numFmtId="174" fontId="7" fillId="0" borderId="6" xfId="0" applyFont="1" applyFill="1" applyBorder="1" applyAlignment="1"/>
    <xf numFmtId="174" fontId="7" fillId="0" borderId="13" xfId="0" applyFont="1" applyFill="1" applyBorder="1" applyAlignment="1"/>
    <xf numFmtId="170" fontId="8" fillId="0" borderId="0" xfId="0" applyNumberFormat="1" applyFont="1" applyFill="1" applyBorder="1" applyAlignment="1"/>
    <xf numFmtId="174" fontId="8" fillId="0" borderId="1" xfId="0" applyFont="1" applyFill="1" applyBorder="1" applyAlignment="1"/>
    <xf numFmtId="174" fontId="5" fillId="0" borderId="0" xfId="0" applyFont="1" applyFill="1" applyBorder="1" applyAlignment="1">
      <alignment horizontal="center"/>
    </xf>
    <xf numFmtId="174" fontId="5" fillId="0" borderId="0" xfId="0" applyFont="1" applyFill="1" applyBorder="1" applyAlignment="1">
      <alignment horizontal="center" vertical="top"/>
    </xf>
    <xf numFmtId="174" fontId="6" fillId="0" borderId="0" xfId="0" applyFont="1" applyFill="1" applyBorder="1" applyAlignment="1"/>
    <xf numFmtId="49" fontId="6" fillId="0" borderId="0" xfId="0" applyNumberFormat="1" applyFont="1" applyFill="1" applyBorder="1" applyAlignment="1">
      <alignment horizontal="center"/>
    </xf>
    <xf numFmtId="0" fontId="17" fillId="0" borderId="0" xfId="10" applyFont="1" applyAlignment="1">
      <alignment horizontal="left" indent="1"/>
    </xf>
    <xf numFmtId="0" fontId="0" fillId="0" borderId="0" xfId="0" applyNumberFormat="1" applyFill="1" applyBorder="1" applyAlignment="1">
      <alignment horizontal="left"/>
    </xf>
    <xf numFmtId="0" fontId="17" fillId="0" borderId="0" xfId="8" applyFont="1"/>
    <xf numFmtId="175" fontId="22" fillId="0" borderId="0" xfId="1" applyNumberFormat="1"/>
    <xf numFmtId="170" fontId="0" fillId="0" borderId="17" xfId="0" applyNumberFormat="1" applyFill="1" applyBorder="1" applyAlignment="1"/>
    <xf numFmtId="0" fontId="39" fillId="0" borderId="0" xfId="22" applyFont="1">
      <alignment vertical="top"/>
    </xf>
    <xf numFmtId="0" fontId="21" fillId="0" borderId="0" xfId="22" applyFont="1">
      <alignment vertical="top"/>
    </xf>
    <xf numFmtId="0" fontId="21" fillId="0" borderId="0" xfId="24" applyFont="1" applyFill="1" applyBorder="1">
      <alignment vertical="top"/>
    </xf>
    <xf numFmtId="0" fontId="17" fillId="0" borderId="0" xfId="22" applyFont="1">
      <alignment vertical="top"/>
    </xf>
    <xf numFmtId="0" fontId="56" fillId="0" borderId="0" xfId="25" applyNumberFormat="1" applyFont="1" applyFill="1" applyBorder="1" applyAlignment="1" applyProtection="1">
      <alignment horizontal="left"/>
      <protection locked="0"/>
    </xf>
    <xf numFmtId="0" fontId="17" fillId="0" borderId="0" xfId="23" applyFont="1"/>
    <xf numFmtId="0" fontId="43" fillId="0" borderId="0" xfId="22">
      <alignment vertical="top"/>
    </xf>
    <xf numFmtId="170" fontId="58" fillId="9" borderId="0" xfId="26" applyNumberFormat="1" applyFont="1" applyFill="1" applyAlignment="1">
      <alignment horizontal="center" wrapText="1"/>
    </xf>
    <xf numFmtId="170" fontId="7" fillId="0" borderId="0" xfId="26" applyNumberFormat="1" applyFont="1" applyFill="1" applyAlignment="1">
      <alignment horizontal="center" wrapText="1"/>
    </xf>
    <xf numFmtId="0" fontId="21" fillId="7" borderId="14" xfId="22" applyFont="1" applyFill="1" applyBorder="1">
      <alignment vertical="top"/>
    </xf>
    <xf numFmtId="0" fontId="21" fillId="7" borderId="0" xfId="22" applyFont="1" applyFill="1">
      <alignment vertical="top"/>
    </xf>
    <xf numFmtId="174" fontId="17" fillId="6" borderId="15" xfId="22" applyNumberFormat="1" applyFont="1" applyFill="1" applyBorder="1" applyAlignment="1">
      <alignment horizontal="right" vertical="top"/>
    </xf>
    <xf numFmtId="174" fontId="17" fillId="0" borderId="16" xfId="22" applyNumberFormat="1" applyFont="1" applyBorder="1" applyAlignment="1">
      <alignment horizontal="right" vertical="top"/>
    </xf>
    <xf numFmtId="0" fontId="17" fillId="7" borderId="0" xfId="22" applyFont="1" applyFill="1" applyBorder="1" applyAlignment="1">
      <alignment horizontal="right" vertical="top"/>
    </xf>
    <xf numFmtId="0" fontId="17" fillId="0" borderId="12" xfId="22" applyFont="1" applyBorder="1">
      <alignment vertical="top"/>
    </xf>
    <xf numFmtId="0" fontId="21" fillId="7" borderId="13" xfId="22" applyFont="1" applyFill="1" applyBorder="1">
      <alignment vertical="top"/>
    </xf>
    <xf numFmtId="0" fontId="17" fillId="0" borderId="13" xfId="22" applyFont="1" applyBorder="1">
      <alignment vertical="top"/>
    </xf>
    <xf numFmtId="0" fontId="41" fillId="0" borderId="0" xfId="9" applyFont="1" applyBorder="1"/>
    <xf numFmtId="0" fontId="19" fillId="0" borderId="0" xfId="9" applyFont="1" applyFill="1" applyBorder="1" applyAlignment="1">
      <alignment horizontal="center"/>
    </xf>
    <xf numFmtId="41" fontId="19" fillId="0" borderId="0" xfId="9" applyNumberFormat="1" applyFont="1" applyFill="1" applyBorder="1"/>
    <xf numFmtId="41" fontId="42" fillId="0" borderId="0" xfId="9" applyNumberFormat="1" applyFont="1" applyFill="1" applyBorder="1" applyAlignment="1">
      <alignment vertical="center"/>
    </xf>
    <xf numFmtId="0" fontId="41" fillId="0" borderId="0" xfId="9" applyFont="1" applyFill="1" applyBorder="1"/>
    <xf numFmtId="41" fontId="41" fillId="0" borderId="0" xfId="9" applyNumberFormat="1" applyFont="1" applyFill="1" applyBorder="1"/>
    <xf numFmtId="0" fontId="22" fillId="0" borderId="0" xfId="9" applyFill="1" applyBorder="1"/>
    <xf numFmtId="0" fontId="17" fillId="0" borderId="0" xfId="9" applyFont="1" applyFill="1" applyBorder="1" applyAlignment="1">
      <alignment horizontal="left"/>
    </xf>
    <xf numFmtId="0" fontId="17" fillId="0" borderId="0" xfId="9" applyFont="1" applyFill="1" applyBorder="1"/>
    <xf numFmtId="41" fontId="17" fillId="0" borderId="0" xfId="9" applyNumberFormat="1" applyFont="1" applyFill="1" applyBorder="1"/>
    <xf numFmtId="0" fontId="17" fillId="0" borderId="0" xfId="9" applyFont="1" applyFill="1" applyBorder="1" applyAlignment="1">
      <alignment horizontal="center"/>
    </xf>
    <xf numFmtId="37" fontId="17" fillId="0" borderId="0" xfId="9" applyNumberFormat="1" applyFont="1" applyFill="1" applyBorder="1"/>
    <xf numFmtId="41" fontId="41" fillId="0" borderId="0" xfId="1" applyNumberFormat="1" applyFont="1" applyFill="1" applyBorder="1"/>
    <xf numFmtId="41" fontId="41" fillId="0" borderId="0" xfId="1" applyNumberFormat="1" applyFont="1" applyBorder="1"/>
    <xf numFmtId="0" fontId="34" fillId="0" borderId="0" xfId="9" applyFont="1" applyAlignment="1">
      <alignment horizontal="left"/>
    </xf>
    <xf numFmtId="0" fontId="17" fillId="0" borderId="0" xfId="9" applyFont="1" applyAlignment="1">
      <alignment horizontal="right"/>
    </xf>
    <xf numFmtId="174" fontId="0" fillId="0" borderId="0" xfId="0" applyFont="1" applyFill="1" applyBorder="1" applyAlignment="1">
      <alignment horizontal="center"/>
    </xf>
    <xf numFmtId="170" fontId="17" fillId="6" borderId="15" xfId="22" applyNumberFormat="1" applyFont="1" applyFill="1" applyBorder="1" applyAlignment="1">
      <alignment horizontal="right" vertical="top"/>
    </xf>
    <xf numFmtId="174" fontId="0" fillId="0" borderId="0" xfId="0" applyFont="1" applyFill="1" applyBorder="1" applyAlignment="1">
      <alignment horizontal="left"/>
    </xf>
    <xf numFmtId="174" fontId="12" fillId="0" borderId="0" xfId="0" applyFont="1" applyFill="1" applyAlignment="1"/>
    <xf numFmtId="174" fontId="17" fillId="0" borderId="0" xfId="0" applyFont="1" applyFill="1"/>
    <xf numFmtId="174" fontId="32" fillId="0" borderId="0" xfId="0" applyFont="1" applyFill="1" applyAlignment="1">
      <alignment horizontal="center"/>
    </xf>
    <xf numFmtId="0" fontId="0" fillId="0" borderId="0" xfId="0" applyNumberFormat="1" applyFont="1" applyFill="1" applyAlignment="1">
      <alignment horizontal="center"/>
    </xf>
    <xf numFmtId="174" fontId="0" fillId="0" borderId="0" xfId="0" applyFont="1" applyFill="1" applyAlignment="1">
      <alignment horizontal="center"/>
    </xf>
    <xf numFmtId="44" fontId="32" fillId="0" borderId="0" xfId="0" applyNumberFormat="1" applyFont="1" applyFill="1" applyAlignment="1"/>
    <xf numFmtId="174" fontId="0" fillId="0" borderId="0" xfId="0" applyFill="1" applyAlignment="1">
      <alignment horizontal="right"/>
    </xf>
    <xf numFmtId="44" fontId="0" fillId="0" borderId="0" xfId="0" applyNumberFormat="1" applyFont="1" applyFill="1" applyAlignment="1"/>
    <xf numFmtId="44" fontId="0" fillId="0" borderId="0" xfId="3" applyFont="1" applyFill="1"/>
    <xf numFmtId="0" fontId="22" fillId="0" borderId="0" xfId="8" applyFill="1"/>
    <xf numFmtId="0" fontId="0" fillId="0" borderId="0" xfId="0" applyNumberFormat="1" applyFill="1"/>
    <xf numFmtId="4" fontId="0" fillId="0" borderId="0" xfId="0" applyNumberFormat="1" applyFill="1"/>
    <xf numFmtId="174" fontId="0" fillId="0" borderId="0" xfId="0" applyFont="1" applyFill="1" applyAlignment="1">
      <alignment horizontal="left"/>
    </xf>
    <xf numFmtId="44" fontId="36" fillId="0" borderId="0" xfId="0" applyNumberFormat="1" applyFont="1" applyFill="1" applyAlignment="1"/>
    <xf numFmtId="174" fontId="32" fillId="0" borderId="0" xfId="0" applyFont="1" applyFill="1" applyBorder="1" applyAlignment="1">
      <alignment horizontal="center"/>
    </xf>
    <xf numFmtId="0" fontId="0" fillId="0" borderId="0" xfId="0" applyNumberFormat="1" applyFill="1" applyBorder="1" applyAlignment="1">
      <alignment horizontal="center"/>
    </xf>
    <xf numFmtId="44" fontId="0" fillId="0" borderId="0" xfId="0" applyNumberFormat="1" applyFill="1" applyBorder="1" applyAlignment="1"/>
    <xf numFmtId="174" fontId="0" fillId="0" borderId="0" xfId="0" applyFill="1" applyBorder="1" applyAlignment="1">
      <alignment horizontal="center"/>
    </xf>
    <xf numFmtId="0" fontId="0" fillId="0" borderId="0" xfId="0" applyNumberFormat="1" applyFill="1" applyAlignment="1">
      <alignment horizontal="center"/>
    </xf>
    <xf numFmtId="0" fontId="0" fillId="0" borderId="0" xfId="0" applyNumberFormat="1" applyFill="1" applyBorder="1"/>
    <xf numFmtId="44" fontId="32" fillId="0" borderId="0" xfId="3" applyFont="1" applyFill="1" applyBorder="1"/>
    <xf numFmtId="44" fontId="32" fillId="0" borderId="0" xfId="0" applyNumberFormat="1" applyFont="1" applyFill="1" applyBorder="1" applyAlignment="1"/>
    <xf numFmtId="44" fontId="36" fillId="0" borderId="0" xfId="0" applyNumberFormat="1" applyFont="1" applyFill="1" applyBorder="1" applyAlignment="1"/>
    <xf numFmtId="44" fontId="0" fillId="0" borderId="0" xfId="0" applyNumberFormat="1" applyFont="1" applyFill="1" applyBorder="1" applyAlignment="1"/>
    <xf numFmtId="4" fontId="0" fillId="0" borderId="0" xfId="0" applyNumberFormat="1" applyFill="1" applyBorder="1"/>
    <xf numFmtId="170" fontId="17" fillId="0" borderId="16" xfId="22" applyNumberFormat="1" applyFont="1" applyBorder="1" applyAlignment="1">
      <alignment horizontal="right" vertical="top"/>
    </xf>
    <xf numFmtId="174" fontId="17" fillId="0" borderId="0" xfId="0" applyFont="1" applyAlignment="1">
      <alignment horizontal="right"/>
    </xf>
    <xf numFmtId="43" fontId="22" fillId="0" borderId="0" xfId="1"/>
    <xf numFmtId="37" fontId="23" fillId="0" borderId="0" xfId="0" applyNumberFormat="1" applyFont="1" applyFill="1" applyBorder="1"/>
    <xf numFmtId="37" fontId="111" fillId="0" borderId="0" xfId="0" applyNumberFormat="1" applyFont="1" applyFill="1" applyBorder="1"/>
    <xf numFmtId="1" fontId="8" fillId="0" borderId="0" xfId="100" applyNumberFormat="1" applyFont="1" applyFill="1" applyBorder="1" applyAlignment="1">
      <alignment horizontal="center"/>
    </xf>
    <xf numFmtId="174" fontId="7" fillId="0" borderId="0" xfId="0" applyFont="1" applyFill="1" applyBorder="1" applyAlignment="1">
      <alignment horizontal="center"/>
    </xf>
    <xf numFmtId="0" fontId="54" fillId="0" borderId="0" xfId="185" applyFont="1"/>
    <xf numFmtId="0" fontId="17" fillId="0" borderId="0" xfId="185"/>
    <xf numFmtId="0" fontId="55" fillId="8" borderId="6" xfId="185" applyFont="1" applyFill="1" applyBorder="1" applyAlignment="1">
      <alignment horizontal="center"/>
    </xf>
    <xf numFmtId="0" fontId="17" fillId="0" borderId="0" xfId="185" applyFont="1"/>
    <xf numFmtId="0" fontId="57" fillId="9" borderId="0" xfId="330" applyFont="1" applyFill="1" applyAlignment="1"/>
    <xf numFmtId="0" fontId="21" fillId="0" borderId="15" xfId="330" applyFont="1" applyBorder="1" applyAlignment="1">
      <alignment horizontal="right"/>
    </xf>
    <xf numFmtId="174" fontId="55" fillId="0" borderId="16" xfId="13" applyNumberFormat="1" applyFont="1" applyBorder="1" applyAlignment="1">
      <alignment horizontal="right" vertical="top"/>
    </xf>
    <xf numFmtId="174" fontId="55" fillId="6" borderId="16" xfId="13" applyNumberFormat="1" applyFont="1" applyFill="1" applyBorder="1" applyAlignment="1">
      <alignment horizontal="right" vertical="top"/>
    </xf>
    <xf numFmtId="174" fontId="55" fillId="0" borderId="18" xfId="13" applyNumberFormat="1" applyFont="1" applyBorder="1" applyAlignment="1">
      <alignment horizontal="right" vertical="top"/>
    </xf>
    <xf numFmtId="0" fontId="17" fillId="7" borderId="0" xfId="330" applyFont="1" applyFill="1" applyAlignment="1">
      <alignment horizontal="right"/>
    </xf>
    <xf numFmtId="37" fontId="17" fillId="7" borderId="0" xfId="330" applyNumberFormat="1" applyFont="1" applyFill="1" applyBorder="1" applyAlignment="1">
      <alignment horizontal="right"/>
    </xf>
    <xf numFmtId="0" fontId="17" fillId="7" borderId="0" xfId="330" applyFont="1" applyFill="1"/>
    <xf numFmtId="0" fontId="17" fillId="7" borderId="0" xfId="185" applyFill="1"/>
    <xf numFmtId="0" fontId="17" fillId="7" borderId="0" xfId="185" applyFill="1" applyAlignment="1">
      <alignment horizontal="right"/>
    </xf>
    <xf numFmtId="0" fontId="21" fillId="0" borderId="12" xfId="185" applyFont="1" applyBorder="1"/>
    <xf numFmtId="174" fontId="55" fillId="0" borderId="10" xfId="13" applyNumberFormat="1" applyFont="1" applyBorder="1" applyAlignment="1">
      <alignment horizontal="right" vertical="top"/>
    </xf>
    <xf numFmtId="174" fontId="55" fillId="6" borderId="10" xfId="13" applyNumberFormat="1" applyFont="1" applyFill="1" applyBorder="1" applyAlignment="1">
      <alignment horizontal="right" vertical="top"/>
    </xf>
    <xf numFmtId="174" fontId="55" fillId="0" borderId="11" xfId="13" applyNumberFormat="1" applyFont="1" applyBorder="1" applyAlignment="1">
      <alignment horizontal="right" vertical="top"/>
    </xf>
    <xf numFmtId="2" fontId="55" fillId="0" borderId="0" xfId="13" applyNumberFormat="1" applyFont="1" applyBorder="1" applyAlignment="1">
      <alignment horizontal="right" vertical="top"/>
    </xf>
    <xf numFmtId="2" fontId="55" fillId="6" borderId="0" xfId="13" applyNumberFormat="1" applyFont="1" applyFill="1" applyBorder="1" applyAlignment="1">
      <alignment horizontal="right" vertical="top"/>
    </xf>
    <xf numFmtId="2" fontId="55" fillId="0" borderId="4" xfId="13" applyNumberFormat="1" applyFont="1" applyBorder="1" applyAlignment="1">
      <alignment horizontal="right" vertical="top"/>
    </xf>
    <xf numFmtId="0" fontId="21" fillId="0" borderId="0" xfId="330" applyFont="1" applyAlignment="1">
      <alignment horizontal="right"/>
    </xf>
    <xf numFmtId="174" fontId="17" fillId="6" borderId="15" xfId="13" applyNumberFormat="1" applyFont="1" applyFill="1" applyBorder="1" applyAlignment="1">
      <alignment horizontal="right" vertical="top"/>
    </xf>
    <xf numFmtId="0" fontId="17" fillId="0" borderId="0" xfId="185" applyBorder="1"/>
    <xf numFmtId="0" fontId="58" fillId="9" borderId="0" xfId="1" applyNumberFormat="1" applyFont="1" applyFill="1" applyAlignment="1">
      <alignment horizontal="center" wrapText="1"/>
    </xf>
    <xf numFmtId="170" fontId="55" fillId="6" borderId="15" xfId="13" applyNumberFormat="1" applyFont="1" applyFill="1" applyBorder="1" applyAlignment="1">
      <alignment horizontal="right" vertical="top"/>
    </xf>
    <xf numFmtId="170" fontId="55" fillId="0" borderId="16" xfId="13" applyNumberFormat="1" applyFont="1" applyBorder="1" applyAlignment="1">
      <alignment horizontal="right" vertical="top"/>
    </xf>
    <xf numFmtId="170" fontId="55" fillId="6" borderId="16" xfId="13" applyNumberFormat="1" applyFont="1" applyFill="1" applyBorder="1" applyAlignment="1">
      <alignment horizontal="right" vertical="top"/>
    </xf>
    <xf numFmtId="170" fontId="17" fillId="6" borderId="15" xfId="13" applyNumberFormat="1" applyFont="1" applyFill="1" applyBorder="1" applyAlignment="1">
      <alignment horizontal="right" vertical="top"/>
    </xf>
    <xf numFmtId="0" fontId="6" fillId="0" borderId="0" xfId="0" applyNumberFormat="1" applyFont="1" applyAlignment="1" applyProtection="1">
      <protection locked="0"/>
    </xf>
    <xf numFmtId="0" fontId="6" fillId="0" borderId="0" xfId="0" applyNumberFormat="1" applyFont="1" applyAlignment="1" applyProtection="1">
      <alignment horizontal="left"/>
      <protection locked="0"/>
    </xf>
    <xf numFmtId="0" fontId="6" fillId="0" borderId="0" xfId="0" applyNumberFormat="1" applyFont="1" applyProtection="1">
      <protection locked="0"/>
    </xf>
    <xf numFmtId="0" fontId="6" fillId="0" borderId="0" xfId="0" applyNumberFormat="1" applyFont="1" applyAlignment="1" applyProtection="1">
      <alignment horizontal="right"/>
      <protection locked="0"/>
    </xf>
    <xf numFmtId="0" fontId="6" fillId="0" borderId="0" xfId="0" applyNumberFormat="1" applyFont="1" applyFill="1" applyAlignment="1" applyProtection="1">
      <alignment horizontal="right"/>
      <protection locked="0"/>
    </xf>
    <xf numFmtId="0" fontId="6" fillId="0" borderId="0" xfId="0" applyNumberFormat="1" applyFont="1" applyFill="1" applyAlignment="1">
      <alignment horizontal="right"/>
    </xf>
    <xf numFmtId="0" fontId="6" fillId="2" borderId="0" xfId="0" applyNumberFormat="1" applyFont="1" applyFill="1" applyProtection="1">
      <protection locked="0"/>
    </xf>
    <xf numFmtId="174" fontId="6" fillId="2" borderId="0" xfId="0" applyFont="1" applyFill="1" applyAlignment="1"/>
    <xf numFmtId="0" fontId="6" fillId="2" borderId="0" xfId="0" applyNumberFormat="1" applyFont="1" applyFill="1"/>
    <xf numFmtId="0" fontId="6" fillId="2" borderId="0" xfId="0" applyNumberFormat="1" applyFont="1" applyFill="1" applyAlignment="1" applyProtection="1">
      <alignment horizontal="right"/>
      <protection locked="0"/>
    </xf>
    <xf numFmtId="49" fontId="6" fillId="2" borderId="0" xfId="0" applyNumberFormat="1" applyFont="1" applyFill="1"/>
    <xf numFmtId="49" fontId="6" fillId="0" borderId="0" xfId="0" applyNumberFormat="1" applyFont="1"/>
    <xf numFmtId="0" fontId="6" fillId="0" borderId="1" xfId="0" applyNumberFormat="1" applyFont="1" applyBorder="1" applyAlignment="1" applyProtection="1">
      <alignment horizontal="center"/>
      <protection locked="0"/>
    </xf>
    <xf numFmtId="3" fontId="6" fillId="0" borderId="0" xfId="0" applyNumberFormat="1" applyFont="1"/>
    <xf numFmtId="42" fontId="6" fillId="0" borderId="0" xfId="0" applyNumberFormat="1" applyFont="1" applyFill="1"/>
    <xf numFmtId="0" fontId="6" fillId="0" borderId="0" xfId="0" applyNumberFormat="1" applyFont="1" applyAlignment="1"/>
    <xf numFmtId="0" fontId="6" fillId="0" borderId="1" xfId="0" applyNumberFormat="1" applyFont="1" applyBorder="1" applyAlignment="1" applyProtection="1">
      <alignment horizontal="centerContinuous"/>
      <protection locked="0"/>
    </xf>
    <xf numFmtId="166" fontId="6" fillId="0" borderId="0" xfId="0" applyNumberFormat="1" applyFont="1" applyAlignment="1"/>
    <xf numFmtId="3" fontId="6" fillId="0" borderId="0" xfId="0" applyNumberFormat="1" applyFont="1" applyFill="1" applyBorder="1"/>
    <xf numFmtId="3" fontId="6" fillId="2" borderId="0" xfId="0" applyNumberFormat="1" applyFont="1" applyFill="1" applyAlignment="1"/>
    <xf numFmtId="3" fontId="6" fillId="0" borderId="1" xfId="0" applyNumberFormat="1" applyFont="1" applyBorder="1" applyAlignment="1"/>
    <xf numFmtId="3" fontId="6" fillId="0" borderId="0" xfId="0" applyNumberFormat="1" applyFont="1" applyAlignment="1">
      <alignment horizontal="fill"/>
    </xf>
    <xf numFmtId="42" fontId="6" fillId="0" borderId="2" xfId="0" applyNumberFormat="1" applyFont="1" applyBorder="1" applyAlignment="1" applyProtection="1">
      <alignment horizontal="right"/>
      <protection locked="0"/>
    </xf>
    <xf numFmtId="0" fontId="6" fillId="0" borderId="0" xfId="0" applyNumberFormat="1" applyFont="1" applyFill="1" applyProtection="1">
      <protection locked="0"/>
    </xf>
    <xf numFmtId="3" fontId="6" fillId="2" borderId="0" xfId="0" applyNumberFormat="1" applyFont="1" applyFill="1"/>
    <xf numFmtId="3" fontId="6" fillId="2" borderId="0" xfId="0" applyNumberFormat="1" applyFont="1" applyFill="1" applyBorder="1"/>
    <xf numFmtId="3" fontId="6" fillId="2" borderId="1" xfId="0" applyNumberFormat="1" applyFont="1" applyFill="1" applyBorder="1"/>
    <xf numFmtId="168" fontId="6" fillId="0" borderId="0" xfId="0" applyNumberFormat="1" applyFont="1"/>
    <xf numFmtId="168" fontId="6" fillId="0" borderId="0" xfId="0" applyNumberFormat="1" applyFont="1" applyAlignment="1">
      <alignment horizontal="center"/>
    </xf>
    <xf numFmtId="174" fontId="6" fillId="0" borderId="0" xfId="0" applyFont="1" applyAlignment="1">
      <alignment horizontal="center"/>
    </xf>
    <xf numFmtId="0" fontId="6" fillId="0" borderId="0" xfId="0" applyNumberFormat="1" applyFont="1" applyAlignment="1">
      <alignment horizontal="left"/>
    </xf>
    <xf numFmtId="173" fontId="6" fillId="0" borderId="0" xfId="0" applyNumberFormat="1" applyFont="1" applyAlignment="1"/>
    <xf numFmtId="173" fontId="6" fillId="0" borderId="0" xfId="0" applyNumberFormat="1" applyFont="1" applyFill="1" applyAlignment="1"/>
    <xf numFmtId="173" fontId="6" fillId="2" borderId="0" xfId="0" applyNumberFormat="1" applyFont="1" applyFill="1" applyProtection="1">
      <protection locked="0"/>
    </xf>
    <xf numFmtId="173" fontId="6" fillId="0" borderId="0" xfId="0" applyNumberFormat="1" applyFont="1" applyProtection="1">
      <protection locked="0"/>
    </xf>
    <xf numFmtId="173" fontId="6" fillId="0" borderId="0" xfId="0" applyNumberFormat="1" applyFont="1" applyFill="1" applyProtection="1">
      <protection locked="0"/>
    </xf>
    <xf numFmtId="0" fontId="6" fillId="0" borderId="0" xfId="0" applyNumberFormat="1" applyFont="1" applyAlignment="1">
      <alignment horizontal="center"/>
    </xf>
    <xf numFmtId="49" fontId="6" fillId="0" borderId="0" xfId="0" applyNumberFormat="1" applyFont="1" applyAlignment="1">
      <alignment horizontal="left"/>
    </xf>
    <xf numFmtId="49" fontId="6" fillId="0" borderId="0" xfId="0" applyNumberFormat="1" applyFont="1" applyAlignment="1">
      <alignment horizontal="center"/>
    </xf>
    <xf numFmtId="0" fontId="6" fillId="0" borderId="0" xfId="0" applyNumberFormat="1" applyFont="1" applyFill="1" applyAlignment="1">
      <alignment horizontal="center"/>
    </xf>
    <xf numFmtId="3" fontId="112" fillId="0" borderId="0" xfId="0" applyNumberFormat="1" applyFont="1" applyAlignment="1">
      <alignment horizontal="center"/>
    </xf>
    <xf numFmtId="0" fontId="112" fillId="0" borderId="0" xfId="0" applyNumberFormat="1" applyFont="1" applyAlignment="1" applyProtection="1">
      <alignment horizontal="center"/>
      <protection locked="0"/>
    </xf>
    <xf numFmtId="174" fontId="112" fillId="0" borderId="0" xfId="0" applyFont="1" applyAlignment="1">
      <alignment horizontal="center"/>
    </xf>
    <xf numFmtId="3" fontId="112" fillId="0" borderId="0" xfId="0" applyNumberFormat="1" applyFont="1" applyAlignment="1"/>
    <xf numFmtId="0" fontId="112" fillId="0" borderId="0" xfId="0" applyNumberFormat="1" applyFont="1" applyAlignment="1"/>
    <xf numFmtId="165" fontId="6" fillId="0" borderId="0" xfId="0" applyNumberFormat="1" applyFont="1" applyAlignment="1"/>
    <xf numFmtId="164" fontId="6" fillId="0" borderId="0" xfId="0" applyNumberFormat="1" applyFont="1" applyAlignment="1">
      <alignment horizontal="center"/>
    </xf>
    <xf numFmtId="164" fontId="6" fillId="0" borderId="0" xfId="0" applyNumberFormat="1" applyFont="1" applyFill="1" applyAlignment="1">
      <alignment horizontal="center"/>
    </xf>
    <xf numFmtId="165" fontId="6" fillId="0" borderId="0" xfId="0" applyNumberFormat="1" applyFont="1" applyFill="1" applyAlignment="1">
      <alignment horizontal="right"/>
    </xf>
    <xf numFmtId="3" fontId="6" fillId="2" borderId="0" xfId="0" applyNumberFormat="1" applyFont="1" applyFill="1" applyBorder="1" applyAlignment="1"/>
    <xf numFmtId="174" fontId="6" fillId="0" borderId="1" xfId="0" applyFont="1" applyBorder="1" applyAlignment="1"/>
    <xf numFmtId="0" fontId="112" fillId="0" borderId="0" xfId="0" applyNumberFormat="1" applyFont="1" applyFill="1" applyAlignment="1" applyProtection="1">
      <alignment horizontal="center"/>
      <protection locked="0"/>
    </xf>
    <xf numFmtId="3" fontId="113" fillId="0" borderId="0" xfId="0" applyNumberFormat="1" applyFont="1" applyAlignment="1"/>
    <xf numFmtId="172" fontId="6" fillId="0" borderId="0" xfId="0" applyNumberFormat="1" applyFont="1" applyFill="1" applyAlignment="1">
      <alignment horizontal="left"/>
    </xf>
    <xf numFmtId="165" fontId="6" fillId="0" borderId="0" xfId="0" applyNumberFormat="1" applyFont="1" applyFill="1" applyAlignment="1"/>
    <xf numFmtId="166" fontId="6" fillId="0" borderId="0" xfId="0" applyNumberFormat="1" applyFont="1" applyFill="1" applyAlignment="1">
      <alignment horizontal="right"/>
    </xf>
    <xf numFmtId="166" fontId="6" fillId="0" borderId="0" xfId="0" applyNumberFormat="1" applyFont="1" applyAlignment="1">
      <alignment horizontal="center"/>
    </xf>
    <xf numFmtId="164" fontId="6" fillId="0" borderId="0" xfId="0" applyNumberFormat="1" applyFont="1" applyAlignment="1">
      <alignment horizontal="left"/>
    </xf>
    <xf numFmtId="10" fontId="6" fillId="0" borderId="0" xfId="0" applyNumberFormat="1" applyFont="1" applyFill="1" applyAlignment="1">
      <alignment horizontal="right"/>
    </xf>
    <xf numFmtId="169" fontId="6" fillId="0" borderId="0" xfId="0" applyNumberFormat="1" applyFont="1" applyFill="1" applyAlignment="1">
      <alignment horizontal="right"/>
    </xf>
    <xf numFmtId="10" fontId="6" fillId="0" borderId="0" xfId="0" applyNumberFormat="1" applyFont="1" applyAlignment="1">
      <alignment horizontal="left"/>
    </xf>
    <xf numFmtId="3" fontId="6" fillId="0" borderId="0" xfId="0" applyNumberFormat="1" applyFont="1" applyFill="1" applyAlignment="1">
      <alignment horizontal="left"/>
    </xf>
    <xf numFmtId="164" fontId="6" fillId="0" borderId="0" xfId="0" applyNumberFormat="1" applyFont="1" applyAlignment="1" applyProtection="1">
      <alignment horizontal="left"/>
      <protection locked="0"/>
    </xf>
    <xf numFmtId="3" fontId="6" fillId="0" borderId="0" xfId="0" applyNumberFormat="1" applyFont="1" applyFill="1" applyAlignment="1">
      <alignment horizontal="right"/>
    </xf>
    <xf numFmtId="167" fontId="6" fillId="0" borderId="0" xfId="0" applyNumberFormat="1" applyFont="1" applyAlignment="1"/>
    <xf numFmtId="3" fontId="6" fillId="0" borderId="2" xfId="0" applyNumberFormat="1" applyFont="1" applyFill="1" applyBorder="1" applyAlignment="1"/>
    <xf numFmtId="0" fontId="6" fillId="0" borderId="0" xfId="0" applyNumberFormat="1" applyFont="1" applyFill="1" applyAlignment="1" applyProtection="1">
      <protection locked="0"/>
    </xf>
    <xf numFmtId="0" fontId="6" fillId="0" borderId="1" xfId="0" applyNumberFormat="1" applyFont="1" applyFill="1" applyBorder="1" applyProtection="1">
      <protection locked="0"/>
    </xf>
    <xf numFmtId="0" fontId="6" fillId="0" borderId="1" xfId="0" applyNumberFormat="1" applyFont="1" applyFill="1" applyBorder="1"/>
    <xf numFmtId="3" fontId="6" fillId="0" borderId="0" xfId="0" applyNumberFormat="1" applyFont="1" applyFill="1" applyBorder="1" applyAlignment="1"/>
    <xf numFmtId="3" fontId="6" fillId="0" borderId="0" xfId="0" applyNumberFormat="1" applyFont="1" applyFill="1" applyAlignment="1">
      <alignment horizontal="center"/>
    </xf>
    <xf numFmtId="49" fontId="6" fillId="0" borderId="0" xfId="0" applyNumberFormat="1" applyFont="1" applyFill="1"/>
    <xf numFmtId="49" fontId="6" fillId="0" borderId="0" xfId="0" applyNumberFormat="1" applyFont="1" applyFill="1" applyBorder="1" applyAlignment="1"/>
    <xf numFmtId="49" fontId="6" fillId="0" borderId="0" xfId="0" applyNumberFormat="1" applyFont="1" applyFill="1" applyAlignment="1"/>
    <xf numFmtId="49" fontId="6" fillId="0" borderId="0" xfId="0" applyNumberFormat="1" applyFont="1" applyFill="1" applyAlignment="1">
      <alignment horizontal="center"/>
    </xf>
    <xf numFmtId="174" fontId="114" fillId="0" borderId="0" xfId="0" applyFont="1" applyAlignment="1"/>
    <xf numFmtId="0" fontId="0" fillId="0" borderId="0" xfId="0" applyNumberFormat="1" applyFont="1" applyAlignment="1"/>
    <xf numFmtId="174" fontId="0" fillId="0" borderId="0" xfId="0" applyFont="1" applyAlignment="1"/>
    <xf numFmtId="3" fontId="0" fillId="0" borderId="0" xfId="0" applyNumberFormat="1" applyFont="1" applyAlignment="1"/>
    <xf numFmtId="0" fontId="6" fillId="0" borderId="0" xfId="0" applyNumberFormat="1" applyFont="1" applyFill="1" applyBorder="1"/>
    <xf numFmtId="174" fontId="0" fillId="0" borderId="0" xfId="0" applyFont="1" applyBorder="1" applyAlignment="1"/>
    <xf numFmtId="3" fontId="0" fillId="0" borderId="0" xfId="0" applyNumberFormat="1" applyFont="1" applyBorder="1" applyAlignment="1"/>
    <xf numFmtId="0" fontId="0" fillId="0" borderId="0" xfId="0" applyNumberFormat="1" applyFont="1" applyBorder="1" applyAlignment="1"/>
    <xf numFmtId="174" fontId="0" fillId="0" borderId="4" xfId="0" applyFont="1" applyBorder="1" applyAlignment="1"/>
    <xf numFmtId="170" fontId="0" fillId="2" borderId="5" xfId="0" applyNumberFormat="1" applyFill="1" applyBorder="1" applyAlignment="1"/>
    <xf numFmtId="174" fontId="115" fillId="0" borderId="0" xfId="0" applyFont="1" applyAlignment="1"/>
    <xf numFmtId="174" fontId="0" fillId="0" borderId="4" xfId="0" applyBorder="1" applyAlignment="1"/>
    <xf numFmtId="170" fontId="0" fillId="0" borderId="3" xfId="0" applyNumberFormat="1" applyBorder="1" applyAlignment="1"/>
    <xf numFmtId="0" fontId="0" fillId="0" borderId="3" xfId="0" applyNumberFormat="1" applyFont="1" applyBorder="1" applyAlignment="1"/>
    <xf numFmtId="165" fontId="6" fillId="0" borderId="0" xfId="0" applyNumberFormat="1" applyFont="1" applyFill="1"/>
    <xf numFmtId="176" fontId="0" fillId="2" borderId="3" xfId="13" applyNumberFormat="1" applyFont="1" applyFill="1" applyBorder="1" applyAlignment="1"/>
    <xf numFmtId="166" fontId="6" fillId="0" borderId="0" xfId="0" applyNumberFormat="1" applyFont="1" applyFill="1"/>
    <xf numFmtId="3" fontId="6" fillId="0" borderId="0" xfId="0" applyNumberFormat="1" applyFont="1" applyAlignment="1">
      <alignment horizontal="center"/>
    </xf>
    <xf numFmtId="176" fontId="0" fillId="2" borderId="5" xfId="13" applyNumberFormat="1" applyFont="1" applyFill="1" applyBorder="1" applyAlignment="1"/>
    <xf numFmtId="3" fontId="6" fillId="0" borderId="1" xfId="0" applyNumberFormat="1" applyFont="1" applyBorder="1" applyAlignment="1">
      <alignment horizontal="center"/>
    </xf>
    <xf numFmtId="170" fontId="0" fillId="0" borderId="5" xfId="0" applyNumberFormat="1" applyFont="1" applyBorder="1" applyAlignment="1"/>
    <xf numFmtId="3" fontId="0" fillId="0" borderId="6" xfId="0" applyNumberFormat="1" applyFont="1" applyBorder="1" applyAlignment="1"/>
    <xf numFmtId="0" fontId="0" fillId="0" borderId="6" xfId="0" applyNumberFormat="1" applyFont="1" applyBorder="1" applyAlignment="1"/>
    <xf numFmtId="174" fontId="0" fillId="0" borderId="6" xfId="0" applyFont="1" applyBorder="1" applyAlignment="1"/>
    <xf numFmtId="174" fontId="0" fillId="0" borderId="7" xfId="0" applyFont="1" applyBorder="1" applyAlignment="1"/>
    <xf numFmtId="4" fontId="6" fillId="0" borderId="0" xfId="0" applyNumberFormat="1" applyFont="1" applyAlignment="1"/>
    <xf numFmtId="3" fontId="6" fillId="0" borderId="0" xfId="0" applyNumberFormat="1" applyFont="1" applyBorder="1" applyAlignment="1">
      <alignment horizontal="center"/>
    </xf>
    <xf numFmtId="166" fontId="6" fillId="0" borderId="0" xfId="0" applyNumberFormat="1" applyFont="1" applyAlignment="1" applyProtection="1">
      <alignment horizontal="center"/>
      <protection locked="0"/>
    </xf>
    <xf numFmtId="166" fontId="6" fillId="0" borderId="0" xfId="0" applyNumberFormat="1" applyFont="1" applyFill="1" applyAlignment="1"/>
    <xf numFmtId="0" fontId="6" fillId="0" borderId="1" xfId="0" applyNumberFormat="1" applyFont="1" applyBorder="1" applyAlignment="1"/>
    <xf numFmtId="170" fontId="6" fillId="2" borderId="0" xfId="0" applyNumberFormat="1" applyFont="1" applyFill="1" applyAlignment="1"/>
    <xf numFmtId="42" fontId="6" fillId="2" borderId="0" xfId="0" applyNumberFormat="1" applyFont="1" applyFill="1" applyAlignment="1"/>
    <xf numFmtId="3" fontId="6" fillId="0" borderId="0" xfId="0" applyNumberFormat="1" applyFont="1" applyFill="1" applyAlignment="1" applyProtection="1">
      <protection locked="0"/>
    </xf>
    <xf numFmtId="9" fontId="6" fillId="0" borderId="0" xfId="0" applyNumberFormat="1" applyFont="1" applyAlignment="1"/>
    <xf numFmtId="169" fontId="6" fillId="0" borderId="0" xfId="0" applyNumberFormat="1" applyFont="1" applyAlignment="1"/>
    <xf numFmtId="3" fontId="6" fillId="0" borderId="0" xfId="0" quotePrefix="1" applyNumberFormat="1" applyFont="1" applyAlignment="1"/>
    <xf numFmtId="169" fontId="6" fillId="2" borderId="0" xfId="0" applyNumberFormat="1" applyFont="1" applyFill="1" applyAlignment="1"/>
    <xf numFmtId="169" fontId="6" fillId="0" borderId="1" xfId="0" applyNumberFormat="1" applyFont="1" applyBorder="1" applyAlignment="1"/>
    <xf numFmtId="0" fontId="6" fillId="0" borderId="0" xfId="0" applyNumberFormat="1" applyFont="1" applyBorder="1" applyAlignment="1" applyProtection="1">
      <alignment horizontal="center"/>
      <protection locked="0"/>
    </xf>
    <xf numFmtId="0" fontId="116" fillId="0" borderId="0" xfId="0" applyNumberFormat="1" applyFont="1" applyProtection="1">
      <protection locked="0"/>
    </xf>
    <xf numFmtId="174" fontId="116" fillId="0" borderId="0" xfId="0" applyFont="1" applyAlignment="1"/>
    <xf numFmtId="174" fontId="6" fillId="0" borderId="0" xfId="0" applyFont="1" applyFill="1" applyAlignment="1" applyProtection="1"/>
    <xf numFmtId="38" fontId="6" fillId="2" borderId="0" xfId="0" applyNumberFormat="1" applyFont="1" applyFill="1" applyBorder="1" applyProtection="1">
      <protection locked="0"/>
    </xf>
    <xf numFmtId="38" fontId="6" fillId="0" borderId="0" xfId="0" applyNumberFormat="1" applyFont="1" applyAlignment="1" applyProtection="1"/>
    <xf numFmtId="0" fontId="6" fillId="0" borderId="1" xfId="0" applyNumberFormat="1" applyFont="1" applyBorder="1"/>
    <xf numFmtId="174" fontId="6" fillId="0" borderId="0" xfId="0" applyFont="1" applyBorder="1" applyAlignment="1"/>
    <xf numFmtId="0" fontId="6" fillId="0" borderId="0" xfId="0" applyNumberFormat="1" applyFont="1" applyBorder="1" applyProtection="1">
      <protection locked="0"/>
    </xf>
    <xf numFmtId="38" fontId="6" fillId="2" borderId="1" xfId="0" applyNumberFormat="1" applyFont="1" applyFill="1" applyBorder="1" applyProtection="1">
      <protection locked="0"/>
    </xf>
    <xf numFmtId="38" fontId="6" fillId="0" borderId="0" xfId="0" applyNumberFormat="1" applyFont="1" applyAlignment="1"/>
    <xf numFmtId="38" fontId="6" fillId="0" borderId="0" xfId="0" applyNumberFormat="1" applyFont="1" applyFill="1" applyBorder="1" applyProtection="1"/>
    <xf numFmtId="170" fontId="6" fillId="0" borderId="0" xfId="0" applyNumberFormat="1" applyFont="1" applyFill="1" applyBorder="1" applyProtection="1"/>
    <xf numFmtId="1" fontId="6" fillId="0" borderId="0" xfId="0" applyNumberFormat="1" applyFont="1" applyFill="1" applyProtection="1"/>
    <xf numFmtId="168" fontId="6" fillId="0" borderId="0" xfId="0" applyNumberFormat="1" applyFont="1" applyProtection="1">
      <protection locked="0"/>
    </xf>
    <xf numFmtId="170" fontId="6" fillId="2" borderId="0" xfId="0" applyNumberFormat="1" applyFont="1" applyFill="1" applyBorder="1" applyProtection="1"/>
    <xf numFmtId="1" fontId="6" fillId="0" borderId="0" xfId="0" applyNumberFormat="1" applyFont="1" applyFill="1" applyAlignment="1" applyProtection="1"/>
    <xf numFmtId="170" fontId="6" fillId="2" borderId="0" xfId="0" applyNumberFormat="1" applyFont="1" applyFill="1" applyBorder="1" applyAlignment="1" applyProtection="1">
      <protection locked="0"/>
    </xf>
    <xf numFmtId="3" fontId="6" fillId="0" borderId="0" xfId="0" applyNumberFormat="1" applyFont="1" applyAlignment="1" applyProtection="1"/>
    <xf numFmtId="0" fontId="6" fillId="0" borderId="0" xfId="0" applyNumberFormat="1" applyFont="1" applyBorder="1" applyAlignment="1" applyProtection="1">
      <protection locked="0"/>
    </xf>
    <xf numFmtId="3" fontId="6" fillId="0" borderId="0" xfId="0" applyNumberFormat="1" applyFont="1" applyFill="1" applyAlignment="1" applyProtection="1">
      <alignment horizontal="right"/>
      <protection locked="0"/>
    </xf>
    <xf numFmtId="0" fontId="6" fillId="0" borderId="0" xfId="0" applyNumberFormat="1" applyFont="1" applyFill="1" applyBorder="1" applyAlignment="1" applyProtection="1">
      <protection locked="0"/>
    </xf>
    <xf numFmtId="0" fontId="6" fillId="0" borderId="0" xfId="0" applyNumberFormat="1" applyFont="1" applyFill="1" applyBorder="1" applyProtection="1">
      <protection locked="0"/>
    </xf>
    <xf numFmtId="0" fontId="6" fillId="0" borderId="1" xfId="0" applyNumberFormat="1" applyFont="1" applyFill="1" applyBorder="1" applyAlignment="1" applyProtection="1">
      <protection locked="0"/>
    </xf>
    <xf numFmtId="170" fontId="6" fillId="2" borderId="1" xfId="0" applyNumberFormat="1" applyFont="1" applyFill="1" applyBorder="1" applyAlignment="1" applyProtection="1">
      <protection locked="0"/>
    </xf>
    <xf numFmtId="174" fontId="6" fillId="0" borderId="0" xfId="0" applyNumberFormat="1" applyFont="1" applyAlignment="1" applyProtection="1">
      <protection locked="0"/>
    </xf>
    <xf numFmtId="170" fontId="6" fillId="0" borderId="0" xfId="0" applyNumberFormat="1" applyFont="1" applyFill="1" applyBorder="1" applyAlignment="1" applyProtection="1"/>
    <xf numFmtId="3" fontId="6" fillId="0" borderId="0" xfId="0" applyNumberFormat="1" applyFont="1" applyFill="1" applyAlignment="1" applyProtection="1"/>
    <xf numFmtId="170" fontId="6" fillId="0" borderId="0" xfId="0" applyNumberFormat="1" applyFont="1" applyProtection="1">
      <protection locked="0"/>
    </xf>
    <xf numFmtId="0" fontId="6" fillId="0" borderId="0" xfId="0" applyNumberFormat="1" applyFont="1" applyAlignment="1" applyProtection="1">
      <alignment horizontal="left" indent="8"/>
      <protection locked="0"/>
    </xf>
    <xf numFmtId="0" fontId="6" fillId="0" borderId="0" xfId="0" applyNumberFormat="1" applyFont="1" applyAlignment="1" applyProtection="1">
      <alignment horizontal="center" vertical="top" wrapText="1"/>
      <protection locked="0"/>
    </xf>
    <xf numFmtId="0" fontId="6" fillId="0" borderId="0" xfId="0" applyNumberFormat="1" applyFont="1" applyFill="1" applyAlignment="1" applyProtection="1">
      <alignment horizontal="left" vertical="top" wrapText="1" indent="8"/>
      <protection locked="0"/>
    </xf>
    <xf numFmtId="0" fontId="6" fillId="0" borderId="0" xfId="0" applyNumberFormat="1" applyFont="1" applyFill="1" applyAlignment="1" applyProtection="1">
      <alignment vertical="top" wrapText="1"/>
      <protection locked="0"/>
    </xf>
    <xf numFmtId="10" fontId="6" fillId="2" borderId="0" xfId="0" applyNumberFormat="1" applyFont="1" applyFill="1" applyAlignment="1" applyProtection="1">
      <alignment vertical="top" wrapText="1"/>
      <protection locked="0"/>
    </xf>
    <xf numFmtId="174" fontId="6" fillId="0" borderId="0" xfId="0" applyFont="1" applyAlignment="1">
      <alignment horizontal="center" vertical="top" wrapText="1"/>
    </xf>
    <xf numFmtId="174" fontId="6" fillId="0" borderId="0" xfId="0" applyFont="1" applyFill="1" applyAlignment="1">
      <alignment horizontal="center" vertical="top" wrapText="1"/>
    </xf>
    <xf numFmtId="0" fontId="6" fillId="0" borderId="0" xfId="331" applyNumberFormat="1" applyFont="1"/>
    <xf numFmtId="175" fontId="0" fillId="0" borderId="3" xfId="1" applyNumberFormat="1" applyFont="1" applyFill="1" applyBorder="1" applyAlignment="1"/>
    <xf numFmtId="175" fontId="17" fillId="7" borderId="0" xfId="1" applyNumberFormat="1" applyFont="1" applyFill="1" applyAlignment="1">
      <alignment horizontal="right"/>
    </xf>
    <xf numFmtId="175" fontId="17" fillId="0" borderId="16" xfId="1" applyNumberFormat="1" applyFont="1" applyBorder="1" applyAlignment="1">
      <alignment horizontal="right" vertical="top"/>
    </xf>
    <xf numFmtId="175" fontId="17" fillId="7" borderId="0" xfId="1" applyNumberFormat="1" applyFont="1" applyFill="1" applyBorder="1" applyAlignment="1">
      <alignment horizontal="right" vertical="top"/>
    </xf>
    <xf numFmtId="175" fontId="55" fillId="0" borderId="0" xfId="1" applyNumberFormat="1" applyFont="1" applyBorder="1" applyAlignment="1">
      <alignment horizontal="right" vertical="top"/>
    </xf>
    <xf numFmtId="170" fontId="55" fillId="0" borderId="10" xfId="13" applyNumberFormat="1" applyFont="1" applyBorder="1" applyAlignment="1">
      <alignment horizontal="right" vertical="top"/>
    </xf>
    <xf numFmtId="170" fontId="55" fillId="6" borderId="9" xfId="13" applyNumberFormat="1" applyFont="1" applyFill="1" applyBorder="1" applyAlignment="1">
      <alignment horizontal="right" vertical="top"/>
    </xf>
    <xf numFmtId="170" fontId="55" fillId="6" borderId="3" xfId="13" applyNumberFormat="1" applyFont="1" applyFill="1" applyBorder="1" applyAlignment="1">
      <alignment horizontal="right" vertical="top"/>
    </xf>
    <xf numFmtId="42" fontId="47" fillId="0" borderId="6" xfId="8" applyNumberFormat="1" applyFont="1" applyBorder="1"/>
    <xf numFmtId="170" fontId="55" fillId="6" borderId="10" xfId="13" applyNumberFormat="1" applyFont="1" applyFill="1" applyBorder="1" applyAlignment="1">
      <alignment horizontal="right" vertical="top"/>
    </xf>
    <xf numFmtId="43" fontId="22" fillId="0" borderId="0" xfId="8" applyNumberFormat="1"/>
    <xf numFmtId="42" fontId="22" fillId="0" borderId="0" xfId="7" applyNumberFormat="1"/>
    <xf numFmtId="0" fontId="17" fillId="0" borderId="0" xfId="7" applyFont="1"/>
    <xf numFmtId="0" fontId="22" fillId="0" borderId="0" xfId="1" applyNumberFormat="1"/>
    <xf numFmtId="43" fontId="22" fillId="0" borderId="0" xfId="7" applyNumberFormat="1"/>
    <xf numFmtId="43" fontId="19" fillId="0" borderId="0" xfId="1" applyFont="1"/>
    <xf numFmtId="43" fontId="17" fillId="0" borderId="0" xfId="1" applyFont="1"/>
    <xf numFmtId="43" fontId="0" fillId="0" borderId="0" xfId="1" applyFont="1" applyFill="1" applyBorder="1" applyAlignment="1"/>
    <xf numFmtId="0" fontId="17" fillId="0" borderId="0" xfId="9" applyFont="1" applyAlignment="1">
      <alignment horizontal="center"/>
    </xf>
    <xf numFmtId="10" fontId="17" fillId="0" borderId="0" xfId="11" applyNumberFormat="1" applyFont="1" applyBorder="1"/>
    <xf numFmtId="0" fontId="27" fillId="0" borderId="0" xfId="9" applyFont="1" applyBorder="1" applyAlignment="1">
      <alignment horizontal="center"/>
    </xf>
    <xf numFmtId="43" fontId="27" fillId="0" borderId="0" xfId="9" applyNumberFormat="1" applyFont="1" applyAlignment="1">
      <alignment horizontal="center"/>
    </xf>
    <xf numFmtId="0" fontId="27" fillId="0" borderId="0" xfId="9" applyFont="1" applyBorder="1"/>
    <xf numFmtId="41" fontId="17" fillId="0" borderId="0" xfId="9" applyNumberFormat="1" applyFont="1" applyBorder="1"/>
    <xf numFmtId="10" fontId="27" fillId="0" borderId="0" xfId="11" applyNumberFormat="1" applyFont="1" applyBorder="1"/>
    <xf numFmtId="41" fontId="20" fillId="0" borderId="0" xfId="9" applyNumberFormat="1" applyFont="1" applyFill="1" applyBorder="1" applyAlignment="1">
      <alignment vertical="center"/>
    </xf>
    <xf numFmtId="42" fontId="22" fillId="0" borderId="0" xfId="8" applyNumberFormat="1"/>
    <xf numFmtId="41" fontId="22" fillId="0" borderId="0" xfId="8" applyNumberFormat="1"/>
    <xf numFmtId="175" fontId="22" fillId="0" borderId="0" xfId="8" applyNumberFormat="1"/>
    <xf numFmtId="175" fontId="23" fillId="0" borderId="0" xfId="1" applyNumberFormat="1" applyFont="1" applyFill="1"/>
    <xf numFmtId="0" fontId="4" fillId="0" borderId="0" xfId="332"/>
    <xf numFmtId="0" fontId="4" fillId="0" borderId="0" xfId="332" applyAlignment="1">
      <alignment horizontal="right"/>
    </xf>
    <xf numFmtId="43" fontId="0" fillId="0" borderId="0" xfId="333" applyFont="1"/>
    <xf numFmtId="0" fontId="21" fillId="0" borderId="0" xfId="332" applyFont="1" applyFill="1" applyBorder="1" applyAlignment="1">
      <alignment horizontal="center"/>
    </xf>
    <xf numFmtId="43" fontId="118" fillId="0" borderId="0" xfId="333" applyFont="1" applyBorder="1"/>
    <xf numFmtId="43" fontId="4" fillId="0" borderId="0" xfId="332" applyNumberFormat="1"/>
    <xf numFmtId="43" fontId="118" fillId="0" borderId="0" xfId="333" applyFont="1" applyFill="1" applyBorder="1"/>
    <xf numFmtId="43" fontId="4" fillId="0" borderId="0" xfId="333" applyFont="1"/>
    <xf numFmtId="0" fontId="4" fillId="0" borderId="0" xfId="332" applyAlignment="1">
      <alignment horizontal="left" indent="1"/>
    </xf>
    <xf numFmtId="175" fontId="118" fillId="0" borderId="0" xfId="100" applyNumberFormat="1" applyFont="1" applyFill="1" applyBorder="1"/>
    <xf numFmtId="37" fontId="118" fillId="0" borderId="0" xfId="332" applyNumberFormat="1" applyFont="1" applyFill="1" applyBorder="1"/>
    <xf numFmtId="175" fontId="119" fillId="0" borderId="0" xfId="100" applyNumberFormat="1" applyFont="1" applyFill="1" applyBorder="1"/>
    <xf numFmtId="37" fontId="118" fillId="0" borderId="0" xfId="332" applyNumberFormat="1" applyFont="1" applyBorder="1"/>
    <xf numFmtId="43" fontId="17" fillId="0" borderId="0" xfId="333" applyFont="1"/>
    <xf numFmtId="43" fontId="17" fillId="0" borderId="6" xfId="333" applyFont="1" applyBorder="1" applyAlignment="1">
      <alignment horizontal="center" wrapText="1"/>
    </xf>
    <xf numFmtId="0" fontId="118" fillId="0" borderId="6" xfId="332" applyFont="1" applyBorder="1" applyAlignment="1">
      <alignment wrapText="1"/>
    </xf>
    <xf numFmtId="0" fontId="118" fillId="0" borderId="6" xfId="332" applyFont="1" applyBorder="1" applyAlignment="1">
      <alignment vertical="center" wrapText="1"/>
    </xf>
    <xf numFmtId="43" fontId="118" fillId="0" borderId="0" xfId="332" applyNumberFormat="1" applyFont="1"/>
    <xf numFmtId="43" fontId="119" fillId="0" borderId="0" xfId="333" applyFont="1"/>
    <xf numFmtId="43" fontId="119" fillId="0" borderId="0" xfId="332" applyNumberFormat="1" applyFont="1"/>
    <xf numFmtId="43" fontId="118" fillId="0" borderId="0" xfId="333" applyFont="1"/>
    <xf numFmtId="0" fontId="118" fillId="0" borderId="0" xfId="332" applyFont="1"/>
    <xf numFmtId="0" fontId="17" fillId="0" borderId="0" xfId="9" applyFont="1" applyAlignment="1">
      <alignment horizontal="center"/>
    </xf>
    <xf numFmtId="42" fontId="47" fillId="0" borderId="2" xfId="8" applyNumberFormat="1" applyFont="1" applyBorder="1"/>
    <xf numFmtId="37" fontId="124" fillId="0" borderId="0" xfId="0" applyNumberFormat="1" applyFont="1" applyFill="1" applyBorder="1"/>
    <xf numFmtId="37" fontId="125" fillId="0" borderId="0" xfId="0" applyNumberFormat="1" applyFont="1" applyFill="1" applyBorder="1"/>
    <xf numFmtId="41" fontId="19" fillId="0" borderId="0" xfId="9" applyNumberFormat="1" applyFont="1" applyBorder="1"/>
    <xf numFmtId="175" fontId="22" fillId="0" borderId="0" xfId="9" applyNumberFormat="1"/>
    <xf numFmtId="175" fontId="19" fillId="0" borderId="0" xfId="9" applyNumberFormat="1" applyFont="1"/>
    <xf numFmtId="0" fontId="17" fillId="0" borderId="0" xfId="9" applyFont="1" applyBorder="1"/>
    <xf numFmtId="175" fontId="41" fillId="0" borderId="0" xfId="9" applyNumberFormat="1" applyFont="1" applyBorder="1"/>
    <xf numFmtId="41" fontId="123" fillId="0" borderId="0" xfId="9" applyNumberFormat="1" applyFont="1" applyFill="1" applyBorder="1" applyAlignment="1">
      <alignment vertical="center"/>
    </xf>
    <xf numFmtId="10" fontId="123" fillId="0" borderId="0" xfId="9" applyNumberFormat="1" applyFont="1" applyFill="1" applyBorder="1" applyAlignment="1">
      <alignment vertical="center"/>
    </xf>
    <xf numFmtId="175" fontId="19" fillId="0" borderId="0" xfId="9" applyNumberFormat="1" applyFont="1" applyBorder="1"/>
    <xf numFmtId="175" fontId="41" fillId="0" borderId="2" xfId="9" applyNumberFormat="1" applyFont="1" applyBorder="1"/>
    <xf numFmtId="0" fontId="27" fillId="0" borderId="0" xfId="9" applyFont="1" applyAlignment="1">
      <alignment horizontal="center" vertical="center"/>
    </xf>
    <xf numFmtId="0" fontId="127" fillId="0" borderId="0" xfId="336" applyFont="1"/>
    <xf numFmtId="0" fontId="3" fillId="0" borderId="0" xfId="336" applyFont="1"/>
    <xf numFmtId="0" fontId="128" fillId="0" borderId="0" xfId="336" applyFont="1"/>
    <xf numFmtId="0" fontId="127" fillId="0" borderId="0" xfId="336" applyFont="1" applyAlignment="1">
      <alignment horizontal="center"/>
    </xf>
    <xf numFmtId="0" fontId="129" fillId="18" borderId="0" xfId="336" applyFont="1" applyFill="1" applyAlignment="1">
      <alignment horizontal="center"/>
    </xf>
    <xf numFmtId="0" fontId="129" fillId="0" borderId="0" xfId="336" applyFont="1" applyAlignment="1">
      <alignment horizontal="center"/>
    </xf>
    <xf numFmtId="0" fontId="129" fillId="0" borderId="0" xfId="336" applyFont="1" applyBorder="1" applyAlignment="1">
      <alignment horizontal="center"/>
    </xf>
    <xf numFmtId="0" fontId="127" fillId="0" borderId="0" xfId="336" applyFont="1" applyBorder="1" applyAlignment="1">
      <alignment horizontal="center"/>
    </xf>
    <xf numFmtId="0" fontId="127" fillId="0" borderId="0" xfId="336" applyFont="1" applyBorder="1"/>
    <xf numFmtId="0" fontId="127" fillId="18" borderId="0" xfId="336" applyFont="1" applyFill="1"/>
    <xf numFmtId="0" fontId="127" fillId="0" borderId="0" xfId="336" applyFont="1" applyFill="1"/>
    <xf numFmtId="41" fontId="127" fillId="18" borderId="0" xfId="336" applyNumberFormat="1" applyFont="1" applyFill="1"/>
    <xf numFmtId="41" fontId="127" fillId="0" borderId="0" xfId="336" applyNumberFormat="1" applyFont="1" applyFill="1"/>
    <xf numFmtId="0" fontId="129" fillId="0" borderId="0" xfId="336" applyFont="1"/>
    <xf numFmtId="41" fontId="127" fillId="0" borderId="0" xfId="336" applyNumberFormat="1" applyFont="1"/>
    <xf numFmtId="49" fontId="129" fillId="18" borderId="0" xfId="337" applyNumberFormat="1" applyFont="1" applyFill="1" applyAlignment="1">
      <alignment horizontal="center" vertical="center"/>
    </xf>
    <xf numFmtId="170" fontId="17" fillId="7" borderId="0" xfId="330" applyNumberFormat="1" applyFont="1" applyFill="1" applyBorder="1" applyAlignment="1">
      <alignment horizontal="right"/>
    </xf>
    <xf numFmtId="170" fontId="17" fillId="7" borderId="0" xfId="330" applyNumberFormat="1" applyFont="1" applyFill="1" applyAlignment="1">
      <alignment horizontal="right"/>
    </xf>
    <xf numFmtId="170" fontId="17" fillId="7" borderId="0" xfId="22" applyNumberFormat="1" applyFont="1" applyFill="1" applyBorder="1" applyAlignment="1">
      <alignment horizontal="right" vertical="top"/>
    </xf>
    <xf numFmtId="170" fontId="17" fillId="7" borderId="0" xfId="185" applyNumberFormat="1" applyFill="1" applyAlignment="1">
      <alignment horizontal="right"/>
    </xf>
    <xf numFmtId="170" fontId="55" fillId="0" borderId="0" xfId="13" applyNumberFormat="1" applyFont="1" applyBorder="1" applyAlignment="1">
      <alignment horizontal="right" vertical="top"/>
    </xf>
    <xf numFmtId="41" fontId="22" fillId="0" borderId="0" xfId="10" applyNumberFormat="1"/>
    <xf numFmtId="49" fontId="0" fillId="0" borderId="0" xfId="0" applyNumberFormat="1" applyAlignment="1"/>
    <xf numFmtId="174" fontId="133" fillId="0" borderId="0" xfId="0" applyFont="1" applyAlignment="1">
      <alignment horizontal="center"/>
    </xf>
    <xf numFmtId="170" fontId="134" fillId="0" borderId="0" xfId="0" applyNumberFormat="1" applyFont="1" applyAlignment="1"/>
    <xf numFmtId="170" fontId="0" fillId="0" borderId="0" xfId="0" applyNumberFormat="1" applyAlignment="1"/>
    <xf numFmtId="170" fontId="134" fillId="0" borderId="6" xfId="0" applyNumberFormat="1" applyFont="1" applyBorder="1" applyAlignment="1"/>
    <xf numFmtId="170" fontId="0" fillId="0" borderId="6" xfId="0" applyNumberFormat="1" applyFont="1" applyBorder="1" applyAlignment="1"/>
    <xf numFmtId="170" fontId="0" fillId="0" borderId="6" xfId="0" applyNumberFormat="1" applyBorder="1" applyAlignment="1"/>
    <xf numFmtId="174" fontId="133" fillId="0" borderId="0" xfId="0" applyFont="1" applyAlignment="1">
      <alignment horizontal="center" wrapText="1"/>
    </xf>
    <xf numFmtId="0" fontId="21" fillId="0" borderId="0" xfId="185" applyFont="1"/>
    <xf numFmtId="43" fontId="0" fillId="0" borderId="0" xfId="338" applyFont="1"/>
    <xf numFmtId="0" fontId="135" fillId="0" borderId="14" xfId="185" applyFont="1" applyBorder="1" applyAlignment="1">
      <alignment horizontal="center" wrapText="1"/>
    </xf>
    <xf numFmtId="0" fontId="135" fillId="0" borderId="14" xfId="185" applyFont="1" applyBorder="1" applyAlignment="1">
      <alignment wrapText="1"/>
    </xf>
    <xf numFmtId="0" fontId="17" fillId="0" borderId="23" xfId="185" applyBorder="1" applyAlignment="1">
      <alignment vertical="top"/>
    </xf>
    <xf numFmtId="0" fontId="17" fillId="0" borderId="23" xfId="185" applyBorder="1" applyAlignment="1">
      <alignment horizontal="left"/>
    </xf>
    <xf numFmtId="14" fontId="17" fillId="0" borderId="23" xfId="185" applyNumberFormat="1" applyBorder="1" applyAlignment="1">
      <alignment horizontal="left"/>
    </xf>
    <xf numFmtId="0" fontId="17" fillId="0" borderId="24" xfId="185" applyBorder="1" applyAlignment="1">
      <alignment vertical="top"/>
    </xf>
    <xf numFmtId="0" fontId="17" fillId="0" borderId="24" xfId="185" applyBorder="1" applyAlignment="1">
      <alignment horizontal="left"/>
    </xf>
    <xf numFmtId="14" fontId="17" fillId="0" borderId="0" xfId="185" applyNumberFormat="1" applyAlignment="1">
      <alignment horizontal="left"/>
    </xf>
    <xf numFmtId="0" fontId="17" fillId="0" borderId="24" xfId="185" applyBorder="1" applyAlignment="1">
      <alignment horizontal="left" wrapText="1"/>
    </xf>
    <xf numFmtId="14" fontId="17" fillId="0" borderId="24" xfId="185" applyNumberFormat="1" applyBorder="1" applyAlignment="1">
      <alignment horizontal="left"/>
    </xf>
    <xf numFmtId="43" fontId="0" fillId="0" borderId="25" xfId="338" applyFont="1" applyFill="1" applyBorder="1" applyAlignment="1">
      <alignment vertical="top"/>
    </xf>
    <xf numFmtId="171" fontId="17" fillId="0" borderId="0" xfId="11" applyNumberFormat="1" applyFont="1"/>
    <xf numFmtId="43" fontId="19" fillId="0" borderId="0" xfId="6" applyNumberFormat="1" applyFont="1" applyBorder="1" applyAlignment="1">
      <alignment horizontal="center"/>
    </xf>
    <xf numFmtId="0" fontId="6" fillId="0" borderId="0" xfId="0" applyNumberFormat="1" applyFont="1"/>
    <xf numFmtId="0" fontId="8" fillId="0" borderId="0" xfId="6" applyFont="1" applyBorder="1" applyAlignment="1">
      <alignment horizontal="left" wrapText="1"/>
    </xf>
    <xf numFmtId="41" fontId="47" fillId="0" borderId="6" xfId="8" applyNumberFormat="1" applyFont="1" applyBorder="1"/>
    <xf numFmtId="39" fontId="118" fillId="0" borderId="0" xfId="332" applyNumberFormat="1" applyFont="1" applyBorder="1"/>
    <xf numFmtId="0" fontId="1" fillId="0" borderId="0" xfId="332" applyFont="1" applyAlignment="1">
      <alignment horizontal="right"/>
    </xf>
    <xf numFmtId="42" fontId="8" fillId="0" borderId="6" xfId="8" applyNumberFormat="1" applyFont="1" applyBorder="1"/>
    <xf numFmtId="174" fontId="0" fillId="0" borderId="0" xfId="0" applyAlignment="1">
      <alignment horizontal="right"/>
    </xf>
    <xf numFmtId="0" fontId="136" fillId="0" borderId="0" xfId="6" applyFont="1" applyBorder="1" applyAlignment="1">
      <alignment horizontal="left"/>
    </xf>
    <xf numFmtId="0" fontId="136" fillId="0" borderId="0" xfId="6" applyFont="1" applyFill="1" applyBorder="1" applyAlignment="1">
      <alignment horizontal="left"/>
    </xf>
    <xf numFmtId="9" fontId="6" fillId="0" borderId="0" xfId="11" applyFont="1" applyAlignment="1"/>
    <xf numFmtId="164" fontId="6" fillId="0" borderId="0" xfId="11" applyNumberFormat="1" applyFont="1" applyFill="1" applyAlignment="1"/>
    <xf numFmtId="9" fontId="6" fillId="0" borderId="0" xfId="11" applyFont="1" applyFill="1" applyAlignment="1"/>
    <xf numFmtId="10" fontId="6" fillId="0" borderId="0" xfId="11" applyNumberFormat="1" applyFont="1" applyFill="1" applyAlignment="1"/>
    <xf numFmtId="0" fontId="22" fillId="0" borderId="0" xfId="10" applyAlignment="1">
      <alignment horizontal="left"/>
    </xf>
    <xf numFmtId="41" fontId="17" fillId="0" borderId="0" xfId="1" applyNumberFormat="1" applyFont="1" applyBorder="1"/>
    <xf numFmtId="41" fontId="17" fillId="0" borderId="0" xfId="1" applyNumberFormat="1" applyFont="1" applyFill="1" applyBorder="1"/>
    <xf numFmtId="0" fontId="6" fillId="0" borderId="0" xfId="0" applyNumberFormat="1" applyFont="1" applyFill="1" applyAlignment="1" applyProtection="1">
      <alignment vertical="top" wrapText="1"/>
      <protection locked="0"/>
    </xf>
    <xf numFmtId="0" fontId="6" fillId="0" borderId="0" xfId="0" applyNumberFormat="1" applyFont="1" applyFill="1" applyAlignment="1">
      <alignment horizontal="right"/>
    </xf>
    <xf numFmtId="0" fontId="6" fillId="0" borderId="0" xfId="0" applyNumberFormat="1" applyFont="1" applyFill="1" applyAlignment="1">
      <alignment horizontal="left" wrapText="1"/>
    </xf>
    <xf numFmtId="0" fontId="0" fillId="0" borderId="9" xfId="0" applyNumberFormat="1" applyBorder="1" applyAlignment="1">
      <alignment horizontal="center"/>
    </xf>
    <xf numFmtId="0" fontId="0" fillId="0" borderId="10" xfId="0" applyNumberFormat="1" applyFont="1" applyBorder="1" applyAlignment="1">
      <alignment horizontal="center"/>
    </xf>
    <xf numFmtId="0" fontId="0" fillId="0" borderId="11" xfId="0" applyNumberFormat="1" applyFont="1" applyBorder="1" applyAlignment="1">
      <alignment horizontal="center"/>
    </xf>
    <xf numFmtId="0" fontId="6" fillId="0" borderId="0" xfId="0" applyNumberFormat="1" applyFont="1" applyFill="1" applyAlignment="1">
      <alignment vertical="top" wrapText="1"/>
    </xf>
    <xf numFmtId="174" fontId="8" fillId="0" borderId="0" xfId="0" applyFont="1" applyAlignment="1">
      <alignment wrapText="1"/>
    </xf>
    <xf numFmtId="174" fontId="17" fillId="0" borderId="0" xfId="0" applyFont="1" applyAlignment="1">
      <alignment wrapText="1"/>
    </xf>
    <xf numFmtId="174" fontId="0" fillId="0" borderId="0" xfId="0" applyFill="1" applyBorder="1" applyAlignment="1">
      <alignment horizontal="left"/>
    </xf>
    <xf numFmtId="174" fontId="5" fillId="0" borderId="0" xfId="0" applyFont="1" applyFill="1" applyBorder="1" applyAlignment="1">
      <alignment horizontal="left"/>
    </xf>
    <xf numFmtId="174" fontId="0" fillId="0" borderId="0" xfId="0" applyFont="1" applyFill="1" applyBorder="1" applyAlignment="1">
      <alignment horizontal="left"/>
    </xf>
    <xf numFmtId="174" fontId="0" fillId="0" borderId="0" xfId="0" applyFont="1" applyFill="1" applyBorder="1" applyAlignment="1">
      <alignment horizontal="left" vertical="top" wrapText="1"/>
    </xf>
    <xf numFmtId="174" fontId="0" fillId="0" borderId="0" xfId="0" applyFill="1" applyBorder="1" applyAlignment="1">
      <alignment horizontal="left" vertical="top" wrapText="1"/>
    </xf>
    <xf numFmtId="174" fontId="5" fillId="0" borderId="0" xfId="0" applyFont="1" applyFill="1" applyBorder="1" applyAlignment="1">
      <alignment horizontal="left" vertical="top" wrapText="1"/>
    </xf>
    <xf numFmtId="174" fontId="5" fillId="0" borderId="0" xfId="0" applyFont="1" applyFill="1" applyBorder="1" applyAlignment="1">
      <alignment horizontal="left" wrapText="1"/>
    </xf>
    <xf numFmtId="0" fontId="117" fillId="0" borderId="0" xfId="332" applyFont="1" applyAlignment="1">
      <alignment horizontal="center"/>
    </xf>
    <xf numFmtId="0" fontId="4" fillId="0" borderId="0" xfId="332" applyAlignment="1">
      <alignment horizontal="center"/>
    </xf>
    <xf numFmtId="43" fontId="21" fillId="4" borderId="0" xfId="333" applyFont="1" applyFill="1" applyBorder="1" applyAlignment="1">
      <alignment horizontal="center"/>
    </xf>
    <xf numFmtId="0" fontId="122" fillId="4" borderId="0" xfId="332" applyFont="1" applyFill="1" applyBorder="1" applyAlignment="1">
      <alignment horizontal="center"/>
    </xf>
    <xf numFmtId="0" fontId="17" fillId="0" borderId="0" xfId="9" applyFont="1" applyAlignment="1">
      <alignment horizontal="center"/>
    </xf>
    <xf numFmtId="0" fontId="17" fillId="0" borderId="0" xfId="8" applyFont="1" applyAlignment="1">
      <alignment wrapText="1"/>
    </xf>
    <xf numFmtId="0" fontId="22" fillId="0" borderId="0" xfId="8" applyAlignment="1">
      <alignment wrapText="1"/>
    </xf>
    <xf numFmtId="174" fontId="0" fillId="0" borderId="0" xfId="0" applyAlignment="1">
      <alignment wrapText="1"/>
    </xf>
  </cellXfs>
  <cellStyles count="341">
    <cellStyle name="¢ Currency [1]" xfId="29"/>
    <cellStyle name="¢ Currency [2]" xfId="30"/>
    <cellStyle name="¢ Currency [3]" xfId="31"/>
    <cellStyle name="£ Currency [0]" xfId="32"/>
    <cellStyle name="£ Currency [1]" xfId="33"/>
    <cellStyle name="£ Currency [2]" xfId="34"/>
    <cellStyle name="=C:\WINNT35\SYSTEM32\COMMAND.COM" xfId="28"/>
    <cellStyle name="Basic" xfId="35"/>
    <cellStyle name="black" xfId="36"/>
    <cellStyle name="blu" xfId="37"/>
    <cellStyle name="bot" xfId="38"/>
    <cellStyle name="Bullet" xfId="39"/>
    <cellStyle name="Bullet [0]" xfId="40"/>
    <cellStyle name="Bullet [2]" xfId="41"/>
    <cellStyle name="Bullet [4]" xfId="42"/>
    <cellStyle name="c" xfId="43"/>
    <cellStyle name="c," xfId="44"/>
    <cellStyle name="c_HardInc " xfId="45"/>
    <cellStyle name="c_HardInc _ITC Great Plains Formula 1-12-09a" xfId="46"/>
    <cellStyle name="C00A" xfId="47"/>
    <cellStyle name="C00B" xfId="48"/>
    <cellStyle name="C00L" xfId="49"/>
    <cellStyle name="C01A" xfId="50"/>
    <cellStyle name="C01B" xfId="51"/>
    <cellStyle name="C01H" xfId="52"/>
    <cellStyle name="C01L" xfId="53"/>
    <cellStyle name="C02A" xfId="54"/>
    <cellStyle name="C02B" xfId="55"/>
    <cellStyle name="C02H" xfId="56"/>
    <cellStyle name="C02L" xfId="57"/>
    <cellStyle name="C03A" xfId="58"/>
    <cellStyle name="C03B" xfId="59"/>
    <cellStyle name="C03H" xfId="60"/>
    <cellStyle name="C03L" xfId="61"/>
    <cellStyle name="C04A" xfId="62"/>
    <cellStyle name="C04B" xfId="63"/>
    <cellStyle name="C04H" xfId="64"/>
    <cellStyle name="C04L" xfId="65"/>
    <cellStyle name="C05A" xfId="66"/>
    <cellStyle name="C05B" xfId="67"/>
    <cellStyle name="C05H" xfId="68"/>
    <cellStyle name="C05L" xfId="69"/>
    <cellStyle name="C06A" xfId="70"/>
    <cellStyle name="C06B" xfId="71"/>
    <cellStyle name="C06H" xfId="72"/>
    <cellStyle name="C06L" xfId="73"/>
    <cellStyle name="C07A" xfId="74"/>
    <cellStyle name="C07B" xfId="75"/>
    <cellStyle name="C07H" xfId="76"/>
    <cellStyle name="C07L" xfId="77"/>
    <cellStyle name="c1" xfId="78"/>
    <cellStyle name="c1," xfId="79"/>
    <cellStyle name="c2" xfId="80"/>
    <cellStyle name="c2," xfId="81"/>
    <cellStyle name="c3" xfId="82"/>
    <cellStyle name="cas" xfId="83"/>
    <cellStyle name="Centered Heading" xfId="84"/>
    <cellStyle name="Comma" xfId="1" builtinId="3"/>
    <cellStyle name="Comma  - Style1" xfId="85"/>
    <cellStyle name="Comma  - Style2" xfId="86"/>
    <cellStyle name="Comma  - Style3" xfId="87"/>
    <cellStyle name="Comma  - Style4" xfId="88"/>
    <cellStyle name="Comma  - Style5" xfId="89"/>
    <cellStyle name="Comma  - Style6" xfId="90"/>
    <cellStyle name="Comma  - Style7" xfId="91"/>
    <cellStyle name="Comma  - Style8" xfId="92"/>
    <cellStyle name="Comma [1]" xfId="93"/>
    <cellStyle name="Comma [2]" xfId="94"/>
    <cellStyle name="Comma [3]" xfId="95"/>
    <cellStyle name="Comma 0.0" xfId="96"/>
    <cellStyle name="Comma 0.00" xfId="97"/>
    <cellStyle name="Comma 0.000" xfId="98"/>
    <cellStyle name="Comma 0.0000" xfId="99"/>
    <cellStyle name="Comma 2" xfId="2"/>
    <cellStyle name="Comma 2 2" xfId="100"/>
    <cellStyle name="Comma 3" xfId="14"/>
    <cellStyle name="Comma 3 2" xfId="101"/>
    <cellStyle name="Comma 4" xfId="15"/>
    <cellStyle name="Comma 4 2" xfId="21"/>
    <cellStyle name="Comma 5" xfId="18"/>
    <cellStyle name="Comma 6" xfId="334"/>
    <cellStyle name="Comma 7" xfId="333"/>
    <cellStyle name="Comma 8" xfId="338"/>
    <cellStyle name="Comma Input" xfId="102"/>
    <cellStyle name="Comma0" xfId="103"/>
    <cellStyle name="Company Name" xfId="104"/>
    <cellStyle name="Currency" xfId="3" builtinId="4"/>
    <cellStyle name="Currency [1]" xfId="105"/>
    <cellStyle name="Currency [2]" xfId="106"/>
    <cellStyle name="Currency [3]" xfId="107"/>
    <cellStyle name="Currency 0.0" xfId="108"/>
    <cellStyle name="Currency 0.00" xfId="109"/>
    <cellStyle name="Currency 0.000" xfId="110"/>
    <cellStyle name="Currency 0.0000" xfId="111"/>
    <cellStyle name="Currency 2" xfId="13"/>
    <cellStyle name="Currency 2 2" xfId="112"/>
    <cellStyle name="Currency 3" xfId="19"/>
    <cellStyle name="Currency 3 2" xfId="113"/>
    <cellStyle name="Currency 4" xfId="27"/>
    <cellStyle name="Currency 5" xfId="340"/>
    <cellStyle name="Currency 6" xfId="339"/>
    <cellStyle name="Currency Input" xfId="114"/>
    <cellStyle name="Currency0" xfId="115"/>
    <cellStyle name="d" xfId="116"/>
    <cellStyle name="d," xfId="117"/>
    <cellStyle name="d1" xfId="118"/>
    <cellStyle name="d1," xfId="119"/>
    <cellStyle name="d2" xfId="120"/>
    <cellStyle name="d2," xfId="121"/>
    <cellStyle name="d3" xfId="122"/>
    <cellStyle name="Dash" xfId="123"/>
    <cellStyle name="Date" xfId="124"/>
    <cellStyle name="Date [Abbreviated]" xfId="125"/>
    <cellStyle name="Date [Long Europe]" xfId="126"/>
    <cellStyle name="Date [Long U.S.]" xfId="127"/>
    <cellStyle name="Date [Short Europe]" xfId="128"/>
    <cellStyle name="Date [Short U.S.]" xfId="129"/>
    <cellStyle name="Date_ITCM 2010 Template" xfId="130"/>
    <cellStyle name="Define$0" xfId="131"/>
    <cellStyle name="Define$1" xfId="132"/>
    <cellStyle name="Define$2" xfId="133"/>
    <cellStyle name="Define0" xfId="134"/>
    <cellStyle name="Define1" xfId="135"/>
    <cellStyle name="Define1x" xfId="136"/>
    <cellStyle name="Define2" xfId="137"/>
    <cellStyle name="Define2x" xfId="138"/>
    <cellStyle name="Dollar" xfId="139"/>
    <cellStyle name="e" xfId="140"/>
    <cellStyle name="e1" xfId="141"/>
    <cellStyle name="e2" xfId="142"/>
    <cellStyle name="Euro" xfId="143"/>
    <cellStyle name="Fixed" xfId="144"/>
    <cellStyle name="FOOTER - Style1" xfId="145"/>
    <cellStyle name="g" xfId="146"/>
    <cellStyle name="general" xfId="147"/>
    <cellStyle name="General [C]" xfId="148"/>
    <cellStyle name="General [R]" xfId="149"/>
    <cellStyle name="Green" xfId="150"/>
    <cellStyle name="grey" xfId="151"/>
    <cellStyle name="Header1" xfId="152"/>
    <cellStyle name="Header2" xfId="153"/>
    <cellStyle name="Heading" xfId="154"/>
    <cellStyle name="Heading No Underline" xfId="155"/>
    <cellStyle name="Heading With Underline" xfId="156"/>
    <cellStyle name="Heading1" xfId="157"/>
    <cellStyle name="Heading2" xfId="158"/>
    <cellStyle name="Headline" xfId="159"/>
    <cellStyle name="Highlight" xfId="160"/>
    <cellStyle name="in" xfId="161"/>
    <cellStyle name="Indented [0]" xfId="162"/>
    <cellStyle name="Indented [2]" xfId="163"/>
    <cellStyle name="Indented [4]" xfId="164"/>
    <cellStyle name="Indented [6]" xfId="165"/>
    <cellStyle name="Input [yellow]" xfId="166"/>
    <cellStyle name="Input$0" xfId="167"/>
    <cellStyle name="Input$1" xfId="168"/>
    <cellStyle name="Input$2" xfId="169"/>
    <cellStyle name="Input0" xfId="170"/>
    <cellStyle name="Input1" xfId="171"/>
    <cellStyle name="Input1x" xfId="172"/>
    <cellStyle name="Input2" xfId="173"/>
    <cellStyle name="Input2x" xfId="174"/>
    <cellStyle name="lborder" xfId="175"/>
    <cellStyle name="LeftSubtitle" xfId="176"/>
    <cellStyle name="m" xfId="177"/>
    <cellStyle name="m1" xfId="178"/>
    <cellStyle name="m2" xfId="179"/>
    <cellStyle name="m3" xfId="180"/>
    <cellStyle name="Multiple" xfId="181"/>
    <cellStyle name="Negative" xfId="182"/>
    <cellStyle name="no dec" xfId="183"/>
    <cellStyle name="Normal" xfId="0" builtinId="0"/>
    <cellStyle name="Normal - Style1" xfId="184"/>
    <cellStyle name="Normal 2" xfId="4"/>
    <cellStyle name="Normal 3" xfId="5"/>
    <cellStyle name="Normal 3 2" xfId="185"/>
    <cellStyle name="Normal 3_ITC-Great Plains Heintz 6-24-08a" xfId="186"/>
    <cellStyle name="Normal 4" xfId="17"/>
    <cellStyle name="Normal 4 2" xfId="187"/>
    <cellStyle name="Normal 4_ITC-Great Plains Heintz 6-24-08a" xfId="188"/>
    <cellStyle name="Normal 5" xfId="16"/>
    <cellStyle name="Normal 6" xfId="23"/>
    <cellStyle name="Normal 7" xfId="332"/>
    <cellStyle name="Normal 8" xfId="336"/>
    <cellStyle name="Normal_2002 A to BK TLF Recon WVPA" xfId="6"/>
    <cellStyle name="Normal_Advertising expense query - 3.29.07" xfId="7"/>
    <cellStyle name="Normal_Attachment GG (2)" xfId="26"/>
    <cellStyle name="Normal_Attachment GG Blank Template 8 26 09 (3)" xfId="25"/>
    <cellStyle name="Normal_Attachment O &amp; GG Final 11_11_09" xfId="331"/>
    <cellStyle name="Normal_Book2_12-31-2004 SPS BK Revised Revenue Credit" xfId="337"/>
    <cellStyle name="Normal_Cinergy Revenue Credits by Operating Company" xfId="8"/>
    <cellStyle name="Normal_FERC Functional M&amp;S All Cos" xfId="9"/>
    <cellStyle name="Normal_Schedule O Info for Mike 2" xfId="330"/>
    <cellStyle name="Normal_Sheet1" xfId="24"/>
    <cellStyle name="Normal_Sheet3" xfId="22"/>
    <cellStyle name="Normal_Support 2003 PSI Peak Demand excluding Joint Owners" xfId="10"/>
    <cellStyle name="Output1_Back" xfId="189"/>
    <cellStyle name="p" xfId="190"/>
    <cellStyle name="p_2010 Attachment O  GG_082709" xfId="191"/>
    <cellStyle name="p_2010 Attachment O Template Supporting Work Papers_ITC Midwest" xfId="192"/>
    <cellStyle name="p_2010 Attachment O Template Supporting Work Papers_ITCTransmission" xfId="193"/>
    <cellStyle name="p_2010 Attachment O Template Supporting Work Papers_METC" xfId="194"/>
    <cellStyle name="p_2Mod11" xfId="195"/>
    <cellStyle name="p_aavidmod11.xls Chart 1" xfId="196"/>
    <cellStyle name="p_aavidmod11.xls Chart 2" xfId="197"/>
    <cellStyle name="p_Attachment O &amp; GG" xfId="198"/>
    <cellStyle name="p_charts for capm" xfId="199"/>
    <cellStyle name="p_DCF" xfId="200"/>
    <cellStyle name="p_DCF_2Mod11" xfId="201"/>
    <cellStyle name="p_DCF_aavidmod11.xls Chart 1" xfId="202"/>
    <cellStyle name="p_DCF_aavidmod11.xls Chart 2" xfId="203"/>
    <cellStyle name="p_DCF_charts for capm" xfId="204"/>
    <cellStyle name="p_DCF_DCF5" xfId="205"/>
    <cellStyle name="p_DCF_Template2" xfId="206"/>
    <cellStyle name="p_DCF_Template2_1" xfId="207"/>
    <cellStyle name="p_DCF_VERA" xfId="208"/>
    <cellStyle name="p_DCF_VERA_1" xfId="209"/>
    <cellStyle name="p_DCF_VERA_1_Template2" xfId="210"/>
    <cellStyle name="p_DCF_VERA_aavidmod11.xls Chart 2" xfId="211"/>
    <cellStyle name="p_DCF_VERA_Model02" xfId="212"/>
    <cellStyle name="p_DCF_VERA_Template2" xfId="213"/>
    <cellStyle name="p_DCF_VERA_VERA" xfId="214"/>
    <cellStyle name="p_DCF_VERA_VERA_1" xfId="215"/>
    <cellStyle name="p_DCF_VERA_VERA_2" xfId="216"/>
    <cellStyle name="p_DCF_VERA_VERA_Template2" xfId="217"/>
    <cellStyle name="p_DCF5" xfId="218"/>
    <cellStyle name="p_ITC Great Plains Formula 1-12-09a" xfId="219"/>
    <cellStyle name="p_ITCM 2010 Template" xfId="220"/>
    <cellStyle name="p_ITCMW 2009 Rate" xfId="221"/>
    <cellStyle name="p_ITCMW 2010 Rate_083109" xfId="222"/>
    <cellStyle name="p_ITCOP 2010 Rate_083109" xfId="223"/>
    <cellStyle name="p_ITCT 2009 Rate" xfId="224"/>
    <cellStyle name="p_ITCT New 2010 Attachment O &amp; GG_111209NL" xfId="225"/>
    <cellStyle name="p_METC 2010 Rate_083109" xfId="226"/>
    <cellStyle name="p_Template2" xfId="227"/>
    <cellStyle name="p_Template2_1" xfId="228"/>
    <cellStyle name="p_VERA" xfId="229"/>
    <cellStyle name="p_VERA_1" xfId="230"/>
    <cellStyle name="p_VERA_1_Template2" xfId="231"/>
    <cellStyle name="p_VERA_aavidmod11.xls Chart 2" xfId="232"/>
    <cellStyle name="p_VERA_Model02" xfId="233"/>
    <cellStyle name="p_VERA_Template2" xfId="234"/>
    <cellStyle name="p_VERA_VERA" xfId="235"/>
    <cellStyle name="p_VERA_VERA_1" xfId="236"/>
    <cellStyle name="p_VERA_VERA_2" xfId="237"/>
    <cellStyle name="p_VERA_VERA_Template2" xfId="238"/>
    <cellStyle name="p1" xfId="239"/>
    <cellStyle name="p2" xfId="240"/>
    <cellStyle name="p3" xfId="241"/>
    <cellStyle name="Percent" xfId="11" builtinId="5"/>
    <cellStyle name="Percent %" xfId="242"/>
    <cellStyle name="Percent % Long Underline" xfId="243"/>
    <cellStyle name="Percent (0)" xfId="244"/>
    <cellStyle name="Percent [0]" xfId="245"/>
    <cellStyle name="Percent [1]" xfId="246"/>
    <cellStyle name="Percent [2]" xfId="247"/>
    <cellStyle name="Percent [3]" xfId="248"/>
    <cellStyle name="Percent 0.0%" xfId="249"/>
    <cellStyle name="Percent 0.0% Long Underline" xfId="250"/>
    <cellStyle name="Percent 0.00%" xfId="251"/>
    <cellStyle name="Percent 0.00% Long Underline" xfId="252"/>
    <cellStyle name="Percent 0.000%" xfId="253"/>
    <cellStyle name="Percent 0.000% Long Underline" xfId="254"/>
    <cellStyle name="Percent 0.0000%" xfId="255"/>
    <cellStyle name="Percent 0.0000% Long Underline" xfId="256"/>
    <cellStyle name="Percent 2" xfId="12"/>
    <cellStyle name="Percent 2 2" xfId="257"/>
    <cellStyle name="Percent 3" xfId="20"/>
    <cellStyle name="Percent 3 2" xfId="258"/>
    <cellStyle name="Percent 4" xfId="335"/>
    <cellStyle name="Percent Input" xfId="259"/>
    <cellStyle name="Percent0" xfId="260"/>
    <cellStyle name="Percent1" xfId="261"/>
    <cellStyle name="Percent2" xfId="262"/>
    <cellStyle name="PSChar" xfId="263"/>
    <cellStyle name="PSDate" xfId="264"/>
    <cellStyle name="PSDec" xfId="265"/>
    <cellStyle name="PSdesc" xfId="266"/>
    <cellStyle name="PSHeading" xfId="267"/>
    <cellStyle name="PSInt" xfId="268"/>
    <cellStyle name="PSSpacer" xfId="269"/>
    <cellStyle name="PStest" xfId="270"/>
    <cellStyle name="R00A" xfId="271"/>
    <cellStyle name="R00B" xfId="272"/>
    <cellStyle name="R00L" xfId="273"/>
    <cellStyle name="R01A" xfId="274"/>
    <cellStyle name="R01B" xfId="275"/>
    <cellStyle name="R01H" xfId="276"/>
    <cellStyle name="R01L" xfId="277"/>
    <cellStyle name="R02A" xfId="278"/>
    <cellStyle name="R02B" xfId="279"/>
    <cellStyle name="R02H" xfId="280"/>
    <cellStyle name="R02L" xfId="281"/>
    <cellStyle name="R03A" xfId="282"/>
    <cellStyle name="R03B" xfId="283"/>
    <cellStyle name="R03H" xfId="284"/>
    <cellStyle name="R03L" xfId="285"/>
    <cellStyle name="R04A" xfId="286"/>
    <cellStyle name="R04B" xfId="287"/>
    <cellStyle name="R04H" xfId="288"/>
    <cellStyle name="R04L" xfId="289"/>
    <cellStyle name="R05A" xfId="290"/>
    <cellStyle name="R05B" xfId="291"/>
    <cellStyle name="R05H" xfId="292"/>
    <cellStyle name="R05L" xfId="293"/>
    <cellStyle name="R06A" xfId="294"/>
    <cellStyle name="R06B" xfId="295"/>
    <cellStyle name="R06H" xfId="296"/>
    <cellStyle name="R06L" xfId="297"/>
    <cellStyle name="R07A" xfId="298"/>
    <cellStyle name="R07B" xfId="299"/>
    <cellStyle name="R07H" xfId="300"/>
    <cellStyle name="R07L" xfId="301"/>
    <cellStyle name="rborder" xfId="302"/>
    <cellStyle name="red" xfId="303"/>
    <cellStyle name="s_HardInc " xfId="304"/>
    <cellStyle name="s_HardInc _ITC Great Plains Formula 1-12-09a" xfId="305"/>
    <cellStyle name="scenario" xfId="306"/>
    <cellStyle name="Sheetmult" xfId="307"/>
    <cellStyle name="Shtmultx" xfId="308"/>
    <cellStyle name="Style 1" xfId="309"/>
    <cellStyle name="STYLE1" xfId="310"/>
    <cellStyle name="STYLE2" xfId="311"/>
    <cellStyle name="TableHeading" xfId="312"/>
    <cellStyle name="tb" xfId="313"/>
    <cellStyle name="Tickmark" xfId="314"/>
    <cellStyle name="Title1" xfId="315"/>
    <cellStyle name="top" xfId="316"/>
    <cellStyle name="w" xfId="317"/>
    <cellStyle name="XComma" xfId="318"/>
    <cellStyle name="XComma 0.0" xfId="319"/>
    <cellStyle name="XComma 0.00" xfId="320"/>
    <cellStyle name="XComma 0.000" xfId="321"/>
    <cellStyle name="XCurrency" xfId="322"/>
    <cellStyle name="XCurrency 0.0" xfId="323"/>
    <cellStyle name="XCurrency 0.00" xfId="324"/>
    <cellStyle name="XCurrency 0.000" xfId="325"/>
    <cellStyle name="yra" xfId="326"/>
    <cellStyle name="yrActual" xfId="327"/>
    <cellStyle name="yre" xfId="328"/>
    <cellStyle name="yrExpect" xfId="329"/>
  </cellStyles>
  <dxfs count="0"/>
  <tableStyles count="0" defaultTableStyle="TableStyleMedium9" defaultPivotStyle="PivotStyleLight16"/>
  <colors>
    <mruColors>
      <color rgb="FFFFFF99"/>
      <color rgb="FFFFFF66"/>
      <color rgb="FFCCFFFF"/>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441960</xdr:colOff>
      <xdr:row>0</xdr:row>
      <xdr:rowOff>22860</xdr:rowOff>
    </xdr:from>
    <xdr:to>
      <xdr:col>3</xdr:col>
      <xdr:colOff>4107180</xdr:colOff>
      <xdr:row>4</xdr:row>
      <xdr:rowOff>30480</xdr:rowOff>
    </xdr:to>
    <xdr:sp macro="" textlink="">
      <xdr:nvSpPr>
        <xdr:cNvPr id="2" name="TextBox 1"/>
        <xdr:cNvSpPr txBox="1"/>
      </xdr:nvSpPr>
      <xdr:spPr>
        <a:xfrm>
          <a:off x="5928360" y="22860"/>
          <a:ext cx="3665220" cy="960120"/>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a:t>BASIC WORKSHEET</a:t>
          </a:r>
        </a:p>
        <a:p>
          <a:pPr algn="ctr"/>
          <a:r>
            <a:rPr lang="en-US" sz="1200" baseline="0"/>
            <a:t>TU first becomes effective in 2013</a:t>
          </a:r>
        </a:p>
        <a:p>
          <a:pPr algn="ctr"/>
          <a:endParaRPr lang="en-US" sz="1100"/>
        </a:p>
      </xdr:txBody>
    </xdr:sp>
    <xdr:clientData/>
  </xdr:twoCellAnchor>
  <xdr:twoCellAnchor editAs="oneCell">
    <xdr:from>
      <xdr:col>3</xdr:col>
      <xdr:colOff>1280160</xdr:colOff>
      <xdr:row>3</xdr:row>
      <xdr:rowOff>30480</xdr:rowOff>
    </xdr:from>
    <xdr:to>
      <xdr:col>3</xdr:col>
      <xdr:colOff>3276600</xdr:colOff>
      <xdr:row>3</xdr:row>
      <xdr:rowOff>213360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6560" y="744855"/>
          <a:ext cx="1996440" cy="182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cyfile1\rate\Formula%20Rate\2008\Logansport\2008\Logansport\BL_LOGAN%20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
      <sheetName val="macros"/>
      <sheetName val="input_data"/>
      <sheetName val="reserve_info"/>
      <sheetName val="alloc"/>
      <sheetName val="Prop_Trackers"/>
      <sheetName val="trackers"/>
      <sheetName val="inc_pres"/>
      <sheetName val="inc_prop"/>
      <sheetName val="ocd"/>
      <sheetName val="revDed"/>
      <sheetName val="dit_itc"/>
      <sheetName val="taxes"/>
      <sheetName val="SIT"/>
      <sheetName val="FIT"/>
      <sheetName val="NOI_CLASSIFY"/>
      <sheetName val="NOI_FOOTNOTE"/>
      <sheetName val="ratedesign"/>
      <sheetName val="Ratedesign_wRiders"/>
      <sheetName val="Phase_1"/>
      <sheetName val="Phase_2"/>
      <sheetName val="Phase_3"/>
      <sheetName val="ratedesign_Ph1"/>
      <sheetName val="ratedesign_ph2"/>
      <sheetName val="ratedesign_Ph3"/>
    </sheetNames>
    <sheetDataSet>
      <sheetData sheetId="0" refreshError="1"/>
      <sheetData sheetId="1">
        <row r="38">
          <cell r="B38" t="str">
            <v>SETTLEMENT</v>
          </cell>
        </row>
      </sheetData>
      <sheetData sheetId="2">
        <row r="12">
          <cell r="B12" t="str">
            <v xml:space="preserve">September 30, 2002  </v>
          </cell>
        </row>
      </sheetData>
      <sheetData sheetId="3" refreshError="1"/>
      <sheetData sheetId="4">
        <row r="11">
          <cell r="B11" t="str">
            <v>INPUT</v>
          </cell>
          <cell r="D11">
            <v>1</v>
          </cell>
          <cell r="F11">
            <v>0</v>
          </cell>
          <cell r="H11">
            <v>1</v>
          </cell>
          <cell r="J11">
            <v>0</v>
          </cell>
          <cell r="L11">
            <v>0</v>
          </cell>
          <cell r="N11">
            <v>1</v>
          </cell>
          <cell r="O11">
            <v>1</v>
          </cell>
        </row>
        <row r="12">
          <cell r="B12" t="str">
            <v>PROD_D</v>
          </cell>
          <cell r="D12">
            <v>1</v>
          </cell>
          <cell r="F12">
            <v>0</v>
          </cell>
          <cell r="H12">
            <v>1</v>
          </cell>
          <cell r="J12">
            <v>0</v>
          </cell>
          <cell r="L12">
            <v>0</v>
          </cell>
          <cell r="N12">
            <v>1</v>
          </cell>
          <cell r="O12">
            <v>1</v>
          </cell>
        </row>
        <row r="14">
          <cell r="B14" t="str">
            <v>INPUT</v>
          </cell>
          <cell r="D14">
            <v>0</v>
          </cell>
          <cell r="F14">
            <v>0</v>
          </cell>
          <cell r="H14">
            <v>0</v>
          </cell>
          <cell r="J14">
            <v>0</v>
          </cell>
          <cell r="L14">
            <v>1</v>
          </cell>
          <cell r="N14">
            <v>1</v>
          </cell>
          <cell r="O14">
            <v>1</v>
          </cell>
        </row>
        <row r="15">
          <cell r="B15" t="str">
            <v>PROD_E</v>
          </cell>
          <cell r="D15">
            <v>0</v>
          </cell>
          <cell r="F15">
            <v>0</v>
          </cell>
          <cell r="H15">
            <v>0</v>
          </cell>
          <cell r="J15">
            <v>0</v>
          </cell>
          <cell r="L15">
            <v>1</v>
          </cell>
          <cell r="N15">
            <v>1</v>
          </cell>
          <cell r="O15">
            <v>1</v>
          </cell>
        </row>
        <row r="17">
          <cell r="B17" t="str">
            <v>INPUT</v>
          </cell>
          <cell r="D17">
            <v>0</v>
          </cell>
          <cell r="F17">
            <v>1</v>
          </cell>
          <cell r="H17">
            <v>1</v>
          </cell>
          <cell r="J17">
            <v>0</v>
          </cell>
          <cell r="L17">
            <v>0</v>
          </cell>
          <cell r="N17">
            <v>1</v>
          </cell>
          <cell r="O17">
            <v>1</v>
          </cell>
        </row>
        <row r="18">
          <cell r="B18" t="str">
            <v>TRAN</v>
          </cell>
          <cell r="D18">
            <v>0</v>
          </cell>
          <cell r="F18">
            <v>1</v>
          </cell>
          <cell r="H18">
            <v>1</v>
          </cell>
          <cell r="J18">
            <v>0</v>
          </cell>
          <cell r="L18">
            <v>0</v>
          </cell>
          <cell r="N18">
            <v>1</v>
          </cell>
          <cell r="O18">
            <v>1</v>
          </cell>
        </row>
        <row r="20">
          <cell r="B20" t="str">
            <v>INPUT</v>
          </cell>
          <cell r="D20">
            <v>0</v>
          </cell>
          <cell r="F20">
            <v>0</v>
          </cell>
          <cell r="H20">
            <v>0</v>
          </cell>
          <cell r="J20">
            <v>1</v>
          </cell>
          <cell r="L20">
            <v>0</v>
          </cell>
          <cell r="N20">
            <v>1</v>
          </cell>
          <cell r="O20">
            <v>1</v>
          </cell>
        </row>
        <row r="21">
          <cell r="B21" t="str">
            <v>LOCAL_FAC</v>
          </cell>
          <cell r="D21">
            <v>0</v>
          </cell>
          <cell r="F21">
            <v>0</v>
          </cell>
          <cell r="H21">
            <v>0</v>
          </cell>
          <cell r="J21">
            <v>1</v>
          </cell>
          <cell r="L21">
            <v>0</v>
          </cell>
          <cell r="N21">
            <v>1</v>
          </cell>
          <cell r="O21">
            <v>1</v>
          </cell>
        </row>
        <row r="24">
          <cell r="D24">
            <v>18127</v>
          </cell>
          <cell r="F24">
            <v>2042</v>
          </cell>
          <cell r="H24">
            <v>20169</v>
          </cell>
          <cell r="J24">
            <v>28</v>
          </cell>
          <cell r="L24">
            <v>770</v>
          </cell>
          <cell r="N24">
            <v>20967</v>
          </cell>
          <cell r="O24">
            <v>20967</v>
          </cell>
        </row>
        <row r="25">
          <cell r="B25" t="str">
            <v>OCD</v>
          </cell>
          <cell r="D25">
            <v>0.86454905400000004</v>
          </cell>
          <cell r="F25">
            <v>9.7391138000000002E-2</v>
          </cell>
          <cell r="H25">
            <v>0.96194019200000003</v>
          </cell>
          <cell r="J25">
            <v>1.3354319999999999E-3</v>
          </cell>
          <cell r="L25">
            <v>3.6724375999999975E-2</v>
          </cell>
          <cell r="N25">
            <v>1</v>
          </cell>
          <cell r="O25">
            <v>1</v>
          </cell>
        </row>
        <row r="27">
          <cell r="D27">
            <v>17873</v>
          </cell>
          <cell r="F27">
            <v>2016</v>
          </cell>
          <cell r="H27">
            <v>19889</v>
          </cell>
          <cell r="J27">
            <v>28</v>
          </cell>
          <cell r="L27">
            <v>139</v>
          </cell>
          <cell r="N27">
            <v>20056</v>
          </cell>
          <cell r="O27">
            <v>20056</v>
          </cell>
        </row>
        <row r="28">
          <cell r="B28" t="str">
            <v>EPIS</v>
          </cell>
          <cell r="D28">
            <v>0.89115476699999996</v>
          </cell>
          <cell r="F28">
            <v>0.100518548</v>
          </cell>
          <cell r="H28">
            <v>0.991673315</v>
          </cell>
          <cell r="J28">
            <v>1.3960909999999999E-3</v>
          </cell>
          <cell r="L28">
            <v>6.930594E-3</v>
          </cell>
          <cell r="N28">
            <v>1</v>
          </cell>
          <cell r="O28">
            <v>1</v>
          </cell>
        </row>
        <row r="30">
          <cell r="D30">
            <v>18127</v>
          </cell>
          <cell r="F30">
            <v>2042</v>
          </cell>
          <cell r="H30">
            <v>20169</v>
          </cell>
          <cell r="J30">
            <v>28</v>
          </cell>
          <cell r="L30">
            <v>658</v>
          </cell>
          <cell r="N30">
            <v>20855</v>
          </cell>
          <cell r="O30">
            <v>20855</v>
          </cell>
        </row>
        <row r="31">
          <cell r="B31" t="str">
            <v>ADJ_OCD</v>
          </cell>
          <cell r="D31">
            <v>0.86919204100000003</v>
          </cell>
          <cell r="F31">
            <v>9.7914168999999995E-2</v>
          </cell>
          <cell r="H31">
            <v>0.96710620999999997</v>
          </cell>
          <cell r="J31">
            <v>1.3426040000000001E-3</v>
          </cell>
          <cell r="L31">
            <v>3.1551186000000037E-2</v>
          </cell>
          <cell r="N31">
            <v>1</v>
          </cell>
          <cell r="O31">
            <v>1</v>
          </cell>
        </row>
        <row r="33">
          <cell r="D33">
            <v>16536</v>
          </cell>
          <cell r="F33">
            <v>0</v>
          </cell>
          <cell r="H33">
            <v>16536</v>
          </cell>
          <cell r="J33">
            <v>0</v>
          </cell>
          <cell r="L33">
            <v>0</v>
          </cell>
          <cell r="N33">
            <v>16536</v>
          </cell>
          <cell r="O33">
            <v>16536</v>
          </cell>
        </row>
        <row r="34">
          <cell r="B34" t="str">
            <v>PROD_x_G5</v>
          </cell>
          <cell r="D34">
            <v>1</v>
          </cell>
          <cell r="F34">
            <v>0</v>
          </cell>
          <cell r="H34">
            <v>1</v>
          </cell>
          <cell r="J34">
            <v>0</v>
          </cell>
          <cell r="L34">
            <v>0</v>
          </cell>
          <cell r="N34">
            <v>1</v>
          </cell>
          <cell r="O34">
            <v>1</v>
          </cell>
        </row>
        <row r="36">
          <cell r="D36">
            <v>688</v>
          </cell>
          <cell r="F36">
            <v>0</v>
          </cell>
          <cell r="H36">
            <v>688</v>
          </cell>
          <cell r="J36">
            <v>0</v>
          </cell>
          <cell r="L36">
            <v>0</v>
          </cell>
          <cell r="N36">
            <v>688</v>
          </cell>
          <cell r="O36">
            <v>688</v>
          </cell>
        </row>
        <row r="37">
          <cell r="B37" t="str">
            <v>PROD_G5</v>
          </cell>
          <cell r="D37">
            <v>1</v>
          </cell>
          <cell r="F37">
            <v>0</v>
          </cell>
          <cell r="H37">
            <v>1</v>
          </cell>
          <cell r="J37">
            <v>0</v>
          </cell>
          <cell r="L37">
            <v>0</v>
          </cell>
          <cell r="N37">
            <v>1</v>
          </cell>
          <cell r="O37">
            <v>1</v>
          </cell>
        </row>
        <row r="39">
          <cell r="D39">
            <v>17224</v>
          </cell>
          <cell r="F39">
            <v>0</v>
          </cell>
          <cell r="H39">
            <v>17224</v>
          </cell>
          <cell r="J39">
            <v>0</v>
          </cell>
          <cell r="L39">
            <v>0</v>
          </cell>
          <cell r="N39">
            <v>17224</v>
          </cell>
          <cell r="O39">
            <v>17224</v>
          </cell>
        </row>
        <row r="40">
          <cell r="B40" t="str">
            <v>PROD_PLT</v>
          </cell>
          <cell r="D40">
            <v>1</v>
          </cell>
          <cell r="F40">
            <v>0</v>
          </cell>
          <cell r="H40">
            <v>1</v>
          </cell>
          <cell r="J40">
            <v>0</v>
          </cell>
          <cell r="L40">
            <v>0</v>
          </cell>
          <cell r="N40">
            <v>1</v>
          </cell>
          <cell r="O40">
            <v>1</v>
          </cell>
        </row>
        <row r="42">
          <cell r="D42">
            <v>65</v>
          </cell>
          <cell r="F42">
            <v>1967</v>
          </cell>
          <cell r="H42">
            <v>2032</v>
          </cell>
          <cell r="J42">
            <v>0</v>
          </cell>
          <cell r="L42">
            <v>0</v>
          </cell>
          <cell r="N42">
            <v>2032</v>
          </cell>
          <cell r="O42">
            <v>2032</v>
          </cell>
        </row>
        <row r="43">
          <cell r="B43" t="str">
            <v>TRAN_X_G5</v>
          </cell>
          <cell r="D43">
            <v>3.1988189E-2</v>
          </cell>
          <cell r="F43">
            <v>0.968011811</v>
          </cell>
          <cell r="H43">
            <v>1</v>
          </cell>
          <cell r="J43">
            <v>0</v>
          </cell>
          <cell r="L43">
            <v>0</v>
          </cell>
          <cell r="N43">
            <v>1</v>
          </cell>
          <cell r="O43">
            <v>1</v>
          </cell>
        </row>
        <row r="45">
          <cell r="D45">
            <v>6</v>
          </cell>
          <cell r="F45">
            <v>0</v>
          </cell>
          <cell r="H45">
            <v>6</v>
          </cell>
          <cell r="J45">
            <v>0</v>
          </cell>
          <cell r="L45">
            <v>0</v>
          </cell>
          <cell r="N45">
            <v>6</v>
          </cell>
          <cell r="O45">
            <v>6</v>
          </cell>
        </row>
        <row r="46">
          <cell r="B46" t="str">
            <v>TRAN_G5</v>
          </cell>
          <cell r="D46">
            <v>1</v>
          </cell>
          <cell r="F46">
            <v>0</v>
          </cell>
          <cell r="H46">
            <v>1</v>
          </cell>
          <cell r="J46">
            <v>0</v>
          </cell>
          <cell r="L46">
            <v>0</v>
          </cell>
          <cell r="N46">
            <v>1</v>
          </cell>
          <cell r="O46">
            <v>1</v>
          </cell>
        </row>
        <row r="48">
          <cell r="D48">
            <v>71</v>
          </cell>
          <cell r="F48">
            <v>1967</v>
          </cell>
          <cell r="H48">
            <v>2038</v>
          </cell>
          <cell r="J48">
            <v>0</v>
          </cell>
          <cell r="L48">
            <v>0</v>
          </cell>
          <cell r="N48">
            <v>2038</v>
          </cell>
          <cell r="O48">
            <v>2038</v>
          </cell>
        </row>
        <row r="49">
          <cell r="B49" t="str">
            <v>TRAN_PLT</v>
          </cell>
          <cell r="D49">
            <v>3.4838076999999967E-2</v>
          </cell>
          <cell r="F49">
            <v>0.96516192300000003</v>
          </cell>
          <cell r="H49">
            <v>1</v>
          </cell>
          <cell r="J49">
            <v>0</v>
          </cell>
          <cell r="L49">
            <v>0</v>
          </cell>
          <cell r="N49">
            <v>1</v>
          </cell>
          <cell r="O49">
            <v>1</v>
          </cell>
        </row>
        <row r="51">
          <cell r="D51">
            <v>0</v>
          </cell>
          <cell r="F51">
            <v>0</v>
          </cell>
          <cell r="H51">
            <v>0</v>
          </cell>
          <cell r="J51">
            <v>24</v>
          </cell>
          <cell r="L51">
            <v>0</v>
          </cell>
          <cell r="N51">
            <v>24</v>
          </cell>
          <cell r="O51">
            <v>24</v>
          </cell>
        </row>
        <row r="52">
          <cell r="B52" t="str">
            <v>DIST_PLT</v>
          </cell>
          <cell r="D52">
            <v>0</v>
          </cell>
          <cell r="F52">
            <v>0</v>
          </cell>
          <cell r="H52">
            <v>0</v>
          </cell>
          <cell r="J52">
            <v>1</v>
          </cell>
          <cell r="L52">
            <v>0</v>
          </cell>
          <cell r="N52">
            <v>1</v>
          </cell>
          <cell r="O52">
            <v>1</v>
          </cell>
        </row>
        <row r="54">
          <cell r="D54">
            <v>71</v>
          </cell>
          <cell r="F54">
            <v>1967</v>
          </cell>
          <cell r="H54">
            <v>2038</v>
          </cell>
          <cell r="J54">
            <v>24</v>
          </cell>
          <cell r="L54">
            <v>0</v>
          </cell>
          <cell r="N54">
            <v>2062</v>
          </cell>
          <cell r="O54">
            <v>2062</v>
          </cell>
        </row>
        <row r="55">
          <cell r="B55" t="str">
            <v>T&amp;D_PLT</v>
          </cell>
          <cell r="D55">
            <v>3.4432589999999985E-2</v>
          </cell>
          <cell r="F55">
            <v>0.95392822499999996</v>
          </cell>
          <cell r="H55">
            <v>0.98836081499999995</v>
          </cell>
          <cell r="J55">
            <v>1.1639185E-2</v>
          </cell>
          <cell r="L55">
            <v>0</v>
          </cell>
          <cell r="N55">
            <v>1</v>
          </cell>
          <cell r="O55">
            <v>1</v>
          </cell>
        </row>
        <row r="57">
          <cell r="D57">
            <v>413</v>
          </cell>
          <cell r="F57">
            <v>35</v>
          </cell>
          <cell r="H57">
            <v>448</v>
          </cell>
          <cell r="J57">
            <v>3</v>
          </cell>
          <cell r="L57">
            <v>99</v>
          </cell>
          <cell r="N57">
            <v>550</v>
          </cell>
          <cell r="O57">
            <v>550</v>
          </cell>
        </row>
        <row r="58">
          <cell r="B58" t="str">
            <v>GEN_PLT</v>
          </cell>
          <cell r="D58">
            <v>0.75090909100000003</v>
          </cell>
          <cell r="F58">
            <v>6.3636364000000001E-2</v>
          </cell>
          <cell r="H58">
            <v>0.81454545499999997</v>
          </cell>
          <cell r="J58">
            <v>5.4545449999999999E-3</v>
          </cell>
          <cell r="L58">
            <v>0.18000000000000002</v>
          </cell>
          <cell r="N58">
            <v>1</v>
          </cell>
          <cell r="O58">
            <v>1</v>
          </cell>
        </row>
        <row r="60">
          <cell r="D60">
            <v>484</v>
          </cell>
          <cell r="F60">
            <v>2002</v>
          </cell>
          <cell r="H60">
            <v>2486</v>
          </cell>
          <cell r="J60">
            <v>27</v>
          </cell>
          <cell r="L60">
            <v>99</v>
          </cell>
          <cell r="N60">
            <v>2612</v>
          </cell>
          <cell r="O60">
            <v>2612</v>
          </cell>
        </row>
        <row r="61">
          <cell r="B61" t="str">
            <v>T&amp;D&amp;G_PLT</v>
          </cell>
          <cell r="D61">
            <v>0.18529862200000002</v>
          </cell>
          <cell r="F61">
            <v>0.76646248100000003</v>
          </cell>
          <cell r="H61">
            <v>0.95176110300000005</v>
          </cell>
          <cell r="J61">
            <v>1.0336906999999999E-2</v>
          </cell>
          <cell r="L61">
            <v>3.7901989999999948E-2</v>
          </cell>
          <cell r="N61">
            <v>1</v>
          </cell>
          <cell r="O61">
            <v>1</v>
          </cell>
        </row>
        <row r="63">
          <cell r="D63">
            <v>0</v>
          </cell>
          <cell r="F63">
            <v>0</v>
          </cell>
          <cell r="H63">
            <v>0</v>
          </cell>
          <cell r="J63">
            <v>0</v>
          </cell>
          <cell r="L63">
            <v>0</v>
          </cell>
          <cell r="N63">
            <v>0</v>
          </cell>
          <cell r="O63">
            <v>0</v>
          </cell>
        </row>
        <row r="64">
          <cell r="B64" t="str">
            <v>NONUTILITY</v>
          </cell>
          <cell r="D64">
            <v>0</v>
          </cell>
          <cell r="F64">
            <v>0</v>
          </cell>
          <cell r="H64">
            <v>0</v>
          </cell>
          <cell r="J64">
            <v>0</v>
          </cell>
          <cell r="L64">
            <v>0</v>
          </cell>
          <cell r="N64">
            <v>0</v>
          </cell>
          <cell r="O64">
            <v>0</v>
          </cell>
        </row>
        <row r="66">
          <cell r="D66">
            <v>0</v>
          </cell>
          <cell r="F66">
            <v>0</v>
          </cell>
          <cell r="H66">
            <v>0</v>
          </cell>
          <cell r="J66">
            <v>0</v>
          </cell>
          <cell r="L66">
            <v>0</v>
          </cell>
          <cell r="N66">
            <v>0</v>
          </cell>
          <cell r="O66">
            <v>0</v>
          </cell>
        </row>
        <row r="67">
          <cell r="B67" t="str">
            <v>NONE</v>
          </cell>
          <cell r="D67">
            <v>0</v>
          </cell>
          <cell r="F67">
            <v>0</v>
          </cell>
          <cell r="H67">
            <v>0</v>
          </cell>
          <cell r="J67">
            <v>0</v>
          </cell>
          <cell r="L67">
            <v>0</v>
          </cell>
          <cell r="N67">
            <v>0</v>
          </cell>
          <cell r="O67">
            <v>0</v>
          </cell>
        </row>
        <row r="69">
          <cell r="D69">
            <v>165</v>
          </cell>
          <cell r="F69">
            <v>14</v>
          </cell>
          <cell r="H69">
            <v>179</v>
          </cell>
          <cell r="J69">
            <v>1</v>
          </cell>
          <cell r="L69">
            <v>40</v>
          </cell>
          <cell r="N69">
            <v>220</v>
          </cell>
          <cell r="O69">
            <v>220</v>
          </cell>
        </row>
        <row r="70">
          <cell r="B70" t="str">
            <v>INTANG_PLT</v>
          </cell>
          <cell r="D70">
            <v>0.75</v>
          </cell>
          <cell r="F70">
            <v>6.3636364000000001E-2</v>
          </cell>
          <cell r="H70">
            <v>0.81363636399999995</v>
          </cell>
          <cell r="J70">
            <v>4.5454550000000003E-3</v>
          </cell>
          <cell r="L70">
            <v>0.18181818100000005</v>
          </cell>
          <cell r="N70">
            <v>1</v>
          </cell>
          <cell r="O70">
            <v>1</v>
          </cell>
        </row>
        <row r="72">
          <cell r="D72">
            <v>541</v>
          </cell>
          <cell r="F72">
            <v>46</v>
          </cell>
          <cell r="H72">
            <v>587</v>
          </cell>
          <cell r="J72">
            <v>3</v>
          </cell>
          <cell r="L72">
            <v>129</v>
          </cell>
          <cell r="N72">
            <v>719</v>
          </cell>
          <cell r="O72">
            <v>719</v>
          </cell>
        </row>
        <row r="73">
          <cell r="B73" t="str">
            <v>A&amp;G</v>
          </cell>
          <cell r="D73">
            <v>0.75243393599999997</v>
          </cell>
          <cell r="F73">
            <v>6.3977747000000001E-2</v>
          </cell>
          <cell r="H73">
            <v>0.816411683</v>
          </cell>
          <cell r="J73">
            <v>4.172462E-3</v>
          </cell>
          <cell r="L73">
            <v>0.17941585500000001</v>
          </cell>
          <cell r="N73">
            <v>1</v>
          </cell>
          <cell r="O73">
            <v>1</v>
          </cell>
        </row>
        <row r="75">
          <cell r="D75">
            <v>0</v>
          </cell>
          <cell r="F75">
            <v>46</v>
          </cell>
          <cell r="H75">
            <v>46</v>
          </cell>
          <cell r="J75">
            <v>0</v>
          </cell>
          <cell r="L75">
            <v>0</v>
          </cell>
          <cell r="N75">
            <v>46</v>
          </cell>
          <cell r="O75">
            <v>46</v>
          </cell>
        </row>
        <row r="76">
          <cell r="B76" t="str">
            <v>A&amp;G_TRAN</v>
          </cell>
          <cell r="D76">
            <v>0</v>
          </cell>
          <cell r="F76">
            <v>1</v>
          </cell>
          <cell r="H76">
            <v>1</v>
          </cell>
          <cell r="J76">
            <v>0</v>
          </cell>
          <cell r="L76">
            <v>0</v>
          </cell>
          <cell r="N76">
            <v>1</v>
          </cell>
          <cell r="O76">
            <v>1</v>
          </cell>
        </row>
        <row r="78">
          <cell r="D78">
            <v>0</v>
          </cell>
          <cell r="F78">
            <v>0</v>
          </cell>
          <cell r="H78">
            <v>0</v>
          </cell>
          <cell r="J78">
            <v>1</v>
          </cell>
          <cell r="L78">
            <v>0</v>
          </cell>
          <cell r="N78">
            <v>1</v>
          </cell>
          <cell r="O78">
            <v>1</v>
          </cell>
        </row>
        <row r="79">
          <cell r="B79" t="str">
            <v>A&amp;G_DIST</v>
          </cell>
          <cell r="D79">
            <v>0</v>
          </cell>
          <cell r="F79">
            <v>0</v>
          </cell>
          <cell r="H79">
            <v>0</v>
          </cell>
          <cell r="J79">
            <v>1</v>
          </cell>
          <cell r="L79">
            <v>0</v>
          </cell>
          <cell r="N79">
            <v>1</v>
          </cell>
          <cell r="O79">
            <v>1</v>
          </cell>
        </row>
        <row r="81">
          <cell r="D81">
            <v>0</v>
          </cell>
          <cell r="F81">
            <v>0</v>
          </cell>
          <cell r="H81">
            <v>0</v>
          </cell>
          <cell r="J81">
            <v>2</v>
          </cell>
          <cell r="L81">
            <v>0</v>
          </cell>
          <cell r="N81">
            <v>2</v>
          </cell>
          <cell r="O81">
            <v>2</v>
          </cell>
        </row>
        <row r="82">
          <cell r="B82" t="str">
            <v>A&amp;G_CA</v>
          </cell>
          <cell r="D82">
            <v>0</v>
          </cell>
          <cell r="F82">
            <v>0</v>
          </cell>
          <cell r="H82">
            <v>0</v>
          </cell>
          <cell r="J82">
            <v>1</v>
          </cell>
          <cell r="L82">
            <v>0</v>
          </cell>
          <cell r="N82">
            <v>1</v>
          </cell>
          <cell r="O82">
            <v>1</v>
          </cell>
        </row>
        <row r="84">
          <cell r="D84">
            <v>0</v>
          </cell>
          <cell r="F84">
            <v>0</v>
          </cell>
          <cell r="H84">
            <v>0</v>
          </cell>
          <cell r="J84">
            <v>0</v>
          </cell>
          <cell r="L84">
            <v>0</v>
          </cell>
          <cell r="N84">
            <v>0</v>
          </cell>
          <cell r="O84">
            <v>0</v>
          </cell>
        </row>
        <row r="85">
          <cell r="B85" t="str">
            <v>A&amp;G_CSI</v>
          </cell>
          <cell r="D85">
            <v>0</v>
          </cell>
          <cell r="F85">
            <v>0</v>
          </cell>
          <cell r="H85">
            <v>0</v>
          </cell>
          <cell r="J85">
            <v>0</v>
          </cell>
          <cell r="L85">
            <v>0</v>
          </cell>
          <cell r="N85">
            <v>0</v>
          </cell>
          <cell r="O85">
            <v>0</v>
          </cell>
        </row>
        <row r="87">
          <cell r="D87">
            <v>0</v>
          </cell>
          <cell r="F87">
            <v>0</v>
          </cell>
          <cell r="H87">
            <v>0</v>
          </cell>
          <cell r="J87">
            <v>0</v>
          </cell>
          <cell r="L87">
            <v>0</v>
          </cell>
          <cell r="N87">
            <v>0</v>
          </cell>
          <cell r="O87">
            <v>0</v>
          </cell>
        </row>
        <row r="88">
          <cell r="B88" t="str">
            <v>A&amp;G_SALES</v>
          </cell>
          <cell r="D88">
            <v>0</v>
          </cell>
          <cell r="F88">
            <v>0</v>
          </cell>
          <cell r="H88">
            <v>0</v>
          </cell>
          <cell r="J88">
            <v>0</v>
          </cell>
          <cell r="L88">
            <v>0</v>
          </cell>
          <cell r="N88">
            <v>0</v>
          </cell>
          <cell r="O88">
            <v>0</v>
          </cell>
        </row>
        <row r="90">
          <cell r="D90">
            <v>1508</v>
          </cell>
          <cell r="F90">
            <v>74</v>
          </cell>
          <cell r="H90">
            <v>1582</v>
          </cell>
          <cell r="J90">
            <v>8</v>
          </cell>
          <cell r="L90">
            <v>3197</v>
          </cell>
          <cell r="N90">
            <v>4787</v>
          </cell>
          <cell r="O90">
            <v>4787</v>
          </cell>
        </row>
        <row r="91">
          <cell r="B91" t="str">
            <v>O&amp;M</v>
          </cell>
          <cell r="D91">
            <v>0.31501984499999997</v>
          </cell>
          <cell r="F91">
            <v>1.5458533999999999E-2</v>
          </cell>
          <cell r="H91">
            <v>0.33047837899999999</v>
          </cell>
          <cell r="J91">
            <v>1.6711930000000001E-3</v>
          </cell>
          <cell r="L91">
            <v>0.66785042800000005</v>
          </cell>
          <cell r="N91">
            <v>1</v>
          </cell>
          <cell r="O91">
            <v>1</v>
          </cell>
        </row>
        <row r="93">
          <cell r="D93">
            <v>1</v>
          </cell>
          <cell r="F93">
            <v>135</v>
          </cell>
          <cell r="H93">
            <v>136</v>
          </cell>
          <cell r="J93">
            <v>0</v>
          </cell>
          <cell r="L93">
            <v>0</v>
          </cell>
          <cell r="N93">
            <v>136</v>
          </cell>
          <cell r="O93">
            <v>136</v>
          </cell>
        </row>
        <row r="94">
          <cell r="B94" t="str">
            <v>O&amp;M_TRAN</v>
          </cell>
          <cell r="D94">
            <v>7.3529409999999462E-3</v>
          </cell>
          <cell r="F94">
            <v>0.99264705900000005</v>
          </cell>
          <cell r="H94">
            <v>1</v>
          </cell>
          <cell r="J94">
            <v>0</v>
          </cell>
          <cell r="L94">
            <v>0</v>
          </cell>
          <cell r="N94">
            <v>1</v>
          </cell>
          <cell r="O94">
            <v>1</v>
          </cell>
        </row>
        <row r="96">
          <cell r="D96">
            <v>0</v>
          </cell>
          <cell r="F96">
            <v>0</v>
          </cell>
          <cell r="H96">
            <v>0</v>
          </cell>
          <cell r="J96">
            <v>2</v>
          </cell>
          <cell r="L96">
            <v>0</v>
          </cell>
          <cell r="N96">
            <v>2</v>
          </cell>
          <cell r="O96">
            <v>2</v>
          </cell>
        </row>
        <row r="97">
          <cell r="B97" t="str">
            <v>O&amp;M_DIST</v>
          </cell>
          <cell r="D97">
            <v>0</v>
          </cell>
          <cell r="F97">
            <v>0</v>
          </cell>
          <cell r="H97">
            <v>0</v>
          </cell>
          <cell r="J97">
            <v>1</v>
          </cell>
          <cell r="L97">
            <v>0</v>
          </cell>
          <cell r="N97">
            <v>1</v>
          </cell>
          <cell r="O97">
            <v>1</v>
          </cell>
        </row>
        <row r="99">
          <cell r="D99">
            <v>0</v>
          </cell>
          <cell r="F99">
            <v>0</v>
          </cell>
          <cell r="H99">
            <v>0</v>
          </cell>
          <cell r="J99">
            <v>3</v>
          </cell>
          <cell r="L99">
            <v>0</v>
          </cell>
          <cell r="N99">
            <v>3</v>
          </cell>
          <cell r="O99">
            <v>3</v>
          </cell>
        </row>
        <row r="100">
          <cell r="B100" t="str">
            <v>O&amp;M_CA</v>
          </cell>
          <cell r="D100">
            <v>0</v>
          </cell>
          <cell r="F100">
            <v>0</v>
          </cell>
          <cell r="H100">
            <v>0</v>
          </cell>
          <cell r="J100">
            <v>1</v>
          </cell>
          <cell r="L100">
            <v>0</v>
          </cell>
          <cell r="N100">
            <v>1</v>
          </cell>
          <cell r="O100">
            <v>1</v>
          </cell>
        </row>
        <row r="102">
          <cell r="D102">
            <v>0</v>
          </cell>
          <cell r="F102">
            <v>0</v>
          </cell>
          <cell r="H102">
            <v>0</v>
          </cell>
          <cell r="J102">
            <v>0</v>
          </cell>
          <cell r="L102">
            <v>0</v>
          </cell>
          <cell r="N102">
            <v>0</v>
          </cell>
          <cell r="O102">
            <v>0</v>
          </cell>
        </row>
        <row r="103">
          <cell r="B103" t="str">
            <v>O&amp;M_CSI</v>
          </cell>
          <cell r="D103">
            <v>0</v>
          </cell>
          <cell r="F103">
            <v>0</v>
          </cell>
          <cell r="H103">
            <v>0</v>
          </cell>
          <cell r="J103">
            <v>0</v>
          </cell>
          <cell r="L103">
            <v>0</v>
          </cell>
          <cell r="N103">
            <v>0</v>
          </cell>
          <cell r="O103">
            <v>0</v>
          </cell>
        </row>
        <row r="105">
          <cell r="D105">
            <v>0</v>
          </cell>
          <cell r="F105">
            <v>0</v>
          </cell>
          <cell r="H105">
            <v>0</v>
          </cell>
          <cell r="J105">
            <v>0</v>
          </cell>
          <cell r="L105">
            <v>0</v>
          </cell>
          <cell r="N105">
            <v>0</v>
          </cell>
          <cell r="O105">
            <v>0</v>
          </cell>
        </row>
        <row r="106">
          <cell r="B106" t="str">
            <v>O&amp;M_SALES</v>
          </cell>
          <cell r="D106">
            <v>0</v>
          </cell>
          <cell r="F106">
            <v>0</v>
          </cell>
          <cell r="H106">
            <v>0</v>
          </cell>
          <cell r="J106">
            <v>0</v>
          </cell>
          <cell r="L106">
            <v>0</v>
          </cell>
          <cell r="N106">
            <v>0</v>
          </cell>
          <cell r="O106">
            <v>0</v>
          </cell>
        </row>
        <row r="108">
          <cell r="D108">
            <v>1719</v>
          </cell>
          <cell r="F108">
            <v>184</v>
          </cell>
          <cell r="H108">
            <v>1903</v>
          </cell>
          <cell r="J108">
            <v>8</v>
          </cell>
          <cell r="L108">
            <v>203</v>
          </cell>
          <cell r="N108">
            <v>2114</v>
          </cell>
          <cell r="O108">
            <v>2114</v>
          </cell>
        </row>
        <row r="109">
          <cell r="B109" t="str">
            <v>WORKING_CAP</v>
          </cell>
          <cell r="D109">
            <v>0.81315042599999998</v>
          </cell>
          <cell r="F109">
            <v>8.7038789000000005E-2</v>
          </cell>
          <cell r="H109">
            <v>0.90018921500000004</v>
          </cell>
          <cell r="J109">
            <v>3.784295E-3</v>
          </cell>
          <cell r="L109">
            <v>9.6026489999999964E-2</v>
          </cell>
          <cell r="N109">
            <v>1</v>
          </cell>
          <cell r="O109">
            <v>1</v>
          </cell>
        </row>
        <row r="112">
          <cell r="D112">
            <v>542</v>
          </cell>
          <cell r="F112">
            <v>181</v>
          </cell>
          <cell r="H112">
            <v>723</v>
          </cell>
          <cell r="J112">
            <v>8</v>
          </cell>
          <cell r="L112">
            <v>129</v>
          </cell>
          <cell r="N112">
            <v>860</v>
          </cell>
          <cell r="O112">
            <v>860</v>
          </cell>
        </row>
        <row r="113">
          <cell r="B113" t="str">
            <v>O&amp;M_EX_PROD</v>
          </cell>
          <cell r="D113">
            <v>0.63023255799999989</v>
          </cell>
          <cell r="F113">
            <v>0.21046511600000001</v>
          </cell>
          <cell r="H113">
            <v>0.84069767399999995</v>
          </cell>
          <cell r="J113">
            <v>9.3023259999999997E-3</v>
          </cell>
          <cell r="L113">
            <v>0.15000000000000005</v>
          </cell>
          <cell r="N113">
            <v>1</v>
          </cell>
          <cell r="O113">
            <v>1</v>
          </cell>
        </row>
        <row r="115">
          <cell r="D115">
            <v>3820</v>
          </cell>
          <cell r="F115">
            <v>319</v>
          </cell>
          <cell r="H115">
            <v>4139</v>
          </cell>
          <cell r="J115">
            <v>7</v>
          </cell>
          <cell r="L115">
            <v>3296</v>
          </cell>
          <cell r="N115">
            <v>7442</v>
          </cell>
          <cell r="O115">
            <v>7442</v>
          </cell>
        </row>
        <row r="116">
          <cell r="B116" t="str">
            <v>PRES_REV</v>
          </cell>
          <cell r="D116">
            <v>0.51330287600000002</v>
          </cell>
          <cell r="F116">
            <v>4.2864820999999997E-2</v>
          </cell>
          <cell r="H116">
            <v>0.55616769700000002</v>
          </cell>
          <cell r="J116">
            <v>9.4060699999999999E-4</v>
          </cell>
          <cell r="L116">
            <v>0.442891696</v>
          </cell>
          <cell r="N116">
            <v>1</v>
          </cell>
          <cell r="O116">
            <v>1</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19"/>
  <sheetViews>
    <sheetView tabSelected="1" zoomScaleNormal="100" zoomScaleSheetLayoutView="75" workbookViewId="0"/>
  </sheetViews>
  <sheetFormatPr defaultRowHeight="15.75"/>
  <cols>
    <col min="1" max="1" width="4.21875" style="77" customWidth="1"/>
    <col min="2" max="2" width="28.5546875" style="77" customWidth="1"/>
    <col min="3" max="3" width="33.6640625" style="77" customWidth="1"/>
    <col min="4" max="4" width="18.33203125" style="77" customWidth="1"/>
    <col min="5" max="5" width="4.77734375" style="77" customWidth="1"/>
    <col min="6" max="6" width="4.6640625" style="77" customWidth="1"/>
    <col min="7" max="7" width="10.21875" style="77" customWidth="1"/>
    <col min="8" max="8" width="3.77734375" style="77" customWidth="1"/>
    <col min="9" max="9" width="12.44140625" style="77" customWidth="1"/>
    <col min="10" max="10" width="1.44140625" style="77" customWidth="1"/>
    <col min="11" max="11" width="8.77734375" style="79" customWidth="1"/>
    <col min="12" max="12" width="21.33203125" style="77" bestFit="1" customWidth="1"/>
    <col min="13" max="13" width="13.5546875" style="77" bestFit="1" customWidth="1"/>
    <col min="14" max="14" width="12.88671875" style="77" bestFit="1" customWidth="1"/>
    <col min="15" max="16" width="8.88671875" style="77"/>
    <col min="17" max="17" width="10.33203125" style="77" customWidth="1"/>
    <col min="18" max="18" width="8.88671875" style="77"/>
    <col min="19" max="19" width="10.21875" style="77" customWidth="1"/>
    <col min="20" max="16384" width="8.88671875" style="77"/>
  </cols>
  <sheetData>
    <row r="1" spans="1:14">
      <c r="B1" s="305"/>
      <c r="C1" s="305"/>
      <c r="D1" s="306"/>
      <c r="E1" s="305"/>
      <c r="F1" s="305"/>
      <c r="G1" s="305"/>
      <c r="H1" s="307"/>
      <c r="I1" s="308"/>
      <c r="J1" s="308"/>
      <c r="K1" s="309"/>
    </row>
    <row r="2" spans="1:14">
      <c r="B2" s="305"/>
      <c r="C2" s="305"/>
      <c r="D2" s="306"/>
      <c r="E2" s="305"/>
      <c r="F2" s="305"/>
      <c r="G2" s="305"/>
      <c r="H2" s="307"/>
      <c r="I2" s="307"/>
      <c r="J2" s="75"/>
      <c r="K2" s="310" t="s">
        <v>221</v>
      </c>
    </row>
    <row r="3" spans="1:14">
      <c r="B3" s="305"/>
      <c r="C3" s="305"/>
      <c r="D3" s="306"/>
      <c r="E3" s="305"/>
      <c r="F3" s="305"/>
      <c r="G3" s="305"/>
      <c r="H3" s="307"/>
      <c r="I3" s="307"/>
      <c r="J3" s="75"/>
      <c r="K3" s="76"/>
    </row>
    <row r="4" spans="1:14">
      <c r="B4" s="305" t="s">
        <v>7</v>
      </c>
      <c r="C4" s="305"/>
      <c r="D4" s="306" t="s">
        <v>427</v>
      </c>
      <c r="E4" s="305"/>
      <c r="F4" s="305"/>
      <c r="G4" s="305"/>
      <c r="H4" s="311"/>
      <c r="I4" s="312"/>
      <c r="J4" s="313"/>
      <c r="K4" s="314" t="s">
        <v>641</v>
      </c>
    </row>
    <row r="5" spans="1:14">
      <c r="B5" s="305"/>
      <c r="C5" s="74" t="s">
        <v>9</v>
      </c>
      <c r="D5" s="74" t="s">
        <v>428</v>
      </c>
      <c r="E5" s="74"/>
      <c r="F5" s="74"/>
      <c r="G5" s="74"/>
      <c r="H5" s="307"/>
      <c r="I5" s="307"/>
      <c r="J5" s="75"/>
      <c r="K5" s="76"/>
    </row>
    <row r="6" spans="1:14">
      <c r="B6" s="75"/>
      <c r="C6" s="75"/>
      <c r="D6" s="75"/>
      <c r="E6" s="75"/>
      <c r="F6" s="75"/>
      <c r="G6" s="75"/>
      <c r="H6" s="75"/>
      <c r="I6" s="75"/>
      <c r="J6" s="75"/>
      <c r="K6" s="76"/>
      <c r="L6" s="79"/>
      <c r="M6" s="79"/>
      <c r="N6" s="79"/>
    </row>
    <row r="7" spans="1:14">
      <c r="A7" s="1"/>
      <c r="B7" s="75"/>
      <c r="C7" s="75"/>
      <c r="D7" s="315" t="s">
        <v>251</v>
      </c>
      <c r="E7" s="75"/>
      <c r="F7" s="75"/>
      <c r="G7" s="75"/>
      <c r="H7" s="75"/>
      <c r="I7" s="75"/>
      <c r="J7" s="75"/>
      <c r="K7" s="76"/>
      <c r="L7" s="79"/>
      <c r="M7" s="79"/>
      <c r="N7" s="79"/>
    </row>
    <row r="8" spans="1:14">
      <c r="A8" s="1"/>
      <c r="B8" s="75"/>
      <c r="C8" s="75"/>
      <c r="D8" s="316"/>
      <c r="E8" s="75"/>
      <c r="F8" s="75"/>
      <c r="G8" s="75"/>
      <c r="H8" s="75"/>
      <c r="I8" s="75"/>
      <c r="J8" s="75"/>
      <c r="K8" s="76"/>
      <c r="L8" s="79"/>
      <c r="M8" s="79"/>
      <c r="N8" s="79"/>
    </row>
    <row r="9" spans="1:14">
      <c r="A9" s="1" t="s">
        <v>11</v>
      </c>
      <c r="B9" s="75"/>
      <c r="C9" s="75"/>
      <c r="D9" s="316"/>
      <c r="E9" s="75"/>
      <c r="F9" s="75"/>
      <c r="G9" s="75"/>
      <c r="H9" s="75"/>
      <c r="I9" s="1" t="s">
        <v>12</v>
      </c>
      <c r="J9" s="75"/>
      <c r="K9" s="76"/>
      <c r="L9" s="79"/>
      <c r="M9" s="79"/>
      <c r="N9" s="79"/>
    </row>
    <row r="10" spans="1:14" ht="16.5" thickBot="1">
      <c r="A10" s="317" t="s">
        <v>13</v>
      </c>
      <c r="B10" s="75"/>
      <c r="C10" s="75"/>
      <c r="D10" s="75"/>
      <c r="E10" s="75"/>
      <c r="F10" s="75"/>
      <c r="G10" s="75"/>
      <c r="H10" s="75"/>
      <c r="I10" s="317" t="s">
        <v>14</v>
      </c>
      <c r="J10" s="75"/>
      <c r="K10" s="76"/>
      <c r="L10" s="79"/>
      <c r="M10" s="79"/>
      <c r="N10" s="79"/>
    </row>
    <row r="11" spans="1:14">
      <c r="A11" s="1">
        <v>1</v>
      </c>
      <c r="B11" s="75" t="s">
        <v>429</v>
      </c>
      <c r="C11" s="75"/>
      <c r="D11" s="318"/>
      <c r="E11" s="75"/>
      <c r="F11" s="75"/>
      <c r="G11" s="75"/>
      <c r="H11" s="75"/>
      <c r="I11" s="319">
        <f>+I199</f>
        <v>154372930.86394584</v>
      </c>
      <c r="J11" s="75"/>
      <c r="K11" s="76"/>
      <c r="L11" s="79"/>
      <c r="M11" s="79"/>
      <c r="N11" s="79"/>
    </row>
    <row r="12" spans="1:14">
      <c r="A12" s="1"/>
      <c r="B12" s="75"/>
      <c r="C12" s="75"/>
      <c r="D12" s="75"/>
      <c r="E12" s="75"/>
      <c r="F12" s="75"/>
      <c r="G12" s="75"/>
      <c r="H12" s="75"/>
      <c r="I12" s="318"/>
      <c r="J12" s="75"/>
      <c r="K12" s="76"/>
      <c r="L12" s="79"/>
      <c r="M12" s="79"/>
      <c r="N12" s="79"/>
    </row>
    <row r="13" spans="1:14" ht="16.5" thickBot="1">
      <c r="A13" s="1" t="s">
        <v>9</v>
      </c>
      <c r="B13" s="320" t="s">
        <v>15</v>
      </c>
      <c r="C13" s="72" t="s">
        <v>216</v>
      </c>
      <c r="D13" s="317" t="s">
        <v>16</v>
      </c>
      <c r="E13" s="74"/>
      <c r="F13" s="321" t="s">
        <v>17</v>
      </c>
      <c r="G13" s="321"/>
      <c r="H13" s="75"/>
      <c r="I13" s="318"/>
      <c r="J13" s="75"/>
      <c r="K13" s="76"/>
      <c r="L13" s="79"/>
      <c r="M13" s="79"/>
      <c r="N13" s="79"/>
    </row>
    <row r="14" spans="1:14">
      <c r="A14" s="1">
        <v>2</v>
      </c>
      <c r="B14" s="320" t="s">
        <v>19</v>
      </c>
      <c r="C14" s="74" t="s">
        <v>184</v>
      </c>
      <c r="D14" s="74">
        <f>I265</f>
        <v>74552</v>
      </c>
      <c r="E14" s="74"/>
      <c r="F14" s="74" t="s">
        <v>18</v>
      </c>
      <c r="G14" s="322">
        <f>I216</f>
        <v>0.96512838904806442</v>
      </c>
      <c r="H14" s="74"/>
      <c r="I14" s="74">
        <f>+G14*D14</f>
        <v>71952.251660311304</v>
      </c>
      <c r="J14" s="75"/>
      <c r="K14" s="76"/>
      <c r="L14" s="79"/>
      <c r="M14" s="79"/>
      <c r="N14" s="79"/>
    </row>
    <row r="15" spans="1:14">
      <c r="A15" s="1">
        <v>3</v>
      </c>
      <c r="B15" s="320" t="s">
        <v>430</v>
      </c>
      <c r="C15" s="74" t="s">
        <v>185</v>
      </c>
      <c r="D15" s="74">
        <f>I272</f>
        <v>3603623</v>
      </c>
      <c r="E15" s="74"/>
      <c r="F15" s="74" t="str">
        <f t="shared" ref="F15:G17" si="0">+F14</f>
        <v>TP</v>
      </c>
      <c r="G15" s="322">
        <f t="shared" si="0"/>
        <v>0.96512838904806442</v>
      </c>
      <c r="H15" s="74"/>
      <c r="I15" s="74">
        <f>+G15*D15</f>
        <v>3477958.860726553</v>
      </c>
      <c r="J15" s="75"/>
      <c r="K15" s="76"/>
      <c r="L15" s="79"/>
      <c r="M15" s="79"/>
      <c r="N15" s="79"/>
    </row>
    <row r="16" spans="1:14">
      <c r="A16" s="1">
        <v>4</v>
      </c>
      <c r="B16" s="323" t="s">
        <v>174</v>
      </c>
      <c r="C16" s="74"/>
      <c r="D16" s="324">
        <v>0</v>
      </c>
      <c r="E16" s="74"/>
      <c r="F16" s="74" t="str">
        <f t="shared" si="0"/>
        <v>TP</v>
      </c>
      <c r="G16" s="322">
        <f t="shared" si="0"/>
        <v>0.96512838904806442</v>
      </c>
      <c r="H16" s="74"/>
      <c r="I16" s="74">
        <f>+G16*D16</f>
        <v>0</v>
      </c>
      <c r="J16" s="75"/>
      <c r="K16" s="76"/>
      <c r="L16" s="79"/>
      <c r="M16" s="79"/>
      <c r="N16" s="79"/>
    </row>
    <row r="17" spans="1:14" ht="16.5" thickBot="1">
      <c r="A17" s="1">
        <v>5</v>
      </c>
      <c r="B17" s="323" t="s">
        <v>175</v>
      </c>
      <c r="C17" s="74"/>
      <c r="D17" s="324">
        <v>0</v>
      </c>
      <c r="E17" s="74"/>
      <c r="F17" s="74" t="str">
        <f t="shared" si="0"/>
        <v>TP</v>
      </c>
      <c r="G17" s="322">
        <f t="shared" si="0"/>
        <v>0.96512838904806442</v>
      </c>
      <c r="H17" s="74"/>
      <c r="I17" s="325">
        <f>+G17*D17</f>
        <v>0</v>
      </c>
      <c r="J17" s="75"/>
      <c r="K17" s="76"/>
      <c r="L17" s="79"/>
      <c r="M17" s="79"/>
      <c r="N17" s="79"/>
    </row>
    <row r="18" spans="1:14">
      <c r="A18" s="1">
        <v>6</v>
      </c>
      <c r="B18" s="320" t="s">
        <v>164</v>
      </c>
      <c r="C18" s="75"/>
      <c r="D18" s="326" t="s">
        <v>9</v>
      </c>
      <c r="E18" s="74"/>
      <c r="F18" s="74"/>
      <c r="G18" s="322"/>
      <c r="H18" s="74"/>
      <c r="I18" s="74">
        <f>SUM(I14:I17)</f>
        <v>3549911.1123868641</v>
      </c>
      <c r="J18" s="75"/>
      <c r="K18" s="76"/>
      <c r="L18" s="79"/>
      <c r="M18" s="79"/>
      <c r="N18" s="79"/>
    </row>
    <row r="19" spans="1:14">
      <c r="A19" s="1"/>
      <c r="B19" s="320"/>
      <c r="C19" s="75"/>
      <c r="D19" s="326"/>
      <c r="E19" s="74"/>
      <c r="F19" s="74"/>
      <c r="G19" s="322"/>
      <c r="H19" s="74"/>
      <c r="I19" s="74"/>
      <c r="J19" s="75"/>
      <c r="K19" s="76"/>
      <c r="L19" s="79"/>
      <c r="M19" s="79"/>
      <c r="N19" s="79"/>
    </row>
    <row r="20" spans="1:14">
      <c r="A20" s="1" t="s">
        <v>620</v>
      </c>
      <c r="B20" s="320" t="s">
        <v>621</v>
      </c>
      <c r="C20" s="75"/>
      <c r="D20" s="326"/>
      <c r="E20" s="74"/>
      <c r="F20" s="74"/>
      <c r="G20" s="322"/>
      <c r="H20" s="74"/>
      <c r="I20" s="74">
        <v>-147981</v>
      </c>
      <c r="J20" s="75"/>
      <c r="K20" s="76"/>
      <c r="L20" s="79"/>
      <c r="M20" s="79"/>
      <c r="N20" s="79"/>
    </row>
    <row r="21" spans="1:14" ht="16.5" thickBot="1">
      <c r="A21" s="1" t="s">
        <v>623</v>
      </c>
      <c r="B21" s="320" t="s">
        <v>622</v>
      </c>
      <c r="C21" s="75"/>
      <c r="D21" s="326"/>
      <c r="E21" s="74"/>
      <c r="F21" s="74"/>
      <c r="G21" s="322"/>
      <c r="H21" s="74"/>
      <c r="I21" s="325">
        <v>-25571</v>
      </c>
      <c r="J21" s="75"/>
      <c r="K21" s="76"/>
      <c r="L21" s="79"/>
      <c r="M21" s="79"/>
      <c r="N21" s="79"/>
    </row>
    <row r="22" spans="1:14">
      <c r="A22" s="1" t="s">
        <v>624</v>
      </c>
      <c r="B22" s="320" t="s">
        <v>625</v>
      </c>
      <c r="C22" s="75"/>
      <c r="D22" s="326"/>
      <c r="E22" s="74"/>
      <c r="F22" s="74"/>
      <c r="G22" s="322"/>
      <c r="H22" s="74"/>
      <c r="I22" s="74">
        <f>+I20+I21</f>
        <v>-173552</v>
      </c>
      <c r="J22" s="75"/>
      <c r="K22" s="76"/>
      <c r="L22" s="79"/>
      <c r="M22" s="79"/>
      <c r="N22" s="79"/>
    </row>
    <row r="23" spans="1:14">
      <c r="A23" s="1"/>
      <c r="B23" s="320"/>
      <c r="C23" s="75"/>
      <c r="I23" s="74"/>
      <c r="J23" s="75"/>
      <c r="K23" s="76"/>
      <c r="L23" s="79"/>
      <c r="M23" s="79"/>
      <c r="N23" s="79"/>
    </row>
    <row r="24" spans="1:14" ht="16.5" thickBot="1">
      <c r="A24" s="1">
        <v>7</v>
      </c>
      <c r="B24" s="320" t="s">
        <v>20</v>
      </c>
      <c r="C24" s="566" t="s">
        <v>633</v>
      </c>
      <c r="D24" s="326" t="s">
        <v>9</v>
      </c>
      <c r="E24" s="74"/>
      <c r="F24" s="74"/>
      <c r="G24" s="74"/>
      <c r="H24" s="74"/>
      <c r="I24" s="327">
        <f>+I11-I18+I22</f>
        <v>150649467.75155899</v>
      </c>
      <c r="J24" s="75"/>
      <c r="K24" s="76"/>
      <c r="L24" s="79"/>
      <c r="M24" s="79"/>
      <c r="N24" s="79"/>
    </row>
    <row r="25" spans="1:14" ht="16.5" thickTop="1">
      <c r="A25" s="1"/>
      <c r="C25" s="75"/>
      <c r="D25" s="326"/>
      <c r="E25" s="74"/>
      <c r="F25" s="74"/>
      <c r="G25" s="74"/>
      <c r="H25" s="74"/>
      <c r="J25" s="75"/>
      <c r="K25" s="76"/>
      <c r="L25" s="79"/>
      <c r="M25" s="79"/>
      <c r="N25" s="79"/>
    </row>
    <row r="26" spans="1:14">
      <c r="A26" s="1"/>
      <c r="B26" s="320" t="s">
        <v>21</v>
      </c>
      <c r="C26" s="75"/>
      <c r="D26" s="318"/>
      <c r="E26" s="75"/>
      <c r="F26" s="75"/>
      <c r="G26" s="75"/>
      <c r="H26" s="75"/>
      <c r="I26" s="318"/>
      <c r="J26" s="75"/>
      <c r="K26" s="76"/>
      <c r="L26" s="79"/>
      <c r="M26" s="79"/>
      <c r="N26" s="79"/>
    </row>
    <row r="27" spans="1:14">
      <c r="A27" s="1">
        <v>8</v>
      </c>
      <c r="B27" s="320" t="s">
        <v>22</v>
      </c>
      <c r="D27" s="318"/>
      <c r="E27" s="75"/>
      <c r="F27" s="75"/>
      <c r="G27" s="328" t="s">
        <v>23</v>
      </c>
      <c r="H27" s="75"/>
      <c r="I27" s="329">
        <f>+'Partner KW'!O9</f>
        <v>5211083</v>
      </c>
      <c r="J27" s="75"/>
      <c r="K27" s="76"/>
      <c r="L27" s="79"/>
      <c r="M27" s="79"/>
      <c r="N27" s="576"/>
    </row>
    <row r="28" spans="1:14">
      <c r="A28" s="1">
        <v>9</v>
      </c>
      <c r="B28" s="320" t="s">
        <v>186</v>
      </c>
      <c r="C28" s="74"/>
      <c r="D28" s="74"/>
      <c r="E28" s="74"/>
      <c r="F28" s="74"/>
      <c r="G28" s="72" t="s">
        <v>24</v>
      </c>
      <c r="H28" s="74"/>
      <c r="I28" s="329">
        <v>0</v>
      </c>
      <c r="J28" s="75"/>
      <c r="K28" s="76"/>
      <c r="L28" s="79"/>
      <c r="M28" s="79"/>
      <c r="N28" s="79"/>
    </row>
    <row r="29" spans="1:14">
      <c r="A29" s="1">
        <v>10</v>
      </c>
      <c r="B29" s="323" t="s">
        <v>187</v>
      </c>
      <c r="C29" s="75"/>
      <c r="D29" s="75"/>
      <c r="E29" s="75"/>
      <c r="G29" s="328" t="s">
        <v>25</v>
      </c>
      <c r="H29" s="75"/>
      <c r="I29" s="329">
        <f>+'Partner KW'!O13</f>
        <v>718917</v>
      </c>
      <c r="J29" s="75"/>
      <c r="K29" s="76"/>
      <c r="L29" s="79"/>
      <c r="M29" s="79"/>
      <c r="N29" s="577"/>
    </row>
    <row r="30" spans="1:14">
      <c r="A30" s="1">
        <v>11</v>
      </c>
      <c r="B30" s="320" t="s">
        <v>176</v>
      </c>
      <c r="C30" s="75"/>
      <c r="D30" s="75"/>
      <c r="E30" s="75"/>
      <c r="G30" s="328" t="s">
        <v>26</v>
      </c>
      <c r="H30" s="75"/>
      <c r="I30" s="330">
        <f>-'Partner KW'!O11</f>
        <v>-560417</v>
      </c>
      <c r="J30" s="75"/>
      <c r="K30" s="76"/>
      <c r="L30" s="79"/>
      <c r="M30" s="79"/>
      <c r="N30" s="576"/>
    </row>
    <row r="31" spans="1:14">
      <c r="A31" s="1">
        <v>12</v>
      </c>
      <c r="B31" s="323" t="s">
        <v>163</v>
      </c>
      <c r="C31" s="75"/>
      <c r="D31" s="75"/>
      <c r="E31" s="75"/>
      <c r="F31" s="75"/>
      <c r="G31" s="307"/>
      <c r="H31" s="75"/>
      <c r="I31" s="330">
        <v>0</v>
      </c>
      <c r="J31" s="75"/>
      <c r="K31" s="76"/>
      <c r="L31" s="79"/>
      <c r="M31" s="79"/>
      <c r="N31" s="79"/>
    </row>
    <row r="32" spans="1:14">
      <c r="A32" s="1">
        <v>13</v>
      </c>
      <c r="B32" s="323" t="s">
        <v>431</v>
      </c>
      <c r="C32" s="75"/>
      <c r="D32" s="75"/>
      <c r="E32" s="75"/>
      <c r="F32" s="75"/>
      <c r="G32" s="328"/>
      <c r="H32" s="75"/>
      <c r="I32" s="330">
        <v>0</v>
      </c>
      <c r="J32" s="75"/>
      <c r="K32" s="76"/>
      <c r="L32" s="79"/>
      <c r="M32" s="79"/>
      <c r="N32" s="79"/>
    </row>
    <row r="33" spans="1:14" ht="16.5" thickBot="1">
      <c r="A33" s="1">
        <v>14</v>
      </c>
      <c r="B33" s="323" t="s">
        <v>203</v>
      </c>
      <c r="C33" s="75"/>
      <c r="D33" s="75"/>
      <c r="E33" s="75"/>
      <c r="F33" s="75"/>
      <c r="G33" s="307"/>
      <c r="H33" s="75"/>
      <c r="I33" s="331">
        <v>0</v>
      </c>
      <c r="J33" s="75"/>
      <c r="K33" s="76"/>
      <c r="L33" s="79"/>
      <c r="M33" s="79"/>
      <c r="N33" s="79"/>
    </row>
    <row r="34" spans="1:14">
      <c r="A34" s="1">
        <v>15</v>
      </c>
      <c r="B34" s="305" t="s">
        <v>177</v>
      </c>
      <c r="C34" s="75"/>
      <c r="D34" s="75"/>
      <c r="E34" s="75"/>
      <c r="F34" s="75"/>
      <c r="G34" s="75"/>
      <c r="H34" s="75"/>
      <c r="I34" s="318">
        <f>SUM(I27:I33)</f>
        <v>5369583</v>
      </c>
      <c r="J34" s="75"/>
      <c r="K34" s="76"/>
      <c r="L34" s="79"/>
      <c r="M34" s="79"/>
      <c r="N34" s="79"/>
    </row>
    <row r="35" spans="1:14">
      <c r="A35" s="1"/>
      <c r="B35" s="320"/>
      <c r="C35" s="75"/>
      <c r="D35" s="75"/>
      <c r="E35" s="75"/>
      <c r="F35" s="75"/>
      <c r="G35" s="75"/>
      <c r="H35" s="75"/>
      <c r="I35" s="318"/>
      <c r="J35" s="75"/>
      <c r="K35" s="76"/>
      <c r="L35" s="79"/>
      <c r="M35" s="79"/>
      <c r="N35" s="79"/>
    </row>
    <row r="36" spans="1:14">
      <c r="A36" s="1">
        <v>16</v>
      </c>
      <c r="B36" s="320" t="s">
        <v>27</v>
      </c>
      <c r="C36" s="75" t="s">
        <v>178</v>
      </c>
      <c r="D36" s="332">
        <f>IF(I34&gt;0,I24/I34,0)</f>
        <v>28.056083265974095</v>
      </c>
      <c r="E36" s="75"/>
      <c r="F36" s="75"/>
      <c r="G36" s="75"/>
      <c r="H36" s="75"/>
      <c r="J36" s="75"/>
      <c r="K36" s="76"/>
      <c r="L36" s="337"/>
      <c r="M36" s="79"/>
      <c r="N36" s="79"/>
    </row>
    <row r="37" spans="1:14">
      <c r="A37" s="1">
        <v>17</v>
      </c>
      <c r="B37" s="320" t="s">
        <v>165</v>
      </c>
      <c r="C37" s="75" t="s">
        <v>179</v>
      </c>
      <c r="D37" s="332">
        <f>+D36/12</f>
        <v>2.3380069388311746</v>
      </c>
      <c r="E37" s="75"/>
      <c r="F37" s="75"/>
      <c r="G37" s="75"/>
      <c r="H37" s="75"/>
      <c r="J37" s="75"/>
      <c r="K37" s="76"/>
      <c r="L37" s="337"/>
      <c r="M37" s="79"/>
      <c r="N37" s="79"/>
    </row>
    <row r="38" spans="1:14">
      <c r="A38" s="1"/>
      <c r="B38" s="320"/>
      <c r="C38" s="75"/>
      <c r="D38" s="332"/>
      <c r="E38" s="75"/>
      <c r="F38" s="75"/>
      <c r="G38" s="75"/>
      <c r="H38" s="75"/>
      <c r="J38" s="75"/>
      <c r="K38" s="76"/>
      <c r="L38" s="337"/>
      <c r="M38" s="79"/>
      <c r="N38" s="79"/>
    </row>
    <row r="39" spans="1:14">
      <c r="A39" s="1"/>
      <c r="B39" s="320"/>
      <c r="C39" s="75"/>
      <c r="D39" s="333" t="s">
        <v>28</v>
      </c>
      <c r="E39" s="75"/>
      <c r="F39" s="75"/>
      <c r="G39" s="75"/>
      <c r="H39" s="75"/>
      <c r="I39" s="334" t="s">
        <v>29</v>
      </c>
      <c r="J39" s="75"/>
      <c r="K39" s="76"/>
      <c r="L39" s="337"/>
      <c r="M39" s="79"/>
      <c r="N39" s="79"/>
    </row>
    <row r="40" spans="1:14">
      <c r="A40" s="1">
        <v>18</v>
      </c>
      <c r="B40" s="320" t="s">
        <v>30</v>
      </c>
      <c r="C40" s="335" t="s">
        <v>180</v>
      </c>
      <c r="D40" s="332">
        <f>+D36/52</f>
        <v>0.53954006280719413</v>
      </c>
      <c r="E40" s="75"/>
      <c r="F40" s="75"/>
      <c r="G40" s="75"/>
      <c r="H40" s="75"/>
      <c r="I40" s="336">
        <f>+D36/52</f>
        <v>0.53954006280719413</v>
      </c>
      <c r="J40" s="75"/>
      <c r="K40" s="76"/>
      <c r="L40" s="337"/>
      <c r="M40" s="79"/>
      <c r="N40" s="79"/>
    </row>
    <row r="41" spans="1:14">
      <c r="A41" s="1">
        <v>19</v>
      </c>
      <c r="B41" s="320" t="s">
        <v>31</v>
      </c>
      <c r="C41" s="81" t="s">
        <v>286</v>
      </c>
      <c r="D41" s="332">
        <f>+D36/260</f>
        <v>0.10790801256143882</v>
      </c>
      <c r="E41" s="75" t="s">
        <v>32</v>
      </c>
      <c r="G41" s="75"/>
      <c r="H41" s="75"/>
      <c r="I41" s="336">
        <f>+D36/365</f>
        <v>7.6865981550613957E-2</v>
      </c>
      <c r="J41" s="75"/>
      <c r="K41" s="76"/>
      <c r="L41" s="337"/>
      <c r="M41" s="79"/>
      <c r="N41" s="79"/>
    </row>
    <row r="42" spans="1:14">
      <c r="A42" s="1">
        <v>20</v>
      </c>
      <c r="B42" s="320" t="s">
        <v>33</v>
      </c>
      <c r="C42" s="81" t="s">
        <v>287</v>
      </c>
      <c r="D42" s="332">
        <f>+D36/4160*1000</f>
        <v>6.7442507850899265</v>
      </c>
      <c r="E42" s="75" t="s">
        <v>34</v>
      </c>
      <c r="G42" s="75"/>
      <c r="H42" s="75"/>
      <c r="I42" s="337">
        <f>+D36/8760*1000</f>
        <v>3.2027492312755816</v>
      </c>
      <c r="J42" s="75"/>
      <c r="K42" s="76" t="s">
        <v>9</v>
      </c>
      <c r="L42" s="337"/>
      <c r="M42" s="79"/>
      <c r="N42" s="79"/>
    </row>
    <row r="43" spans="1:14">
      <c r="A43" s="1"/>
      <c r="B43" s="320"/>
      <c r="C43" s="75" t="s">
        <v>35</v>
      </c>
      <c r="D43" s="75"/>
      <c r="E43" s="75" t="s">
        <v>36</v>
      </c>
      <c r="G43" s="75"/>
      <c r="H43" s="75"/>
      <c r="J43" s="75"/>
      <c r="K43" s="76" t="s">
        <v>9</v>
      </c>
      <c r="L43" s="79"/>
      <c r="M43" s="79"/>
      <c r="N43" s="79"/>
    </row>
    <row r="44" spans="1:14">
      <c r="A44" s="1"/>
      <c r="B44" s="320"/>
      <c r="C44" s="75"/>
      <c r="D44" s="75"/>
      <c r="E44" s="75"/>
      <c r="G44" s="75"/>
      <c r="H44" s="75"/>
      <c r="J44" s="75"/>
      <c r="K44" s="76" t="s">
        <v>9</v>
      </c>
      <c r="L44" s="79"/>
      <c r="M44" s="79"/>
      <c r="N44" s="79"/>
    </row>
    <row r="45" spans="1:14">
      <c r="A45" s="1">
        <v>21</v>
      </c>
      <c r="B45" s="320" t="s">
        <v>432</v>
      </c>
      <c r="C45" s="75" t="s">
        <v>361</v>
      </c>
      <c r="D45" s="338">
        <v>0</v>
      </c>
      <c r="E45" s="339" t="s">
        <v>37</v>
      </c>
      <c r="F45" s="339"/>
      <c r="G45" s="339"/>
      <c r="H45" s="339"/>
      <c r="I45" s="339">
        <f>D45</f>
        <v>0</v>
      </c>
      <c r="J45" s="339" t="s">
        <v>37</v>
      </c>
      <c r="K45" s="76"/>
      <c r="L45" s="79"/>
      <c r="M45" s="79"/>
      <c r="N45" s="79"/>
    </row>
    <row r="46" spans="1:14">
      <c r="A46" s="1">
        <v>22</v>
      </c>
      <c r="B46" s="320"/>
      <c r="C46" s="75"/>
      <c r="D46" s="338">
        <v>0</v>
      </c>
      <c r="E46" s="339" t="s">
        <v>38</v>
      </c>
      <c r="F46" s="339"/>
      <c r="G46" s="339"/>
      <c r="H46" s="339"/>
      <c r="I46" s="339">
        <f>D46</f>
        <v>0</v>
      </c>
      <c r="J46" s="339" t="s">
        <v>38</v>
      </c>
      <c r="K46" s="76"/>
      <c r="L46" s="79"/>
      <c r="M46" s="79"/>
      <c r="N46" s="79"/>
    </row>
    <row r="47" spans="1:14" s="79" customFormat="1">
      <c r="A47" s="5"/>
      <c r="B47" s="71"/>
      <c r="C47" s="76"/>
      <c r="D47" s="340"/>
      <c r="E47" s="340"/>
      <c r="F47" s="340"/>
      <c r="G47" s="340"/>
      <c r="H47" s="340"/>
      <c r="I47" s="340"/>
      <c r="J47" s="340"/>
      <c r="K47" s="76"/>
    </row>
    <row r="48" spans="1:14" s="79" customFormat="1">
      <c r="A48" s="5"/>
      <c r="B48" s="71"/>
      <c r="C48" s="76"/>
      <c r="D48" s="340"/>
      <c r="E48" s="340"/>
      <c r="F48" s="340"/>
      <c r="G48" s="340"/>
      <c r="H48" s="340"/>
      <c r="I48" s="340"/>
      <c r="J48" s="340"/>
      <c r="K48" s="76"/>
    </row>
    <row r="49" spans="1:11" s="79" customFormat="1">
      <c r="A49" s="5"/>
      <c r="B49" s="71"/>
      <c r="C49" s="76"/>
      <c r="D49" s="340"/>
      <c r="E49" s="340"/>
      <c r="F49" s="340"/>
      <c r="G49" s="340"/>
      <c r="H49" s="340"/>
      <c r="I49" s="340"/>
      <c r="J49" s="340"/>
      <c r="K49" s="76"/>
    </row>
    <row r="50" spans="1:11" s="79" customFormat="1">
      <c r="A50" s="5"/>
      <c r="B50" s="71"/>
      <c r="C50" s="76"/>
      <c r="D50" s="340"/>
      <c r="E50" s="340"/>
      <c r="F50" s="340"/>
      <c r="G50" s="340"/>
      <c r="H50" s="340"/>
      <c r="I50" s="340"/>
      <c r="J50" s="340"/>
      <c r="K50" s="76"/>
    </row>
    <row r="51" spans="1:11" s="79" customFormat="1">
      <c r="A51" s="5"/>
      <c r="B51" s="71"/>
      <c r="C51" s="76"/>
      <c r="D51" s="340"/>
      <c r="E51" s="340"/>
      <c r="F51" s="340"/>
      <c r="G51" s="340"/>
      <c r="H51" s="340"/>
      <c r="I51" s="340"/>
      <c r="J51" s="340"/>
      <c r="K51" s="76"/>
    </row>
    <row r="52" spans="1:11" s="79" customFormat="1">
      <c r="A52" s="5"/>
      <c r="B52" s="71"/>
      <c r="C52" s="76"/>
      <c r="D52" s="340"/>
      <c r="E52" s="340"/>
      <c r="F52" s="340"/>
      <c r="G52" s="340"/>
      <c r="H52" s="340"/>
      <c r="I52" s="340"/>
      <c r="J52" s="340"/>
      <c r="K52" s="76"/>
    </row>
    <row r="53" spans="1:11" s="79" customFormat="1">
      <c r="A53" s="5"/>
      <c r="B53" s="71"/>
      <c r="C53" s="76"/>
      <c r="D53" s="340"/>
      <c r="E53" s="340"/>
      <c r="F53" s="340"/>
      <c r="G53" s="340"/>
      <c r="H53" s="340"/>
      <c r="I53" s="340"/>
      <c r="J53" s="340"/>
      <c r="K53" s="76"/>
    </row>
    <row r="54" spans="1:11" s="79" customFormat="1">
      <c r="A54" s="5"/>
      <c r="B54" s="71"/>
      <c r="C54" s="76"/>
      <c r="D54" s="340"/>
      <c r="E54" s="340"/>
      <c r="F54" s="340"/>
      <c r="G54" s="340"/>
      <c r="H54" s="340"/>
      <c r="I54" s="340"/>
      <c r="J54" s="340"/>
      <c r="K54" s="76"/>
    </row>
    <row r="55" spans="1:11" s="79" customFormat="1">
      <c r="A55" s="5"/>
      <c r="B55" s="71"/>
      <c r="C55" s="76"/>
      <c r="D55" s="340"/>
      <c r="E55" s="340"/>
      <c r="F55" s="340"/>
      <c r="G55" s="340"/>
      <c r="H55" s="340"/>
      <c r="I55" s="340"/>
      <c r="J55" s="340"/>
      <c r="K55" s="76"/>
    </row>
    <row r="56" spans="1:11" s="79" customFormat="1">
      <c r="A56" s="5"/>
      <c r="B56" s="71"/>
      <c r="C56" s="76"/>
      <c r="D56" s="340"/>
      <c r="E56" s="340"/>
      <c r="F56" s="340"/>
      <c r="G56" s="340"/>
      <c r="H56" s="340"/>
      <c r="I56" s="340"/>
      <c r="J56" s="340"/>
      <c r="K56" s="76"/>
    </row>
    <row r="57" spans="1:11" s="79" customFormat="1">
      <c r="A57" s="5"/>
      <c r="B57" s="71"/>
      <c r="C57" s="76"/>
      <c r="D57" s="340"/>
      <c r="E57" s="340"/>
      <c r="F57" s="340"/>
      <c r="G57" s="340"/>
      <c r="H57" s="340"/>
      <c r="I57" s="340"/>
      <c r="J57" s="340"/>
      <c r="K57" s="76"/>
    </row>
    <row r="58" spans="1:11" s="79" customFormat="1">
      <c r="A58" s="5"/>
      <c r="B58" s="71"/>
      <c r="C58" s="76"/>
      <c r="D58" s="340"/>
      <c r="E58" s="340"/>
      <c r="F58" s="340"/>
      <c r="G58" s="340"/>
      <c r="H58" s="340"/>
      <c r="I58" s="340"/>
      <c r="J58" s="340"/>
      <c r="K58" s="76"/>
    </row>
    <row r="59" spans="1:11" s="79" customFormat="1">
      <c r="A59" s="5"/>
      <c r="B59" s="71"/>
      <c r="C59" s="76"/>
      <c r="D59" s="340"/>
      <c r="E59" s="340"/>
      <c r="F59" s="340"/>
      <c r="G59" s="340"/>
      <c r="H59" s="340"/>
      <c r="I59" s="340"/>
      <c r="J59" s="340"/>
      <c r="K59" s="76"/>
    </row>
    <row r="60" spans="1:11" s="79" customFormat="1">
      <c r="A60" s="5"/>
      <c r="B60" s="71"/>
      <c r="C60" s="76"/>
      <c r="D60" s="340"/>
      <c r="E60" s="340"/>
      <c r="F60" s="340"/>
      <c r="G60" s="340"/>
      <c r="H60" s="340"/>
      <c r="I60" s="340"/>
      <c r="J60" s="340"/>
      <c r="K60" s="76"/>
    </row>
    <row r="61" spans="1:11" s="79" customFormat="1">
      <c r="A61" s="5"/>
      <c r="B61" s="71"/>
      <c r="C61" s="76"/>
      <c r="D61" s="340"/>
      <c r="E61" s="340"/>
      <c r="F61" s="340"/>
      <c r="G61" s="340"/>
      <c r="H61" s="340"/>
      <c r="I61" s="340"/>
      <c r="J61" s="340"/>
      <c r="K61" s="76"/>
    </row>
    <row r="62" spans="1:11" s="79" customFormat="1">
      <c r="A62" s="5"/>
      <c r="B62" s="71"/>
      <c r="C62" s="76"/>
      <c r="D62" s="340"/>
      <c r="E62" s="340"/>
      <c r="F62" s="340"/>
      <c r="G62" s="340"/>
      <c r="H62" s="340"/>
      <c r="I62" s="340"/>
      <c r="J62" s="340"/>
      <c r="K62" s="76"/>
    </row>
    <row r="63" spans="1:11" s="79" customFormat="1">
      <c r="A63" s="5"/>
      <c r="B63" s="71"/>
      <c r="C63" s="76"/>
      <c r="D63" s="340"/>
      <c r="E63" s="340"/>
      <c r="F63" s="340"/>
      <c r="G63" s="340"/>
      <c r="H63" s="340"/>
      <c r="I63" s="340"/>
      <c r="J63" s="340"/>
      <c r="K63" s="76"/>
    </row>
    <row r="64" spans="1:11" s="79" customFormat="1">
      <c r="A64" s="5"/>
      <c r="B64" s="71"/>
      <c r="C64" s="76"/>
      <c r="D64" s="340"/>
      <c r="E64" s="340"/>
      <c r="F64" s="340"/>
      <c r="G64" s="340"/>
      <c r="H64" s="340"/>
      <c r="I64" s="340"/>
      <c r="J64" s="340"/>
      <c r="K64" s="76"/>
    </row>
    <row r="65" spans="1:14" s="79" customFormat="1">
      <c r="A65" s="5"/>
      <c r="B65" s="71"/>
      <c r="C65" s="76"/>
      <c r="D65" s="340"/>
      <c r="E65" s="340"/>
      <c r="F65" s="340"/>
      <c r="G65" s="340"/>
      <c r="H65" s="340"/>
      <c r="I65" s="340"/>
      <c r="J65" s="340"/>
      <c r="K65" s="76"/>
    </row>
    <row r="66" spans="1:14" s="79" customFormat="1">
      <c r="A66" s="5"/>
      <c r="B66" s="71"/>
      <c r="C66" s="76"/>
      <c r="D66" s="340"/>
      <c r="E66" s="340"/>
      <c r="F66" s="340"/>
      <c r="G66" s="340"/>
      <c r="H66" s="340"/>
      <c r="I66" s="340"/>
      <c r="J66" s="340"/>
      <c r="K66" s="76"/>
    </row>
    <row r="67" spans="1:14" s="79" customFormat="1">
      <c r="A67" s="5"/>
      <c r="B67" s="71"/>
      <c r="C67" s="76"/>
      <c r="D67" s="340"/>
      <c r="E67" s="340"/>
      <c r="F67" s="340"/>
      <c r="G67" s="340"/>
      <c r="H67" s="340"/>
      <c r="I67" s="340"/>
      <c r="J67" s="340"/>
      <c r="K67" s="76"/>
    </row>
    <row r="68" spans="1:14" s="79" customFormat="1">
      <c r="A68" s="5"/>
      <c r="B68" s="71"/>
      <c r="C68" s="76"/>
      <c r="D68" s="340"/>
      <c r="E68" s="340"/>
      <c r="F68" s="340"/>
      <c r="G68" s="340"/>
      <c r="H68" s="340"/>
      <c r="I68" s="340"/>
      <c r="J68" s="340"/>
      <c r="K68" s="76"/>
    </row>
    <row r="69" spans="1:14" s="79" customFormat="1">
      <c r="A69" s="5"/>
      <c r="B69" s="71"/>
      <c r="C69" s="76"/>
      <c r="D69" s="340"/>
      <c r="E69" s="340"/>
      <c r="F69" s="340"/>
      <c r="G69" s="340"/>
      <c r="H69" s="340"/>
      <c r="I69" s="340"/>
      <c r="J69" s="340"/>
      <c r="K69" s="76"/>
    </row>
    <row r="70" spans="1:14">
      <c r="B70" s="305"/>
      <c r="C70" s="305"/>
      <c r="D70" s="306"/>
      <c r="E70" s="305"/>
      <c r="F70" s="305"/>
      <c r="G70" s="305"/>
      <c r="H70" s="307"/>
      <c r="I70" s="307"/>
      <c r="J70" s="583" t="s">
        <v>222</v>
      </c>
      <c r="K70" s="583"/>
      <c r="L70" s="79"/>
      <c r="M70" s="79"/>
      <c r="N70" s="79"/>
    </row>
    <row r="71" spans="1:14">
      <c r="B71" s="305"/>
      <c r="C71" s="305"/>
      <c r="D71" s="306"/>
      <c r="E71" s="305"/>
      <c r="F71" s="305"/>
      <c r="G71" s="305"/>
      <c r="H71" s="307"/>
      <c r="I71" s="307"/>
      <c r="J71" s="75"/>
      <c r="K71" s="310"/>
      <c r="L71" s="79"/>
      <c r="M71" s="79"/>
      <c r="N71" s="79"/>
    </row>
    <row r="72" spans="1:14">
      <c r="B72" s="305" t="s">
        <v>7</v>
      </c>
      <c r="C72" s="305"/>
      <c r="D72" s="306" t="s">
        <v>427</v>
      </c>
      <c r="E72" s="305"/>
      <c r="F72" s="305"/>
      <c r="G72" s="305"/>
      <c r="H72" s="307"/>
      <c r="I72" s="307"/>
      <c r="J72" s="75"/>
      <c r="K72" s="310" t="str">
        <f>K4</f>
        <v>For the 12 months ended 12/31/2016</v>
      </c>
      <c r="L72" s="79"/>
      <c r="M72" s="79"/>
      <c r="N72" s="79"/>
    </row>
    <row r="73" spans="1:14">
      <c r="B73" s="305"/>
      <c r="C73" s="74" t="s">
        <v>9</v>
      </c>
      <c r="D73" s="74" t="s">
        <v>428</v>
      </c>
      <c r="E73" s="74"/>
      <c r="F73" s="74"/>
      <c r="G73" s="74"/>
      <c r="H73" s="307"/>
      <c r="I73" s="307"/>
      <c r="J73" s="75"/>
      <c r="K73" s="76"/>
      <c r="L73" s="79"/>
      <c r="M73" s="79"/>
      <c r="N73" s="79"/>
    </row>
    <row r="74" spans="1:14">
      <c r="B74" s="305"/>
      <c r="C74" s="74"/>
      <c r="D74" s="74"/>
      <c r="E74" s="74"/>
      <c r="F74" s="74"/>
      <c r="G74" s="74"/>
      <c r="H74" s="307"/>
      <c r="I74" s="307"/>
      <c r="J74" s="75"/>
      <c r="K74" s="76"/>
      <c r="L74" s="79"/>
      <c r="M74" s="79"/>
      <c r="N74" s="79"/>
    </row>
    <row r="75" spans="1:14">
      <c r="B75" s="320"/>
      <c r="C75" s="75"/>
      <c r="D75" s="74" t="str">
        <f>D7</f>
        <v>Duke Energy Indiana</v>
      </c>
      <c r="E75" s="74"/>
      <c r="F75" s="74"/>
      <c r="G75" s="74"/>
      <c r="H75" s="74"/>
      <c r="I75" s="74"/>
      <c r="J75" s="74"/>
      <c r="K75" s="72"/>
      <c r="L75" s="79"/>
      <c r="M75" s="79"/>
      <c r="N75" s="79"/>
    </row>
    <row r="76" spans="1:14">
      <c r="B76" s="341" t="s">
        <v>39</v>
      </c>
      <c r="C76" s="341" t="s">
        <v>40</v>
      </c>
      <c r="D76" s="341" t="s">
        <v>41</v>
      </c>
      <c r="E76" s="74" t="s">
        <v>9</v>
      </c>
      <c r="F76" s="74"/>
      <c r="G76" s="342" t="s">
        <v>42</v>
      </c>
      <c r="H76" s="74"/>
      <c r="I76" s="343" t="s">
        <v>43</v>
      </c>
      <c r="J76" s="74"/>
      <c r="K76" s="344"/>
      <c r="L76" s="79"/>
      <c r="M76" s="79"/>
      <c r="N76" s="79"/>
    </row>
    <row r="77" spans="1:14">
      <c r="B77" s="320"/>
      <c r="C77" s="345" t="s">
        <v>44</v>
      </c>
      <c r="D77" s="74"/>
      <c r="E77" s="74"/>
      <c r="F77" s="74"/>
      <c r="G77" s="1"/>
      <c r="H77" s="74"/>
      <c r="I77" s="346" t="s">
        <v>45</v>
      </c>
      <c r="J77" s="74"/>
      <c r="K77" s="344"/>
      <c r="L77" s="79"/>
      <c r="M77" s="79"/>
      <c r="N77" s="79"/>
    </row>
    <row r="78" spans="1:14">
      <c r="A78" s="1" t="s">
        <v>11</v>
      </c>
      <c r="B78" s="320"/>
      <c r="C78" s="347" t="s">
        <v>46</v>
      </c>
      <c r="D78" s="346" t="s">
        <v>47</v>
      </c>
      <c r="E78" s="348"/>
      <c r="F78" s="346" t="s">
        <v>48</v>
      </c>
      <c r="H78" s="348"/>
      <c r="I78" s="1" t="s">
        <v>49</v>
      </c>
      <c r="J78" s="74"/>
      <c r="K78" s="344"/>
      <c r="L78" s="79"/>
      <c r="M78" s="79"/>
      <c r="N78" s="79"/>
    </row>
    <row r="79" spans="1:14" ht="16.5" thickBot="1">
      <c r="A79" s="317" t="s">
        <v>13</v>
      </c>
      <c r="B79" s="349" t="s">
        <v>50</v>
      </c>
      <c r="C79" s="74"/>
      <c r="D79" s="74"/>
      <c r="E79" s="74"/>
      <c r="F79" s="74"/>
      <c r="G79" s="74"/>
      <c r="H79" s="74"/>
      <c r="I79" s="74"/>
      <c r="J79" s="74"/>
      <c r="K79" s="72"/>
      <c r="L79" s="79"/>
      <c r="M79" s="79"/>
      <c r="N79" s="79"/>
    </row>
    <row r="80" spans="1:14">
      <c r="A80" s="1"/>
      <c r="B80" s="320" t="s">
        <v>433</v>
      </c>
      <c r="C80" s="74"/>
      <c r="D80" s="74"/>
      <c r="E80" s="74"/>
      <c r="F80" s="74"/>
      <c r="G80" s="74"/>
      <c r="H80" s="74"/>
      <c r="I80" s="74"/>
      <c r="J80" s="74"/>
      <c r="K80" s="72"/>
      <c r="L80" s="79"/>
      <c r="M80" s="79"/>
      <c r="N80" s="79"/>
    </row>
    <row r="81" spans="1:15">
      <c r="A81" s="1">
        <v>1</v>
      </c>
      <c r="B81" s="320" t="s">
        <v>51</v>
      </c>
      <c r="C81" s="72" t="s">
        <v>254</v>
      </c>
      <c r="D81" s="324">
        <v>8362378602</v>
      </c>
      <c r="E81" s="74"/>
      <c r="F81" s="74" t="s">
        <v>52</v>
      </c>
      <c r="G81" s="350" t="s">
        <v>9</v>
      </c>
      <c r="H81" s="74"/>
      <c r="I81" s="74" t="s">
        <v>9</v>
      </c>
      <c r="J81" s="74"/>
      <c r="K81" s="72"/>
      <c r="L81" s="79"/>
      <c r="M81" s="79"/>
      <c r="N81" s="578"/>
    </row>
    <row r="82" spans="1:15">
      <c r="A82" s="1">
        <v>2</v>
      </c>
      <c r="B82" s="320" t="s">
        <v>53</v>
      </c>
      <c r="C82" s="72" t="s">
        <v>244</v>
      </c>
      <c r="D82" s="324">
        <v>1457167553</v>
      </c>
      <c r="E82" s="74"/>
      <c r="F82" s="74" t="s">
        <v>18</v>
      </c>
      <c r="G82" s="350">
        <f>I216</f>
        <v>0.96512838904806442</v>
      </c>
      <c r="H82" s="74"/>
      <c r="I82" s="74">
        <f>+G82*D82</f>
        <v>1406353773</v>
      </c>
      <c r="J82" s="74"/>
      <c r="K82" s="72"/>
      <c r="L82" s="79"/>
      <c r="M82" s="79"/>
      <c r="N82" s="578"/>
      <c r="O82" s="79"/>
    </row>
    <row r="83" spans="1:15">
      <c r="A83" s="1">
        <v>3</v>
      </c>
      <c r="B83" s="320" t="s">
        <v>54</v>
      </c>
      <c r="C83" s="72" t="s">
        <v>245</v>
      </c>
      <c r="D83" s="324">
        <v>2849940460</v>
      </c>
      <c r="E83" s="74"/>
      <c r="F83" s="74" t="s">
        <v>52</v>
      </c>
      <c r="G83" s="350" t="s">
        <v>9</v>
      </c>
      <c r="H83" s="74"/>
      <c r="I83" s="74" t="s">
        <v>9</v>
      </c>
      <c r="J83" s="74"/>
      <c r="K83" s="72"/>
      <c r="L83" s="79"/>
      <c r="M83" s="79"/>
      <c r="N83" s="578"/>
    </row>
    <row r="84" spans="1:15">
      <c r="A84" s="1">
        <v>4</v>
      </c>
      <c r="B84" s="320" t="s">
        <v>55</v>
      </c>
      <c r="C84" s="72" t="s">
        <v>1</v>
      </c>
      <c r="D84" s="324">
        <v>580137986</v>
      </c>
      <c r="E84" s="74"/>
      <c r="F84" s="74" t="s">
        <v>56</v>
      </c>
      <c r="G84" s="350">
        <f>I233</f>
        <v>7.3297271369818798E-2</v>
      </c>
      <c r="H84" s="74"/>
      <c r="I84" s="74">
        <f>+G84*D84</f>
        <v>42522531.391782142</v>
      </c>
      <c r="J84" s="74"/>
      <c r="K84" s="72"/>
      <c r="L84" s="79"/>
      <c r="M84" s="79"/>
      <c r="N84" s="578"/>
    </row>
    <row r="85" spans="1:15" ht="16.5" thickBot="1">
      <c r="A85" s="1">
        <v>5</v>
      </c>
      <c r="B85" s="320" t="s">
        <v>57</v>
      </c>
      <c r="C85" s="72" t="s">
        <v>58</v>
      </c>
      <c r="D85" s="78">
        <v>0</v>
      </c>
      <c r="E85" s="74"/>
      <c r="F85" s="74" t="s">
        <v>109</v>
      </c>
      <c r="G85" s="350">
        <f>K237</f>
        <v>7.3297271369818798E-2</v>
      </c>
      <c r="H85" s="74"/>
      <c r="I85" s="325">
        <f>+G85*D85</f>
        <v>0</v>
      </c>
      <c r="J85" s="74"/>
      <c r="K85" s="72"/>
      <c r="L85" s="79"/>
      <c r="M85" s="79"/>
      <c r="N85" s="79"/>
    </row>
    <row r="86" spans="1:15">
      <c r="A86" s="1">
        <v>6</v>
      </c>
      <c r="B86" s="305" t="s">
        <v>434</v>
      </c>
      <c r="C86" s="72"/>
      <c r="D86" s="74">
        <f>SUM(D81:D85)</f>
        <v>13249624601</v>
      </c>
      <c r="E86" s="74"/>
      <c r="F86" s="74" t="s">
        <v>59</v>
      </c>
      <c r="G86" s="351">
        <f>IF(I86&gt;0,I86/D86,0)</f>
        <v>0.10935225321647452</v>
      </c>
      <c r="H86" s="74"/>
      <c r="I86" s="74">
        <f>SUM(I81:I85)</f>
        <v>1448876304.391782</v>
      </c>
      <c r="J86" s="74"/>
      <c r="K86" s="352"/>
      <c r="L86" s="79"/>
      <c r="M86" s="79"/>
      <c r="N86" s="79"/>
    </row>
    <row r="87" spans="1:15">
      <c r="B87" s="320"/>
      <c r="C87" s="72"/>
      <c r="D87" s="74"/>
      <c r="E87" s="74"/>
      <c r="F87" s="74"/>
      <c r="G87" s="351"/>
      <c r="H87" s="74"/>
      <c r="I87" s="74"/>
      <c r="J87" s="74"/>
      <c r="K87" s="352"/>
      <c r="L87" s="79"/>
      <c r="M87" s="79"/>
      <c r="N87" s="79"/>
    </row>
    <row r="88" spans="1:15">
      <c r="B88" s="320" t="s">
        <v>435</v>
      </c>
      <c r="C88" s="72"/>
      <c r="D88" s="74"/>
      <c r="E88" s="74"/>
      <c r="F88" s="74"/>
      <c r="G88" s="74"/>
      <c r="H88" s="74"/>
      <c r="I88" s="74"/>
      <c r="J88" s="74"/>
      <c r="K88" s="72"/>
      <c r="L88" s="79"/>
      <c r="M88" s="79"/>
      <c r="N88" s="79"/>
    </row>
    <row r="89" spans="1:15">
      <c r="A89" s="1">
        <v>7</v>
      </c>
      <c r="B89" s="320" t="str">
        <f>+B81</f>
        <v xml:space="preserve">  Production</v>
      </c>
      <c r="C89" s="72" t="s">
        <v>237</v>
      </c>
      <c r="D89" s="324">
        <v>2977503857</v>
      </c>
      <c r="E89" s="74"/>
      <c r="F89" s="74" t="str">
        <f>+F81</f>
        <v>NA</v>
      </c>
      <c r="G89" s="350" t="str">
        <f>+G81</f>
        <v xml:space="preserve"> </v>
      </c>
      <c r="H89" s="74"/>
      <c r="I89" s="74" t="s">
        <v>9</v>
      </c>
      <c r="J89" s="74"/>
      <c r="K89" s="72"/>
      <c r="L89" s="79"/>
      <c r="M89" s="79"/>
      <c r="N89" s="578"/>
    </row>
    <row r="90" spans="1:15">
      <c r="A90" s="1">
        <v>8</v>
      </c>
      <c r="B90" s="320" t="str">
        <f>+B82</f>
        <v xml:space="preserve">  Transmission</v>
      </c>
      <c r="C90" s="72" t="s">
        <v>232</v>
      </c>
      <c r="D90" s="324">
        <v>496087552</v>
      </c>
      <c r="E90" s="74"/>
      <c r="F90" s="74" t="str">
        <f t="shared" ref="F90:G93" si="1">+F82</f>
        <v>TP</v>
      </c>
      <c r="G90" s="350">
        <f t="shared" si="1"/>
        <v>0.96512838904806442</v>
      </c>
      <c r="H90" s="74"/>
      <c r="I90" s="74">
        <f>+G90*D90</f>
        <v>478788179.88855791</v>
      </c>
      <c r="J90" s="74"/>
      <c r="K90" s="72"/>
      <c r="L90" s="79"/>
      <c r="M90" s="79"/>
      <c r="N90" s="578"/>
    </row>
    <row r="91" spans="1:15">
      <c r="A91" s="1">
        <v>9</v>
      </c>
      <c r="B91" s="320" t="str">
        <f>+B83</f>
        <v xml:space="preserve">  Distribution</v>
      </c>
      <c r="C91" s="72" t="s">
        <v>233</v>
      </c>
      <c r="D91" s="324">
        <v>1219857283</v>
      </c>
      <c r="E91" s="74"/>
      <c r="F91" s="74" t="str">
        <f t="shared" si="1"/>
        <v>NA</v>
      </c>
      <c r="G91" s="350" t="str">
        <f t="shared" si="1"/>
        <v xml:space="preserve"> </v>
      </c>
      <c r="H91" s="74"/>
      <c r="I91" s="74" t="s">
        <v>9</v>
      </c>
      <c r="J91" s="74"/>
      <c r="K91" s="72"/>
      <c r="L91" s="79"/>
      <c r="M91" s="79"/>
      <c r="N91" s="578"/>
    </row>
    <row r="92" spans="1:15">
      <c r="A92" s="1">
        <v>10</v>
      </c>
      <c r="B92" s="320" t="str">
        <f>+B84</f>
        <v xml:space="preserve">  General &amp; Intangible</v>
      </c>
      <c r="C92" s="72" t="s">
        <v>436</v>
      </c>
      <c r="D92" s="324">
        <v>346906819</v>
      </c>
      <c r="E92" s="74"/>
      <c r="F92" s="74" t="str">
        <f t="shared" si="1"/>
        <v>W/S</v>
      </c>
      <c r="G92" s="350">
        <f t="shared" si="1"/>
        <v>7.3297271369818798E-2</v>
      </c>
      <c r="H92" s="74"/>
      <c r="I92" s="74">
        <f>+G92*D92</f>
        <v>25427323.25228361</v>
      </c>
      <c r="J92" s="74"/>
      <c r="K92" s="72"/>
      <c r="L92" s="79"/>
      <c r="M92" s="79"/>
      <c r="N92" s="578"/>
    </row>
    <row r="93" spans="1:15" ht="16.5" thickBot="1">
      <c r="A93" s="1">
        <v>11</v>
      </c>
      <c r="B93" s="320" t="str">
        <f>+B85</f>
        <v xml:space="preserve">  Common</v>
      </c>
      <c r="C93" s="72" t="s">
        <v>58</v>
      </c>
      <c r="D93" s="78">
        <v>0</v>
      </c>
      <c r="E93" s="74"/>
      <c r="F93" s="74" t="str">
        <f t="shared" si="1"/>
        <v>CE</v>
      </c>
      <c r="G93" s="350">
        <f t="shared" si="1"/>
        <v>7.3297271369818798E-2</v>
      </c>
      <c r="H93" s="74"/>
      <c r="I93" s="325">
        <f>+G93*D93</f>
        <v>0</v>
      </c>
      <c r="J93" s="74"/>
      <c r="K93" s="72"/>
      <c r="L93" s="79"/>
      <c r="M93" s="79"/>
      <c r="N93" s="79"/>
    </row>
    <row r="94" spans="1:15">
      <c r="A94" s="1">
        <v>12</v>
      </c>
      <c r="B94" s="320" t="s">
        <v>437</v>
      </c>
      <c r="C94" s="74"/>
      <c r="D94" s="74">
        <f>SUM(D89:D93)</f>
        <v>5040355511</v>
      </c>
      <c r="E94" s="74"/>
      <c r="F94" s="74"/>
      <c r="G94" s="74"/>
      <c r="H94" s="74"/>
      <c r="I94" s="74">
        <f>SUM(I89:I93)</f>
        <v>504215503.14084154</v>
      </c>
      <c r="J94" s="74"/>
      <c r="K94" s="72"/>
      <c r="L94" s="79"/>
      <c r="M94" s="79"/>
      <c r="N94" s="79"/>
    </row>
    <row r="95" spans="1:15">
      <c r="A95" s="1"/>
      <c r="C95" s="74" t="s">
        <v>9</v>
      </c>
      <c r="E95" s="74"/>
      <c r="F95" s="74"/>
      <c r="G95" s="351"/>
      <c r="H95" s="74"/>
      <c r="J95" s="74"/>
      <c r="K95" s="352"/>
      <c r="L95" s="79"/>
      <c r="M95" s="79"/>
      <c r="N95" s="79"/>
    </row>
    <row r="96" spans="1:15">
      <c r="A96" s="1"/>
      <c r="B96" s="320" t="s">
        <v>60</v>
      </c>
      <c r="C96" s="74"/>
      <c r="D96" s="74"/>
      <c r="E96" s="74"/>
      <c r="F96" s="74"/>
      <c r="G96" s="74"/>
      <c r="H96" s="74"/>
      <c r="I96" s="74"/>
      <c r="J96" s="74"/>
      <c r="K96" s="72"/>
      <c r="L96" s="79"/>
      <c r="M96" s="79"/>
      <c r="N96" s="79"/>
    </row>
    <row r="97" spans="1:14">
      <c r="A97" s="1">
        <v>13</v>
      </c>
      <c r="B97" s="320" t="str">
        <f>+B89</f>
        <v xml:space="preserve">  Production</v>
      </c>
      <c r="C97" s="74" t="s">
        <v>438</v>
      </c>
      <c r="D97" s="74">
        <f>D81-D89</f>
        <v>5384874745</v>
      </c>
      <c r="E97" s="74"/>
      <c r="F97" s="74"/>
      <c r="G97" s="351"/>
      <c r="H97" s="74"/>
      <c r="I97" s="74" t="s">
        <v>9</v>
      </c>
      <c r="J97" s="74"/>
      <c r="K97" s="352"/>
      <c r="L97" s="79"/>
      <c r="M97" s="79"/>
      <c r="N97" s="79"/>
    </row>
    <row r="98" spans="1:14">
      <c r="A98" s="1">
        <v>14</v>
      </c>
      <c r="B98" s="320" t="str">
        <f>+B90</f>
        <v xml:space="preserve">  Transmission</v>
      </c>
      <c r="C98" s="74" t="s">
        <v>439</v>
      </c>
      <c r="D98" s="74">
        <f>D82-D90</f>
        <v>961080001</v>
      </c>
      <c r="E98" s="74"/>
      <c r="F98" s="74"/>
      <c r="G98" s="350"/>
      <c r="H98" s="74"/>
      <c r="I98" s="74">
        <f>I82-I90</f>
        <v>927565593.11144209</v>
      </c>
      <c r="J98" s="74"/>
      <c r="K98" s="352"/>
      <c r="L98" s="79"/>
      <c r="M98" s="79"/>
      <c r="N98" s="79"/>
    </row>
    <row r="99" spans="1:14">
      <c r="A99" s="1">
        <v>15</v>
      </c>
      <c r="B99" s="320" t="str">
        <f>+B91</f>
        <v xml:space="preserve">  Distribution</v>
      </c>
      <c r="C99" s="74" t="s">
        <v>440</v>
      </c>
      <c r="D99" s="74">
        <f>D83-D91</f>
        <v>1630083177</v>
      </c>
      <c r="E99" s="74"/>
      <c r="F99" s="74"/>
      <c r="G99" s="351"/>
      <c r="H99" s="74"/>
      <c r="I99" s="74" t="s">
        <v>9</v>
      </c>
      <c r="J99" s="74"/>
      <c r="K99" s="352"/>
      <c r="L99" s="79"/>
      <c r="M99" s="79"/>
      <c r="N99" s="79"/>
    </row>
    <row r="100" spans="1:14">
      <c r="A100" s="1">
        <v>16</v>
      </c>
      <c r="B100" s="320" t="str">
        <f>+B92</f>
        <v xml:space="preserve">  General &amp; Intangible</v>
      </c>
      <c r="C100" s="74" t="s">
        <v>441</v>
      </c>
      <c r="D100" s="74">
        <f>D84-D92</f>
        <v>233231167</v>
      </c>
      <c r="E100" s="74"/>
      <c r="F100" s="74"/>
      <c r="G100" s="351"/>
      <c r="H100" s="74"/>
      <c r="I100" s="74">
        <f>I84-I92</f>
        <v>17095208.139498532</v>
      </c>
      <c r="J100" s="74"/>
      <c r="K100" s="352"/>
      <c r="L100" s="79"/>
      <c r="M100" s="79"/>
      <c r="N100" s="79"/>
    </row>
    <row r="101" spans="1:14" ht="16.5" thickBot="1">
      <c r="A101" s="1">
        <v>17</v>
      </c>
      <c r="B101" s="320" t="str">
        <f>+B93</f>
        <v xml:space="preserve">  Common</v>
      </c>
      <c r="C101" s="74" t="s">
        <v>442</v>
      </c>
      <c r="D101" s="325">
        <f>D85-D93</f>
        <v>0</v>
      </c>
      <c r="E101" s="74"/>
      <c r="F101" s="74"/>
      <c r="G101" s="351"/>
      <c r="H101" s="74"/>
      <c r="I101" s="325">
        <f>I85-I93</f>
        <v>0</v>
      </c>
      <c r="J101" s="74"/>
      <c r="K101" s="352"/>
      <c r="L101" s="79"/>
      <c r="M101" s="79"/>
      <c r="N101" s="79"/>
    </row>
    <row r="102" spans="1:14">
      <c r="A102" s="1">
        <v>18</v>
      </c>
      <c r="B102" s="320" t="s">
        <v>443</v>
      </c>
      <c r="C102" s="74"/>
      <c r="D102" s="74">
        <f>SUM(D97:D101)</f>
        <v>8209269090</v>
      </c>
      <c r="E102" s="74"/>
      <c r="F102" s="74" t="s">
        <v>61</v>
      </c>
      <c r="G102" s="351">
        <f>IF(I102&gt;0,I102/D102,0)</f>
        <v>0.11507246149376017</v>
      </c>
      <c r="H102" s="74"/>
      <c r="I102" s="74">
        <f>SUM(I97:I101)</f>
        <v>944660801.25094056</v>
      </c>
      <c r="J102" s="74"/>
      <c r="K102" s="72"/>
      <c r="L102" s="79"/>
      <c r="M102" s="79"/>
      <c r="N102" s="79"/>
    </row>
    <row r="103" spans="1:14">
      <c r="A103" s="1"/>
      <c r="C103" s="74"/>
      <c r="E103" s="74"/>
      <c r="H103" s="74"/>
      <c r="J103" s="74"/>
      <c r="K103" s="352"/>
      <c r="L103" s="79"/>
      <c r="M103" s="79"/>
      <c r="N103" s="79"/>
    </row>
    <row r="104" spans="1:14">
      <c r="A104" s="1"/>
      <c r="B104" s="305" t="s">
        <v>444</v>
      </c>
      <c r="C104" s="74"/>
      <c r="D104" s="74"/>
      <c r="E104" s="74"/>
      <c r="F104" s="74"/>
      <c r="G104" s="74"/>
      <c r="H104" s="74"/>
      <c r="I104" s="74"/>
      <c r="J104" s="74"/>
      <c r="K104" s="72"/>
      <c r="L104" s="79"/>
      <c r="M104" s="79"/>
      <c r="N104" s="79"/>
    </row>
    <row r="105" spans="1:14">
      <c r="A105" s="1">
        <v>19</v>
      </c>
      <c r="B105" s="320" t="s">
        <v>166</v>
      </c>
      <c r="C105" s="74" t="s">
        <v>62</v>
      </c>
      <c r="D105" s="324">
        <v>-191120796</v>
      </c>
      <c r="E105" s="72"/>
      <c r="F105" s="72" t="str">
        <f>+F89</f>
        <v>NA</v>
      </c>
      <c r="G105" s="353" t="s">
        <v>213</v>
      </c>
      <c r="H105" s="74"/>
      <c r="I105" s="74">
        <v>0</v>
      </c>
      <c r="J105" s="74"/>
      <c r="K105" s="352"/>
      <c r="L105" s="79"/>
      <c r="M105" s="79"/>
      <c r="N105" s="578"/>
    </row>
    <row r="106" spans="1:14">
      <c r="A106" s="1">
        <v>20</v>
      </c>
      <c r="B106" s="320" t="s">
        <v>167</v>
      </c>
      <c r="C106" s="74" t="s">
        <v>64</v>
      </c>
      <c r="D106" s="324">
        <v>-2014794280</v>
      </c>
      <c r="E106" s="74"/>
      <c r="F106" s="74" t="s">
        <v>63</v>
      </c>
      <c r="G106" s="350">
        <f>+G102</f>
        <v>0.11507246149376017</v>
      </c>
      <c r="H106" s="74"/>
      <c r="I106" s="74">
        <f>D106*G106</f>
        <v>-231847337.20314825</v>
      </c>
      <c r="J106" s="74"/>
      <c r="K106" s="352"/>
      <c r="L106" s="79"/>
      <c r="M106" s="79"/>
      <c r="N106" s="578"/>
    </row>
    <row r="107" spans="1:14">
      <c r="A107" s="1">
        <v>21</v>
      </c>
      <c r="B107" s="320" t="s">
        <v>168</v>
      </c>
      <c r="C107" s="74" t="s">
        <v>65</v>
      </c>
      <c r="D107" s="354">
        <v>-364804694</v>
      </c>
      <c r="E107" s="74"/>
      <c r="F107" s="74" t="s">
        <v>63</v>
      </c>
      <c r="G107" s="350">
        <f>+G106</f>
        <v>0.11507246149376017</v>
      </c>
      <c r="H107" s="74"/>
      <c r="I107" s="74">
        <f>D107*G107</f>
        <v>-41978974.103057966</v>
      </c>
      <c r="J107" s="74"/>
      <c r="K107" s="352"/>
      <c r="L107" s="79"/>
      <c r="M107" s="79"/>
      <c r="N107" s="578"/>
    </row>
    <row r="108" spans="1:14">
      <c r="A108" s="1">
        <v>22</v>
      </c>
      <c r="B108" s="320" t="s">
        <v>170</v>
      </c>
      <c r="C108" s="74" t="s">
        <v>66</v>
      </c>
      <c r="D108" s="354">
        <v>473887210</v>
      </c>
      <c r="E108" s="74"/>
      <c r="F108" s="74" t="str">
        <f>+F107</f>
        <v>NP</v>
      </c>
      <c r="G108" s="350">
        <f>+G107</f>
        <v>0.11507246149376017</v>
      </c>
      <c r="H108" s="74"/>
      <c r="I108" s="74">
        <f>D108*G108</f>
        <v>54531367.725110441</v>
      </c>
      <c r="J108" s="74"/>
      <c r="K108" s="352"/>
      <c r="L108" s="79"/>
      <c r="M108" s="79"/>
      <c r="N108" s="578"/>
    </row>
    <row r="109" spans="1:14" ht="16.5" thickBot="1">
      <c r="A109" s="1">
        <v>23</v>
      </c>
      <c r="B109" s="77" t="s">
        <v>169</v>
      </c>
      <c r="C109" s="77" t="s">
        <v>238</v>
      </c>
      <c r="D109" s="78">
        <v>0</v>
      </c>
      <c r="E109" s="74"/>
      <c r="F109" s="74" t="s">
        <v>63</v>
      </c>
      <c r="G109" s="350">
        <f>+G107</f>
        <v>0.11507246149376017</v>
      </c>
      <c r="H109" s="74"/>
      <c r="I109" s="325">
        <f>D109*G109</f>
        <v>0</v>
      </c>
      <c r="J109" s="74"/>
      <c r="K109" s="352"/>
      <c r="L109" s="79"/>
      <c r="M109" s="79"/>
      <c r="N109" s="79"/>
    </row>
    <row r="110" spans="1:14">
      <c r="A110" s="1">
        <v>24</v>
      </c>
      <c r="B110" s="320" t="s">
        <v>445</v>
      </c>
      <c r="C110" s="74"/>
      <c r="D110" s="74">
        <f>SUM(D105:D109)</f>
        <v>-2096832560</v>
      </c>
      <c r="E110" s="74"/>
      <c r="F110" s="74"/>
      <c r="G110" s="74"/>
      <c r="H110" s="74"/>
      <c r="I110" s="74">
        <f>SUM(I105:I109)</f>
        <v>-219294943.58109578</v>
      </c>
      <c r="J110" s="74"/>
      <c r="K110" s="72"/>
      <c r="L110" s="79"/>
      <c r="M110" s="79"/>
      <c r="N110" s="79"/>
    </row>
    <row r="111" spans="1:14">
      <c r="A111" s="1"/>
      <c r="C111" s="74"/>
      <c r="E111" s="74"/>
      <c r="F111" s="74"/>
      <c r="G111" s="351"/>
      <c r="H111" s="74"/>
      <c r="J111" s="74"/>
      <c r="K111" s="352"/>
      <c r="L111" s="79"/>
      <c r="M111" s="79"/>
      <c r="N111" s="79"/>
    </row>
    <row r="112" spans="1:14">
      <c r="A112" s="1">
        <v>25</v>
      </c>
      <c r="B112" s="305" t="s">
        <v>67</v>
      </c>
      <c r="C112" s="72" t="s">
        <v>68</v>
      </c>
      <c r="D112" s="324">
        <f>'Land Held for Future Use'!B10</f>
        <v>99143</v>
      </c>
      <c r="E112" s="74"/>
      <c r="F112" s="74" t="str">
        <f>+F90</f>
        <v>TP</v>
      </c>
      <c r="G112" s="350">
        <f>+G90</f>
        <v>0.96512838904806442</v>
      </c>
      <c r="H112" s="74"/>
      <c r="I112" s="74">
        <f>+G112*D112</f>
        <v>95685.723875392257</v>
      </c>
      <c r="J112" s="74"/>
      <c r="K112" s="72"/>
      <c r="L112" s="79"/>
      <c r="M112" s="79"/>
      <c r="N112" s="578"/>
    </row>
    <row r="113" spans="1:14">
      <c r="A113" s="1"/>
      <c r="B113" s="320"/>
      <c r="C113" s="74"/>
      <c r="D113" s="74"/>
      <c r="E113" s="74"/>
      <c r="F113" s="74"/>
      <c r="G113" s="74"/>
      <c r="H113" s="74"/>
      <c r="I113" s="74"/>
      <c r="J113" s="74"/>
      <c r="K113" s="72"/>
      <c r="L113" s="79"/>
      <c r="M113" s="79"/>
      <c r="N113" s="79"/>
    </row>
    <row r="114" spans="1:14">
      <c r="A114" s="1"/>
      <c r="B114" s="320" t="s">
        <v>204</v>
      </c>
      <c r="C114" s="74" t="s">
        <v>9</v>
      </c>
      <c r="D114" s="74"/>
      <c r="E114" s="74"/>
      <c r="F114" s="74"/>
      <c r="G114" s="74"/>
      <c r="H114" s="74"/>
      <c r="I114" s="74"/>
      <c r="J114" s="74"/>
      <c r="K114" s="72"/>
      <c r="L114" s="79"/>
      <c r="M114" s="79"/>
      <c r="N114" s="79"/>
    </row>
    <row r="115" spans="1:14">
      <c r="A115" s="1">
        <v>26</v>
      </c>
      <c r="B115" s="320" t="s">
        <v>205</v>
      </c>
      <c r="C115" s="77" t="s">
        <v>201</v>
      </c>
      <c r="D115" s="74">
        <f>+D156/8</f>
        <v>20827026.489999998</v>
      </c>
      <c r="E115" s="74"/>
      <c r="F115" s="74"/>
      <c r="G115" s="351"/>
      <c r="H115" s="74"/>
      <c r="I115" s="74">
        <f>+I156/8</f>
        <v>4057520.8639651211</v>
      </c>
      <c r="J115" s="75"/>
      <c r="K115" s="352"/>
      <c r="L115" s="79"/>
      <c r="M115" s="79"/>
      <c r="N115" s="79"/>
    </row>
    <row r="116" spans="1:14">
      <c r="A116" s="1">
        <v>27</v>
      </c>
      <c r="B116" s="320" t="s">
        <v>69</v>
      </c>
      <c r="C116" s="74" t="s">
        <v>3</v>
      </c>
      <c r="D116" s="324">
        <v>36426413</v>
      </c>
      <c r="E116" s="74"/>
      <c r="F116" s="74" t="s">
        <v>70</v>
      </c>
      <c r="G116" s="350">
        <f>I225</f>
        <v>0.87750542443635549</v>
      </c>
      <c r="H116" s="74"/>
      <c r="I116" s="74">
        <f>+G116*D116</f>
        <v>31964375.000258978</v>
      </c>
      <c r="J116" s="74" t="s">
        <v>9</v>
      </c>
      <c r="K116" s="352"/>
      <c r="L116" s="79"/>
      <c r="M116" s="79"/>
      <c r="N116" s="578"/>
    </row>
    <row r="117" spans="1:14" ht="16.5" thickBot="1">
      <c r="A117" s="1">
        <v>28</v>
      </c>
      <c r="B117" s="320" t="s">
        <v>172</v>
      </c>
      <c r="C117" s="74" t="s">
        <v>242</v>
      </c>
      <c r="D117" s="78">
        <v>1487600</v>
      </c>
      <c r="E117" s="74"/>
      <c r="F117" s="74" t="s">
        <v>71</v>
      </c>
      <c r="G117" s="350">
        <f>+G86</f>
        <v>0.10935225321647452</v>
      </c>
      <c r="H117" s="74"/>
      <c r="I117" s="325">
        <f>+G117*D117</f>
        <v>162672.41188482748</v>
      </c>
      <c r="J117" s="74"/>
      <c r="K117" s="352"/>
      <c r="L117" s="79"/>
      <c r="M117" s="79"/>
      <c r="N117" s="578"/>
    </row>
    <row r="118" spans="1:14">
      <c r="A118" s="1">
        <v>29</v>
      </c>
      <c r="B118" s="320" t="s">
        <v>446</v>
      </c>
      <c r="C118" s="75"/>
      <c r="D118" s="74">
        <f>D115+D116+D117</f>
        <v>58741039.489999995</v>
      </c>
      <c r="E118" s="75"/>
      <c r="F118" s="75"/>
      <c r="G118" s="75"/>
      <c r="H118" s="75"/>
      <c r="I118" s="74">
        <f>I115+I116+I117</f>
        <v>36184568.276108928</v>
      </c>
      <c r="J118" s="75"/>
      <c r="K118" s="76"/>
      <c r="L118" s="79"/>
      <c r="M118" s="79"/>
      <c r="N118" s="79"/>
    </row>
    <row r="119" spans="1:14" ht="16.5" thickBot="1">
      <c r="C119" s="74"/>
      <c r="D119" s="355"/>
      <c r="E119" s="74"/>
      <c r="F119" s="74"/>
      <c r="G119" s="74"/>
      <c r="H119" s="74"/>
      <c r="I119" s="355"/>
      <c r="J119" s="74"/>
      <c r="K119" s="72"/>
      <c r="L119" s="79"/>
      <c r="M119" s="79"/>
      <c r="N119" s="79"/>
    </row>
    <row r="120" spans="1:14" ht="16.5" thickBot="1">
      <c r="A120" s="1">
        <v>30</v>
      </c>
      <c r="B120" s="320" t="s">
        <v>171</v>
      </c>
      <c r="C120" s="74"/>
      <c r="D120" s="80">
        <f>+D118+D112+D110+D102</f>
        <v>6171276712.4899998</v>
      </c>
      <c r="E120" s="74"/>
      <c r="F120" s="74"/>
      <c r="G120" s="351"/>
      <c r="H120" s="74"/>
      <c r="I120" s="80">
        <f>+I118+I112+I110+I102</f>
        <v>761646111.66982913</v>
      </c>
      <c r="J120" s="74"/>
      <c r="K120" s="352"/>
      <c r="L120" s="79"/>
      <c r="M120" s="79"/>
      <c r="N120" s="79"/>
    </row>
    <row r="121" spans="1:14" ht="16.5" thickTop="1">
      <c r="A121" s="1"/>
      <c r="B121" s="320"/>
      <c r="C121" s="74"/>
      <c r="D121" s="73"/>
      <c r="E121" s="74"/>
      <c r="F121" s="74"/>
      <c r="G121" s="351"/>
      <c r="H121" s="74"/>
      <c r="I121" s="73"/>
      <c r="J121" s="74"/>
      <c r="K121" s="352"/>
      <c r="L121" s="79"/>
      <c r="M121" s="79"/>
      <c r="N121" s="79"/>
    </row>
    <row r="122" spans="1:14">
      <c r="A122" s="1"/>
      <c r="B122" s="320"/>
      <c r="C122" s="74"/>
      <c r="D122" s="73"/>
      <c r="E122" s="74"/>
      <c r="F122" s="74"/>
      <c r="G122" s="351"/>
      <c r="H122" s="74"/>
      <c r="I122" s="73"/>
      <c r="J122" s="74"/>
      <c r="K122" s="352"/>
      <c r="L122" s="79"/>
      <c r="M122" s="79"/>
      <c r="N122" s="79"/>
    </row>
    <row r="123" spans="1:14">
      <c r="A123" s="1"/>
      <c r="B123" s="320"/>
      <c r="C123" s="74"/>
      <c r="D123" s="73"/>
      <c r="E123" s="74"/>
      <c r="F123" s="74"/>
      <c r="G123" s="351"/>
      <c r="H123" s="74"/>
      <c r="I123" s="73"/>
      <c r="J123" s="74"/>
      <c r="K123" s="352"/>
      <c r="L123" s="79"/>
      <c r="M123" s="79"/>
      <c r="N123" s="79"/>
    </row>
    <row r="124" spans="1:14">
      <c r="A124" s="1"/>
      <c r="B124" s="320"/>
      <c r="C124" s="74"/>
      <c r="D124" s="73"/>
      <c r="E124" s="74"/>
      <c r="F124" s="74"/>
      <c r="G124" s="351"/>
      <c r="H124" s="74"/>
      <c r="I124" s="73"/>
      <c r="J124" s="74"/>
      <c r="K124" s="352"/>
      <c r="L124" s="79"/>
      <c r="M124" s="79"/>
      <c r="N124" s="79"/>
    </row>
    <row r="125" spans="1:14">
      <c r="A125" s="1"/>
      <c r="B125" s="320"/>
      <c r="C125" s="74"/>
      <c r="D125" s="73"/>
      <c r="E125" s="74"/>
      <c r="F125" s="74"/>
      <c r="G125" s="351"/>
      <c r="H125" s="74"/>
      <c r="I125" s="73"/>
      <c r="J125" s="74"/>
      <c r="K125" s="352"/>
      <c r="L125" s="79"/>
      <c r="M125" s="79"/>
      <c r="N125" s="79"/>
    </row>
    <row r="126" spans="1:14">
      <c r="A126" s="1"/>
      <c r="B126" s="320"/>
      <c r="C126" s="74"/>
      <c r="D126" s="73"/>
      <c r="E126" s="74"/>
      <c r="F126" s="74"/>
      <c r="G126" s="351"/>
      <c r="H126" s="74"/>
      <c r="I126" s="73"/>
      <c r="J126" s="74"/>
      <c r="K126" s="352"/>
      <c r="L126" s="79"/>
      <c r="M126" s="79"/>
      <c r="N126" s="79"/>
    </row>
    <row r="127" spans="1:14">
      <c r="A127" s="1"/>
      <c r="B127" s="320"/>
      <c r="C127" s="74"/>
      <c r="D127" s="73"/>
      <c r="E127" s="74"/>
      <c r="F127" s="74"/>
      <c r="G127" s="351"/>
      <c r="H127" s="74"/>
      <c r="I127" s="73"/>
      <c r="J127" s="74"/>
      <c r="K127" s="352"/>
      <c r="L127" s="79"/>
      <c r="M127" s="79"/>
      <c r="N127" s="79"/>
    </row>
    <row r="128" spans="1:14">
      <c r="A128" s="1"/>
      <c r="B128" s="320"/>
      <c r="C128" s="74"/>
      <c r="D128" s="73"/>
      <c r="E128" s="74"/>
      <c r="F128" s="74"/>
      <c r="G128" s="351"/>
      <c r="H128" s="74"/>
      <c r="I128" s="73"/>
      <c r="J128" s="74"/>
      <c r="K128" s="352"/>
      <c r="L128" s="79"/>
      <c r="M128" s="79"/>
      <c r="N128" s="79"/>
    </row>
    <row r="129" spans="1:14">
      <c r="A129" s="1"/>
      <c r="B129" s="320"/>
      <c r="C129" s="74"/>
      <c r="D129" s="73"/>
      <c r="E129" s="74"/>
      <c r="F129" s="74"/>
      <c r="G129" s="351"/>
      <c r="H129" s="74"/>
      <c r="I129" s="73"/>
      <c r="J129" s="74"/>
      <c r="K129" s="352"/>
      <c r="L129" s="79"/>
      <c r="M129" s="79"/>
      <c r="N129" s="79"/>
    </row>
    <row r="130" spans="1:14">
      <c r="A130" s="1"/>
      <c r="B130" s="320"/>
      <c r="C130" s="74"/>
      <c r="D130" s="73"/>
      <c r="E130" s="74"/>
      <c r="F130" s="74"/>
      <c r="G130" s="351"/>
      <c r="H130" s="74"/>
      <c r="I130" s="73"/>
      <c r="J130" s="74"/>
      <c r="K130" s="352"/>
      <c r="L130" s="79"/>
      <c r="M130" s="79"/>
      <c r="N130" s="79"/>
    </row>
    <row r="131" spans="1:14">
      <c r="A131" s="1"/>
      <c r="B131" s="320"/>
      <c r="C131" s="74"/>
      <c r="D131" s="73"/>
      <c r="E131" s="74"/>
      <c r="F131" s="74"/>
      <c r="G131" s="351"/>
      <c r="H131" s="74"/>
      <c r="I131" s="73"/>
      <c r="J131" s="74"/>
      <c r="K131" s="352"/>
      <c r="L131" s="79"/>
      <c r="M131" s="79"/>
      <c r="N131" s="79"/>
    </row>
    <row r="132" spans="1:14">
      <c r="A132" s="1"/>
      <c r="B132" s="320"/>
      <c r="C132" s="74"/>
      <c r="D132" s="73"/>
      <c r="E132" s="74"/>
      <c r="F132" s="74"/>
      <c r="G132" s="351"/>
      <c r="H132" s="74"/>
      <c r="I132" s="73"/>
      <c r="J132" s="74"/>
      <c r="K132" s="352"/>
      <c r="L132" s="79"/>
      <c r="M132" s="79"/>
      <c r="N132" s="79"/>
    </row>
    <row r="133" spans="1:14">
      <c r="A133" s="1"/>
      <c r="B133" s="320"/>
      <c r="C133" s="74"/>
      <c r="D133" s="73"/>
      <c r="E133" s="74"/>
      <c r="F133" s="74"/>
      <c r="G133" s="351"/>
      <c r="H133" s="74"/>
      <c r="I133" s="73"/>
      <c r="J133" s="74"/>
      <c r="K133" s="352"/>
      <c r="L133" s="79"/>
      <c r="M133" s="79"/>
      <c r="N133" s="79"/>
    </row>
    <row r="134" spans="1:14">
      <c r="A134" s="1"/>
      <c r="B134" s="320"/>
      <c r="C134" s="74"/>
      <c r="D134" s="73"/>
      <c r="E134" s="74"/>
      <c r="F134" s="74"/>
      <c r="G134" s="351"/>
      <c r="H134" s="74"/>
      <c r="I134" s="73"/>
      <c r="J134" s="74"/>
      <c r="K134" s="352"/>
      <c r="L134" s="79"/>
      <c r="M134" s="79"/>
      <c r="N134" s="79"/>
    </row>
    <row r="135" spans="1:14">
      <c r="A135" s="1"/>
      <c r="B135" s="320"/>
      <c r="C135" s="74"/>
      <c r="D135" s="73"/>
      <c r="E135" s="74"/>
      <c r="F135" s="74"/>
      <c r="G135" s="351"/>
      <c r="H135" s="74"/>
      <c r="I135" s="73"/>
      <c r="J135" s="74"/>
      <c r="K135" s="352"/>
      <c r="L135" s="79"/>
      <c r="M135" s="79"/>
      <c r="N135" s="79"/>
    </row>
    <row r="136" spans="1:14">
      <c r="A136" s="1"/>
      <c r="B136" s="320"/>
      <c r="C136" s="74"/>
      <c r="D136" s="73"/>
      <c r="E136" s="74"/>
      <c r="F136" s="74"/>
      <c r="G136" s="351"/>
      <c r="H136" s="74"/>
      <c r="I136" s="73"/>
      <c r="J136" s="74"/>
      <c r="K136" s="352"/>
      <c r="L136" s="79"/>
      <c r="M136" s="79"/>
      <c r="N136" s="79"/>
    </row>
    <row r="137" spans="1:14">
      <c r="B137" s="305"/>
      <c r="C137" s="305"/>
      <c r="D137" s="306"/>
      <c r="E137" s="305"/>
      <c r="F137" s="305"/>
      <c r="G137" s="305"/>
      <c r="H137" s="307"/>
      <c r="I137" s="307"/>
      <c r="J137" s="583" t="s">
        <v>223</v>
      </c>
      <c r="K137" s="583"/>
      <c r="L137" s="79"/>
      <c r="M137" s="79"/>
      <c r="N137" s="79"/>
    </row>
    <row r="138" spans="1:14">
      <c r="B138" s="305"/>
      <c r="C138" s="305"/>
      <c r="D138" s="306"/>
      <c r="E138" s="305"/>
      <c r="F138" s="305"/>
      <c r="G138" s="305"/>
      <c r="H138" s="307"/>
      <c r="I138" s="307"/>
      <c r="J138" s="75"/>
      <c r="K138" s="310"/>
      <c r="L138" s="79"/>
      <c r="M138" s="79"/>
      <c r="N138" s="79"/>
    </row>
    <row r="139" spans="1:14">
      <c r="B139" s="305" t="s">
        <v>7</v>
      </c>
      <c r="C139" s="305"/>
      <c r="D139" s="306" t="s">
        <v>8</v>
      </c>
      <c r="E139" s="305"/>
      <c r="F139" s="305"/>
      <c r="G139" s="305"/>
      <c r="H139" s="307"/>
      <c r="I139" s="307"/>
      <c r="J139" s="75"/>
      <c r="K139" s="310" t="str">
        <f>K4</f>
        <v>For the 12 months ended 12/31/2016</v>
      </c>
      <c r="L139" s="79"/>
      <c r="M139" s="79"/>
      <c r="N139" s="79"/>
    </row>
    <row r="140" spans="1:14">
      <c r="B140" s="305"/>
      <c r="C140" s="74" t="s">
        <v>9</v>
      </c>
      <c r="D140" s="74" t="s">
        <v>10</v>
      </c>
      <c r="E140" s="74"/>
      <c r="F140" s="74"/>
      <c r="G140" s="74"/>
      <c r="H140" s="307"/>
      <c r="I140" s="307"/>
      <c r="J140" s="75"/>
      <c r="K140" s="76"/>
      <c r="L140" s="79"/>
      <c r="M140" s="79"/>
      <c r="N140" s="79"/>
    </row>
    <row r="141" spans="1:14">
      <c r="B141" s="305"/>
      <c r="C141" s="74"/>
      <c r="D141" s="74"/>
      <c r="E141" s="74"/>
      <c r="F141" s="74"/>
      <c r="G141" s="74"/>
      <c r="H141" s="307"/>
      <c r="I141" s="307"/>
      <c r="J141" s="75"/>
      <c r="K141" s="76"/>
      <c r="L141" s="79"/>
      <c r="M141" s="79"/>
      <c r="N141" s="79"/>
    </row>
    <row r="142" spans="1:14">
      <c r="A142" s="1"/>
      <c r="D142" s="77" t="str">
        <f>D7</f>
        <v>Duke Energy Indiana</v>
      </c>
      <c r="J142" s="74"/>
      <c r="K142" s="72"/>
      <c r="L142" s="79"/>
      <c r="M142" s="79"/>
      <c r="N142" s="79"/>
    </row>
    <row r="143" spans="1:14">
      <c r="A143" s="1"/>
      <c r="B143" s="341" t="s">
        <v>39</v>
      </c>
      <c r="C143" s="341" t="s">
        <v>40</v>
      </c>
      <c r="D143" s="341" t="s">
        <v>41</v>
      </c>
      <c r="E143" s="74" t="s">
        <v>9</v>
      </c>
      <c r="F143" s="74"/>
      <c r="G143" s="342" t="s">
        <v>42</v>
      </c>
      <c r="H143" s="74"/>
      <c r="I143" s="343" t="s">
        <v>43</v>
      </c>
      <c r="J143" s="74"/>
      <c r="K143" s="72"/>
      <c r="L143" s="79"/>
      <c r="M143" s="79"/>
      <c r="N143" s="79"/>
    </row>
    <row r="144" spans="1:14">
      <c r="A144" s="1" t="s">
        <v>11</v>
      </c>
      <c r="B144" s="320"/>
      <c r="C144" s="345" t="s">
        <v>44</v>
      </c>
      <c r="D144" s="74"/>
      <c r="E144" s="74"/>
      <c r="F144" s="74"/>
      <c r="G144" s="1"/>
      <c r="H144" s="74"/>
      <c r="I144" s="346" t="s">
        <v>45</v>
      </c>
      <c r="J144" s="74"/>
      <c r="K144" s="356"/>
      <c r="L144" s="79"/>
      <c r="M144" s="79"/>
      <c r="N144" s="79"/>
    </row>
    <row r="145" spans="1:15" ht="16.5" thickBot="1">
      <c r="A145" s="317" t="s">
        <v>13</v>
      </c>
      <c r="B145" s="320"/>
      <c r="C145" s="347" t="s">
        <v>46</v>
      </c>
      <c r="D145" s="346" t="s">
        <v>47</v>
      </c>
      <c r="E145" s="348"/>
      <c r="F145" s="346" t="s">
        <v>48</v>
      </c>
      <c r="H145" s="348"/>
      <c r="I145" s="1" t="s">
        <v>49</v>
      </c>
      <c r="J145" s="74"/>
      <c r="K145" s="356"/>
      <c r="L145" s="79"/>
      <c r="M145" s="79"/>
      <c r="N145" s="79"/>
    </row>
    <row r="146" spans="1:15">
      <c r="A146" s="1"/>
      <c r="B146" s="320" t="s">
        <v>447</v>
      </c>
      <c r="C146" s="74"/>
      <c r="D146" s="74"/>
      <c r="E146" s="74"/>
      <c r="F146" s="74"/>
      <c r="G146" s="74"/>
      <c r="H146" s="74"/>
      <c r="I146" s="74"/>
      <c r="J146" s="74"/>
      <c r="K146" s="72"/>
      <c r="L146" s="79"/>
      <c r="M146" s="79"/>
      <c r="N146" s="79"/>
    </row>
    <row r="147" spans="1:15">
      <c r="A147" s="1">
        <v>1</v>
      </c>
      <c r="B147" s="320" t="s">
        <v>72</v>
      </c>
      <c r="C147" s="74" t="s">
        <v>255</v>
      </c>
      <c r="D147" s="324">
        <v>75944443</v>
      </c>
      <c r="E147" s="74"/>
      <c r="F147" s="74" t="s">
        <v>70</v>
      </c>
      <c r="G147" s="350">
        <f>I225</f>
        <v>0.87750542443635549</v>
      </c>
      <c r="H147" s="74"/>
      <c r="I147" s="74">
        <f>+G147*D147</f>
        <v>66641660.688297607</v>
      </c>
      <c r="J147" s="75"/>
      <c r="K147" s="72"/>
      <c r="L147" s="79"/>
      <c r="M147" s="79"/>
      <c r="N147" s="578"/>
    </row>
    <row r="148" spans="1:15">
      <c r="A148" s="5" t="s">
        <v>4</v>
      </c>
      <c r="B148" s="71" t="s">
        <v>448</v>
      </c>
      <c r="C148" s="72"/>
      <c r="D148" s="324">
        <v>8094835</v>
      </c>
      <c r="E148" s="74"/>
      <c r="F148" s="357"/>
      <c r="G148" s="350">
        <v>1</v>
      </c>
      <c r="H148" s="74"/>
      <c r="I148" s="74">
        <f>+G148*D148</f>
        <v>8094835</v>
      </c>
      <c r="J148" s="75"/>
      <c r="K148" s="72"/>
      <c r="L148" s="79"/>
      <c r="M148" s="79"/>
      <c r="N148" s="578"/>
    </row>
    <row r="149" spans="1:15">
      <c r="A149" s="1">
        <v>2</v>
      </c>
      <c r="B149" s="320" t="s">
        <v>73</v>
      </c>
      <c r="C149" s="74" t="s">
        <v>256</v>
      </c>
      <c r="D149" s="324">
        <v>41439497</v>
      </c>
      <c r="E149" s="74"/>
      <c r="F149" s="74" t="s">
        <v>70</v>
      </c>
      <c r="G149" s="350">
        <f>+G147</f>
        <v>0.87750542443635549</v>
      </c>
      <c r="H149" s="74"/>
      <c r="I149" s="74">
        <f t="shared" ref="I149:I155" si="2">+G149*D149</f>
        <v>36363383.403414078</v>
      </c>
      <c r="J149" s="75"/>
      <c r="K149" s="72"/>
      <c r="L149" s="79"/>
      <c r="M149" s="79"/>
      <c r="N149" s="578"/>
    </row>
    <row r="150" spans="1:15">
      <c r="A150" s="1">
        <v>3</v>
      </c>
      <c r="B150" s="320" t="s">
        <v>74</v>
      </c>
      <c r="C150" s="74" t="s">
        <v>257</v>
      </c>
      <c r="D150" s="324">
        <v>144967107</v>
      </c>
      <c r="E150" s="74"/>
      <c r="F150" s="74" t="s">
        <v>56</v>
      </c>
      <c r="G150" s="350">
        <f>+G92</f>
        <v>7.3297271369818798E-2</v>
      </c>
      <c r="H150" s="74"/>
      <c r="I150" s="74">
        <f t="shared" si="2"/>
        <v>10625693.381476559</v>
      </c>
      <c r="J150" s="74"/>
      <c r="K150" s="72" t="s">
        <v>9</v>
      </c>
      <c r="L150" s="79"/>
      <c r="M150" s="79"/>
      <c r="N150" s="578"/>
    </row>
    <row r="151" spans="1:15">
      <c r="A151" s="1">
        <v>4</v>
      </c>
      <c r="B151" s="320" t="s">
        <v>75</v>
      </c>
      <c r="C151" s="74"/>
      <c r="D151" s="324">
        <v>1840419</v>
      </c>
      <c r="E151" s="74"/>
      <c r="F151" s="74" t="str">
        <f>+F150</f>
        <v>W/S</v>
      </c>
      <c r="G151" s="350">
        <f>+G150</f>
        <v>7.3297271369818798E-2</v>
      </c>
      <c r="H151" s="74"/>
      <c r="I151" s="74">
        <f t="shared" si="2"/>
        <v>134897.69087717053</v>
      </c>
      <c r="J151" s="74"/>
      <c r="K151" s="72"/>
      <c r="L151" s="79"/>
      <c r="M151" s="79"/>
      <c r="N151" s="578"/>
    </row>
    <row r="152" spans="1:15">
      <c r="A152" s="1">
        <v>5</v>
      </c>
      <c r="B152" s="71" t="s">
        <v>449</v>
      </c>
      <c r="C152" s="72"/>
      <c r="D152" s="324">
        <v>2920587.08</v>
      </c>
      <c r="E152" s="74"/>
      <c r="F152" s="74" t="str">
        <f>+F151</f>
        <v>W/S</v>
      </c>
      <c r="G152" s="350">
        <f>+G151</f>
        <v>7.3297271369818798E-2</v>
      </c>
      <c r="H152" s="74"/>
      <c r="I152" s="74">
        <f t="shared" si="2"/>
        <v>214071.06376194669</v>
      </c>
      <c r="J152" s="74"/>
      <c r="K152" s="72"/>
      <c r="L152" s="79"/>
      <c r="M152" s="79"/>
      <c r="N152" s="578"/>
    </row>
    <row r="153" spans="1:15">
      <c r="A153" s="1" t="s">
        <v>212</v>
      </c>
      <c r="B153" s="71" t="s">
        <v>450</v>
      </c>
      <c r="C153" s="72"/>
      <c r="D153" s="324">
        <v>0</v>
      </c>
      <c r="E153" s="74"/>
      <c r="F153" s="358" t="str">
        <f>+F147</f>
        <v>TE</v>
      </c>
      <c r="G153" s="359">
        <f>+G147</f>
        <v>0.87750542443635549</v>
      </c>
      <c r="H153" s="74"/>
      <c r="I153" s="74">
        <f>+G153*D153</f>
        <v>0</v>
      </c>
      <c r="J153" s="74"/>
      <c r="K153" s="72"/>
      <c r="L153" s="79"/>
      <c r="M153" s="79"/>
      <c r="N153" s="79"/>
    </row>
    <row r="154" spans="1:15">
      <c r="A154" s="1">
        <v>6</v>
      </c>
      <c r="B154" s="320" t="s">
        <v>57</v>
      </c>
      <c r="C154" s="74" t="str">
        <f>+C93</f>
        <v>356.1</v>
      </c>
      <c r="D154" s="324">
        <v>0</v>
      </c>
      <c r="E154" s="74"/>
      <c r="F154" s="74" t="s">
        <v>109</v>
      </c>
      <c r="G154" s="350">
        <f>+G93</f>
        <v>7.3297271369818798E-2</v>
      </c>
      <c r="H154" s="74"/>
      <c r="I154" s="74">
        <f t="shared" si="2"/>
        <v>0</v>
      </c>
      <c r="J154" s="74"/>
      <c r="K154" s="72"/>
      <c r="L154" s="79"/>
      <c r="M154" s="79"/>
      <c r="N154" s="79"/>
    </row>
    <row r="155" spans="1:15" ht="16.5" thickBot="1">
      <c r="A155" s="1">
        <v>7</v>
      </c>
      <c r="B155" s="320" t="s">
        <v>76</v>
      </c>
      <c r="C155" s="74"/>
      <c r="D155" s="78">
        <v>0</v>
      </c>
      <c r="E155" s="74"/>
      <c r="F155" s="74" t="s">
        <v>9</v>
      </c>
      <c r="G155" s="350">
        <v>1</v>
      </c>
      <c r="H155" s="74"/>
      <c r="I155" s="325">
        <f t="shared" si="2"/>
        <v>0</v>
      </c>
      <c r="J155" s="74"/>
      <c r="K155" s="72"/>
      <c r="L155" s="79"/>
      <c r="M155" s="79"/>
      <c r="N155" s="79"/>
    </row>
    <row r="156" spans="1:15">
      <c r="A156" s="5">
        <v>8</v>
      </c>
      <c r="B156" s="71" t="s">
        <v>451</v>
      </c>
      <c r="C156" s="72"/>
      <c r="D156" s="72">
        <f>+D147-D149+D150-D151-D152-D148+D154+D155+D153</f>
        <v>166616211.91999999</v>
      </c>
      <c r="E156" s="72"/>
      <c r="F156" s="72"/>
      <c r="G156" s="72"/>
      <c r="H156" s="72"/>
      <c r="I156" s="72">
        <f>+I147-I149+I150-I151-I152-I148+I154+I155+I153</f>
        <v>32460166.911720969</v>
      </c>
      <c r="J156" s="72"/>
      <c r="K156" s="72"/>
      <c r="L156" s="72"/>
      <c r="M156" s="79"/>
      <c r="N156" s="79"/>
      <c r="O156" s="79"/>
    </row>
    <row r="157" spans="1:15">
      <c r="A157" s="1"/>
      <c r="C157" s="74"/>
      <c r="E157" s="74"/>
      <c r="F157" s="74"/>
      <c r="G157" s="74"/>
      <c r="H157" s="74"/>
      <c r="J157" s="74"/>
      <c r="K157" s="72"/>
      <c r="L157" s="79"/>
      <c r="M157" s="79"/>
      <c r="N157" s="79"/>
    </row>
    <row r="158" spans="1:15">
      <c r="A158" s="1"/>
      <c r="B158" s="320" t="s">
        <v>452</v>
      </c>
      <c r="C158" s="74"/>
      <c r="D158" s="74"/>
      <c r="E158" s="74"/>
      <c r="F158" s="74"/>
      <c r="G158" s="74"/>
      <c r="H158" s="74"/>
      <c r="I158" s="74"/>
      <c r="J158" s="74"/>
      <c r="K158" s="72"/>
      <c r="L158" s="79"/>
      <c r="M158" s="79"/>
      <c r="N158" s="79"/>
    </row>
    <row r="159" spans="1:15">
      <c r="A159" s="1">
        <v>9</v>
      </c>
      <c r="B159" s="320" t="str">
        <f>+B147</f>
        <v xml:space="preserve">  Transmission </v>
      </c>
      <c r="C159" s="74" t="s">
        <v>77</v>
      </c>
      <c r="D159" s="324">
        <v>32715299</v>
      </c>
      <c r="E159" s="74"/>
      <c r="F159" s="74" t="s">
        <v>18</v>
      </c>
      <c r="G159" s="350">
        <f>+G112</f>
        <v>0.96512838904806442</v>
      </c>
      <c r="H159" s="74"/>
      <c r="I159" s="74">
        <f>+G159*D159</f>
        <v>31574463.821095753</v>
      </c>
      <c r="J159" s="74"/>
      <c r="K159" s="352"/>
      <c r="L159" s="79"/>
      <c r="M159" s="79"/>
      <c r="N159" s="578"/>
    </row>
    <row r="160" spans="1:15">
      <c r="A160" s="1">
        <v>10</v>
      </c>
      <c r="B160" s="320" t="s">
        <v>55</v>
      </c>
      <c r="C160" s="74" t="s">
        <v>453</v>
      </c>
      <c r="D160" s="324">
        <v>20565590</v>
      </c>
      <c r="E160" s="74"/>
      <c r="F160" s="74" t="s">
        <v>56</v>
      </c>
      <c r="G160" s="350">
        <f>+G150</f>
        <v>7.3297271369818798E-2</v>
      </c>
      <c r="H160" s="74"/>
      <c r="I160" s="74">
        <f>+G160*D160</f>
        <v>1507401.6311104319</v>
      </c>
      <c r="J160" s="74"/>
      <c r="K160" s="352"/>
      <c r="L160" s="79"/>
      <c r="M160" s="79"/>
      <c r="N160" s="578"/>
    </row>
    <row r="161" spans="1:14" ht="16.5" thickBot="1">
      <c r="A161" s="1">
        <v>11</v>
      </c>
      <c r="B161" s="320" t="str">
        <f>+B154</f>
        <v xml:space="preserve">  Common</v>
      </c>
      <c r="C161" s="74" t="s">
        <v>2</v>
      </c>
      <c r="D161" s="78">
        <v>0</v>
      </c>
      <c r="E161" s="74"/>
      <c r="F161" s="74" t="s">
        <v>109</v>
      </c>
      <c r="G161" s="350">
        <f>+G154</f>
        <v>7.3297271369818798E-2</v>
      </c>
      <c r="H161" s="74"/>
      <c r="I161" s="325">
        <f>+G161*D161</f>
        <v>0</v>
      </c>
      <c r="J161" s="74"/>
      <c r="K161" s="352"/>
      <c r="L161" s="79"/>
      <c r="M161" s="79"/>
      <c r="N161" s="79"/>
    </row>
    <row r="162" spans="1:14">
      <c r="A162" s="1">
        <v>12</v>
      </c>
      <c r="B162" s="320" t="s">
        <v>454</v>
      </c>
      <c r="C162" s="74"/>
      <c r="D162" s="74">
        <f>SUM(D159:D161)</f>
        <v>53280889</v>
      </c>
      <c r="E162" s="74"/>
      <c r="F162" s="74"/>
      <c r="G162" s="74"/>
      <c r="H162" s="74"/>
      <c r="I162" s="74">
        <f>SUM(I159:I161)</f>
        <v>33081865.452206187</v>
      </c>
      <c r="J162" s="74"/>
      <c r="K162" s="72"/>
      <c r="L162" s="79"/>
      <c r="M162" s="79"/>
      <c r="N162" s="79"/>
    </row>
    <row r="163" spans="1:14">
      <c r="A163" s="1"/>
      <c r="B163" s="320"/>
      <c r="C163" s="74"/>
      <c r="D163" s="74"/>
      <c r="E163" s="74"/>
      <c r="F163" s="74"/>
      <c r="G163" s="74"/>
      <c r="H163" s="74"/>
      <c r="I163" s="74"/>
      <c r="J163" s="74"/>
      <c r="K163" s="72"/>
      <c r="L163" s="79"/>
      <c r="M163" s="79"/>
      <c r="N163" s="79"/>
    </row>
    <row r="164" spans="1:14">
      <c r="A164" s="1" t="s">
        <v>9</v>
      </c>
      <c r="B164" s="320" t="s">
        <v>78</v>
      </c>
      <c r="D164" s="74"/>
      <c r="E164" s="74"/>
      <c r="F164" s="74"/>
      <c r="G164" s="74"/>
      <c r="H164" s="74"/>
      <c r="I164" s="74"/>
      <c r="J164" s="74"/>
      <c r="K164" s="72"/>
      <c r="L164" s="79"/>
      <c r="M164" s="79"/>
      <c r="N164" s="79"/>
    </row>
    <row r="165" spans="1:14">
      <c r="A165" s="1"/>
      <c r="B165" s="320" t="s">
        <v>79</v>
      </c>
      <c r="E165" s="74"/>
      <c r="F165" s="74"/>
      <c r="H165" s="74"/>
      <c r="J165" s="74"/>
      <c r="K165" s="352"/>
      <c r="L165" s="79"/>
      <c r="M165" s="79"/>
      <c r="N165" s="79"/>
    </row>
    <row r="166" spans="1:14">
      <c r="A166" s="1">
        <v>13</v>
      </c>
      <c r="B166" s="320" t="s">
        <v>80</v>
      </c>
      <c r="C166" s="74" t="s">
        <v>239</v>
      </c>
      <c r="D166" s="324">
        <v>14360962</v>
      </c>
      <c r="E166" s="74"/>
      <c r="F166" s="74" t="s">
        <v>56</v>
      </c>
      <c r="G166" s="322">
        <f>+G160</f>
        <v>7.3297271369818798E-2</v>
      </c>
      <c r="H166" s="74"/>
      <c r="I166" s="74">
        <f>+G166*D166</f>
        <v>1052619.3288456558</v>
      </c>
      <c r="J166" s="74"/>
      <c r="K166" s="352"/>
      <c r="L166" s="79"/>
      <c r="M166" s="79"/>
      <c r="N166" s="578"/>
    </row>
    <row r="167" spans="1:14">
      <c r="A167" s="1">
        <v>14</v>
      </c>
      <c r="B167" s="320" t="s">
        <v>81</v>
      </c>
      <c r="C167" s="74" t="str">
        <f>+C166</f>
        <v>263.i</v>
      </c>
      <c r="D167" s="324">
        <v>17794</v>
      </c>
      <c r="E167" s="74"/>
      <c r="F167" s="74" t="str">
        <f>+F166</f>
        <v>W/S</v>
      </c>
      <c r="G167" s="322">
        <f>+G166</f>
        <v>7.3297271369818798E-2</v>
      </c>
      <c r="H167" s="74"/>
      <c r="I167" s="74">
        <f>+G167*D167</f>
        <v>1304.2516467545556</v>
      </c>
      <c r="J167" s="74"/>
      <c r="K167" s="352"/>
      <c r="L167" s="79"/>
      <c r="M167" s="79"/>
      <c r="N167" s="578"/>
    </row>
    <row r="168" spans="1:14">
      <c r="A168" s="1">
        <v>15</v>
      </c>
      <c r="B168" s="320" t="s">
        <v>82</v>
      </c>
      <c r="C168" s="74" t="s">
        <v>9</v>
      </c>
      <c r="E168" s="74"/>
      <c r="F168" s="74"/>
      <c r="H168" s="74"/>
      <c r="J168" s="74"/>
      <c r="K168" s="352"/>
      <c r="L168" s="79"/>
      <c r="M168" s="79"/>
      <c r="N168" s="79"/>
    </row>
    <row r="169" spans="1:14">
      <c r="A169" s="1">
        <v>16</v>
      </c>
      <c r="B169" s="320" t="s">
        <v>83</v>
      </c>
      <c r="C169" s="74" t="s">
        <v>239</v>
      </c>
      <c r="D169" s="324">
        <v>41177903</v>
      </c>
      <c r="E169" s="74"/>
      <c r="F169" s="74" t="s">
        <v>71</v>
      </c>
      <c r="G169" s="322">
        <f>+G86</f>
        <v>0.10935225321647452</v>
      </c>
      <c r="H169" s="74"/>
      <c r="I169" s="74">
        <f>+G169*D169</f>
        <v>4502896.4757794254</v>
      </c>
      <c r="J169" s="74"/>
      <c r="K169" s="352"/>
      <c r="L169" s="79"/>
      <c r="M169" s="79"/>
      <c r="N169" s="578"/>
    </row>
    <row r="170" spans="1:14">
      <c r="A170" s="1">
        <v>17</v>
      </c>
      <c r="B170" s="320" t="s">
        <v>84</v>
      </c>
      <c r="C170" s="74" t="s">
        <v>239</v>
      </c>
      <c r="D170" s="324">
        <v>0</v>
      </c>
      <c r="E170" s="74"/>
      <c r="F170" s="72" t="str">
        <f>+F105</f>
        <v>NA</v>
      </c>
      <c r="G170" s="360" t="s">
        <v>213</v>
      </c>
      <c r="H170" s="74"/>
      <c r="I170" s="74">
        <v>0</v>
      </c>
      <c r="J170" s="74"/>
      <c r="K170" s="352"/>
      <c r="L170" s="79"/>
      <c r="M170" s="79"/>
      <c r="N170" s="79"/>
    </row>
    <row r="171" spans="1:14">
      <c r="A171" s="1">
        <v>18</v>
      </c>
      <c r="B171" s="320" t="s">
        <v>85</v>
      </c>
      <c r="C171" s="74" t="str">
        <f>+C170</f>
        <v>263.i</v>
      </c>
      <c r="D171" s="324">
        <v>0</v>
      </c>
      <c r="E171" s="74"/>
      <c r="F171" s="74" t="str">
        <f>+F169</f>
        <v>GP</v>
      </c>
      <c r="G171" s="322">
        <f>+G169</f>
        <v>0.10935225321647452</v>
      </c>
      <c r="H171" s="74"/>
      <c r="I171" s="74">
        <f>+G171*D171</f>
        <v>0</v>
      </c>
      <c r="J171" s="74"/>
      <c r="K171" s="352"/>
      <c r="L171" s="79"/>
      <c r="M171" s="79"/>
      <c r="N171" s="79"/>
    </row>
    <row r="172" spans="1:14" ht="16.5" thickBot="1">
      <c r="A172" s="1">
        <v>19</v>
      </c>
      <c r="B172" s="320" t="s">
        <v>86</v>
      </c>
      <c r="C172" s="74"/>
      <c r="D172" s="78">
        <v>0</v>
      </c>
      <c r="E172" s="74"/>
      <c r="F172" s="74" t="s">
        <v>71</v>
      </c>
      <c r="G172" s="322">
        <f>+G169</f>
        <v>0.10935225321647452</v>
      </c>
      <c r="H172" s="74"/>
      <c r="I172" s="325">
        <f>+G172*D172</f>
        <v>0</v>
      </c>
      <c r="J172" s="74"/>
      <c r="K172" s="352"/>
      <c r="L172" s="79"/>
      <c r="M172" s="79"/>
      <c r="N172" s="79"/>
    </row>
    <row r="173" spans="1:14">
      <c r="A173" s="1">
        <v>20</v>
      </c>
      <c r="B173" s="320" t="s">
        <v>87</v>
      </c>
      <c r="C173" s="74"/>
      <c r="D173" s="74">
        <f>SUM(D166:D172)</f>
        <v>55556659</v>
      </c>
      <c r="E173" s="74"/>
      <c r="F173" s="74"/>
      <c r="G173" s="322"/>
      <c r="H173" s="74"/>
      <c r="I173" s="74">
        <f>SUM(I166:I172)</f>
        <v>5556820.0562718362</v>
      </c>
      <c r="J173" s="74"/>
      <c r="K173" s="72"/>
      <c r="L173" s="79"/>
      <c r="M173" s="79"/>
      <c r="N173" s="79"/>
    </row>
    <row r="174" spans="1:14">
      <c r="A174" s="1"/>
      <c r="B174" s="320"/>
      <c r="C174" s="74"/>
      <c r="D174" s="74"/>
      <c r="E174" s="74"/>
      <c r="F174" s="74"/>
      <c r="G174" s="322"/>
      <c r="H174" s="74"/>
      <c r="I174" s="74"/>
      <c r="J174" s="74"/>
      <c r="K174" s="72"/>
      <c r="L174" s="79"/>
      <c r="M174" s="79"/>
      <c r="N174" s="79"/>
    </row>
    <row r="175" spans="1:14">
      <c r="A175" s="1" t="s">
        <v>9</v>
      </c>
      <c r="B175" s="320" t="s">
        <v>88</v>
      </c>
      <c r="C175" s="74" t="s">
        <v>455</v>
      </c>
      <c r="D175" s="74"/>
      <c r="E175" s="74"/>
      <c r="G175" s="361"/>
      <c r="H175" s="74"/>
      <c r="J175" s="74"/>
      <c r="L175" s="79"/>
      <c r="M175" s="79"/>
      <c r="N175" s="79"/>
    </row>
    <row r="176" spans="1:14">
      <c r="A176" s="1">
        <v>21</v>
      </c>
      <c r="B176" s="362" t="s">
        <v>193</v>
      </c>
      <c r="C176" s="74"/>
      <c r="D176" s="363">
        <f>IF(D296&gt;0,1-(((1-D297)*(1-D296))/(1-D297*D296*D298)),0)</f>
        <v>0.390625</v>
      </c>
      <c r="E176" s="74"/>
      <c r="G176" s="361"/>
      <c r="H176" s="74"/>
      <c r="J176" s="74"/>
      <c r="L176" s="79"/>
      <c r="M176" s="79"/>
      <c r="N176" s="79"/>
    </row>
    <row r="177" spans="1:14">
      <c r="A177" s="1">
        <v>22</v>
      </c>
      <c r="B177" s="77" t="s">
        <v>194</v>
      </c>
      <c r="C177" s="74"/>
      <c r="D177" s="363">
        <f>IF(I256&gt;0,(D176/(1-D176))*(1-I253/I256),0)</f>
        <v>0.45368158551893006</v>
      </c>
      <c r="E177" s="74"/>
      <c r="G177" s="361"/>
      <c r="H177" s="74"/>
      <c r="J177" s="74"/>
      <c r="L177" s="79"/>
      <c r="M177" s="79"/>
      <c r="N177" s="79"/>
    </row>
    <row r="178" spans="1:14">
      <c r="A178" s="1"/>
      <c r="B178" s="320" t="s">
        <v>456</v>
      </c>
      <c r="C178" s="74"/>
      <c r="D178" s="74"/>
      <c r="E178" s="74"/>
      <c r="G178" s="361"/>
      <c r="H178" s="74"/>
      <c r="J178" s="74"/>
      <c r="L178" s="79"/>
      <c r="M178" s="79"/>
      <c r="N178" s="79"/>
    </row>
    <row r="179" spans="1:14">
      <c r="A179" s="1"/>
      <c r="B179" s="320" t="s">
        <v>196</v>
      </c>
      <c r="C179" s="74"/>
      <c r="D179" s="74"/>
      <c r="E179" s="74"/>
      <c r="G179" s="361"/>
      <c r="H179" s="74"/>
      <c r="J179" s="74"/>
      <c r="L179" s="79"/>
      <c r="M179" s="79"/>
      <c r="N179" s="79"/>
    </row>
    <row r="180" spans="1:14">
      <c r="A180" s="1">
        <v>23</v>
      </c>
      <c r="B180" s="362" t="s">
        <v>195</v>
      </c>
      <c r="C180" s="74"/>
      <c r="D180" s="364">
        <f>IF(D176&gt;0,1/(1-D176),0)</f>
        <v>1.641025641025641</v>
      </c>
      <c r="E180" s="74"/>
      <c r="G180" s="361"/>
      <c r="H180" s="74"/>
      <c r="J180" s="74"/>
      <c r="L180" s="79"/>
      <c r="M180" s="79"/>
      <c r="N180" s="79"/>
    </row>
    <row r="181" spans="1:14">
      <c r="A181" s="1">
        <v>24</v>
      </c>
      <c r="B181" s="320" t="s">
        <v>457</v>
      </c>
      <c r="C181" s="74"/>
      <c r="D181" s="324">
        <v>-781786</v>
      </c>
      <c r="E181" s="74"/>
      <c r="G181" s="361"/>
      <c r="H181" s="74"/>
      <c r="J181" s="74"/>
      <c r="L181" s="79"/>
      <c r="M181" s="79"/>
      <c r="N181" s="578"/>
    </row>
    <row r="182" spans="1:14">
      <c r="A182" s="1"/>
      <c r="B182" s="320"/>
      <c r="C182" s="74"/>
      <c r="D182" s="74"/>
      <c r="E182" s="74"/>
      <c r="G182" s="361"/>
      <c r="H182" s="74"/>
      <c r="J182" s="74"/>
      <c r="L182" s="79"/>
      <c r="M182" s="79"/>
      <c r="N182" s="79"/>
    </row>
    <row r="183" spans="1:14">
      <c r="A183" s="1">
        <v>25</v>
      </c>
      <c r="B183" s="362" t="s">
        <v>197</v>
      </c>
      <c r="C183" s="365"/>
      <c r="D183" s="74">
        <f>D177*D187</f>
        <v>220547466.9875887</v>
      </c>
      <c r="E183" s="74"/>
      <c r="F183" s="74" t="s">
        <v>52</v>
      </c>
      <c r="G183" s="322"/>
      <c r="H183" s="74"/>
      <c r="I183" s="74">
        <f>D177*I187</f>
        <v>27219508.781668346</v>
      </c>
      <c r="J183" s="74"/>
      <c r="K183" s="366" t="s">
        <v>9</v>
      </c>
      <c r="L183" s="79"/>
      <c r="M183" s="79"/>
      <c r="N183" s="79"/>
    </row>
    <row r="184" spans="1:14" ht="16.5" thickBot="1">
      <c r="A184" s="1">
        <v>26</v>
      </c>
      <c r="B184" s="77" t="s">
        <v>199</v>
      </c>
      <c r="C184" s="365"/>
      <c r="D184" s="325">
        <f>D180*D181</f>
        <v>-1282930.8717948718</v>
      </c>
      <c r="E184" s="74"/>
      <c r="F184" s="77" t="s">
        <v>63</v>
      </c>
      <c r="G184" s="322">
        <f>G102</f>
        <v>0.11507246149376017</v>
      </c>
      <c r="H184" s="74"/>
      <c r="I184" s="325">
        <f>G184*D184</f>
        <v>-147630.01334377154</v>
      </c>
      <c r="J184" s="74"/>
      <c r="K184" s="366"/>
      <c r="L184" s="79"/>
      <c r="M184" s="79"/>
      <c r="N184" s="79"/>
    </row>
    <row r="185" spans="1:14">
      <c r="A185" s="1">
        <v>27</v>
      </c>
      <c r="B185" s="367" t="s">
        <v>181</v>
      </c>
      <c r="C185" s="77" t="s">
        <v>200</v>
      </c>
      <c r="D185" s="368">
        <f>+D183+D184</f>
        <v>219264536.11579382</v>
      </c>
      <c r="E185" s="74"/>
      <c r="F185" s="74" t="s">
        <v>9</v>
      </c>
      <c r="G185" s="322" t="s">
        <v>9</v>
      </c>
      <c r="H185" s="74"/>
      <c r="I185" s="368">
        <f>+I183+I184</f>
        <v>27071878.768324576</v>
      </c>
      <c r="J185" s="74"/>
      <c r="K185" s="72"/>
      <c r="L185" s="79"/>
      <c r="M185" s="79"/>
      <c r="N185" s="79"/>
    </row>
    <row r="186" spans="1:14">
      <c r="A186" s="1" t="s">
        <v>9</v>
      </c>
      <c r="C186" s="369"/>
      <c r="D186" s="74"/>
      <c r="E186" s="74"/>
      <c r="F186" s="74"/>
      <c r="G186" s="322"/>
      <c r="H186" s="74"/>
      <c r="I186" s="74"/>
      <c r="J186" s="74"/>
      <c r="K186" s="72"/>
      <c r="L186" s="79"/>
      <c r="M186" s="79"/>
      <c r="N186" s="79"/>
    </row>
    <row r="187" spans="1:14">
      <c r="A187" s="1">
        <v>28</v>
      </c>
      <c r="B187" s="320" t="s">
        <v>89</v>
      </c>
      <c r="C187" s="351"/>
      <c r="D187" s="74">
        <f>+$I256*D120</f>
        <v>486128320.00955492</v>
      </c>
      <c r="E187" s="74"/>
      <c r="F187" s="74" t="s">
        <v>52</v>
      </c>
      <c r="G187" s="361"/>
      <c r="H187" s="74"/>
      <c r="I187" s="74">
        <f>+$I256*I120</f>
        <v>59996944.223632373</v>
      </c>
      <c r="J187" s="74"/>
      <c r="L187" s="79"/>
      <c r="M187" s="79"/>
      <c r="N187" s="79"/>
    </row>
    <row r="188" spans="1:14">
      <c r="A188" s="1"/>
      <c r="B188" s="367" t="s">
        <v>458</v>
      </c>
      <c r="D188" s="74"/>
      <c r="E188" s="74"/>
      <c r="F188" s="74"/>
      <c r="G188" s="361"/>
      <c r="H188" s="74"/>
      <c r="I188" s="74"/>
      <c r="J188" s="74"/>
      <c r="K188" s="352"/>
      <c r="L188" s="79"/>
      <c r="M188" s="79"/>
      <c r="N188" s="79"/>
    </row>
    <row r="189" spans="1:14">
      <c r="A189" s="1"/>
      <c r="B189" s="320"/>
      <c r="D189" s="73"/>
      <c r="E189" s="74"/>
      <c r="F189" s="74"/>
      <c r="G189" s="361"/>
      <c r="H189" s="74"/>
      <c r="I189" s="73"/>
      <c r="J189" s="74"/>
      <c r="K189" s="352"/>
      <c r="L189" s="79"/>
      <c r="M189" s="79"/>
      <c r="N189" s="79"/>
    </row>
    <row r="190" spans="1:14">
      <c r="A190" s="1">
        <v>29</v>
      </c>
      <c r="B190" s="320" t="s">
        <v>198</v>
      </c>
      <c r="C190" s="74"/>
      <c r="D190" s="73">
        <f>+D187+D185+D173+D162+D156</f>
        <v>980846616.04534876</v>
      </c>
      <c r="E190" s="74"/>
      <c r="F190" s="74"/>
      <c r="G190" s="74"/>
      <c r="H190" s="74"/>
      <c r="I190" s="73">
        <f>+I187+I185+I173+I162+I156</f>
        <v>158167675.41215593</v>
      </c>
      <c r="J190" s="75"/>
      <c r="K190" s="76"/>
      <c r="L190" s="79"/>
      <c r="M190" s="79"/>
      <c r="N190" s="79"/>
    </row>
    <row r="191" spans="1:14">
      <c r="A191" s="1"/>
      <c r="B191" s="320"/>
      <c r="C191" s="74"/>
      <c r="D191" s="73"/>
      <c r="E191" s="74"/>
      <c r="F191" s="74"/>
      <c r="G191" s="74"/>
      <c r="H191" s="74"/>
      <c r="I191" s="73"/>
      <c r="J191" s="75"/>
      <c r="K191" s="76"/>
      <c r="L191" s="79"/>
      <c r="M191" s="79"/>
      <c r="N191" s="79"/>
    </row>
    <row r="192" spans="1:14">
      <c r="A192" s="5">
        <v>30</v>
      </c>
      <c r="B192" s="71" t="s">
        <v>372</v>
      </c>
      <c r="C192" s="72"/>
      <c r="D192" s="73"/>
      <c r="E192" s="74"/>
      <c r="F192" s="74"/>
      <c r="G192" s="74"/>
      <c r="H192" s="74"/>
      <c r="I192" s="73"/>
      <c r="J192" s="75"/>
      <c r="K192" s="76"/>
      <c r="L192" s="79"/>
      <c r="M192" s="79"/>
      <c r="N192" s="79"/>
    </row>
    <row r="193" spans="1:14">
      <c r="A193" s="5"/>
      <c r="B193" s="584" t="s">
        <v>459</v>
      </c>
      <c r="C193" s="584"/>
      <c r="J193" s="75"/>
      <c r="K193" s="76"/>
      <c r="L193" s="79"/>
      <c r="M193" s="79"/>
      <c r="N193" s="79"/>
    </row>
    <row r="194" spans="1:14">
      <c r="A194" s="5"/>
      <c r="B194" s="71" t="s">
        <v>460</v>
      </c>
      <c r="C194" s="72"/>
      <c r="D194" s="354">
        <f>+'Attach GG Proj #1- 2012'!N93</f>
        <v>3794744.548210077</v>
      </c>
      <c r="E194" s="74"/>
      <c r="F194" s="74"/>
      <c r="G194" s="74"/>
      <c r="H194" s="74"/>
      <c r="I194" s="354">
        <f>+D194</f>
        <v>3794744.548210077</v>
      </c>
      <c r="J194" s="75"/>
      <c r="K194" s="76"/>
      <c r="L194" s="79"/>
      <c r="M194" s="79"/>
      <c r="N194" s="578"/>
    </row>
    <row r="195" spans="1:14">
      <c r="A195" s="5"/>
      <c r="B195" s="71"/>
      <c r="C195" s="72"/>
      <c r="D195" s="72"/>
      <c r="E195" s="72"/>
      <c r="F195" s="72"/>
      <c r="G195" s="72"/>
      <c r="H195" s="72"/>
      <c r="I195" s="72"/>
      <c r="J195" s="75"/>
      <c r="K195" s="76"/>
      <c r="L195" s="79"/>
      <c r="M195" s="79"/>
      <c r="N195" s="79"/>
    </row>
    <row r="196" spans="1:14" ht="15.75" customHeight="1">
      <c r="A196" s="5" t="s">
        <v>461</v>
      </c>
      <c r="B196" s="71" t="s">
        <v>514</v>
      </c>
      <c r="C196" s="72"/>
      <c r="D196" s="73"/>
      <c r="E196" s="74"/>
      <c r="F196" s="74"/>
      <c r="G196" s="74"/>
      <c r="H196" s="74"/>
      <c r="I196" s="73"/>
      <c r="J196" s="75"/>
      <c r="K196" s="76"/>
      <c r="L196" s="79"/>
      <c r="M196" s="79"/>
      <c r="N196" s="79"/>
    </row>
    <row r="197" spans="1:14">
      <c r="A197" s="5"/>
      <c r="B197" s="584" t="s">
        <v>459</v>
      </c>
      <c r="C197" s="584"/>
      <c r="J197" s="75"/>
      <c r="K197" s="76"/>
      <c r="L197" s="79"/>
      <c r="M197" s="79"/>
      <c r="N197" s="79"/>
    </row>
    <row r="198" spans="1:14" ht="16.5" thickBot="1">
      <c r="A198" s="5"/>
      <c r="B198" s="71" t="s">
        <v>462</v>
      </c>
      <c r="C198" s="72"/>
      <c r="D198" s="78">
        <v>0</v>
      </c>
      <c r="E198" s="74"/>
      <c r="F198" s="74"/>
      <c r="G198" s="74"/>
      <c r="H198" s="74"/>
      <c r="I198" s="78">
        <v>0</v>
      </c>
      <c r="J198" s="75"/>
      <c r="K198" s="76"/>
      <c r="L198" s="79"/>
      <c r="M198" s="79"/>
      <c r="N198" s="79"/>
    </row>
    <row r="199" spans="1:14" ht="16.5" thickBot="1">
      <c r="A199" s="5">
        <v>31</v>
      </c>
      <c r="B199" s="79" t="s">
        <v>463</v>
      </c>
      <c r="C199" s="72"/>
      <c r="D199" s="370">
        <f>D190-D194-D198</f>
        <v>977051871.49713874</v>
      </c>
      <c r="E199" s="72"/>
      <c r="F199" s="72"/>
      <c r="G199" s="72"/>
      <c r="H199" s="72"/>
      <c r="I199" s="370">
        <f>I190-I194-I198</f>
        <v>154372930.86394584</v>
      </c>
      <c r="J199" s="76"/>
      <c r="K199" s="72"/>
      <c r="L199" s="79"/>
      <c r="M199" s="79"/>
      <c r="N199" s="79"/>
    </row>
    <row r="200" spans="1:14" ht="16.5" thickTop="1">
      <c r="A200" s="5"/>
      <c r="B200" s="71" t="s">
        <v>464</v>
      </c>
      <c r="C200" s="72"/>
      <c r="D200" s="73"/>
      <c r="E200" s="74"/>
      <c r="F200" s="74"/>
      <c r="G200" s="74"/>
      <c r="H200" s="74"/>
      <c r="I200" s="73"/>
      <c r="J200" s="75"/>
      <c r="K200" s="76"/>
      <c r="L200" s="79"/>
      <c r="M200" s="79"/>
      <c r="N200" s="79"/>
    </row>
    <row r="201" spans="1:14">
      <c r="A201" s="1"/>
      <c r="B201" s="320"/>
      <c r="C201" s="74"/>
      <c r="D201" s="73"/>
      <c r="E201" s="74"/>
      <c r="F201" s="74"/>
      <c r="G201" s="74"/>
      <c r="H201" s="74"/>
      <c r="I201" s="73"/>
      <c r="J201" s="75"/>
      <c r="K201" s="76"/>
      <c r="L201" s="79"/>
      <c r="M201" s="79"/>
      <c r="N201" s="79"/>
    </row>
    <row r="202" spans="1:14">
      <c r="A202" s="1"/>
      <c r="B202" s="320"/>
      <c r="C202" s="74"/>
      <c r="D202" s="73"/>
      <c r="E202" s="74"/>
      <c r="F202" s="74"/>
      <c r="G202" s="74"/>
      <c r="H202" s="74"/>
      <c r="I202" s="73"/>
      <c r="J202" s="75"/>
      <c r="K202" s="76"/>
      <c r="L202" s="79"/>
      <c r="M202" s="79"/>
      <c r="N202" s="79"/>
    </row>
    <row r="203" spans="1:14">
      <c r="B203" s="305"/>
      <c r="C203" s="305"/>
      <c r="D203" s="306"/>
      <c r="E203" s="305"/>
      <c r="F203" s="305"/>
      <c r="G203" s="305"/>
      <c r="H203" s="307"/>
      <c r="I203" s="307"/>
      <c r="J203" s="583" t="s">
        <v>224</v>
      </c>
      <c r="K203" s="583"/>
      <c r="L203" s="79"/>
      <c r="M203" s="79"/>
      <c r="N203" s="79"/>
    </row>
    <row r="204" spans="1:14">
      <c r="B204" s="305" t="s">
        <v>7</v>
      </c>
      <c r="C204" s="305"/>
      <c r="D204" s="306" t="s">
        <v>8</v>
      </c>
      <c r="E204" s="305"/>
      <c r="F204" s="305"/>
      <c r="G204" s="305"/>
      <c r="H204" s="583" t="str">
        <f>K4</f>
        <v>For the 12 months ended 12/31/2016</v>
      </c>
      <c r="I204" s="583"/>
      <c r="J204" s="583"/>
      <c r="K204" s="583"/>
      <c r="L204" s="79"/>
      <c r="M204" s="79"/>
      <c r="N204" s="79"/>
    </row>
    <row r="205" spans="1:14">
      <c r="B205" s="305"/>
      <c r="C205" s="74" t="s">
        <v>9</v>
      </c>
      <c r="D205" s="74" t="s">
        <v>10</v>
      </c>
      <c r="E205" s="74"/>
      <c r="F205" s="74"/>
      <c r="G205" s="74"/>
      <c r="H205" s="307"/>
      <c r="I205" s="307"/>
      <c r="J205" s="75"/>
      <c r="K205" s="76"/>
      <c r="L205" s="79"/>
      <c r="M205" s="79"/>
      <c r="N205" s="79"/>
    </row>
    <row r="206" spans="1:14" ht="9" customHeight="1">
      <c r="A206" s="1"/>
      <c r="J206" s="74"/>
      <c r="K206" s="72"/>
      <c r="L206" s="79"/>
      <c r="M206" s="79"/>
      <c r="N206" s="79"/>
    </row>
    <row r="207" spans="1:14">
      <c r="A207" s="1"/>
      <c r="D207" s="77" t="str">
        <f>D7</f>
        <v>Duke Energy Indiana</v>
      </c>
      <c r="J207" s="74"/>
      <c r="K207" s="72"/>
      <c r="L207" s="79"/>
      <c r="M207" s="79"/>
      <c r="N207" s="79"/>
    </row>
    <row r="208" spans="1:14">
      <c r="A208" s="1"/>
      <c r="C208" s="349" t="s">
        <v>90</v>
      </c>
      <c r="E208" s="75"/>
      <c r="F208" s="75"/>
      <c r="G208" s="75"/>
      <c r="H208" s="75"/>
      <c r="I208" s="75"/>
      <c r="J208" s="74"/>
      <c r="K208" s="72"/>
      <c r="L208" s="79"/>
      <c r="M208" s="79"/>
      <c r="N208" s="79"/>
    </row>
    <row r="209" spans="1:19">
      <c r="A209" s="1" t="s">
        <v>11</v>
      </c>
      <c r="B209" s="349"/>
      <c r="C209" s="75"/>
      <c r="D209" s="75"/>
      <c r="E209" s="75"/>
      <c r="F209" s="75"/>
      <c r="G209" s="75"/>
      <c r="H209" s="75"/>
      <c r="I209" s="75"/>
      <c r="J209" s="74"/>
      <c r="K209" s="72"/>
      <c r="L209" s="79"/>
      <c r="M209" s="79"/>
      <c r="N209" s="79"/>
    </row>
    <row r="210" spans="1:19" ht="16.5" thickBot="1">
      <c r="A210" s="317" t="s">
        <v>13</v>
      </c>
      <c r="B210" s="371" t="s">
        <v>93</v>
      </c>
      <c r="C210" s="76"/>
      <c r="D210" s="76"/>
      <c r="E210" s="76"/>
      <c r="F210" s="76"/>
      <c r="G210" s="76"/>
      <c r="H210" s="79"/>
      <c r="I210" s="79"/>
      <c r="J210" s="72"/>
      <c r="K210" s="72"/>
    </row>
    <row r="211" spans="1:19">
      <c r="A211" s="1">
        <v>1</v>
      </c>
      <c r="B211" s="328" t="s">
        <v>465</v>
      </c>
      <c r="C211" s="76"/>
      <c r="D211" s="72"/>
      <c r="E211" s="72"/>
      <c r="F211" s="72"/>
      <c r="G211" s="72"/>
      <c r="H211" s="72"/>
      <c r="I211" s="72">
        <f>D82</f>
        <v>1457167553</v>
      </c>
      <c r="J211" s="72"/>
      <c r="K211" s="72"/>
    </row>
    <row r="212" spans="1:19">
      <c r="A212" s="1">
        <v>2</v>
      </c>
      <c r="B212" s="328" t="s">
        <v>466</v>
      </c>
      <c r="C212" s="79"/>
      <c r="D212" s="201"/>
      <c r="E212" s="79"/>
      <c r="F212" s="79"/>
      <c r="G212" s="79"/>
      <c r="H212" s="79"/>
      <c r="I212" s="324">
        <v>0</v>
      </c>
      <c r="J212" s="72"/>
      <c r="K212" s="72"/>
    </row>
    <row r="213" spans="1:19" ht="16.5" thickBot="1">
      <c r="A213" s="1">
        <v>3</v>
      </c>
      <c r="B213" s="372" t="s">
        <v>467</v>
      </c>
      <c r="C213" s="373"/>
      <c r="D213" s="374"/>
      <c r="E213" s="72"/>
      <c r="F213" s="72"/>
      <c r="G213" s="375"/>
      <c r="H213" s="72"/>
      <c r="I213" s="78">
        <f>+'Trans Plant In OATT'!B15</f>
        <v>50813780</v>
      </c>
      <c r="J213" s="72"/>
      <c r="K213" s="72"/>
      <c r="M213" s="575"/>
    </row>
    <row r="214" spans="1:19">
      <c r="A214" s="1">
        <v>4</v>
      </c>
      <c r="B214" s="328" t="s">
        <v>218</v>
      </c>
      <c r="C214" s="76"/>
      <c r="D214" s="374"/>
      <c r="E214" s="72"/>
      <c r="F214" s="72"/>
      <c r="G214" s="375"/>
      <c r="H214" s="72"/>
      <c r="I214" s="72">
        <f>I211-I212-I213</f>
        <v>1406353773</v>
      </c>
      <c r="J214" s="72"/>
      <c r="K214" s="72"/>
    </row>
    <row r="215" spans="1:19" ht="9" customHeight="1">
      <c r="A215" s="1"/>
      <c r="B215" s="79"/>
      <c r="C215" s="76"/>
      <c r="D215" s="374"/>
      <c r="E215" s="72"/>
      <c r="F215" s="72"/>
      <c r="G215" s="375"/>
      <c r="H215" s="72"/>
      <c r="I215" s="79"/>
      <c r="J215" s="72"/>
      <c r="K215" s="72"/>
    </row>
    <row r="216" spans="1:19">
      <c r="A216" s="1">
        <v>5</v>
      </c>
      <c r="B216" s="328" t="s">
        <v>468</v>
      </c>
      <c r="C216" s="376"/>
      <c r="D216" s="377"/>
      <c r="E216" s="378"/>
      <c r="F216" s="378"/>
      <c r="G216" s="379"/>
      <c r="H216" s="72" t="s">
        <v>94</v>
      </c>
      <c r="I216" s="353">
        <f>IF(I211&gt;0,I214/I211,0)</f>
        <v>0.96512838904806442</v>
      </c>
      <c r="J216" s="72"/>
      <c r="K216" s="72"/>
      <c r="N216" s="380" t="s">
        <v>469</v>
      </c>
      <c r="O216" s="380"/>
      <c r="P216" s="380"/>
    </row>
    <row r="217" spans="1:19" ht="9" customHeight="1">
      <c r="A217" s="1"/>
      <c r="B217" s="79"/>
      <c r="C217" s="79"/>
      <c r="D217" s="201"/>
      <c r="E217" s="79"/>
      <c r="F217" s="79"/>
      <c r="G217" s="79"/>
      <c r="H217" s="79"/>
      <c r="I217" s="79"/>
      <c r="J217" s="72"/>
      <c r="K217" s="72"/>
      <c r="N217" s="381"/>
      <c r="O217" s="382"/>
      <c r="P217" s="383"/>
      <c r="Q217" s="381"/>
      <c r="R217" s="382"/>
      <c r="S217" s="382"/>
    </row>
    <row r="218" spans="1:19">
      <c r="A218" s="1"/>
      <c r="B218" s="71" t="s">
        <v>91</v>
      </c>
      <c r="C218" s="79"/>
      <c r="D218" s="201"/>
      <c r="E218" s="79"/>
      <c r="F218" s="79"/>
      <c r="G218" s="79"/>
      <c r="H218" s="79"/>
      <c r="I218" s="79"/>
      <c r="J218" s="72"/>
      <c r="K218" s="72"/>
      <c r="N218" s="585" t="s">
        <v>231</v>
      </c>
      <c r="O218" s="586"/>
      <c r="P218" s="586"/>
      <c r="Q218" s="586"/>
      <c r="R218" s="586"/>
      <c r="S218" s="587"/>
    </row>
    <row r="219" spans="1:19">
      <c r="A219" s="1">
        <v>6</v>
      </c>
      <c r="B219" s="79" t="s">
        <v>470</v>
      </c>
      <c r="C219" s="79"/>
      <c r="D219" s="384"/>
      <c r="E219" s="76"/>
      <c r="F219" s="76"/>
      <c r="G219" s="344"/>
      <c r="H219" s="76"/>
      <c r="I219" s="72">
        <f>D147</f>
        <v>75944443</v>
      </c>
      <c r="J219" s="72"/>
      <c r="K219" s="72"/>
      <c r="N219" s="8"/>
      <c r="O219" s="385"/>
      <c r="P219" s="386"/>
      <c r="Q219" s="387"/>
      <c r="R219" s="385"/>
      <c r="S219" s="388"/>
    </row>
    <row r="220" spans="1:19" ht="16.5" thickBot="1">
      <c r="A220" s="1">
        <v>7</v>
      </c>
      <c r="B220" s="372" t="s">
        <v>471</v>
      </c>
      <c r="C220" s="373"/>
      <c r="D220" s="374"/>
      <c r="E220" s="374"/>
      <c r="F220" s="72"/>
      <c r="G220" s="72"/>
      <c r="H220" s="72"/>
      <c r="I220" s="78">
        <v>6894914</v>
      </c>
      <c r="J220" s="72"/>
      <c r="K220" s="72"/>
      <c r="M220" s="575"/>
      <c r="N220" s="455">
        <f>I220</f>
        <v>6894914</v>
      </c>
      <c r="O220" s="9" t="s">
        <v>472</v>
      </c>
      <c r="P220" s="386"/>
      <c r="Q220" s="387"/>
      <c r="R220" s="385"/>
      <c r="S220" s="388"/>
    </row>
    <row r="221" spans="1:19">
      <c r="A221" s="1">
        <v>8</v>
      </c>
      <c r="B221" s="328" t="s">
        <v>473</v>
      </c>
      <c r="C221" s="376"/>
      <c r="D221" s="377"/>
      <c r="E221" s="378"/>
      <c r="F221" s="378"/>
      <c r="G221" s="379"/>
      <c r="H221" s="378"/>
      <c r="I221" s="72">
        <f>+I219-I220</f>
        <v>69049529</v>
      </c>
      <c r="J221" s="79"/>
      <c r="N221" s="389">
        <f>+'Schedule 1 Charges acct 561'!B35</f>
        <v>696944</v>
      </c>
      <c r="O221" s="6" t="s">
        <v>246</v>
      </c>
      <c r="P221" s="390"/>
      <c r="Q221" s="390"/>
      <c r="R221"/>
      <c r="S221" s="391"/>
    </row>
    <row r="222" spans="1:19">
      <c r="A222" s="1"/>
      <c r="B222" s="328"/>
      <c r="C222" s="76"/>
      <c r="D222" s="374"/>
      <c r="E222" s="72"/>
      <c r="F222" s="72"/>
      <c r="G222" s="72"/>
      <c r="H222" s="79"/>
      <c r="I222" s="79"/>
      <c r="J222" s="79"/>
      <c r="N222" s="392">
        <f>N220-N221</f>
        <v>6197970</v>
      </c>
      <c r="O222" s="6" t="s">
        <v>288</v>
      </c>
      <c r="P222"/>
      <c r="Q222"/>
      <c r="R222"/>
      <c r="S222" s="391"/>
    </row>
    <row r="223" spans="1:19">
      <c r="A223" s="1">
        <v>9</v>
      </c>
      <c r="B223" s="328" t="s">
        <v>474</v>
      </c>
      <c r="C223" s="76"/>
      <c r="D223" s="374"/>
      <c r="E223" s="72"/>
      <c r="F223" s="72"/>
      <c r="G223" s="72"/>
      <c r="H223" s="72"/>
      <c r="I223" s="359">
        <f>IF(I219&gt;0,I221/I219,0)</f>
        <v>0.90921107947292468</v>
      </c>
      <c r="J223" s="79"/>
      <c r="N223" s="393"/>
      <c r="O223" s="10" t="s">
        <v>289</v>
      </c>
      <c r="P223" s="11"/>
      <c r="Q223" s="11"/>
      <c r="R223" s="385"/>
      <c r="S223" s="388"/>
    </row>
    <row r="224" spans="1:19">
      <c r="A224" s="1">
        <v>10</v>
      </c>
      <c r="B224" s="328" t="s">
        <v>475</v>
      </c>
      <c r="C224" s="76"/>
      <c r="D224" s="72"/>
      <c r="E224" s="72"/>
      <c r="F224" s="72"/>
      <c r="G224" s="72"/>
      <c r="H224" s="76" t="s">
        <v>18</v>
      </c>
      <c r="I224" s="394">
        <f>I216</f>
        <v>0.96512838904806442</v>
      </c>
      <c r="J224" s="79"/>
      <c r="N224" s="395">
        <f>+'Schedule 1 Charges acct 561'!B38</f>
        <v>731779</v>
      </c>
      <c r="O224" s="11" t="s">
        <v>227</v>
      </c>
      <c r="P224" s="12"/>
      <c r="Q224" s="11"/>
      <c r="R224" s="385"/>
      <c r="S224" s="388"/>
    </row>
    <row r="225" spans="1:19">
      <c r="A225" s="1">
        <v>11</v>
      </c>
      <c r="B225" s="328" t="s">
        <v>476</v>
      </c>
      <c r="C225" s="76"/>
      <c r="D225" s="76"/>
      <c r="E225" s="76"/>
      <c r="F225" s="76"/>
      <c r="G225" s="76"/>
      <c r="H225" s="76" t="s">
        <v>92</v>
      </c>
      <c r="I225" s="396">
        <f>+I224*I223</f>
        <v>0.87750542443635549</v>
      </c>
      <c r="J225" s="79"/>
      <c r="N225" s="395">
        <v>0</v>
      </c>
      <c r="O225" s="11" t="s">
        <v>228</v>
      </c>
      <c r="P225" s="12"/>
      <c r="Q225" s="11"/>
      <c r="R225" s="385"/>
      <c r="S225" s="388"/>
    </row>
    <row r="226" spans="1:19">
      <c r="A226" s="1"/>
      <c r="C226" s="75"/>
      <c r="D226" s="74"/>
      <c r="E226" s="74"/>
      <c r="F226" s="74"/>
      <c r="G226" s="397"/>
      <c r="H226" s="74"/>
      <c r="N226" s="398">
        <v>0</v>
      </c>
      <c r="O226" s="11" t="s">
        <v>229</v>
      </c>
      <c r="P226" s="12"/>
      <c r="Q226" s="13"/>
      <c r="R226" s="385"/>
      <c r="S226" s="388"/>
    </row>
    <row r="227" spans="1:19">
      <c r="A227" s="1" t="s">
        <v>9</v>
      </c>
      <c r="B227" s="320" t="s">
        <v>95</v>
      </c>
      <c r="C227" s="74"/>
      <c r="D227" s="74"/>
      <c r="E227" s="74"/>
      <c r="F227" s="74"/>
      <c r="G227" s="74"/>
      <c r="H227" s="74"/>
      <c r="I227" s="74"/>
      <c r="J227" s="74"/>
      <c r="K227" s="72"/>
      <c r="N227" s="392">
        <f>SUM(N224:N226)</f>
        <v>731779</v>
      </c>
      <c r="O227" s="14" t="s">
        <v>230</v>
      </c>
      <c r="P227" s="386"/>
      <c r="Q227" s="387"/>
      <c r="R227" s="385"/>
      <c r="S227" s="388"/>
    </row>
    <row r="228" spans="1:19" ht="16.5" thickBot="1">
      <c r="A228" s="1" t="s">
        <v>9</v>
      </c>
      <c r="B228" s="320"/>
      <c r="C228" s="325" t="s">
        <v>96</v>
      </c>
      <c r="D228" s="399" t="s">
        <v>97</v>
      </c>
      <c r="E228" s="399" t="s">
        <v>18</v>
      </c>
      <c r="F228" s="74"/>
      <c r="G228" s="399" t="s">
        <v>98</v>
      </c>
      <c r="H228" s="74"/>
      <c r="I228" s="74"/>
      <c r="J228" s="74"/>
      <c r="K228" s="72"/>
      <c r="N228" s="400">
        <f>N222-N227</f>
        <v>5466191</v>
      </c>
      <c r="O228" s="15" t="s">
        <v>477</v>
      </c>
      <c r="P228" s="401"/>
      <c r="Q228" s="402"/>
      <c r="R228" s="403"/>
      <c r="S228" s="404"/>
    </row>
    <row r="229" spans="1:19">
      <c r="A229" s="1">
        <v>12</v>
      </c>
      <c r="B229" s="320" t="s">
        <v>51</v>
      </c>
      <c r="C229" s="74" t="s">
        <v>99</v>
      </c>
      <c r="D229" s="324">
        <v>88628590</v>
      </c>
      <c r="E229" s="405">
        <v>0</v>
      </c>
      <c r="F229" s="405"/>
      <c r="G229" s="74">
        <f>D229*E229</f>
        <v>0</v>
      </c>
      <c r="H229" s="74"/>
      <c r="I229" s="74"/>
      <c r="J229" s="74"/>
      <c r="K229" s="72"/>
      <c r="M229" s="575"/>
    </row>
    <row r="230" spans="1:19">
      <c r="A230" s="1">
        <v>13</v>
      </c>
      <c r="B230" s="320" t="s">
        <v>53</v>
      </c>
      <c r="C230" s="74" t="s">
        <v>258</v>
      </c>
      <c r="D230" s="324">
        <v>11643120</v>
      </c>
      <c r="E230" s="405">
        <f>+I216</f>
        <v>0.96512838904806442</v>
      </c>
      <c r="F230" s="405"/>
      <c r="G230" s="74">
        <f>D230*E230</f>
        <v>11237105.6490933</v>
      </c>
      <c r="H230" s="74"/>
      <c r="I230" s="74"/>
      <c r="J230" s="74"/>
      <c r="K230" s="72"/>
      <c r="M230" s="575"/>
    </row>
    <row r="231" spans="1:19">
      <c r="A231" s="1">
        <v>14</v>
      </c>
      <c r="B231" s="320" t="s">
        <v>54</v>
      </c>
      <c r="C231" s="74" t="s">
        <v>259</v>
      </c>
      <c r="D231" s="324">
        <v>38685860</v>
      </c>
      <c r="E231" s="405">
        <v>0</v>
      </c>
      <c r="F231" s="405"/>
      <c r="G231" s="74">
        <f>D231*E231</f>
        <v>0</v>
      </c>
      <c r="H231" s="74"/>
      <c r="I231" s="406" t="s">
        <v>100</v>
      </c>
      <c r="J231" s="74"/>
      <c r="K231" s="72"/>
      <c r="M231" s="575"/>
    </row>
    <row r="232" spans="1:19" ht="16.5" thickBot="1">
      <c r="A232" s="1">
        <v>15</v>
      </c>
      <c r="B232" s="320" t="s">
        <v>101</v>
      </c>
      <c r="C232" s="74" t="s">
        <v>478</v>
      </c>
      <c r="D232" s="78">
        <v>14351079</v>
      </c>
      <c r="E232" s="405">
        <v>0</v>
      </c>
      <c r="F232" s="405"/>
      <c r="G232" s="325">
        <f>D232*E232</f>
        <v>0</v>
      </c>
      <c r="H232" s="74"/>
      <c r="I232" s="317" t="s">
        <v>102</v>
      </c>
      <c r="J232" s="74"/>
      <c r="K232" s="72"/>
      <c r="M232" s="575"/>
    </row>
    <row r="233" spans="1:19">
      <c r="A233" s="1">
        <v>16</v>
      </c>
      <c r="B233" s="320" t="s">
        <v>210</v>
      </c>
      <c r="C233" s="74"/>
      <c r="D233" s="74">
        <f>SUM(D229:D232)</f>
        <v>153308649</v>
      </c>
      <c r="E233" s="74"/>
      <c r="F233" s="74"/>
      <c r="G233" s="74">
        <f>SUM(G229:G232)</f>
        <v>11237105.6490933</v>
      </c>
      <c r="H233" s="341" t="s">
        <v>103</v>
      </c>
      <c r="I233" s="350">
        <f>IF(G233&gt;0,G233/D233,0)</f>
        <v>7.3297271369818798E-2</v>
      </c>
      <c r="J233" s="397" t="s">
        <v>103</v>
      </c>
      <c r="K233" s="72" t="s">
        <v>202</v>
      </c>
    </row>
    <row r="234" spans="1:19" ht="9" customHeight="1">
      <c r="A234" s="1"/>
      <c r="B234" s="320"/>
      <c r="C234" s="74"/>
      <c r="D234" s="74"/>
      <c r="E234" s="74"/>
      <c r="F234" s="74"/>
      <c r="G234" s="74"/>
      <c r="H234" s="74"/>
      <c r="I234" s="74"/>
      <c r="J234" s="74"/>
      <c r="K234" s="72"/>
    </row>
    <row r="235" spans="1:19">
      <c r="A235" s="1"/>
      <c r="B235" s="320" t="s">
        <v>479</v>
      </c>
      <c r="C235" s="74"/>
      <c r="D235" s="345" t="s">
        <v>97</v>
      </c>
      <c r="E235" s="74"/>
      <c r="F235" s="74"/>
      <c r="G235" s="397" t="s">
        <v>104</v>
      </c>
      <c r="H235" s="361" t="s">
        <v>9</v>
      </c>
      <c r="I235" s="351" t="str">
        <f>+I231</f>
        <v>W&amp;S Allocator</v>
      </c>
      <c r="J235" s="74"/>
      <c r="K235" s="72"/>
    </row>
    <row r="236" spans="1:19">
      <c r="A236" s="1">
        <v>17</v>
      </c>
      <c r="B236" s="320" t="s">
        <v>105</v>
      </c>
      <c r="C236" s="74" t="s">
        <v>106</v>
      </c>
      <c r="D236" s="324">
        <v>12534174845</v>
      </c>
      <c r="E236" s="74"/>
      <c r="G236" s="1" t="s">
        <v>107</v>
      </c>
      <c r="H236" s="407"/>
      <c r="I236" s="1" t="s">
        <v>108</v>
      </c>
      <c r="J236" s="74"/>
      <c r="K236" s="344" t="s">
        <v>109</v>
      </c>
      <c r="M236" s="575"/>
    </row>
    <row r="237" spans="1:19">
      <c r="A237" s="1">
        <v>18</v>
      </c>
      <c r="B237" s="320" t="s">
        <v>110</v>
      </c>
      <c r="C237" s="74" t="s">
        <v>240</v>
      </c>
      <c r="D237" s="324">
        <v>0</v>
      </c>
      <c r="E237" s="74"/>
      <c r="G237" s="322">
        <f>IF(D239&gt;0,D236/D239,0)</f>
        <v>1</v>
      </c>
      <c r="H237" s="397" t="s">
        <v>111</v>
      </c>
      <c r="I237" s="322">
        <f>I233</f>
        <v>7.3297271369818798E-2</v>
      </c>
      <c r="J237" s="361" t="s">
        <v>103</v>
      </c>
      <c r="K237" s="408">
        <f>I237*G237</f>
        <v>7.3297271369818798E-2</v>
      </c>
    </row>
    <row r="238" spans="1:19" ht="16.5" thickBot="1">
      <c r="A238" s="1">
        <v>19</v>
      </c>
      <c r="B238" s="409" t="s">
        <v>112</v>
      </c>
      <c r="C238" s="325" t="s">
        <v>241</v>
      </c>
      <c r="D238" s="78">
        <v>0</v>
      </c>
      <c r="E238" s="74"/>
      <c r="F238" s="74"/>
      <c r="G238" s="74" t="s">
        <v>9</v>
      </c>
      <c r="H238" s="74"/>
      <c r="I238" s="74"/>
      <c r="J238" s="74"/>
      <c r="K238" s="72"/>
    </row>
    <row r="239" spans="1:19">
      <c r="A239" s="1">
        <v>20</v>
      </c>
      <c r="B239" s="320" t="s">
        <v>182</v>
      </c>
      <c r="C239" s="74"/>
      <c r="D239" s="74">
        <f>D236+D237+D238</f>
        <v>12534174845</v>
      </c>
      <c r="E239" s="74"/>
      <c r="F239" s="74"/>
      <c r="G239" s="74"/>
      <c r="H239" s="74"/>
      <c r="I239" s="74"/>
      <c r="J239" s="74"/>
      <c r="K239" s="72"/>
    </row>
    <row r="240" spans="1:19" ht="9" customHeight="1">
      <c r="A240" s="1"/>
      <c r="B240" s="320"/>
      <c r="C240" s="74"/>
      <c r="E240" s="74"/>
      <c r="F240" s="74"/>
      <c r="G240" s="74"/>
      <c r="H240" s="74"/>
      <c r="I240" s="74"/>
      <c r="J240" s="74"/>
      <c r="K240" s="72"/>
    </row>
    <row r="241" spans="1:13" ht="16.5" thickBot="1">
      <c r="A241" s="1"/>
      <c r="B241" s="305" t="s">
        <v>113</v>
      </c>
      <c r="C241" s="74"/>
      <c r="D241" s="74"/>
      <c r="E241" s="74"/>
      <c r="F241" s="74"/>
      <c r="G241" s="74"/>
      <c r="H241" s="74"/>
      <c r="I241" s="399" t="s">
        <v>97</v>
      </c>
      <c r="J241" s="74"/>
      <c r="K241" s="72"/>
    </row>
    <row r="242" spans="1:13">
      <c r="A242" s="1">
        <v>21</v>
      </c>
      <c r="B242" s="307"/>
      <c r="C242" s="74" t="s">
        <v>252</v>
      </c>
      <c r="D242" s="74"/>
      <c r="E242" s="74"/>
      <c r="F242" s="74"/>
      <c r="G242" s="74"/>
      <c r="H242" s="74"/>
      <c r="I242" s="410">
        <v>180779040</v>
      </c>
      <c r="J242" s="74"/>
      <c r="K242" s="72"/>
      <c r="M242" s="575"/>
    </row>
    <row r="243" spans="1:13" ht="9" customHeight="1">
      <c r="A243" s="1"/>
      <c r="B243" s="320"/>
      <c r="C243" s="74"/>
      <c r="D243" s="74"/>
      <c r="E243" s="74"/>
      <c r="F243" s="74"/>
      <c r="G243" s="74"/>
      <c r="H243" s="74"/>
      <c r="I243" s="74"/>
      <c r="J243" s="74"/>
      <c r="K243" s="72"/>
    </row>
    <row r="244" spans="1:13">
      <c r="A244" s="1">
        <v>22</v>
      </c>
      <c r="B244" s="305"/>
      <c r="C244" s="74" t="s">
        <v>114</v>
      </c>
      <c r="D244" s="74"/>
      <c r="E244" s="74"/>
      <c r="F244" s="74"/>
      <c r="G244" s="74"/>
      <c r="H244" s="72"/>
      <c r="I244" s="411">
        <v>0</v>
      </c>
      <c r="J244" s="74"/>
      <c r="K244" s="72"/>
    </row>
    <row r="245" spans="1:13" ht="9" customHeight="1">
      <c r="A245" s="1"/>
      <c r="B245" s="305"/>
      <c r="C245" s="74"/>
      <c r="D245" s="74"/>
      <c r="E245" s="74"/>
      <c r="F245" s="74"/>
      <c r="G245" s="74"/>
      <c r="H245" s="74"/>
      <c r="I245" s="74"/>
      <c r="J245" s="74"/>
      <c r="K245" s="72"/>
    </row>
    <row r="246" spans="1:13">
      <c r="A246" s="1"/>
      <c r="B246" s="305" t="s">
        <v>115</v>
      </c>
      <c r="C246" s="74"/>
      <c r="D246" s="74"/>
      <c r="E246" s="74"/>
      <c r="F246" s="74"/>
      <c r="G246" s="74"/>
      <c r="H246" s="74"/>
      <c r="I246" s="74"/>
      <c r="J246" s="74"/>
      <c r="K246" s="72"/>
    </row>
    <row r="247" spans="1:13">
      <c r="A247" s="1">
        <v>23</v>
      </c>
      <c r="B247" s="305"/>
      <c r="C247" s="74" t="s">
        <v>248</v>
      </c>
      <c r="D247" s="307"/>
      <c r="E247" s="74"/>
      <c r="F247" s="74"/>
      <c r="G247" s="74"/>
      <c r="H247" s="74"/>
      <c r="I247" s="324">
        <v>4046057494</v>
      </c>
      <c r="J247" s="74"/>
      <c r="K247" s="72"/>
      <c r="M247" s="575"/>
    </row>
    <row r="248" spans="1:13">
      <c r="A248" s="1">
        <v>24</v>
      </c>
      <c r="B248" s="305"/>
      <c r="C248" s="74" t="s">
        <v>211</v>
      </c>
      <c r="D248" s="74"/>
      <c r="E248" s="74"/>
      <c r="F248" s="74"/>
      <c r="G248" s="74"/>
      <c r="H248" s="74"/>
      <c r="I248" s="412">
        <f>-D254</f>
        <v>0</v>
      </c>
      <c r="J248" s="74"/>
      <c r="K248" s="72"/>
    </row>
    <row r="249" spans="1:13" ht="16.5" thickBot="1">
      <c r="A249" s="1">
        <v>25</v>
      </c>
      <c r="B249" s="305"/>
      <c r="C249" s="74" t="s">
        <v>249</v>
      </c>
      <c r="D249" s="74"/>
      <c r="E249" s="74"/>
      <c r="F249" s="74"/>
      <c r="G249" s="74"/>
      <c r="H249" s="74"/>
      <c r="I249" s="78">
        <v>0</v>
      </c>
      <c r="J249" s="74"/>
      <c r="K249" s="72"/>
    </row>
    <row r="250" spans="1:13">
      <c r="A250" s="1">
        <v>26</v>
      </c>
      <c r="B250" s="307"/>
      <c r="C250" s="74" t="s">
        <v>116</v>
      </c>
      <c r="D250" s="307" t="s">
        <v>117</v>
      </c>
      <c r="E250" s="307"/>
      <c r="F250" s="307"/>
      <c r="G250" s="307"/>
      <c r="H250" s="307"/>
      <c r="I250" s="74">
        <f>+I247+I248+I249</f>
        <v>4046057494</v>
      </c>
      <c r="J250" s="74"/>
      <c r="K250" s="72"/>
    </row>
    <row r="251" spans="1:13">
      <c r="A251" s="1"/>
      <c r="B251" s="320"/>
      <c r="C251" s="74"/>
      <c r="D251" s="74"/>
      <c r="E251" s="74"/>
      <c r="F251" s="74"/>
      <c r="G251" s="397" t="s">
        <v>118</v>
      </c>
      <c r="H251" s="74"/>
      <c r="I251" s="74"/>
      <c r="J251" s="74"/>
      <c r="K251" s="72"/>
    </row>
    <row r="252" spans="1:13" ht="16.5" thickBot="1">
      <c r="A252" s="1"/>
      <c r="B252" s="320"/>
      <c r="C252" s="74"/>
      <c r="D252" s="317" t="s">
        <v>97</v>
      </c>
      <c r="E252" s="317" t="s">
        <v>119</v>
      </c>
      <c r="F252" s="74"/>
      <c r="G252" s="317" t="s">
        <v>120</v>
      </c>
      <c r="H252" s="74"/>
      <c r="I252" s="317" t="s">
        <v>121</v>
      </c>
      <c r="J252" s="74"/>
      <c r="K252" s="72"/>
    </row>
    <row r="253" spans="1:13">
      <c r="A253" s="1">
        <v>27</v>
      </c>
      <c r="B253" s="305" t="s">
        <v>480</v>
      </c>
      <c r="D253" s="324">
        <v>3806437316</v>
      </c>
      <c r="E253" s="413">
        <f>IF($D$256&gt;0,D253/$D$256,0)</f>
        <v>0.48474241729552953</v>
      </c>
      <c r="F253" s="414"/>
      <c r="G253" s="414">
        <f>IF(D253&gt;0,I242/D253,0)</f>
        <v>4.7492977026079575E-2</v>
      </c>
      <c r="I253" s="414">
        <f>G253*E253</f>
        <v>2.3021860488182864E-2</v>
      </c>
      <c r="J253" s="415" t="s">
        <v>122</v>
      </c>
      <c r="M253" s="575"/>
    </row>
    <row r="254" spans="1:13">
      <c r="A254" s="1">
        <v>28</v>
      </c>
      <c r="B254" s="305" t="s">
        <v>250</v>
      </c>
      <c r="D254" s="324">
        <v>0</v>
      </c>
      <c r="E254" s="413">
        <f>IF($D$256&gt;0,D254/$D$256,0)</f>
        <v>0</v>
      </c>
      <c r="F254" s="414"/>
      <c r="G254" s="414">
        <f>IF(D254&gt;0,I244/D254,0)</f>
        <v>0</v>
      </c>
      <c r="I254" s="414">
        <f>G254*E254</f>
        <v>0</v>
      </c>
      <c r="J254" s="74"/>
    </row>
    <row r="255" spans="1:13" ht="16.5" thickBot="1">
      <c r="A255" s="1">
        <v>29</v>
      </c>
      <c r="B255" s="305" t="s">
        <v>123</v>
      </c>
      <c r="D255" s="325">
        <f>I250</f>
        <v>4046057494</v>
      </c>
      <c r="E255" s="413">
        <f>IF($D$256&gt;0,D255/$D$256,0)</f>
        <v>0.51525758270447042</v>
      </c>
      <c r="F255" s="414"/>
      <c r="G255" s="416">
        <v>0.1082</v>
      </c>
      <c r="I255" s="417">
        <f>G255*E255</f>
        <v>5.5750870448623702E-2</v>
      </c>
      <c r="J255" s="74"/>
    </row>
    <row r="256" spans="1:13">
      <c r="A256" s="1">
        <v>30</v>
      </c>
      <c r="B256" s="320" t="s">
        <v>206</v>
      </c>
      <c r="D256" s="74">
        <f>D255+D254+D253</f>
        <v>7852494810</v>
      </c>
      <c r="E256" s="74" t="s">
        <v>9</v>
      </c>
      <c r="F256" s="74"/>
      <c r="G256" s="74"/>
      <c r="H256" s="74"/>
      <c r="I256" s="414">
        <f>SUM(I253:I255)</f>
        <v>7.8772730936806562E-2</v>
      </c>
      <c r="J256" s="415" t="s">
        <v>124</v>
      </c>
    </row>
    <row r="257" spans="1:13" ht="9" customHeight="1">
      <c r="E257" s="74"/>
      <c r="F257" s="74"/>
      <c r="G257" s="74"/>
      <c r="H257" s="74"/>
    </row>
    <row r="258" spans="1:13">
      <c r="A258" s="1"/>
      <c r="B258" s="305" t="s">
        <v>125</v>
      </c>
      <c r="C258" s="307"/>
      <c r="D258" s="307"/>
      <c r="E258" s="307"/>
      <c r="F258" s="307"/>
      <c r="G258" s="307"/>
      <c r="H258" s="307"/>
      <c r="I258" s="307"/>
      <c r="J258" s="307"/>
      <c r="K258" s="328"/>
    </row>
    <row r="259" spans="1:13" ht="9" customHeight="1">
      <c r="A259" s="1"/>
      <c r="B259" s="305"/>
      <c r="C259" s="305"/>
      <c r="D259" s="305"/>
      <c r="E259" s="305"/>
      <c r="F259" s="305"/>
      <c r="G259" s="305"/>
      <c r="H259" s="305"/>
      <c r="J259" s="418"/>
    </row>
    <row r="260" spans="1:13" ht="16.5" thickBot="1">
      <c r="A260" s="1"/>
      <c r="B260" s="305" t="s">
        <v>126</v>
      </c>
      <c r="C260" s="307"/>
      <c r="D260" s="307" t="s">
        <v>127</v>
      </c>
      <c r="E260" s="307" t="s">
        <v>128</v>
      </c>
      <c r="F260" s="307"/>
      <c r="G260" s="419" t="s">
        <v>9</v>
      </c>
      <c r="H260" s="420"/>
      <c r="I260" s="317" t="s">
        <v>183</v>
      </c>
      <c r="J260" s="421"/>
    </row>
    <row r="261" spans="1:13">
      <c r="A261" s="1">
        <v>31</v>
      </c>
      <c r="B261" s="77" t="s">
        <v>173</v>
      </c>
      <c r="C261" s="307"/>
      <c r="D261" s="307"/>
      <c r="F261" s="307"/>
      <c r="H261" s="420"/>
      <c r="I261" s="422">
        <v>0</v>
      </c>
      <c r="J261" s="423"/>
    </row>
    <row r="262" spans="1:13" ht="16.5" thickBot="1">
      <c r="A262" s="1">
        <v>32</v>
      </c>
      <c r="B262" s="355" t="s">
        <v>208</v>
      </c>
      <c r="C262" s="424"/>
      <c r="D262" s="425"/>
      <c r="E262" s="426"/>
      <c r="F262" s="426"/>
      <c r="G262" s="426"/>
      <c r="H262" s="307"/>
      <c r="I262" s="427">
        <v>0</v>
      </c>
      <c r="J262" s="428"/>
    </row>
    <row r="263" spans="1:13">
      <c r="A263" s="1">
        <v>33</v>
      </c>
      <c r="B263" s="77" t="s">
        <v>129</v>
      </c>
      <c r="C263" s="75"/>
      <c r="E263" s="307"/>
      <c r="F263" s="307"/>
      <c r="G263" s="307"/>
      <c r="H263" s="307"/>
      <c r="I263" s="429">
        <f>+I261-I262</f>
        <v>0</v>
      </c>
      <c r="J263" s="423"/>
    </row>
    <row r="264" spans="1:13" ht="9" customHeight="1">
      <c r="A264" s="1"/>
      <c r="B264" s="77" t="s">
        <v>9</v>
      </c>
      <c r="C264" s="75"/>
      <c r="E264" s="307"/>
      <c r="F264" s="307"/>
      <c r="G264" s="339"/>
      <c r="H264" s="307"/>
      <c r="I264" s="430" t="s">
        <v>9</v>
      </c>
      <c r="J264" s="421"/>
      <c r="K264" s="431"/>
    </row>
    <row r="265" spans="1:13">
      <c r="A265" s="1">
        <v>34</v>
      </c>
      <c r="B265" s="305" t="s">
        <v>481</v>
      </c>
      <c r="C265" s="75"/>
      <c r="E265" s="307"/>
      <c r="F265" s="307"/>
      <c r="G265" s="432"/>
      <c r="H265" s="307"/>
      <c r="I265" s="433">
        <f>+'Rev Cred Support'!B19</f>
        <v>74552</v>
      </c>
      <c r="J265" s="421"/>
      <c r="K265" s="431"/>
      <c r="M265" s="575"/>
    </row>
    <row r="266" spans="1:13" ht="9" customHeight="1">
      <c r="A266" s="1"/>
      <c r="C266" s="307"/>
      <c r="D266" s="307"/>
      <c r="E266" s="307"/>
      <c r="F266" s="307"/>
      <c r="G266" s="307"/>
      <c r="H266" s="307"/>
      <c r="I266" s="430"/>
      <c r="J266" s="421"/>
      <c r="K266" s="431"/>
    </row>
    <row r="267" spans="1:13">
      <c r="B267" s="305" t="s">
        <v>482</v>
      </c>
      <c r="C267" s="307"/>
      <c r="D267" s="307" t="s">
        <v>130</v>
      </c>
      <c r="E267" s="307"/>
      <c r="F267" s="307"/>
      <c r="G267" s="307"/>
      <c r="H267" s="307"/>
      <c r="K267" s="434"/>
    </row>
    <row r="268" spans="1:13">
      <c r="A268" s="1">
        <v>35</v>
      </c>
      <c r="B268" s="305" t="s">
        <v>131</v>
      </c>
      <c r="C268" s="74"/>
      <c r="D268" s="74"/>
      <c r="E268" s="74"/>
      <c r="F268" s="74"/>
      <c r="G268" s="74"/>
      <c r="H268" s="74"/>
      <c r="I268" s="435">
        <f>+'Rev Cred Support'!B25</f>
        <v>74155144</v>
      </c>
      <c r="J268" s="436"/>
      <c r="K268" s="434"/>
      <c r="M268" s="575"/>
    </row>
    <row r="269" spans="1:13">
      <c r="A269" s="1">
        <v>36</v>
      </c>
      <c r="B269" s="437" t="s">
        <v>207</v>
      </c>
      <c r="C269" s="426"/>
      <c r="D269" s="426"/>
      <c r="E269" s="426"/>
      <c r="F269" s="426"/>
      <c r="G269" s="426"/>
      <c r="H269" s="307"/>
      <c r="I269" s="435">
        <f>SUM('Rev Cred Support'!B28:B35)</f>
        <v>67062254</v>
      </c>
      <c r="K269" s="438"/>
      <c r="M269" s="575"/>
    </row>
    <row r="270" spans="1:13">
      <c r="A270" s="5" t="s">
        <v>290</v>
      </c>
      <c r="B270" s="439" t="s">
        <v>515</v>
      </c>
      <c r="C270" s="440"/>
      <c r="D270" s="426"/>
      <c r="E270" s="426"/>
      <c r="F270" s="426"/>
      <c r="G270" s="426"/>
      <c r="H270" s="307"/>
      <c r="I270" s="435">
        <f>+'Rev Cred Support'!B38</f>
        <v>3489267</v>
      </c>
      <c r="K270" s="438"/>
      <c r="M270" s="575"/>
    </row>
    <row r="271" spans="1:13" ht="16.5" thickBot="1">
      <c r="A271" s="5" t="s">
        <v>483</v>
      </c>
      <c r="B271" s="441" t="s">
        <v>516</v>
      </c>
      <c r="C271" s="372"/>
      <c r="D271" s="426"/>
      <c r="E271" s="426"/>
      <c r="F271" s="426"/>
      <c r="G271" s="426"/>
      <c r="H271" s="307"/>
      <c r="I271" s="442">
        <v>0</v>
      </c>
      <c r="K271" s="438"/>
    </row>
    <row r="272" spans="1:13">
      <c r="A272" s="1">
        <v>37</v>
      </c>
      <c r="B272" s="443" t="s">
        <v>484</v>
      </c>
      <c r="C272" s="1"/>
      <c r="D272" s="74"/>
      <c r="E272" s="74"/>
      <c r="F272" s="74"/>
      <c r="G272" s="74"/>
      <c r="H272" s="307"/>
      <c r="I272" s="444">
        <f>+I268-I269-I270-I271</f>
        <v>3603623</v>
      </c>
      <c r="J272" s="436"/>
      <c r="K272" s="445"/>
      <c r="M272" s="575"/>
    </row>
    <row r="273" spans="1:11">
      <c r="A273" s="1"/>
      <c r="B273" s="443"/>
      <c r="C273" s="1"/>
      <c r="D273" s="74"/>
      <c r="E273" s="74"/>
      <c r="F273" s="74"/>
      <c r="G273" s="74"/>
      <c r="H273" s="307"/>
      <c r="I273" s="444"/>
      <c r="J273" s="436"/>
      <c r="K273" s="445"/>
    </row>
    <row r="274" spans="1:11">
      <c r="B274" s="305"/>
      <c r="C274" s="305"/>
      <c r="D274" s="306"/>
      <c r="E274" s="305"/>
      <c r="F274" s="305"/>
      <c r="G274" s="305"/>
      <c r="H274" s="307"/>
      <c r="I274" s="307"/>
      <c r="J274" s="583" t="s">
        <v>225</v>
      </c>
      <c r="K274" s="583"/>
    </row>
    <row r="275" spans="1:11">
      <c r="B275" s="305"/>
      <c r="C275" s="305"/>
      <c r="D275" s="306"/>
      <c r="E275" s="305"/>
      <c r="F275" s="305"/>
      <c r="G275" s="305"/>
      <c r="H275" s="307"/>
      <c r="I275" s="307"/>
      <c r="J275" s="75"/>
      <c r="K275" s="310"/>
    </row>
    <row r="276" spans="1:11">
      <c r="B276" s="305" t="s">
        <v>7</v>
      </c>
      <c r="C276" s="305"/>
      <c r="D276" s="306" t="s">
        <v>8</v>
      </c>
      <c r="E276" s="305"/>
      <c r="F276" s="305"/>
      <c r="G276" s="305"/>
      <c r="H276" s="307"/>
      <c r="I276" s="307"/>
      <c r="J276" s="75"/>
      <c r="K276" s="310" t="str">
        <f>K4</f>
        <v>For the 12 months ended 12/31/2016</v>
      </c>
    </row>
    <row r="277" spans="1:11">
      <c r="B277" s="305"/>
      <c r="C277" s="74" t="s">
        <v>9</v>
      </c>
      <c r="D277" s="74" t="s">
        <v>10</v>
      </c>
      <c r="E277" s="74"/>
      <c r="F277" s="74"/>
      <c r="G277" s="74"/>
      <c r="H277" s="307"/>
      <c r="I277" s="307"/>
      <c r="J277" s="75"/>
      <c r="K277" s="76"/>
    </row>
    <row r="278" spans="1:11">
      <c r="A278" s="1"/>
      <c r="B278" s="443"/>
      <c r="C278" s="1"/>
      <c r="D278" s="74"/>
      <c r="E278" s="74"/>
      <c r="F278" s="74"/>
      <c r="G278" s="74"/>
      <c r="H278" s="307"/>
      <c r="I278" s="446"/>
      <c r="J278" s="421"/>
      <c r="K278" s="445"/>
    </row>
    <row r="279" spans="1:11">
      <c r="A279" s="1"/>
      <c r="B279" s="443"/>
      <c r="C279" s="1"/>
      <c r="D279" s="74" t="str">
        <f>D7</f>
        <v>Duke Energy Indiana</v>
      </c>
      <c r="E279" s="74"/>
      <c r="F279" s="74"/>
      <c r="G279" s="74"/>
      <c r="H279" s="307"/>
      <c r="I279" s="446"/>
      <c r="J279" s="421"/>
      <c r="K279" s="445"/>
    </row>
    <row r="280" spans="1:11">
      <c r="A280" s="1"/>
      <c r="B280" s="443"/>
      <c r="C280" s="1"/>
      <c r="D280" s="74"/>
      <c r="E280" s="74"/>
      <c r="F280" s="74"/>
      <c r="G280" s="74"/>
      <c r="H280" s="307"/>
      <c r="I280" s="446"/>
      <c r="J280" s="421"/>
      <c r="K280" s="445"/>
    </row>
    <row r="281" spans="1:11">
      <c r="A281" s="1"/>
      <c r="B281" s="305" t="s">
        <v>485</v>
      </c>
      <c r="C281" s="1"/>
      <c r="D281" s="74"/>
      <c r="E281" s="74"/>
      <c r="F281" s="74"/>
      <c r="G281" s="74"/>
      <c r="H281" s="307"/>
      <c r="I281" s="74"/>
      <c r="J281" s="307"/>
      <c r="K281" s="72"/>
    </row>
    <row r="282" spans="1:11">
      <c r="A282" s="1"/>
      <c r="B282" s="447" t="s">
        <v>486</v>
      </c>
      <c r="C282" s="1"/>
      <c r="D282" s="74"/>
      <c r="E282" s="74"/>
      <c r="F282" s="74"/>
      <c r="G282" s="74"/>
      <c r="H282" s="307"/>
      <c r="I282" s="74"/>
      <c r="J282" s="307"/>
      <c r="K282" s="72"/>
    </row>
    <row r="283" spans="1:11">
      <c r="A283" s="1" t="s">
        <v>132</v>
      </c>
      <c r="B283" s="305"/>
      <c r="C283" s="307"/>
      <c r="D283" s="74"/>
      <c r="E283" s="74"/>
      <c r="F283" s="74"/>
      <c r="G283" s="74"/>
      <c r="H283" s="307"/>
      <c r="I283" s="74"/>
      <c r="J283" s="307"/>
      <c r="K283" s="72"/>
    </row>
    <row r="284" spans="1:11" ht="16.5" thickBot="1">
      <c r="A284" s="317" t="s">
        <v>133</v>
      </c>
      <c r="B284" s="305"/>
      <c r="C284" s="307"/>
      <c r="D284" s="74"/>
      <c r="E284" s="74"/>
      <c r="F284" s="74"/>
      <c r="G284" s="74"/>
      <c r="H284" s="307"/>
      <c r="I284" s="74"/>
      <c r="J284" s="307"/>
      <c r="K284" s="72"/>
    </row>
    <row r="285" spans="1:11">
      <c r="A285" s="448" t="s">
        <v>134</v>
      </c>
      <c r="B285" s="582" t="s">
        <v>379</v>
      </c>
      <c r="C285" s="582"/>
      <c r="D285" s="582"/>
      <c r="E285" s="582"/>
      <c r="F285" s="582"/>
      <c r="G285" s="582"/>
      <c r="H285" s="582"/>
      <c r="I285" s="582"/>
      <c r="J285" s="582"/>
      <c r="K285" s="582"/>
    </row>
    <row r="286" spans="1:11">
      <c r="A286" s="448" t="s">
        <v>135</v>
      </c>
      <c r="B286" s="582" t="s">
        <v>487</v>
      </c>
      <c r="C286" s="582"/>
      <c r="D286" s="582"/>
      <c r="E286" s="582"/>
      <c r="F286" s="582"/>
      <c r="G286" s="582"/>
      <c r="H286" s="582"/>
      <c r="I286" s="582"/>
      <c r="J286" s="582"/>
      <c r="K286" s="582"/>
    </row>
    <row r="287" spans="1:11">
      <c r="A287" s="448" t="s">
        <v>136</v>
      </c>
      <c r="B287" s="582" t="s">
        <v>380</v>
      </c>
      <c r="C287" s="582"/>
      <c r="D287" s="582"/>
      <c r="E287" s="582"/>
      <c r="F287" s="582"/>
      <c r="G287" s="582"/>
      <c r="H287" s="582"/>
      <c r="I287" s="582"/>
      <c r="J287" s="582"/>
      <c r="K287" s="582"/>
    </row>
    <row r="288" spans="1:11">
      <c r="A288" s="448" t="s">
        <v>137</v>
      </c>
      <c r="B288" s="582" t="s">
        <v>380</v>
      </c>
      <c r="C288" s="582"/>
      <c r="D288" s="582"/>
      <c r="E288" s="582"/>
      <c r="F288" s="582"/>
      <c r="G288" s="582"/>
      <c r="H288" s="582"/>
      <c r="I288" s="582"/>
      <c r="J288" s="582"/>
      <c r="K288" s="582"/>
    </row>
    <row r="289" spans="1:11">
      <c r="A289" s="448" t="s">
        <v>138</v>
      </c>
      <c r="B289" s="582" t="s">
        <v>214</v>
      </c>
      <c r="C289" s="582"/>
      <c r="D289" s="582"/>
      <c r="E289" s="582"/>
      <c r="F289" s="582"/>
      <c r="G289" s="582"/>
      <c r="H289" s="582"/>
      <c r="I289" s="582"/>
      <c r="J289" s="582"/>
      <c r="K289" s="582"/>
    </row>
    <row r="290" spans="1:11" ht="47.25" customHeight="1">
      <c r="A290" s="448" t="s">
        <v>139</v>
      </c>
      <c r="B290" s="582" t="s">
        <v>517</v>
      </c>
      <c r="C290" s="582"/>
      <c r="D290" s="582"/>
      <c r="E290" s="582"/>
      <c r="F290" s="582"/>
      <c r="G290" s="582"/>
      <c r="H290" s="582"/>
      <c r="I290" s="582"/>
      <c r="J290" s="582"/>
      <c r="K290" s="582"/>
    </row>
    <row r="291" spans="1:11">
      <c r="A291" s="448" t="s">
        <v>140</v>
      </c>
      <c r="B291" s="582" t="s">
        <v>141</v>
      </c>
      <c r="C291" s="582"/>
      <c r="D291" s="582"/>
      <c r="E291" s="582"/>
      <c r="F291" s="582"/>
      <c r="G291" s="582"/>
      <c r="H291" s="582"/>
      <c r="I291" s="582"/>
      <c r="J291" s="582"/>
      <c r="K291" s="582"/>
    </row>
    <row r="292" spans="1:11" ht="32.25" customHeight="1">
      <c r="A292" s="448" t="s">
        <v>142</v>
      </c>
      <c r="B292" s="582" t="s">
        <v>488</v>
      </c>
      <c r="C292" s="582"/>
      <c r="D292" s="582"/>
      <c r="E292" s="582"/>
      <c r="F292" s="582"/>
      <c r="G292" s="582"/>
      <c r="H292" s="582"/>
      <c r="I292" s="582"/>
      <c r="J292" s="582"/>
      <c r="K292" s="582"/>
    </row>
    <row r="293" spans="1:11" ht="35.25" customHeight="1">
      <c r="A293" s="448" t="s">
        <v>143</v>
      </c>
      <c r="B293" s="582" t="s">
        <v>489</v>
      </c>
      <c r="C293" s="582"/>
      <c r="D293" s="582"/>
      <c r="E293" s="582"/>
      <c r="F293" s="582"/>
      <c r="G293" s="582"/>
      <c r="H293" s="582"/>
      <c r="I293" s="582"/>
      <c r="J293" s="582"/>
      <c r="K293" s="582"/>
    </row>
    <row r="294" spans="1:11" ht="32.25" customHeight="1">
      <c r="A294" s="448" t="s">
        <v>144</v>
      </c>
      <c r="B294" s="582" t="s">
        <v>490</v>
      </c>
      <c r="C294" s="582"/>
      <c r="D294" s="582"/>
      <c r="E294" s="582"/>
      <c r="F294" s="582"/>
      <c r="G294" s="582"/>
      <c r="H294" s="582"/>
      <c r="I294" s="582"/>
      <c r="J294" s="582"/>
      <c r="K294" s="582"/>
    </row>
    <row r="295" spans="1:11" ht="68.25" customHeight="1">
      <c r="A295" s="448" t="s">
        <v>145</v>
      </c>
      <c r="B295" s="582" t="s">
        <v>491</v>
      </c>
      <c r="C295" s="582"/>
      <c r="D295" s="582"/>
      <c r="E295" s="582"/>
      <c r="F295" s="582"/>
      <c r="G295" s="582"/>
      <c r="H295" s="582"/>
      <c r="I295" s="582"/>
      <c r="J295" s="582"/>
      <c r="K295" s="582"/>
    </row>
    <row r="296" spans="1:11">
      <c r="A296" s="448" t="s">
        <v>9</v>
      </c>
      <c r="B296" s="449" t="s">
        <v>492</v>
      </c>
      <c r="C296" s="450" t="s">
        <v>188</v>
      </c>
      <c r="D296" s="451">
        <v>0.35</v>
      </c>
      <c r="E296" s="450"/>
      <c r="F296" s="450"/>
      <c r="G296" s="450"/>
      <c r="H296" s="450"/>
      <c r="I296" s="450"/>
      <c r="J296" s="450"/>
      <c r="K296" s="450"/>
    </row>
    <row r="297" spans="1:11">
      <c r="A297" s="448"/>
      <c r="B297" s="450"/>
      <c r="C297" s="450" t="s">
        <v>189</v>
      </c>
      <c r="D297" s="451">
        <v>6.25E-2</v>
      </c>
      <c r="E297" s="582" t="s">
        <v>190</v>
      </c>
      <c r="F297" s="582"/>
      <c r="G297" s="582"/>
      <c r="H297" s="582"/>
      <c r="I297" s="582"/>
      <c r="J297" s="582"/>
      <c r="K297" s="582"/>
    </row>
    <row r="298" spans="1:11">
      <c r="A298" s="448"/>
      <c r="B298" s="450"/>
      <c r="C298" s="450" t="s">
        <v>191</v>
      </c>
      <c r="D298" s="451">
        <v>0</v>
      </c>
      <c r="E298" s="582" t="s">
        <v>192</v>
      </c>
      <c r="F298" s="582"/>
      <c r="G298" s="582"/>
      <c r="H298" s="582"/>
      <c r="I298" s="582"/>
      <c r="J298" s="582"/>
      <c r="K298" s="582"/>
    </row>
    <row r="299" spans="1:11">
      <c r="A299" s="448" t="s">
        <v>146</v>
      </c>
      <c r="B299" s="582" t="s">
        <v>493</v>
      </c>
      <c r="C299" s="582"/>
      <c r="D299" s="582"/>
      <c r="E299" s="582"/>
      <c r="F299" s="582"/>
      <c r="G299" s="582"/>
      <c r="H299" s="582"/>
      <c r="I299" s="582"/>
      <c r="J299" s="582"/>
      <c r="K299" s="582"/>
    </row>
    <row r="300" spans="1:11" ht="32.25" customHeight="1">
      <c r="A300" s="448" t="s">
        <v>147</v>
      </c>
      <c r="B300" s="582" t="s">
        <v>494</v>
      </c>
      <c r="C300" s="582"/>
      <c r="D300" s="582"/>
      <c r="E300" s="582"/>
      <c r="F300" s="582"/>
      <c r="G300" s="582"/>
      <c r="H300" s="582"/>
      <c r="I300" s="582"/>
      <c r="J300" s="582"/>
      <c r="K300" s="582"/>
    </row>
    <row r="301" spans="1:11" ht="36.75" customHeight="1">
      <c r="A301" s="448" t="s">
        <v>148</v>
      </c>
      <c r="B301" s="582" t="s">
        <v>495</v>
      </c>
      <c r="C301" s="582"/>
      <c r="D301" s="582"/>
      <c r="E301" s="582"/>
      <c r="F301" s="582"/>
      <c r="G301" s="582"/>
      <c r="H301" s="582"/>
      <c r="I301" s="582"/>
      <c r="J301" s="582"/>
      <c r="K301" s="582"/>
    </row>
    <row r="302" spans="1:11">
      <c r="A302" s="448" t="s">
        <v>149</v>
      </c>
      <c r="B302" s="582" t="s">
        <v>209</v>
      </c>
      <c r="C302" s="582"/>
      <c r="D302" s="582"/>
      <c r="E302" s="582"/>
      <c r="F302" s="582"/>
      <c r="G302" s="582"/>
      <c r="H302" s="582"/>
      <c r="I302" s="582"/>
      <c r="J302" s="582"/>
      <c r="K302" s="582"/>
    </row>
    <row r="303" spans="1:11" ht="49.5" customHeight="1">
      <c r="A303" s="448" t="s">
        <v>150</v>
      </c>
      <c r="B303" s="582" t="s">
        <v>626</v>
      </c>
      <c r="C303" s="582"/>
      <c r="D303" s="582"/>
      <c r="E303" s="582"/>
      <c r="F303" s="582"/>
      <c r="G303" s="582"/>
      <c r="H303" s="582"/>
      <c r="I303" s="582"/>
      <c r="J303" s="582"/>
      <c r="K303" s="582"/>
    </row>
    <row r="304" spans="1:11" ht="32.25" customHeight="1">
      <c r="A304" s="448" t="s">
        <v>151</v>
      </c>
      <c r="B304" s="582" t="s">
        <v>496</v>
      </c>
      <c r="C304" s="582"/>
      <c r="D304" s="582"/>
      <c r="E304" s="582"/>
      <c r="F304" s="582"/>
      <c r="G304" s="582"/>
      <c r="H304" s="582"/>
      <c r="I304" s="582"/>
      <c r="J304" s="582"/>
      <c r="K304" s="582"/>
    </row>
    <row r="305" spans="1:12">
      <c r="A305" s="448" t="s">
        <v>152</v>
      </c>
      <c r="B305" s="582" t="s">
        <v>162</v>
      </c>
      <c r="C305" s="582"/>
      <c r="D305" s="582"/>
      <c r="E305" s="582"/>
      <c r="F305" s="582"/>
      <c r="G305" s="582"/>
      <c r="H305" s="582"/>
      <c r="I305" s="582"/>
      <c r="J305" s="582"/>
      <c r="K305" s="582"/>
    </row>
    <row r="306" spans="1:12" ht="48" customHeight="1">
      <c r="A306" s="448" t="s">
        <v>215</v>
      </c>
      <c r="B306" s="582" t="s">
        <v>497</v>
      </c>
      <c r="C306" s="582"/>
      <c r="D306" s="582"/>
      <c r="E306" s="582"/>
      <c r="F306" s="582"/>
      <c r="G306" s="582"/>
      <c r="H306" s="582"/>
      <c r="I306" s="582"/>
      <c r="J306" s="582"/>
      <c r="K306" s="582"/>
    </row>
    <row r="307" spans="1:12" ht="51.75" customHeight="1">
      <c r="A307" s="452" t="s">
        <v>217</v>
      </c>
      <c r="B307" s="588" t="s">
        <v>498</v>
      </c>
      <c r="C307" s="588"/>
      <c r="D307" s="588"/>
      <c r="E307" s="588"/>
      <c r="F307" s="588"/>
      <c r="G307" s="588"/>
      <c r="H307" s="588"/>
      <c r="I307" s="588"/>
      <c r="J307" s="588"/>
      <c r="K307" s="588"/>
    </row>
    <row r="308" spans="1:12">
      <c r="A308" s="452" t="s">
        <v>243</v>
      </c>
      <c r="B308" s="588" t="s">
        <v>5</v>
      </c>
      <c r="C308" s="588"/>
      <c r="D308" s="588"/>
      <c r="E308" s="588"/>
      <c r="F308" s="588"/>
      <c r="G308" s="588"/>
      <c r="H308" s="588"/>
      <c r="I308" s="588"/>
      <c r="J308" s="588"/>
      <c r="K308" s="588"/>
    </row>
    <row r="309" spans="1:12">
      <c r="A309" s="453" t="s">
        <v>6</v>
      </c>
      <c r="B309" s="588" t="s">
        <v>499</v>
      </c>
      <c r="C309" s="588"/>
      <c r="D309" s="588"/>
      <c r="E309" s="588"/>
      <c r="F309" s="588"/>
      <c r="G309" s="588"/>
      <c r="H309" s="588"/>
      <c r="I309" s="588"/>
      <c r="J309" s="588"/>
      <c r="K309" s="588"/>
      <c r="L309" s="79"/>
    </row>
    <row r="310" spans="1:12" s="79" customFormat="1">
      <c r="A310" s="453" t="s">
        <v>291</v>
      </c>
      <c r="B310" s="588" t="s">
        <v>518</v>
      </c>
      <c r="C310" s="588"/>
      <c r="D310" s="588"/>
      <c r="E310" s="588"/>
      <c r="F310" s="588"/>
      <c r="G310" s="588"/>
      <c r="H310" s="588"/>
      <c r="I310" s="588"/>
      <c r="J310" s="588"/>
      <c r="K310" s="588"/>
      <c r="L310" s="77"/>
    </row>
    <row r="311" spans="1:12" ht="32.25" customHeight="1">
      <c r="A311" s="453" t="s">
        <v>292</v>
      </c>
      <c r="B311" s="588" t="s">
        <v>519</v>
      </c>
      <c r="C311" s="588"/>
      <c r="D311" s="588"/>
      <c r="E311" s="588"/>
      <c r="F311" s="588"/>
      <c r="G311" s="588"/>
      <c r="H311" s="588"/>
      <c r="I311" s="588"/>
      <c r="J311" s="588"/>
      <c r="K311" s="588"/>
    </row>
    <row r="312" spans="1:12">
      <c r="A312" s="453" t="s">
        <v>500</v>
      </c>
      <c r="B312" s="588" t="s">
        <v>520</v>
      </c>
      <c r="C312" s="588"/>
      <c r="D312" s="588"/>
      <c r="E312" s="588"/>
      <c r="F312" s="588"/>
      <c r="G312" s="588"/>
      <c r="H312" s="588"/>
      <c r="I312" s="588"/>
      <c r="J312" s="588"/>
      <c r="K312" s="588"/>
    </row>
    <row r="313" spans="1:12" ht="37.5" customHeight="1">
      <c r="A313" s="453" t="s">
        <v>501</v>
      </c>
      <c r="B313" s="588" t="s">
        <v>521</v>
      </c>
      <c r="C313" s="588"/>
      <c r="D313" s="588"/>
      <c r="E313" s="588"/>
      <c r="F313" s="588"/>
      <c r="G313" s="588"/>
      <c r="H313" s="588"/>
      <c r="I313" s="588"/>
      <c r="J313" s="588"/>
      <c r="K313" s="588"/>
    </row>
    <row r="314" spans="1:12">
      <c r="A314" s="334" t="s">
        <v>502</v>
      </c>
      <c r="B314" s="454" t="s">
        <v>503</v>
      </c>
      <c r="C314" s="75"/>
      <c r="D314" s="75"/>
      <c r="E314" s="75"/>
      <c r="F314" s="75"/>
      <c r="G314" s="75"/>
      <c r="H314" s="75"/>
      <c r="I314" s="76"/>
      <c r="J314" s="76"/>
      <c r="K314" s="76"/>
    </row>
    <row r="315" spans="1:12">
      <c r="A315" s="334" t="s">
        <v>504</v>
      </c>
      <c r="B315" s="454" t="s">
        <v>505</v>
      </c>
      <c r="C315" s="75"/>
      <c r="D315" s="75"/>
      <c r="E315" s="75"/>
      <c r="F315" s="75"/>
      <c r="G315" s="75"/>
      <c r="H315" s="75"/>
      <c r="I315" s="76"/>
      <c r="J315" s="76"/>
      <c r="K315" s="76"/>
    </row>
    <row r="316" spans="1:12">
      <c r="A316" s="334" t="s">
        <v>627</v>
      </c>
      <c r="B316" s="454" t="s">
        <v>628</v>
      </c>
      <c r="C316" s="75"/>
      <c r="D316" s="75"/>
      <c r="E316" s="75"/>
      <c r="F316" s="75"/>
      <c r="G316" s="75"/>
      <c r="H316" s="75"/>
      <c r="I316" s="76"/>
      <c r="J316" s="76"/>
      <c r="K316" s="76"/>
    </row>
    <row r="317" spans="1:12">
      <c r="A317" s="334"/>
      <c r="B317" s="454" t="s">
        <v>629</v>
      </c>
    </row>
    <row r="318" spans="1:12">
      <c r="A318" s="334" t="s">
        <v>630</v>
      </c>
      <c r="B318" s="77" t="s">
        <v>631</v>
      </c>
    </row>
    <row r="319" spans="1:12">
      <c r="B319" s="77" t="s">
        <v>632</v>
      </c>
    </row>
  </sheetData>
  <mergeCells count="36">
    <mergeCell ref="B313:K313"/>
    <mergeCell ref="B302:K302"/>
    <mergeCell ref="B303:K303"/>
    <mergeCell ref="B304:K304"/>
    <mergeCell ref="B305:K305"/>
    <mergeCell ref="B306:K306"/>
    <mergeCell ref="B307:K307"/>
    <mergeCell ref="B308:K308"/>
    <mergeCell ref="B309:K309"/>
    <mergeCell ref="B310:K310"/>
    <mergeCell ref="B311:K311"/>
    <mergeCell ref="B312:K312"/>
    <mergeCell ref="B301:K301"/>
    <mergeCell ref="B289:K289"/>
    <mergeCell ref="B290:K290"/>
    <mergeCell ref="B291:K291"/>
    <mergeCell ref="B292:K292"/>
    <mergeCell ref="B293:K293"/>
    <mergeCell ref="B294:K294"/>
    <mergeCell ref="B295:K295"/>
    <mergeCell ref="E297:K297"/>
    <mergeCell ref="E298:K298"/>
    <mergeCell ref="B299:K299"/>
    <mergeCell ref="B300:K300"/>
    <mergeCell ref="N218:S218"/>
    <mergeCell ref="J274:K274"/>
    <mergeCell ref="B285:K285"/>
    <mergeCell ref="B286:K286"/>
    <mergeCell ref="B287:K287"/>
    <mergeCell ref="B288:K288"/>
    <mergeCell ref="J70:K70"/>
    <mergeCell ref="J137:K137"/>
    <mergeCell ref="B193:C193"/>
    <mergeCell ref="B197:C197"/>
    <mergeCell ref="J203:K203"/>
    <mergeCell ref="H204:K204"/>
  </mergeCells>
  <pageMargins left="0.5" right="0.5" top="0.75" bottom="0.75" header="0.5" footer="0.5"/>
  <pageSetup scale="61" fitToHeight="0" orientation="portrait" r:id="rId1"/>
  <headerFooter alignWithMargins="0"/>
  <rowBreaks count="4" manualBreakCount="4">
    <brk id="69" max="10" man="1"/>
    <brk id="136" max="10" man="1"/>
    <brk id="202" max="10" man="1"/>
    <brk id="273" max="10" man="1"/>
  </rowBreaks>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pageSetUpPr fitToPage="1"/>
  </sheetPr>
  <dimension ref="A1:D17"/>
  <sheetViews>
    <sheetView workbookViewId="0">
      <selection activeCell="B29" sqref="B29"/>
    </sheetView>
  </sheetViews>
  <sheetFormatPr defaultRowHeight="15"/>
  <cols>
    <col min="1" max="1" width="37.21875" bestFit="1" customWidth="1"/>
    <col min="2" max="3" width="22.44140625" customWidth="1"/>
    <col min="4" max="4" width="22.88671875" customWidth="1"/>
  </cols>
  <sheetData>
    <row r="1" spans="1:4" ht="18">
      <c r="A1" s="3" t="s">
        <v>251</v>
      </c>
      <c r="D1" s="28" t="s">
        <v>412</v>
      </c>
    </row>
    <row r="2" spans="1:4">
      <c r="A2" t="s">
        <v>299</v>
      </c>
      <c r="D2" s="29" t="s">
        <v>220</v>
      </c>
    </row>
    <row r="5" spans="1:4">
      <c r="B5" s="7"/>
      <c r="C5" s="7"/>
    </row>
    <row r="6" spans="1:4" ht="34.5">
      <c r="A6" s="7"/>
      <c r="B6" s="86" t="s">
        <v>296</v>
      </c>
      <c r="C6" s="88" t="s">
        <v>297</v>
      </c>
      <c r="D6" s="32" t="s">
        <v>295</v>
      </c>
    </row>
    <row r="7" spans="1:4" ht="15.75" thickBot="1">
      <c r="B7" s="7"/>
      <c r="C7" s="7"/>
      <c r="D7" s="7"/>
    </row>
    <row r="8" spans="1:4" ht="15.75" thickBot="1">
      <c r="A8" s="87" t="s">
        <v>294</v>
      </c>
      <c r="B8" s="7"/>
      <c r="C8" s="7"/>
      <c r="D8" s="7"/>
    </row>
    <row r="9" spans="1:4">
      <c r="B9" s="7"/>
      <c r="C9" s="7"/>
      <c r="D9" s="7"/>
    </row>
    <row r="10" spans="1:4" ht="17.25">
      <c r="A10" t="s">
        <v>298</v>
      </c>
      <c r="B10" s="90">
        <f>528143-429000</f>
        <v>99143</v>
      </c>
      <c r="C10" s="90">
        <f>2943264+429000</f>
        <v>3372264</v>
      </c>
      <c r="D10" s="45">
        <f>SUM(B10:C10)</f>
        <v>3471407</v>
      </c>
    </row>
    <row r="11" spans="1:4">
      <c r="B11" s="44"/>
      <c r="C11" s="44"/>
      <c r="D11" s="89"/>
    </row>
    <row r="12" spans="1:4">
      <c r="B12" s="44"/>
      <c r="C12" s="44"/>
      <c r="D12" s="44"/>
    </row>
    <row r="13" spans="1:4">
      <c r="A13" t="s">
        <v>656</v>
      </c>
      <c r="B13" s="89"/>
      <c r="C13" s="89"/>
      <c r="D13" s="89"/>
    </row>
    <row r="17" spans="1:1">
      <c r="A17" t="s">
        <v>266</v>
      </c>
    </row>
  </sheetData>
  <pageMargins left="0.25" right="0" top="0.25" bottom="0.5" header="0.25" footer="0.25"/>
  <pageSetup orientation="landscape" horizontalDpi="300" verticalDpi="300" r:id="rId1"/>
  <headerFooter alignWithMargins="0">
    <oddFooter>&amp;L&amp;"Arial,Regular"&amp;8RateJA:\MISO\2004\&amp;F   &amp;A&amp;R&amp;"Arial,Regular"&amp;8Page &amp;P of &amp;N</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zoomScale="80" zoomScaleNormal="80" workbookViewId="0">
      <selection activeCell="B29" sqref="B29"/>
    </sheetView>
  </sheetViews>
  <sheetFormatPr defaultColWidth="7.109375" defaultRowHeight="15"/>
  <cols>
    <col min="1" max="1" width="4" style="521" customWidth="1"/>
    <col min="2" max="2" width="15.77734375" style="521" customWidth="1"/>
    <col min="3" max="3" width="44.21875" style="521" customWidth="1"/>
    <col min="4" max="4" width="51.5546875" style="521" customWidth="1"/>
    <col min="5" max="5" width="1.5546875" style="521" customWidth="1"/>
    <col min="6" max="6" width="9.88671875" style="521" customWidth="1"/>
    <col min="7" max="7" width="7.109375" style="521"/>
    <col min="8" max="30" width="7.109375" style="522"/>
    <col min="31" max="31" width="23" style="522" bestFit="1" customWidth="1"/>
    <col min="32" max="16384" width="7.109375" style="522"/>
  </cols>
  <sheetData>
    <row r="1" spans="1:7" ht="19.149999999999999" customHeight="1">
      <c r="A1" s="521" t="s">
        <v>9</v>
      </c>
    </row>
    <row r="2" spans="1:7" ht="19.149999999999999" customHeight="1"/>
    <row r="3" spans="1:7" ht="19.149999999999999" customHeight="1"/>
    <row r="4" spans="1:7" ht="19.149999999999999" customHeight="1"/>
    <row r="5" spans="1:7" ht="19.149999999999999" customHeight="1">
      <c r="B5" s="523" t="s">
        <v>231</v>
      </c>
    </row>
    <row r="6" spans="1:7" ht="19.149999999999999" customHeight="1"/>
    <row r="7" spans="1:7">
      <c r="A7" s="521">
        <v>1</v>
      </c>
      <c r="B7" s="521" t="s">
        <v>555</v>
      </c>
      <c r="C7" s="536" t="str">
        <f>+'Nonlevelized-IOU'!D7</f>
        <v>Duke Energy Indiana</v>
      </c>
    </row>
    <row r="8" spans="1:7">
      <c r="A8" s="521">
        <f t="shared" ref="A8:A39" si="0">1+A7</f>
        <v>2</v>
      </c>
      <c r="C8" s="524"/>
    </row>
    <row r="9" spans="1:7">
      <c r="A9" s="521">
        <f t="shared" si="0"/>
        <v>3</v>
      </c>
      <c r="B9" s="521" t="s">
        <v>556</v>
      </c>
      <c r="C9" s="525">
        <v>2016</v>
      </c>
    </row>
    <row r="10" spans="1:7" ht="17.25">
      <c r="A10" s="521">
        <f t="shared" si="0"/>
        <v>4</v>
      </c>
      <c r="B10" s="521" t="s">
        <v>557</v>
      </c>
      <c r="C10" s="525" t="s">
        <v>582</v>
      </c>
    </row>
    <row r="11" spans="1:7">
      <c r="A11" s="521">
        <f t="shared" si="0"/>
        <v>5</v>
      </c>
      <c r="C11" s="526"/>
    </row>
    <row r="12" spans="1:7">
      <c r="A12" s="521">
        <f t="shared" si="0"/>
        <v>6</v>
      </c>
      <c r="B12" s="521" t="s">
        <v>558</v>
      </c>
      <c r="C12" s="525" t="s">
        <v>584</v>
      </c>
    </row>
    <row r="13" spans="1:7">
      <c r="A13" s="521">
        <f t="shared" si="0"/>
        <v>7</v>
      </c>
    </row>
    <row r="14" spans="1:7">
      <c r="A14" s="521">
        <f t="shared" si="0"/>
        <v>8</v>
      </c>
      <c r="B14" s="527" t="s">
        <v>559</v>
      </c>
      <c r="C14" s="528"/>
      <c r="D14" s="527" t="s">
        <v>560</v>
      </c>
      <c r="E14" s="528"/>
      <c r="F14" s="527" t="s">
        <v>561</v>
      </c>
      <c r="G14" s="528"/>
    </row>
    <row r="15" spans="1:7">
      <c r="A15" s="521">
        <f t="shared" si="0"/>
        <v>9</v>
      </c>
      <c r="B15" s="529"/>
      <c r="C15" s="529"/>
      <c r="D15" s="529"/>
      <c r="E15" s="529"/>
      <c r="F15" s="529"/>
      <c r="G15" s="529"/>
    </row>
    <row r="16" spans="1:7" ht="17.25">
      <c r="A16" s="521">
        <f t="shared" si="0"/>
        <v>10</v>
      </c>
      <c r="B16" s="521" t="s">
        <v>562</v>
      </c>
      <c r="D16" s="530" t="s">
        <v>581</v>
      </c>
      <c r="E16" s="531" t="s">
        <v>97</v>
      </c>
      <c r="F16" s="532">
        <v>49922</v>
      </c>
    </row>
    <row r="17" spans="1:6">
      <c r="A17" s="521">
        <f t="shared" si="0"/>
        <v>11</v>
      </c>
      <c r="B17" s="521" t="s">
        <v>563</v>
      </c>
      <c r="D17" s="530" t="s">
        <v>580</v>
      </c>
      <c r="E17" s="531"/>
      <c r="F17" s="532">
        <v>5987902</v>
      </c>
    </row>
    <row r="18" spans="1:6">
      <c r="A18" s="521">
        <f t="shared" si="0"/>
        <v>12</v>
      </c>
      <c r="B18" s="521" t="s">
        <v>564</v>
      </c>
      <c r="D18" s="530" t="s">
        <v>579</v>
      </c>
      <c r="E18" s="531"/>
      <c r="F18" s="532">
        <v>857090</v>
      </c>
    </row>
    <row r="19" spans="1:6">
      <c r="A19" s="521">
        <f t="shared" si="0"/>
        <v>13</v>
      </c>
      <c r="B19" s="521" t="s">
        <v>565</v>
      </c>
      <c r="D19" s="521" t="str">
        <f>"(Line "&amp;A16&amp;"+ Line "&amp;A17&amp;"+ Line "&amp;A18&amp;")"</f>
        <v>(Line 10+ Line 11+ Line 12)</v>
      </c>
      <c r="E19" s="521" t="s">
        <v>97</v>
      </c>
      <c r="F19" s="533">
        <f>SUM(F16:F18)</f>
        <v>6894914</v>
      </c>
    </row>
    <row r="20" spans="1:6">
      <c r="A20" s="521">
        <f t="shared" si="0"/>
        <v>14</v>
      </c>
    </row>
    <row r="21" spans="1:6" ht="17.25">
      <c r="A21" s="521">
        <f t="shared" si="0"/>
        <v>15</v>
      </c>
      <c r="B21" s="521" t="s">
        <v>566</v>
      </c>
      <c r="D21" s="530" t="s">
        <v>578</v>
      </c>
      <c r="E21" s="531"/>
      <c r="F21" s="532">
        <v>790059</v>
      </c>
    </row>
    <row r="22" spans="1:6">
      <c r="A22" s="521">
        <f t="shared" si="0"/>
        <v>16</v>
      </c>
    </row>
    <row r="23" spans="1:6">
      <c r="A23" s="521">
        <f t="shared" si="0"/>
        <v>17</v>
      </c>
      <c r="B23" s="534" t="s">
        <v>567</v>
      </c>
      <c r="D23" s="521" t="str">
        <f>"(Line "&amp;A19&amp;" - Line "&amp;A21&amp;")"</f>
        <v>(Line 13 - Line 15)</v>
      </c>
      <c r="E23" s="521" t="s">
        <v>97</v>
      </c>
      <c r="F23" s="535">
        <f>+F19-F21</f>
        <v>6104855</v>
      </c>
    </row>
    <row r="24" spans="1:6">
      <c r="A24" s="521">
        <f t="shared" si="0"/>
        <v>18</v>
      </c>
    </row>
    <row r="25" spans="1:6">
      <c r="A25" s="521">
        <f t="shared" si="0"/>
        <v>19</v>
      </c>
      <c r="B25" s="534" t="s">
        <v>568</v>
      </c>
      <c r="D25" s="525" t="s">
        <v>582</v>
      </c>
      <c r="E25" s="531"/>
      <c r="F25" s="532"/>
    </row>
    <row r="26" spans="1:6">
      <c r="A26" s="521">
        <f t="shared" si="0"/>
        <v>20</v>
      </c>
    </row>
    <row r="27" spans="1:6" ht="17.25">
      <c r="A27" s="521">
        <f t="shared" si="0"/>
        <v>21</v>
      </c>
      <c r="B27" s="534" t="s">
        <v>569</v>
      </c>
      <c r="D27" s="530" t="s">
        <v>583</v>
      </c>
      <c r="E27" s="521" t="s">
        <v>97</v>
      </c>
      <c r="F27" s="532">
        <v>215962</v>
      </c>
    </row>
    <row r="28" spans="1:6">
      <c r="A28" s="521">
        <f t="shared" si="0"/>
        <v>22</v>
      </c>
    </row>
    <row r="29" spans="1:6">
      <c r="A29" s="521">
        <f t="shared" si="0"/>
        <v>23</v>
      </c>
      <c r="B29" s="534" t="s">
        <v>570</v>
      </c>
      <c r="D29" s="521" t="str">
        <f>"(Line "&amp;A23&amp;" + Line "&amp;A25&amp;" - Line "&amp;A27&amp;")"</f>
        <v>(Line 17 + Line 19 - Line 21)</v>
      </c>
      <c r="E29" s="521" t="s">
        <v>97</v>
      </c>
      <c r="F29" s="535">
        <f>+F23+F25-F27</f>
        <v>5888893</v>
      </c>
    </row>
    <row r="30" spans="1:6">
      <c r="A30" s="521">
        <f t="shared" si="0"/>
        <v>24</v>
      </c>
    </row>
    <row r="31" spans="1:6">
      <c r="A31" s="521">
        <f>1+A30</f>
        <v>25</v>
      </c>
      <c r="B31" s="521" t="s">
        <v>571</v>
      </c>
    </row>
    <row r="32" spans="1:6">
      <c r="A32" s="521">
        <f t="shared" si="0"/>
        <v>26</v>
      </c>
    </row>
    <row r="33" spans="1:2">
      <c r="A33" s="521">
        <f t="shared" si="0"/>
        <v>27</v>
      </c>
      <c r="B33" s="521" t="s">
        <v>572</v>
      </c>
    </row>
    <row r="34" spans="1:2">
      <c r="A34" s="521">
        <f t="shared" si="0"/>
        <v>28</v>
      </c>
      <c r="B34" s="521" t="s">
        <v>573</v>
      </c>
    </row>
    <row r="35" spans="1:2">
      <c r="A35" s="521">
        <f t="shared" si="0"/>
        <v>29</v>
      </c>
    </row>
    <row r="36" spans="1:2">
      <c r="A36" s="521">
        <f t="shared" si="0"/>
        <v>30</v>
      </c>
      <c r="B36" s="521" t="s">
        <v>574</v>
      </c>
    </row>
    <row r="37" spans="1:2">
      <c r="A37" s="521">
        <f t="shared" si="0"/>
        <v>31</v>
      </c>
      <c r="B37" s="521" t="s">
        <v>575</v>
      </c>
    </row>
    <row r="38" spans="1:2">
      <c r="A38" s="521">
        <f t="shared" si="0"/>
        <v>32</v>
      </c>
      <c r="B38" s="521" t="s">
        <v>576</v>
      </c>
    </row>
    <row r="39" spans="1:2">
      <c r="A39" s="521">
        <f t="shared" si="0"/>
        <v>33</v>
      </c>
      <c r="B39" s="521" t="s">
        <v>577</v>
      </c>
    </row>
  </sheetData>
  <pageMargins left="0.25" right="0.19" top="0.8" bottom="0.5" header="0.3" footer="0.3"/>
  <pageSetup scale="84"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0" tint="-0.14999847407452621"/>
    <pageSetUpPr fitToPage="1"/>
  </sheetPr>
  <dimension ref="A1:B43"/>
  <sheetViews>
    <sheetView topLeftCell="A4" workbookViewId="0">
      <selection activeCell="B38" sqref="B38"/>
    </sheetView>
  </sheetViews>
  <sheetFormatPr defaultColWidth="8.77734375" defaultRowHeight="12.75"/>
  <cols>
    <col min="1" max="1" width="46.21875" style="16" bestFit="1" customWidth="1"/>
    <col min="2" max="2" width="13.88671875" style="16" customWidth="1"/>
    <col min="3" max="3" width="8.77734375" style="16" customWidth="1"/>
    <col min="4" max="4" width="10.6640625" style="16" customWidth="1"/>
    <col min="5" max="5" width="11.44140625" style="16" customWidth="1"/>
    <col min="6" max="16384" width="8.77734375" style="16"/>
  </cols>
  <sheetData>
    <row r="1" spans="1:2" ht="18">
      <c r="A1" s="105" t="s">
        <v>251</v>
      </c>
      <c r="B1" s="40"/>
    </row>
    <row r="2" spans="1:2" ht="15.75">
      <c r="A2" s="93"/>
      <c r="B2" s="28" t="s">
        <v>508</v>
      </c>
    </row>
    <row r="3" spans="1:2" ht="15.75">
      <c r="A3" s="93"/>
      <c r="B3" s="28" t="s">
        <v>220</v>
      </c>
    </row>
    <row r="4" spans="1:2" ht="15.75">
      <c r="A4" s="93" t="s">
        <v>247</v>
      </c>
      <c r="B4" s="94"/>
    </row>
    <row r="5" spans="1:2" ht="15.75">
      <c r="A5" s="93"/>
      <c r="B5" s="94"/>
    </row>
    <row r="6" spans="1:2" ht="15.75">
      <c r="A6" s="96"/>
      <c r="B6" s="95"/>
    </row>
    <row r="7" spans="1:2" ht="20.25">
      <c r="A7" s="95"/>
      <c r="B7" s="97"/>
    </row>
    <row r="8" spans="1:2" ht="21" thickBot="1">
      <c r="A8" s="95"/>
      <c r="B8" s="98" t="s">
        <v>253</v>
      </c>
    </row>
    <row r="9" spans="1:2" ht="21" thickBot="1">
      <c r="A9" s="111" t="s">
        <v>307</v>
      </c>
      <c r="B9" s="98"/>
    </row>
    <row r="10" spans="1:2" ht="23.25" customHeight="1">
      <c r="A10" s="99" t="s">
        <v>303</v>
      </c>
      <c r="B10" s="100" t="e">
        <f>#REF!</f>
        <v>#REF!</v>
      </c>
    </row>
    <row r="11" spans="1:2" ht="15">
      <c r="A11" s="101"/>
      <c r="B11" s="95"/>
    </row>
    <row r="12" spans="1:2" ht="48">
      <c r="A12" s="108" t="s">
        <v>309</v>
      </c>
      <c r="B12" s="102">
        <v>0</v>
      </c>
    </row>
    <row r="13" spans="1:2" ht="15">
      <c r="A13" s="101"/>
      <c r="B13" s="95"/>
    </row>
    <row r="14" spans="1:2" ht="24.75" customHeight="1">
      <c r="A14" s="103" t="s">
        <v>304</v>
      </c>
      <c r="B14" s="110" t="e">
        <f>B10-B12</f>
        <v>#REF!</v>
      </c>
    </row>
    <row r="15" spans="1:2" ht="14.25" customHeight="1">
      <c r="A15" s="103"/>
      <c r="B15" s="110"/>
    </row>
    <row r="16" spans="1:2" ht="10.5" customHeight="1">
      <c r="A16" s="103"/>
      <c r="B16" s="110"/>
    </row>
    <row r="17" spans="1:2" ht="15.75" thickBot="1">
      <c r="A17" s="101"/>
      <c r="B17" s="95"/>
    </row>
    <row r="18" spans="1:2" ht="16.5" thickBot="1">
      <c r="A18" s="111" t="s">
        <v>308</v>
      </c>
      <c r="B18" s="95"/>
    </row>
    <row r="19" spans="1:2" ht="21" customHeight="1">
      <c r="A19" s="99" t="s">
        <v>305</v>
      </c>
      <c r="B19" s="100" t="e">
        <f>#REF!</f>
        <v>#REF!</v>
      </c>
    </row>
    <row r="20" spans="1:2" ht="15">
      <c r="A20" s="101"/>
      <c r="B20" s="95"/>
    </row>
    <row r="21" spans="1:2" ht="48">
      <c r="A21" s="108" t="s">
        <v>310</v>
      </c>
      <c r="B21" s="106">
        <f>B12</f>
        <v>0</v>
      </c>
    </row>
    <row r="22" spans="1:2" ht="15">
      <c r="A22" s="101"/>
      <c r="B22" s="95"/>
    </row>
    <row r="23" spans="1:2" ht="27" customHeight="1">
      <c r="A23" s="103" t="s">
        <v>306</v>
      </c>
      <c r="B23" s="110" t="e">
        <f>B19+B21</f>
        <v>#REF!</v>
      </c>
    </row>
    <row r="24" spans="1:2" ht="14.25" customHeight="1">
      <c r="A24" s="103"/>
      <c r="B24" s="110"/>
    </row>
    <row r="25" spans="1:2" ht="10.5" customHeight="1">
      <c r="A25" s="103"/>
      <c r="B25" s="110"/>
    </row>
    <row r="26" spans="1:2" ht="15.75" thickBot="1">
      <c r="A26" s="101"/>
      <c r="B26" s="95"/>
    </row>
    <row r="27" spans="1:2" ht="16.5" thickBot="1">
      <c r="A27" s="111" t="s">
        <v>311</v>
      </c>
      <c r="B27" s="95"/>
    </row>
    <row r="28" spans="1:2" ht="21" customHeight="1">
      <c r="A28" s="99" t="s">
        <v>312</v>
      </c>
      <c r="B28" s="100" t="e">
        <f>SUM(#REF!)-347000</f>
        <v>#REF!</v>
      </c>
    </row>
    <row r="29" spans="1:2" ht="15">
      <c r="A29" s="101"/>
      <c r="B29" s="95"/>
    </row>
    <row r="30" spans="1:2" ht="17.25">
      <c r="A30" s="108" t="s">
        <v>549</v>
      </c>
      <c r="B30" s="106">
        <v>347000</v>
      </c>
    </row>
    <row r="31" spans="1:2" ht="15">
      <c r="A31" s="101"/>
      <c r="B31" s="95"/>
    </row>
    <row r="32" spans="1:2" ht="27" customHeight="1">
      <c r="A32" s="103" t="s">
        <v>313</v>
      </c>
      <c r="B32" s="110" t="e">
        <f>B28+B30</f>
        <v>#REF!</v>
      </c>
    </row>
    <row r="33" spans="1:2" ht="15">
      <c r="A33" s="101"/>
      <c r="B33" s="95"/>
    </row>
    <row r="34" spans="1:2" ht="15">
      <c r="A34" s="101"/>
      <c r="B34" s="95"/>
    </row>
    <row r="35" spans="1:2" ht="36" customHeight="1">
      <c r="A35" s="109" t="s">
        <v>314</v>
      </c>
      <c r="B35" s="112">
        <v>696944</v>
      </c>
    </row>
    <row r="36" spans="1:2" ht="15">
      <c r="A36" s="101"/>
      <c r="B36" s="95"/>
    </row>
    <row r="38" spans="1:2" ht="36" customHeight="1">
      <c r="A38" s="109" t="s">
        <v>226</v>
      </c>
      <c r="B38" s="112">
        <v>731779</v>
      </c>
    </row>
    <row r="43" spans="1:2" ht="39.75" customHeight="1">
      <c r="A43" s="590"/>
      <c r="B43" s="590"/>
    </row>
  </sheetData>
  <mergeCells count="1">
    <mergeCell ref="A43:B43"/>
  </mergeCells>
  <phoneticPr fontId="0" type="noConversion"/>
  <pageMargins left="0.25" right="0" top="0.25" bottom="0.5" header="0.25" footer="0.25"/>
  <pageSetup scale="67" orientation="landscape" horizontalDpi="300" verticalDpi="300" r:id="rId1"/>
  <headerFooter alignWithMargins="0">
    <oddFooter>&amp;L&amp;"Arial,Regular"&amp;8RateJA:\MISO\2004\&amp;F   &amp;A&amp;R&amp;"Arial,Regular"&amp;8Page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enableFormatConditionsCalculation="0">
    <pageSetUpPr fitToPage="1"/>
  </sheetPr>
  <dimension ref="A1:G263"/>
  <sheetViews>
    <sheetView workbookViewId="0">
      <selection activeCell="B14" sqref="B14"/>
    </sheetView>
  </sheetViews>
  <sheetFormatPr defaultColWidth="7.109375" defaultRowHeight="12.75"/>
  <cols>
    <col min="1" max="1" width="11.44140625" style="17" customWidth="1"/>
    <col min="2" max="2" width="12.33203125" style="17" customWidth="1"/>
    <col min="3" max="3" width="14.5546875" style="17" customWidth="1"/>
    <col min="4" max="4" width="12.33203125" style="17" customWidth="1"/>
    <col min="5" max="5" width="11.109375" style="17" customWidth="1"/>
    <col min="6" max="6" width="10.6640625" style="17" customWidth="1"/>
    <col min="7" max="7" width="11.44140625" style="17" customWidth="1"/>
    <col min="8" max="16384" width="7.109375" style="17"/>
  </cols>
  <sheetData>
    <row r="1" spans="1:7">
      <c r="A1" s="602" t="s">
        <v>251</v>
      </c>
      <c r="B1" s="602"/>
      <c r="C1" s="507"/>
      <c r="D1" s="507"/>
      <c r="F1" s="240" t="s">
        <v>412</v>
      </c>
    </row>
    <row r="2" spans="1:7">
      <c r="A2" s="602" t="s">
        <v>0</v>
      </c>
      <c r="B2" s="602"/>
      <c r="C2" s="507"/>
      <c r="D2" s="507"/>
      <c r="F2" s="240" t="s">
        <v>220</v>
      </c>
    </row>
    <row r="3" spans="1:7">
      <c r="A3" s="19"/>
      <c r="B3" s="19"/>
      <c r="C3" s="507"/>
      <c r="D3" s="507"/>
      <c r="F3" s="240"/>
    </row>
    <row r="4" spans="1:7">
      <c r="A4" s="239"/>
      <c r="E4" s="82"/>
      <c r="G4" s="240" t="s">
        <v>619</v>
      </c>
    </row>
    <row r="5" spans="1:7">
      <c r="A5" s="18" t="s">
        <v>251</v>
      </c>
      <c r="E5" s="18"/>
    </row>
    <row r="6" spans="1:7">
      <c r="A6" s="18" t="s">
        <v>409</v>
      </c>
      <c r="E6" s="18"/>
    </row>
    <row r="7" spans="1:7">
      <c r="B7" s="83"/>
      <c r="C7" s="83"/>
      <c r="D7" s="83"/>
      <c r="E7" s="83"/>
    </row>
    <row r="8" spans="1:7">
      <c r="B8" s="83"/>
      <c r="C8" s="83"/>
      <c r="D8" s="83"/>
      <c r="E8" s="83"/>
      <c r="F8" s="18"/>
      <c r="G8" s="473" t="s">
        <v>529</v>
      </c>
    </row>
    <row r="9" spans="1:7">
      <c r="B9" s="475" t="s">
        <v>550</v>
      </c>
      <c r="C9" s="475" t="s">
        <v>551</v>
      </c>
      <c r="D9" s="475" t="s">
        <v>552</v>
      </c>
      <c r="E9" s="475" t="s">
        <v>410</v>
      </c>
      <c r="F9" s="477" t="s">
        <v>554</v>
      </c>
      <c r="G9" s="476" t="s">
        <v>530</v>
      </c>
    </row>
    <row r="10" spans="1:7">
      <c r="A10" s="18" t="s">
        <v>263</v>
      </c>
      <c r="B10" s="272">
        <v>236521119</v>
      </c>
      <c r="C10" s="272">
        <v>12967184</v>
      </c>
      <c r="D10" s="509">
        <f>+B10+C10</f>
        <v>249488303</v>
      </c>
      <c r="E10" s="84">
        <f>+D10/D13</f>
        <v>0.79968978082238418</v>
      </c>
      <c r="F10" s="31">
        <f>+F13*E10</f>
        <v>-100598.57535811346</v>
      </c>
      <c r="G10" s="512">
        <f>+D10+F10</f>
        <v>249387704.42464188</v>
      </c>
    </row>
    <row r="11" spans="1:7">
      <c r="A11" s="18" t="s">
        <v>45</v>
      </c>
      <c r="B11" s="272">
        <v>35058607</v>
      </c>
      <c r="C11" s="272">
        <v>1382500</v>
      </c>
      <c r="D11" s="509">
        <f t="shared" ref="D11:D12" si="0">+B11+C11</f>
        <v>36441107</v>
      </c>
      <c r="E11" s="474">
        <f>+D11/D13</f>
        <v>0.11680539936878344</v>
      </c>
      <c r="F11" s="478">
        <f>+E11*F13</f>
        <v>-14693.768824394851</v>
      </c>
      <c r="G11" s="512">
        <f t="shared" ref="G11:G12" si="1">+D11+F11</f>
        <v>36426413.231175601</v>
      </c>
    </row>
    <row r="12" spans="1:7" ht="15">
      <c r="A12" s="18" t="s">
        <v>264</v>
      </c>
      <c r="B12" s="273">
        <v>25063590</v>
      </c>
      <c r="C12" s="273">
        <v>988357</v>
      </c>
      <c r="D12" s="510">
        <f t="shared" si="0"/>
        <v>26051947</v>
      </c>
      <c r="E12" s="479">
        <f>+D12/D13</f>
        <v>8.3504819808832356E-2</v>
      </c>
      <c r="F12" s="511">
        <f>+E12*F13</f>
        <v>-10504.655817491685</v>
      </c>
      <c r="G12" s="513">
        <f t="shared" si="1"/>
        <v>26041442.34418251</v>
      </c>
    </row>
    <row r="13" spans="1:7" ht="20.100000000000001" customHeight="1">
      <c r="A13" s="18" t="s">
        <v>411</v>
      </c>
      <c r="B13" s="516">
        <f>SUM(B10:B12)</f>
        <v>296643316</v>
      </c>
      <c r="C13" s="516">
        <f>SUM(C10:C12)</f>
        <v>15338041</v>
      </c>
      <c r="D13" s="516">
        <f>SUM(D10:D12)</f>
        <v>311981357</v>
      </c>
      <c r="E13" s="517">
        <f>SUM(E10:E12)</f>
        <v>1</v>
      </c>
      <c r="F13" s="228">
        <v>-125797</v>
      </c>
      <c r="G13" s="480">
        <f>SUM(G10:G12)</f>
        <v>311855560</v>
      </c>
    </row>
    <row r="14" spans="1:7">
      <c r="B14" s="19" t="s">
        <v>293</v>
      </c>
      <c r="C14" s="507"/>
      <c r="D14" s="507"/>
      <c r="E14" s="19"/>
      <c r="F14" s="18"/>
    </row>
    <row r="15" spans="1:7">
      <c r="B15" s="507"/>
      <c r="C15" s="507"/>
      <c r="D15" s="507"/>
      <c r="E15" s="507"/>
      <c r="F15" s="18"/>
    </row>
    <row r="16" spans="1:7">
      <c r="B16" s="520" t="s">
        <v>553</v>
      </c>
      <c r="C16" s="18"/>
      <c r="D16" s="18"/>
      <c r="E16" s="18"/>
      <c r="F16" s="18"/>
    </row>
    <row r="17" spans="1:5" s="225" customFormat="1">
      <c r="A17" s="18" t="s">
        <v>263</v>
      </c>
      <c r="B17" s="515">
        <f>+C10+F10</f>
        <v>12866585.424641887</v>
      </c>
      <c r="C17" s="514"/>
      <c r="D17" s="85"/>
      <c r="E17" s="514"/>
    </row>
    <row r="18" spans="1:5" s="225" customFormat="1">
      <c r="A18" s="18" t="s">
        <v>45</v>
      </c>
      <c r="B18" s="515">
        <f>+C11+F11</f>
        <v>1367806.2311756052</v>
      </c>
      <c r="C18" s="514"/>
      <c r="D18" s="515"/>
    </row>
    <row r="19" spans="1:5" s="225" customFormat="1" ht="15">
      <c r="A19" s="18" t="s">
        <v>264</v>
      </c>
      <c r="B19" s="518">
        <f t="shared" ref="B19" si="2">+C12+F12</f>
        <v>977852.3441825083</v>
      </c>
      <c r="C19" s="238"/>
      <c r="D19" s="238"/>
      <c r="E19" s="238"/>
    </row>
    <row r="20" spans="1:5" s="225" customFormat="1" ht="13.5" thickBot="1">
      <c r="B20" s="519">
        <f>SUM(B17:B19)</f>
        <v>15212244</v>
      </c>
      <c r="C20" s="85"/>
      <c r="D20" s="85"/>
      <c r="E20" s="85"/>
    </row>
    <row r="21" spans="1:5" s="225" customFormat="1" ht="13.5" thickTop="1">
      <c r="B21" s="478" t="s">
        <v>293</v>
      </c>
      <c r="C21" s="85"/>
      <c r="D21" s="85"/>
      <c r="E21" s="85"/>
    </row>
    <row r="22" spans="1:5" s="225" customFormat="1"/>
    <row r="23" spans="1:5" s="225" customFormat="1">
      <c r="B23" s="238"/>
      <c r="C23" s="238"/>
      <c r="D23" s="238"/>
      <c r="E23" s="238"/>
    </row>
    <row r="24" spans="1:5" s="225" customFormat="1">
      <c r="B24" s="85"/>
      <c r="C24" s="85"/>
      <c r="D24" s="85"/>
      <c r="E24" s="85"/>
    </row>
    <row r="25" spans="1:5" s="83" customFormat="1">
      <c r="B25" s="85"/>
      <c r="C25" s="85"/>
      <c r="D25" s="85"/>
      <c r="E25" s="85"/>
    </row>
    <row r="26" spans="1:5" s="83" customFormat="1">
      <c r="B26" s="85"/>
      <c r="C26" s="85"/>
      <c r="D26" s="85"/>
      <c r="E26" s="85"/>
    </row>
    <row r="27" spans="1:5" s="83" customFormat="1">
      <c r="B27" s="85"/>
      <c r="C27" s="85"/>
      <c r="D27" s="85"/>
      <c r="E27" s="85"/>
    </row>
    <row r="28" spans="1:5" s="83" customFormat="1">
      <c r="B28" s="85"/>
      <c r="C28" s="85"/>
      <c r="D28" s="85"/>
      <c r="E28" s="85"/>
    </row>
    <row r="29" spans="1:5" s="83" customFormat="1">
      <c r="B29" s="85"/>
      <c r="C29" s="85"/>
      <c r="D29" s="85"/>
      <c r="E29" s="85"/>
    </row>
    <row r="30" spans="1:5" s="83" customFormat="1">
      <c r="B30" s="85"/>
      <c r="C30" s="85"/>
      <c r="D30" s="85"/>
      <c r="E30" s="85"/>
    </row>
    <row r="31" spans="1:5" s="83" customFormat="1"/>
    <row r="32" spans="1:5" s="83" customFormat="1"/>
    <row r="36" spans="2:6" s="231" customFormat="1"/>
    <row r="37" spans="2:6" s="231" customFormat="1" ht="20.100000000000001" customHeight="1">
      <c r="B37" s="232"/>
      <c r="C37" s="232"/>
      <c r="D37" s="232"/>
      <c r="E37" s="232"/>
      <c r="F37" s="229"/>
    </row>
    <row r="38" spans="2:6" s="231" customFormat="1">
      <c r="B38" s="229"/>
      <c r="C38" s="229"/>
      <c r="D38" s="229"/>
      <c r="E38" s="229"/>
      <c r="F38" s="229"/>
    </row>
    <row r="39" spans="2:6" s="231" customFormat="1">
      <c r="B39" s="229"/>
      <c r="C39" s="229"/>
      <c r="D39" s="229"/>
      <c r="E39" s="229"/>
      <c r="F39" s="229"/>
    </row>
    <row r="40" spans="2:6" s="231" customFormat="1">
      <c r="B40" s="229"/>
      <c r="C40" s="229"/>
      <c r="D40" s="229"/>
      <c r="E40" s="229"/>
      <c r="F40" s="229"/>
    </row>
    <row r="41" spans="2:6" s="231" customFormat="1">
      <c r="B41" s="229"/>
      <c r="C41" s="229"/>
      <c r="D41" s="229"/>
      <c r="E41" s="229"/>
      <c r="F41" s="233"/>
    </row>
    <row r="42" spans="2:6" s="231" customFormat="1" ht="15">
      <c r="B42" s="226"/>
      <c r="C42" s="226"/>
      <c r="D42" s="226"/>
      <c r="E42" s="226"/>
      <c r="F42" s="233"/>
    </row>
    <row r="43" spans="2:6" s="231" customFormat="1">
      <c r="B43" s="234"/>
      <c r="C43" s="234"/>
      <c r="D43" s="234"/>
      <c r="E43" s="234"/>
      <c r="F43" s="234"/>
    </row>
    <row r="44" spans="2:6" s="231" customFormat="1" ht="20.100000000000001" customHeight="1">
      <c r="B44" s="234"/>
      <c r="C44" s="234"/>
      <c r="D44" s="234"/>
      <c r="E44" s="234"/>
      <c r="F44" s="234"/>
    </row>
    <row r="45" spans="2:6" s="231" customFormat="1" ht="15">
      <c r="B45" s="227"/>
      <c r="C45" s="227"/>
      <c r="D45" s="227"/>
      <c r="E45" s="227"/>
      <c r="F45" s="234"/>
    </row>
    <row r="46" spans="2:6" s="231" customFormat="1" ht="15">
      <c r="B46" s="228"/>
      <c r="C46" s="228"/>
      <c r="D46" s="228"/>
      <c r="E46" s="228"/>
      <c r="F46" s="228"/>
    </row>
    <row r="47" spans="2:6" s="231" customFormat="1">
      <c r="B47" s="235"/>
      <c r="C47" s="235"/>
      <c r="D47" s="235"/>
      <c r="E47" s="235"/>
      <c r="F47" s="233"/>
    </row>
    <row r="48" spans="2:6" s="231" customFormat="1">
      <c r="B48" s="236"/>
      <c r="C48" s="236"/>
      <c r="D48" s="236"/>
      <c r="E48" s="236"/>
      <c r="F48" s="233"/>
    </row>
    <row r="49" spans="2:6" s="231" customFormat="1">
      <c r="B49" s="229"/>
      <c r="C49" s="229"/>
      <c r="D49" s="229"/>
      <c r="E49" s="229"/>
      <c r="F49" s="229"/>
    </row>
    <row r="50" spans="2:6" s="231" customFormat="1">
      <c r="B50" s="229"/>
      <c r="C50" s="229"/>
      <c r="D50" s="229"/>
      <c r="E50" s="229"/>
      <c r="F50" s="229"/>
    </row>
    <row r="51" spans="2:6" s="231" customFormat="1">
      <c r="B51" s="229"/>
      <c r="C51" s="229"/>
      <c r="D51" s="229"/>
      <c r="E51" s="229"/>
      <c r="F51" s="229"/>
    </row>
    <row r="52" spans="2:6" s="231" customFormat="1" ht="15">
      <c r="B52" s="226"/>
      <c r="C52" s="226"/>
      <c r="D52" s="226"/>
      <c r="E52" s="226"/>
      <c r="F52" s="233"/>
    </row>
    <row r="53" spans="2:6" s="231" customFormat="1">
      <c r="B53" s="234"/>
      <c r="C53" s="234"/>
      <c r="D53" s="234"/>
      <c r="E53" s="234"/>
      <c r="F53" s="234"/>
    </row>
    <row r="54" spans="2:6" s="231" customFormat="1">
      <c r="B54" s="234"/>
      <c r="C54" s="234"/>
      <c r="D54" s="234"/>
      <c r="E54" s="234"/>
      <c r="F54" s="234"/>
    </row>
    <row r="55" spans="2:6" s="231" customFormat="1" ht="15">
      <c r="B55" s="228"/>
      <c r="C55" s="228"/>
      <c r="D55" s="228"/>
      <c r="E55" s="228"/>
      <c r="F55" s="228"/>
    </row>
    <row r="56" spans="2:6" s="231" customFormat="1">
      <c r="B56" s="235"/>
      <c r="C56" s="235"/>
      <c r="D56" s="235"/>
      <c r="E56" s="235"/>
      <c r="F56" s="233"/>
    </row>
    <row r="57" spans="2:6" s="231" customFormat="1">
      <c r="B57" s="236"/>
      <c r="C57" s="236"/>
      <c r="D57" s="236"/>
      <c r="E57" s="236"/>
      <c r="F57" s="233"/>
    </row>
    <row r="58" spans="2:6" s="231" customFormat="1">
      <c r="B58" s="229"/>
      <c r="C58" s="229"/>
      <c r="D58" s="229"/>
      <c r="E58" s="229"/>
      <c r="F58" s="229"/>
    </row>
    <row r="59" spans="2:6" s="231" customFormat="1">
      <c r="B59" s="229"/>
      <c r="C59" s="229"/>
      <c r="D59" s="229"/>
      <c r="E59" s="229"/>
      <c r="F59" s="229"/>
    </row>
    <row r="60" spans="2:6" s="231" customFormat="1">
      <c r="B60" s="229"/>
      <c r="C60" s="229"/>
      <c r="D60" s="229"/>
      <c r="E60" s="229"/>
      <c r="F60" s="229"/>
    </row>
    <row r="61" spans="2:6" s="231" customFormat="1">
      <c r="B61" s="229"/>
      <c r="C61" s="229"/>
      <c r="D61" s="229"/>
      <c r="E61" s="229"/>
      <c r="F61" s="229"/>
    </row>
    <row r="62" spans="2:6" s="231" customFormat="1">
      <c r="B62" s="237"/>
      <c r="C62" s="237"/>
      <c r="D62" s="237"/>
      <c r="E62" s="237"/>
      <c r="F62" s="229"/>
    </row>
    <row r="63" spans="2:6" s="231" customFormat="1">
      <c r="B63" s="230"/>
      <c r="C63" s="230"/>
      <c r="D63" s="230"/>
      <c r="E63" s="230"/>
      <c r="F63" s="229"/>
    </row>
    <row r="64" spans="2:6" s="231" customFormat="1">
      <c r="B64" s="230"/>
      <c r="C64" s="230"/>
      <c r="D64" s="230"/>
      <c r="E64" s="230"/>
      <c r="F64" s="229"/>
    </row>
    <row r="65" spans="2:6" s="231" customFormat="1">
      <c r="B65" s="229"/>
      <c r="C65" s="229"/>
      <c r="D65" s="229"/>
      <c r="E65" s="229"/>
      <c r="F65" s="229"/>
    </row>
    <row r="66" spans="2:6" s="231" customFormat="1">
      <c r="B66" s="237"/>
      <c r="C66" s="237"/>
      <c r="D66" s="237"/>
      <c r="E66" s="237"/>
      <c r="F66" s="229"/>
    </row>
    <row r="67" spans="2:6" s="231" customFormat="1">
      <c r="B67" s="230"/>
      <c r="C67" s="230"/>
      <c r="D67" s="230"/>
      <c r="E67" s="230"/>
      <c r="F67" s="229"/>
    </row>
    <row r="68" spans="2:6" s="231" customFormat="1">
      <c r="B68" s="230"/>
      <c r="C68" s="230"/>
      <c r="D68" s="230"/>
      <c r="E68" s="230"/>
      <c r="F68" s="229"/>
    </row>
    <row r="69" spans="2:6" s="231" customFormat="1">
      <c r="B69" s="230"/>
      <c r="C69" s="230"/>
      <c r="D69" s="230"/>
      <c r="E69" s="230"/>
      <c r="F69" s="229"/>
    </row>
    <row r="70" spans="2:6" s="231" customFormat="1">
      <c r="B70" s="230"/>
      <c r="C70" s="230"/>
      <c r="D70" s="230"/>
      <c r="E70" s="230"/>
      <c r="F70" s="229"/>
    </row>
    <row r="71" spans="2:6" s="231" customFormat="1">
      <c r="B71" s="230"/>
      <c r="C71" s="230"/>
      <c r="D71" s="230"/>
      <c r="E71" s="230"/>
      <c r="F71" s="229"/>
    </row>
    <row r="72" spans="2:6" s="231" customFormat="1">
      <c r="B72" s="230"/>
      <c r="C72" s="230"/>
      <c r="D72" s="230"/>
      <c r="E72" s="230"/>
      <c r="F72" s="229"/>
    </row>
    <row r="73" spans="2:6" s="231" customFormat="1">
      <c r="B73" s="230"/>
      <c r="C73" s="230"/>
      <c r="D73" s="230"/>
      <c r="E73" s="230"/>
      <c r="F73" s="229"/>
    </row>
    <row r="74" spans="2:6" s="231" customFormat="1">
      <c r="B74" s="229"/>
      <c r="C74" s="229"/>
      <c r="D74" s="229"/>
      <c r="E74" s="229"/>
      <c r="F74" s="229"/>
    </row>
    <row r="75" spans="2:6" s="231" customFormat="1">
      <c r="B75" s="229"/>
      <c r="C75" s="229"/>
      <c r="D75" s="229"/>
      <c r="E75" s="229"/>
      <c r="F75" s="229"/>
    </row>
    <row r="76" spans="2:6" s="231" customFormat="1"/>
    <row r="77" spans="2:6" s="231" customFormat="1"/>
    <row r="78" spans="2:6" s="231" customFormat="1"/>
    <row r="79" spans="2:6" s="231" customFormat="1"/>
    <row r="80" spans="2:6" s="231" customFormat="1"/>
    <row r="81" s="231" customFormat="1"/>
    <row r="82" s="231" customFormat="1"/>
    <row r="83" s="231" customFormat="1"/>
    <row r="84" s="231" customFormat="1"/>
    <row r="85" s="231" customFormat="1"/>
    <row r="86" s="231" customFormat="1"/>
    <row r="87" s="231" customFormat="1"/>
    <row r="88" s="231" customFormat="1"/>
    <row r="89" s="231" customFormat="1"/>
    <row r="90" s="231" customFormat="1"/>
    <row r="91" s="231" customFormat="1"/>
    <row r="92" s="231" customFormat="1"/>
    <row r="93" s="231" customFormat="1"/>
    <row r="94" s="231" customFormat="1"/>
    <row r="95" s="231" customFormat="1"/>
    <row r="96" s="231" customFormat="1"/>
    <row r="97" s="231" customFormat="1"/>
    <row r="98" s="231" customFormat="1"/>
    <row r="99" s="231" customFormat="1"/>
    <row r="100" s="231" customFormat="1"/>
    <row r="101" s="231" customFormat="1"/>
    <row r="102" s="231" customFormat="1"/>
    <row r="103" s="231" customFormat="1"/>
    <row r="104" s="231" customFormat="1"/>
    <row r="105" s="231" customFormat="1"/>
    <row r="106" s="231" customFormat="1"/>
    <row r="107" s="231" customFormat="1"/>
    <row r="108" s="231" customFormat="1"/>
    <row r="109" s="231" customFormat="1"/>
    <row r="110" s="231" customFormat="1"/>
    <row r="111" s="231" customFormat="1"/>
    <row r="112" s="231" customFormat="1"/>
    <row r="113" s="231" customFormat="1"/>
    <row r="114" s="231" customFormat="1"/>
    <row r="115" s="231" customFormat="1"/>
    <row r="116" s="231" customFormat="1"/>
    <row r="117" s="231" customFormat="1"/>
    <row r="118" s="231" customFormat="1"/>
    <row r="119" s="231" customFormat="1"/>
    <row r="120" s="231" customFormat="1"/>
    <row r="121" s="231" customFormat="1"/>
    <row r="122" s="231" customFormat="1"/>
    <row r="123" s="231" customFormat="1"/>
    <row r="124" s="231" customFormat="1"/>
    <row r="125" s="231" customFormat="1"/>
    <row r="126" s="231" customFormat="1"/>
    <row r="127" s="231" customFormat="1"/>
    <row r="128" s="231" customFormat="1"/>
    <row r="129" s="231" customFormat="1"/>
    <row r="130" s="231" customFormat="1"/>
    <row r="131" s="231" customFormat="1"/>
    <row r="132" s="231" customFormat="1"/>
    <row r="133" s="231" customFormat="1"/>
    <row r="134" s="231" customFormat="1"/>
    <row r="135" s="231" customFormat="1"/>
    <row r="136" s="231" customFormat="1"/>
    <row r="137" s="231" customFormat="1"/>
    <row r="138" s="231" customFormat="1"/>
    <row r="139" s="231" customFormat="1"/>
    <row r="140" s="231" customFormat="1"/>
    <row r="141" s="231" customFormat="1"/>
    <row r="142" s="231" customFormat="1"/>
    <row r="143" s="231" customFormat="1"/>
    <row r="144" s="231" customFormat="1"/>
    <row r="145" s="231" customFormat="1"/>
    <row r="146" s="231" customFormat="1"/>
    <row r="147" s="231" customFormat="1"/>
    <row r="148" s="231" customFormat="1"/>
    <row r="149" s="231" customFormat="1"/>
    <row r="150" s="231" customFormat="1"/>
    <row r="151" s="231" customFormat="1"/>
    <row r="152" s="231" customFormat="1"/>
    <row r="153" s="231" customFormat="1"/>
    <row r="154" s="231" customFormat="1"/>
    <row r="155" s="231" customFormat="1"/>
    <row r="156" s="231" customFormat="1"/>
    <row r="157" s="231" customFormat="1"/>
    <row r="158" s="231" customFormat="1"/>
    <row r="159" s="231" customFormat="1"/>
    <row r="160" s="231" customFormat="1"/>
    <row r="161" s="231" customFormat="1"/>
    <row r="162" s="231" customFormat="1"/>
    <row r="163" s="231" customFormat="1"/>
    <row r="164" s="231" customFormat="1"/>
    <row r="165" s="231" customFormat="1"/>
    <row r="166" s="231" customFormat="1"/>
    <row r="167" s="231" customFormat="1"/>
    <row r="168" s="231" customFormat="1"/>
    <row r="169" s="231" customFormat="1"/>
    <row r="170" s="231" customFormat="1"/>
    <row r="171" s="231" customFormat="1"/>
    <row r="172" s="231" customFormat="1"/>
    <row r="173" s="231" customFormat="1"/>
    <row r="174" s="231" customFormat="1"/>
    <row r="175" s="231" customFormat="1"/>
    <row r="176" s="231" customFormat="1"/>
    <row r="177" s="231" customFormat="1"/>
    <row r="178" s="231" customFormat="1"/>
    <row r="179" s="231" customFormat="1"/>
    <row r="180" s="231" customFormat="1"/>
    <row r="181" s="231" customFormat="1"/>
    <row r="182" s="231" customFormat="1"/>
    <row r="183" s="231" customFormat="1"/>
    <row r="184" s="231" customFormat="1"/>
    <row r="185" s="231" customFormat="1"/>
    <row r="186" s="231" customFormat="1"/>
    <row r="187" s="231" customFormat="1"/>
    <row r="188" s="231" customFormat="1"/>
    <row r="189" s="231" customFormat="1"/>
    <row r="190" s="231" customFormat="1"/>
    <row r="191" s="231" customFormat="1"/>
    <row r="192" s="231" customFormat="1"/>
    <row r="193" s="231" customFormat="1"/>
    <row r="194" s="231" customFormat="1"/>
    <row r="195" s="231" customFormat="1"/>
    <row r="196" s="231" customFormat="1"/>
    <row r="197" s="231" customFormat="1"/>
    <row r="198" s="231" customFormat="1"/>
    <row r="199" s="231" customFormat="1"/>
    <row r="200" s="231" customFormat="1"/>
    <row r="201" s="231" customFormat="1"/>
    <row r="202" s="231" customFormat="1"/>
    <row r="203" s="231" customFormat="1"/>
    <row r="204" s="231" customFormat="1"/>
    <row r="205" s="231" customFormat="1"/>
    <row r="206" s="231" customFormat="1"/>
    <row r="207" s="231" customFormat="1"/>
    <row r="208" s="231" customFormat="1"/>
    <row r="209" s="231" customFormat="1"/>
    <row r="210" s="231" customFormat="1"/>
    <row r="211" s="231" customFormat="1"/>
    <row r="212" s="231" customFormat="1"/>
    <row r="213" s="231" customFormat="1"/>
    <row r="214" s="231" customFormat="1"/>
    <row r="215" s="231" customFormat="1"/>
    <row r="216" s="231" customFormat="1"/>
    <row r="217" s="231" customFormat="1"/>
    <row r="218" s="231" customFormat="1"/>
    <row r="219" s="231" customFormat="1"/>
    <row r="220" s="231" customFormat="1"/>
    <row r="221" s="231" customFormat="1"/>
    <row r="222" s="231" customFormat="1"/>
    <row r="223" s="231" customFormat="1"/>
    <row r="224" s="231" customFormat="1"/>
    <row r="225" s="231" customFormat="1"/>
    <row r="226" s="231" customFormat="1"/>
    <row r="227" s="231" customFormat="1"/>
    <row r="228" s="231" customFormat="1"/>
    <row r="229" s="231" customFormat="1"/>
    <row r="230" s="231" customFormat="1"/>
    <row r="231" s="231" customFormat="1"/>
    <row r="232" s="231" customFormat="1"/>
    <row r="233" s="231" customFormat="1"/>
    <row r="234" s="231" customFormat="1"/>
    <row r="235" s="231" customFormat="1"/>
    <row r="236" s="231" customFormat="1"/>
    <row r="237" s="231" customFormat="1"/>
    <row r="238" s="231" customFormat="1"/>
    <row r="239" s="231" customFormat="1"/>
    <row r="240" s="231" customFormat="1"/>
    <row r="241" s="231" customFormat="1"/>
    <row r="242" s="231" customFormat="1"/>
    <row r="243" s="231" customFormat="1"/>
    <row r="244" s="231" customFormat="1"/>
    <row r="245" s="231" customFormat="1"/>
    <row r="246" s="231" customFormat="1"/>
    <row r="247" s="231" customFormat="1"/>
    <row r="248" s="231" customFormat="1"/>
    <row r="249" s="231" customFormat="1"/>
    <row r="250" s="231" customFormat="1"/>
    <row r="251" s="231" customFormat="1"/>
    <row r="252" s="231" customFormat="1"/>
    <row r="253" s="231" customFormat="1"/>
    <row r="254" s="231" customFormat="1"/>
    <row r="255" s="231" customFormat="1"/>
    <row r="256" s="231" customFormat="1"/>
    <row r="257" s="231" customFormat="1"/>
    <row r="258" s="231" customFormat="1"/>
    <row r="259" s="231" customFormat="1"/>
    <row r="260" s="231" customFormat="1"/>
    <row r="261" s="231" customFormat="1"/>
    <row r="262" s="231" customFormat="1"/>
    <row r="263" s="231" customFormat="1"/>
  </sheetData>
  <mergeCells count="2">
    <mergeCell ref="A1:B1"/>
    <mergeCell ref="A2:B2"/>
  </mergeCells>
  <phoneticPr fontId="22" type="noConversion"/>
  <pageMargins left="0.25" right="0" top="0.25" bottom="0.5" header="0.25" footer="0.25"/>
  <pageSetup orientation="portrait" blackAndWhite="1" horizontalDpi="300" verticalDpi="300" r:id="rId1"/>
  <headerFooter alignWithMargins="0">
    <oddFooter>&amp;L&amp;"Arial,Regular"&amp;8RateJA:\MISO\2004\&amp;F   &amp;A&amp;R&amp;"Arial,Regular"&amp;8Page &amp;P of &amp;N</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enableFormatConditionsCalculation="0"/>
  <dimension ref="A1:W87"/>
  <sheetViews>
    <sheetView workbookViewId="0">
      <selection activeCell="C45" sqref="C45"/>
    </sheetView>
  </sheetViews>
  <sheetFormatPr defaultColWidth="7.109375" defaultRowHeight="15"/>
  <cols>
    <col min="1" max="1" width="51.109375" style="39" customWidth="1"/>
    <col min="2" max="2" width="12.33203125" style="39" customWidth="1"/>
    <col min="3" max="3" width="10" style="39" bestFit="1" customWidth="1"/>
    <col min="4" max="4" width="10.77734375" style="39" bestFit="1" customWidth="1"/>
    <col min="5" max="6" width="10" style="39" bestFit="1" customWidth="1"/>
    <col min="7" max="7" width="7.109375" style="39"/>
    <col min="8" max="8" width="2.5546875" customWidth="1"/>
    <col min="9" max="9" width="14.109375" style="4" bestFit="1" customWidth="1"/>
    <col min="10" max="10" width="39.44140625" style="4" bestFit="1" customWidth="1"/>
    <col min="11" max="11" width="17.6640625" style="4" bestFit="1" customWidth="1"/>
    <col min="12" max="13" width="25.109375" style="4" bestFit="1" customWidth="1"/>
    <col min="14" max="14" width="7.6640625" style="4" customWidth="1"/>
    <col min="15" max="15" width="17.33203125" style="4" bestFit="1" customWidth="1"/>
    <col min="16" max="18" width="7.109375" style="4"/>
    <col min="19" max="23" width="7.109375" style="253"/>
    <col min="24" max="16384" width="7.109375" style="39"/>
  </cols>
  <sheetData>
    <row r="1" spans="1:23" s="41" customFormat="1" ht="15.75">
      <c r="A1" s="38" t="s">
        <v>234</v>
      </c>
      <c r="B1" s="40"/>
      <c r="C1" s="29"/>
      <c r="H1"/>
      <c r="I1" s="244"/>
      <c r="J1" s="4"/>
      <c r="K1" s="4"/>
      <c r="L1" s="4"/>
      <c r="M1" s="4"/>
      <c r="N1" s="4"/>
      <c r="O1" s="4"/>
      <c r="P1" s="4"/>
      <c r="Q1" s="4"/>
      <c r="R1" s="4"/>
      <c r="S1" s="245"/>
      <c r="T1" s="245"/>
      <c r="U1" s="245"/>
      <c r="V1" s="245"/>
      <c r="W1" s="245"/>
    </row>
    <row r="2" spans="1:23" s="41" customFormat="1">
      <c r="A2" s="38"/>
      <c r="B2" s="28" t="s">
        <v>509</v>
      </c>
      <c r="H2"/>
      <c r="I2" s="4"/>
      <c r="J2" s="4"/>
      <c r="K2" s="4"/>
      <c r="L2" s="4"/>
      <c r="M2" s="4"/>
      <c r="N2" s="4"/>
      <c r="O2" s="4"/>
      <c r="P2" s="4"/>
      <c r="Q2" s="4"/>
      <c r="R2" s="4"/>
      <c r="S2" s="245"/>
      <c r="T2" s="245"/>
      <c r="U2" s="245"/>
      <c r="V2" s="245"/>
      <c r="W2" s="245"/>
    </row>
    <row r="3" spans="1:23" s="41" customFormat="1" ht="17.25">
      <c r="A3" s="38"/>
      <c r="B3" s="28" t="s">
        <v>220</v>
      </c>
      <c r="H3"/>
      <c r="I3" s="246"/>
      <c r="J3" s="246"/>
      <c r="K3" s="246"/>
      <c r="L3" s="246"/>
      <c r="M3" s="246"/>
      <c r="N3" s="246"/>
      <c r="O3" s="246"/>
      <c r="P3" s="4"/>
      <c r="Q3" s="4"/>
      <c r="R3" s="4"/>
      <c r="S3" s="245"/>
      <c r="T3" s="245"/>
      <c r="U3" s="245"/>
      <c r="V3" s="245"/>
      <c r="W3" s="245"/>
    </row>
    <row r="4" spans="1:23" s="41" customFormat="1" ht="17.25">
      <c r="A4" s="38" t="s">
        <v>161</v>
      </c>
      <c r="B4" s="40"/>
      <c r="H4"/>
      <c r="I4" s="246"/>
      <c r="J4" s="246"/>
      <c r="K4" s="246"/>
      <c r="L4" s="246"/>
      <c r="M4" s="246"/>
      <c r="N4" s="246"/>
      <c r="O4" s="4"/>
      <c r="P4" s="4"/>
      <c r="Q4" s="4"/>
      <c r="R4" s="4"/>
      <c r="S4" s="245"/>
      <c r="T4" s="245"/>
      <c r="U4" s="245"/>
      <c r="V4" s="245"/>
      <c r="W4" s="245"/>
    </row>
    <row r="5" spans="1:23" s="41" customFormat="1" ht="17.25">
      <c r="A5" s="38"/>
      <c r="B5" s="270" t="s">
        <v>507</v>
      </c>
      <c r="H5"/>
      <c r="I5" s="247"/>
      <c r="J5" s="248"/>
      <c r="K5" s="247"/>
      <c r="L5" s="247"/>
      <c r="M5" s="248"/>
      <c r="N5" s="248"/>
      <c r="O5" s="249"/>
      <c r="P5" s="4"/>
      <c r="Q5" s="4"/>
      <c r="R5" s="4"/>
      <c r="S5" s="245"/>
      <c r="T5" s="245"/>
      <c r="U5" s="245"/>
      <c r="V5" s="245"/>
      <c r="W5" s="245"/>
    </row>
    <row r="6" spans="1:23" s="41" customFormat="1" ht="17.25">
      <c r="H6"/>
      <c r="I6" s="247"/>
      <c r="J6" s="248"/>
      <c r="K6" s="247"/>
      <c r="L6" s="247"/>
      <c r="M6" s="248"/>
      <c r="N6" s="250"/>
      <c r="O6" s="249"/>
      <c r="P6" s="4"/>
      <c r="Q6" s="4"/>
      <c r="R6" s="4"/>
      <c r="S6" s="245"/>
      <c r="T6" s="245"/>
      <c r="U6" s="245"/>
      <c r="V6" s="245"/>
      <c r="W6" s="245"/>
    </row>
    <row r="7" spans="1:23" s="41" customFormat="1">
      <c r="H7"/>
      <c r="I7" s="247"/>
      <c r="J7" s="248"/>
      <c r="K7" s="247"/>
      <c r="L7" s="247"/>
      <c r="M7" s="248"/>
      <c r="N7" s="248"/>
      <c r="O7" s="251"/>
      <c r="P7" s="4"/>
      <c r="Q7" s="4"/>
      <c r="R7" s="4"/>
      <c r="S7" s="245"/>
      <c r="T7" s="245"/>
      <c r="U7" s="245"/>
      <c r="V7" s="245"/>
      <c r="W7" s="245"/>
    </row>
    <row r="8" spans="1:23">
      <c r="I8" s="247"/>
      <c r="J8" s="248"/>
      <c r="K8" s="247"/>
      <c r="L8" s="247"/>
      <c r="M8" s="248"/>
      <c r="N8" s="248"/>
      <c r="O8" s="252"/>
    </row>
    <row r="9" spans="1:23">
      <c r="I9" s="247"/>
      <c r="J9" s="248"/>
      <c r="K9" s="247"/>
      <c r="L9" s="247"/>
      <c r="M9" s="248"/>
      <c r="N9" s="248"/>
      <c r="O9" s="251"/>
    </row>
    <row r="10" spans="1:23" ht="17.25">
      <c r="A10" s="66"/>
      <c r="I10" s="247"/>
      <c r="J10" s="248"/>
      <c r="K10" s="247"/>
      <c r="L10" s="247"/>
      <c r="M10" s="248"/>
      <c r="N10" s="248"/>
      <c r="O10" s="249"/>
    </row>
    <row r="11" spans="1:23" ht="17.25">
      <c r="B11" s="67" t="s">
        <v>155</v>
      </c>
      <c r="C11" s="58"/>
      <c r="D11" s="58"/>
      <c r="E11" s="58"/>
      <c r="F11" s="58"/>
      <c r="G11" s="57"/>
      <c r="I11" s="247"/>
      <c r="J11" s="248"/>
      <c r="K11" s="247"/>
      <c r="L11" s="247"/>
      <c r="M11" s="248"/>
      <c r="N11" s="250"/>
      <c r="O11" s="249"/>
    </row>
    <row r="12" spans="1:23" ht="17.25">
      <c r="B12" s="64" t="s">
        <v>253</v>
      </c>
      <c r="C12" s="59"/>
      <c r="D12" s="59"/>
      <c r="E12" s="57"/>
      <c r="F12" s="57"/>
      <c r="G12" s="57"/>
      <c r="I12" s="247"/>
      <c r="J12" s="248"/>
      <c r="K12" s="247"/>
      <c r="L12" s="247"/>
      <c r="M12" s="248"/>
      <c r="N12" s="248"/>
      <c r="O12" s="251"/>
    </row>
    <row r="13" spans="1:23" ht="17.25">
      <c r="A13" s="62" t="s">
        <v>159</v>
      </c>
      <c r="B13" s="68">
        <v>19362377</v>
      </c>
      <c r="I13" s="247"/>
      <c r="J13" s="248"/>
      <c r="K13" s="247"/>
      <c r="L13" s="247"/>
      <c r="M13" s="248"/>
      <c r="N13" s="248"/>
      <c r="O13" s="254"/>
    </row>
    <row r="14" spans="1:23">
      <c r="I14" s="247"/>
      <c r="J14" s="248"/>
      <c r="K14" s="247"/>
      <c r="L14" s="247"/>
      <c r="M14" s="248"/>
      <c r="N14" s="248"/>
      <c r="O14" s="255"/>
    </row>
    <row r="15" spans="1:23">
      <c r="A15" s="205" t="s">
        <v>418</v>
      </c>
      <c r="B15" s="113">
        <v>5542</v>
      </c>
      <c r="C15" s="205"/>
      <c r="I15" s="247"/>
      <c r="J15" s="248"/>
      <c r="K15" s="247"/>
      <c r="L15" s="247"/>
      <c r="M15" s="248"/>
      <c r="N15" s="248"/>
      <c r="O15" s="255"/>
    </row>
    <row r="16" spans="1:23">
      <c r="B16" s="253"/>
      <c r="I16" s="247"/>
      <c r="J16" s="248"/>
      <c r="K16" s="247"/>
      <c r="L16" s="247"/>
      <c r="M16" s="248"/>
      <c r="N16" s="248"/>
      <c r="O16" s="255"/>
    </row>
    <row r="17" spans="1:16" ht="17.25">
      <c r="A17" s="39" t="s">
        <v>160</v>
      </c>
      <c r="B17" s="113">
        <v>3450475</v>
      </c>
      <c r="C17" s="205"/>
      <c r="I17" s="247"/>
      <c r="J17" s="248"/>
      <c r="K17" s="247"/>
      <c r="L17" s="247"/>
      <c r="M17" s="248"/>
      <c r="N17" s="250"/>
      <c r="O17" s="249"/>
    </row>
    <row r="18" spans="1:16" ht="17.25">
      <c r="A18" s="39" t="s">
        <v>157</v>
      </c>
      <c r="B18" s="69">
        <v>0.02</v>
      </c>
      <c r="C18" s="205"/>
      <c r="I18" s="247"/>
      <c r="J18" s="248"/>
      <c r="K18" s="247"/>
      <c r="L18" s="247"/>
      <c r="M18" s="248"/>
      <c r="N18" s="248"/>
      <c r="O18" s="251"/>
    </row>
    <row r="19" spans="1:16" ht="17.25">
      <c r="A19" s="70" t="s">
        <v>158</v>
      </c>
      <c r="B19" s="91">
        <f>ROUND(B17*B18,0)+B15</f>
        <v>74552</v>
      </c>
      <c r="I19" s="254"/>
      <c r="J19" s="254"/>
      <c r="K19" s="254"/>
      <c r="L19" s="254"/>
      <c r="M19" s="254"/>
      <c r="O19" s="252"/>
    </row>
    <row r="20" spans="1:16">
      <c r="B20" s="65"/>
      <c r="E20" s="564"/>
      <c r="I20" s="254"/>
      <c r="J20" s="254"/>
      <c r="K20" s="254"/>
      <c r="L20" s="254"/>
      <c r="M20" s="254"/>
      <c r="O20" s="252"/>
    </row>
    <row r="21" spans="1:16">
      <c r="B21" s="65"/>
      <c r="I21" s="254"/>
      <c r="J21" s="254"/>
      <c r="K21" s="254"/>
      <c r="L21" s="254"/>
      <c r="M21" s="254"/>
      <c r="O21" s="252"/>
    </row>
    <row r="22" spans="1:16">
      <c r="A22" s="66"/>
      <c r="I22" s="254"/>
      <c r="J22" s="254"/>
      <c r="K22" s="254"/>
      <c r="L22" s="254"/>
      <c r="M22" s="254"/>
      <c r="O22" s="252"/>
    </row>
    <row r="23" spans="1:16" ht="17.25">
      <c r="B23" s="67" t="s">
        <v>585</v>
      </c>
      <c r="C23" s="58"/>
      <c r="D23" s="58"/>
      <c r="E23" s="271"/>
      <c r="F23" s="58"/>
      <c r="G23" s="57"/>
      <c r="I23" s="263"/>
      <c r="J23" s="263"/>
      <c r="K23" s="263"/>
      <c r="L23" s="263"/>
      <c r="M23" s="263"/>
      <c r="N23" s="120"/>
      <c r="O23" s="264"/>
      <c r="P23" s="120"/>
    </row>
    <row r="24" spans="1:16" ht="17.25">
      <c r="B24" s="64" t="s">
        <v>253</v>
      </c>
      <c r="C24" s="59"/>
      <c r="D24" s="59"/>
      <c r="E24" s="57"/>
      <c r="F24" s="57"/>
      <c r="G24" s="57"/>
      <c r="I24" s="135"/>
      <c r="J24" s="241"/>
      <c r="K24" s="135"/>
      <c r="L24" s="135"/>
      <c r="M24" s="241"/>
      <c r="N24" s="121"/>
      <c r="O24" s="265"/>
      <c r="P24" s="120"/>
    </row>
    <row r="25" spans="1:16" ht="17.25">
      <c r="A25" s="61" t="s">
        <v>614</v>
      </c>
      <c r="B25" s="117">
        <v>74155144</v>
      </c>
      <c r="E25" s="565"/>
      <c r="F25" s="60"/>
      <c r="G25" s="60"/>
      <c r="I25" s="243"/>
      <c r="J25" s="258"/>
      <c r="K25" s="135"/>
      <c r="L25" s="135"/>
      <c r="M25" s="241"/>
      <c r="N25" s="121"/>
      <c r="O25" s="266"/>
      <c r="P25" s="120"/>
    </row>
    <row r="26" spans="1:16" ht="17.25">
      <c r="A26" s="61" t="s">
        <v>321</v>
      </c>
      <c r="B26" s="63"/>
      <c r="E26" s="60"/>
      <c r="I26" s="135"/>
      <c r="J26" s="241"/>
      <c r="K26" s="135"/>
      <c r="L26" s="135"/>
      <c r="M26" s="241"/>
      <c r="N26" s="241"/>
      <c r="O26" s="267"/>
      <c r="P26" s="120"/>
    </row>
    <row r="27" spans="1:16" ht="17.25">
      <c r="A27" s="62" t="s">
        <v>156</v>
      </c>
      <c r="B27" s="119"/>
      <c r="C27" s="60"/>
      <c r="D27" s="60"/>
      <c r="I27" s="135"/>
      <c r="J27" s="241"/>
      <c r="K27" s="135"/>
      <c r="L27" s="135"/>
      <c r="M27" s="241"/>
      <c r="N27" s="241"/>
      <c r="O27" s="267"/>
      <c r="P27" s="120"/>
    </row>
    <row r="28" spans="1:16">
      <c r="A28" s="62" t="s">
        <v>263</v>
      </c>
      <c r="B28" s="484">
        <v>52910248</v>
      </c>
      <c r="C28" s="205"/>
      <c r="D28" s="482"/>
      <c r="I28" s="135"/>
      <c r="J28" s="241"/>
      <c r="K28" s="135"/>
      <c r="L28" s="135"/>
      <c r="M28" s="241"/>
      <c r="N28" s="241"/>
      <c r="O28" s="267"/>
      <c r="P28" s="120"/>
    </row>
    <row r="29" spans="1:16">
      <c r="A29" s="62" t="s">
        <v>322</v>
      </c>
      <c r="B29" s="484">
        <v>13429193</v>
      </c>
      <c r="C29" s="205"/>
      <c r="D29" s="465"/>
      <c r="I29" s="135"/>
      <c r="J29" s="241"/>
      <c r="K29" s="135"/>
      <c r="L29" s="135"/>
      <c r="M29" s="241"/>
      <c r="N29" s="241"/>
      <c r="O29" s="267"/>
      <c r="P29" s="120"/>
    </row>
    <row r="30" spans="1:16">
      <c r="A30" s="62" t="s">
        <v>264</v>
      </c>
      <c r="B30" s="113"/>
      <c r="D30" s="465"/>
      <c r="I30" s="135"/>
      <c r="J30" s="241"/>
      <c r="K30" s="135"/>
      <c r="L30" s="135"/>
      <c r="M30" s="241"/>
      <c r="N30" s="241"/>
      <c r="O30" s="267"/>
      <c r="P30" s="120"/>
    </row>
    <row r="31" spans="1:16">
      <c r="A31" s="62" t="s">
        <v>153</v>
      </c>
      <c r="B31" s="113">
        <v>0</v>
      </c>
      <c r="I31" s="135"/>
      <c r="J31" s="241"/>
      <c r="K31" s="135"/>
      <c r="L31" s="135"/>
      <c r="M31" s="241"/>
      <c r="N31" s="241"/>
      <c r="O31" s="267"/>
      <c r="P31" s="120"/>
    </row>
    <row r="32" spans="1:16">
      <c r="A32" s="62"/>
      <c r="B32" s="113">
        <v>0</v>
      </c>
      <c r="I32" s="135"/>
      <c r="J32" s="241"/>
      <c r="K32" s="135"/>
      <c r="L32" s="135"/>
      <c r="M32" s="241"/>
      <c r="N32" s="241"/>
      <c r="O32" s="267"/>
      <c r="P32" s="120"/>
    </row>
    <row r="33" spans="1:16" ht="17.25">
      <c r="A33" s="62" t="s">
        <v>154</v>
      </c>
      <c r="B33" s="113">
        <v>147741</v>
      </c>
      <c r="I33" s="135"/>
      <c r="J33" s="241"/>
      <c r="K33" s="135"/>
      <c r="L33" s="135"/>
      <c r="M33" s="241"/>
      <c r="N33" s="241"/>
      <c r="O33" s="265"/>
      <c r="P33" s="120"/>
    </row>
    <row r="34" spans="1:16" ht="21" customHeight="1">
      <c r="A34" s="62" t="s">
        <v>587</v>
      </c>
      <c r="B34" s="113">
        <v>575072</v>
      </c>
      <c r="C34" s="205"/>
      <c r="I34" s="241"/>
      <c r="J34" s="241"/>
      <c r="K34" s="241"/>
      <c r="L34" s="241"/>
      <c r="M34" s="120"/>
      <c r="N34" s="120"/>
      <c r="O34" s="120"/>
      <c r="P34" s="120"/>
    </row>
    <row r="35" spans="1:16" ht="18.75" customHeight="1">
      <c r="A35" s="62"/>
      <c r="B35" s="114"/>
      <c r="C35" s="205"/>
      <c r="F35" s="271"/>
      <c r="I35" s="241"/>
      <c r="J35" s="241"/>
      <c r="K35" s="241"/>
      <c r="L35" s="241"/>
      <c r="M35" s="120"/>
      <c r="N35" s="120"/>
      <c r="O35" s="120"/>
      <c r="P35" s="120"/>
    </row>
    <row r="36" spans="1:16" ht="17.25">
      <c r="A36" s="61" t="s">
        <v>586</v>
      </c>
      <c r="B36" s="118">
        <f>B25-SUM(B27:B35)</f>
        <v>7092890</v>
      </c>
      <c r="D36" s="206"/>
      <c r="F36" s="206"/>
      <c r="I36" s="241"/>
      <c r="J36" s="241"/>
      <c r="K36" s="241"/>
      <c r="L36" s="241"/>
      <c r="M36" s="241"/>
      <c r="N36" s="241"/>
      <c r="O36" s="126"/>
      <c r="P36" s="120"/>
    </row>
    <row r="37" spans="1:16" ht="17.25">
      <c r="D37" s="483"/>
      <c r="F37" s="206"/>
      <c r="I37" s="120"/>
      <c r="J37" s="120"/>
      <c r="K37" s="258"/>
      <c r="L37" s="258"/>
      <c r="M37" s="258"/>
      <c r="N37" s="258"/>
      <c r="O37" s="120"/>
      <c r="P37" s="120"/>
    </row>
    <row r="38" spans="1:16">
      <c r="A38" s="205" t="s">
        <v>531</v>
      </c>
      <c r="B38" s="206">
        <v>3489267</v>
      </c>
      <c r="C38" s="481">
        <f>+B36-B38</f>
        <v>3603623</v>
      </c>
      <c r="D38" s="465"/>
      <c r="F38" s="206"/>
      <c r="I38" s="120"/>
      <c r="J38" s="120"/>
      <c r="K38" s="261"/>
      <c r="L38" s="120"/>
      <c r="M38" s="120"/>
      <c r="N38" s="120"/>
      <c r="O38" s="120"/>
      <c r="P38" s="120"/>
    </row>
    <row r="39" spans="1:16">
      <c r="F39" s="271"/>
      <c r="I39" s="120"/>
      <c r="J39" s="120"/>
      <c r="K39" s="261"/>
      <c r="L39" s="120"/>
      <c r="M39" s="120"/>
      <c r="N39" s="120"/>
      <c r="O39" s="120"/>
      <c r="P39" s="120"/>
    </row>
    <row r="40" spans="1:16">
      <c r="A40" s="39" t="s">
        <v>323</v>
      </c>
      <c r="D40" s="271"/>
      <c r="F40" s="271"/>
      <c r="I40" s="120"/>
      <c r="J40" s="120"/>
      <c r="K40" s="120"/>
      <c r="L40" s="120"/>
      <c r="M40" s="120"/>
      <c r="N40" s="120"/>
      <c r="O40" s="120"/>
      <c r="P40" s="120"/>
    </row>
    <row r="41" spans="1:16" ht="15.75">
      <c r="A41" s="603" t="s">
        <v>588</v>
      </c>
      <c r="B41" s="604"/>
      <c r="F41" s="465"/>
      <c r="I41" s="153"/>
      <c r="J41" s="120"/>
      <c r="K41" s="120"/>
      <c r="L41" s="120"/>
      <c r="M41" s="120"/>
      <c r="N41" s="120"/>
      <c r="O41" s="120"/>
      <c r="P41" s="120"/>
    </row>
    <row r="42" spans="1:16" ht="30.75" customHeight="1">
      <c r="A42" s="605"/>
      <c r="B42" s="605"/>
      <c r="F42" s="481"/>
      <c r="I42" s="120"/>
      <c r="J42" s="120"/>
      <c r="K42" s="120"/>
      <c r="L42" s="120"/>
      <c r="M42" s="120"/>
      <c r="N42" s="120"/>
      <c r="O42" s="120"/>
      <c r="P42" s="120"/>
    </row>
    <row r="43" spans="1:16" ht="17.25">
      <c r="F43" s="206"/>
      <c r="I43" s="258"/>
      <c r="J43" s="258"/>
      <c r="K43" s="258"/>
      <c r="L43" s="258"/>
      <c r="M43" s="258"/>
      <c r="N43" s="258"/>
      <c r="O43" s="258"/>
      <c r="P43" s="120"/>
    </row>
    <row r="44" spans="1:16">
      <c r="F44" s="481"/>
      <c r="I44" s="120"/>
      <c r="J44" s="120"/>
      <c r="K44" s="120"/>
      <c r="L44" s="120"/>
      <c r="M44" s="120"/>
      <c r="N44" s="120"/>
      <c r="O44" s="120"/>
      <c r="P44" s="120"/>
    </row>
    <row r="45" spans="1:16">
      <c r="I45" s="120"/>
      <c r="J45" s="120"/>
      <c r="K45" s="120"/>
      <c r="L45" s="120"/>
      <c r="M45" s="120"/>
      <c r="N45" s="120"/>
      <c r="O45" s="120"/>
      <c r="P45" s="120"/>
    </row>
    <row r="46" spans="1:16">
      <c r="I46" s="120"/>
      <c r="J46" s="120"/>
      <c r="K46" s="120"/>
      <c r="L46" s="120"/>
      <c r="M46" s="120"/>
      <c r="N46" s="120"/>
      <c r="O46" s="120"/>
      <c r="P46" s="120"/>
    </row>
    <row r="47" spans="1:16" ht="15.75">
      <c r="I47" s="153"/>
      <c r="J47" s="120"/>
      <c r="K47" s="120"/>
      <c r="L47" s="120"/>
      <c r="M47" s="120"/>
      <c r="N47" s="120"/>
      <c r="O47" s="120"/>
      <c r="P47" s="120"/>
    </row>
    <row r="48" spans="1:16">
      <c r="I48" s="120"/>
      <c r="J48" s="120"/>
      <c r="K48" s="120"/>
      <c r="L48" s="120"/>
      <c r="M48" s="120"/>
      <c r="N48" s="120"/>
      <c r="O48" s="120"/>
      <c r="P48" s="120"/>
    </row>
    <row r="49" spans="9:16" ht="17.25">
      <c r="I49" s="258"/>
      <c r="J49" s="258"/>
      <c r="K49" s="258"/>
      <c r="L49" s="258"/>
      <c r="M49" s="258"/>
      <c r="N49" s="258"/>
      <c r="O49" s="258"/>
      <c r="P49" s="120"/>
    </row>
    <row r="50" spans="9:16">
      <c r="I50" s="259"/>
      <c r="J50" s="120"/>
      <c r="K50" s="120"/>
      <c r="L50" s="120"/>
      <c r="M50" s="120"/>
      <c r="N50" s="120"/>
      <c r="O50" s="120"/>
      <c r="P50" s="120"/>
    </row>
    <row r="51" spans="9:16">
      <c r="I51" s="259"/>
      <c r="J51" s="120"/>
      <c r="K51" s="263"/>
      <c r="L51" s="263"/>
      <c r="M51" s="263"/>
      <c r="N51" s="120"/>
      <c r="O51" s="268"/>
      <c r="P51" s="120"/>
    </row>
    <row r="52" spans="9:16">
      <c r="I52" s="259"/>
      <c r="J52" s="120"/>
      <c r="K52" s="263"/>
      <c r="L52" s="263"/>
      <c r="M52" s="263"/>
      <c r="N52" s="120"/>
      <c r="O52" s="268"/>
      <c r="P52" s="120"/>
    </row>
    <row r="53" spans="9:16">
      <c r="I53" s="259"/>
      <c r="J53" s="120"/>
      <c r="K53" s="263"/>
      <c r="L53" s="263"/>
      <c r="M53" s="263"/>
      <c r="N53" s="120"/>
      <c r="O53" s="268"/>
      <c r="P53" s="120"/>
    </row>
    <row r="54" spans="9:16" ht="17.25">
      <c r="I54" s="259"/>
      <c r="J54" s="120"/>
      <c r="K54" s="259"/>
      <c r="L54" s="259"/>
      <c r="M54" s="120"/>
      <c r="N54" s="121"/>
      <c r="O54" s="265"/>
      <c r="P54" s="120"/>
    </row>
    <row r="55" spans="9:16">
      <c r="I55" s="259"/>
      <c r="J55" s="120"/>
      <c r="K55" s="259"/>
      <c r="L55" s="259"/>
      <c r="M55" s="120"/>
      <c r="N55" s="121"/>
      <c r="O55" s="260"/>
      <c r="P55" s="120"/>
    </row>
    <row r="56" spans="9:16">
      <c r="I56" s="259"/>
      <c r="J56" s="120"/>
      <c r="K56" s="259"/>
      <c r="L56" s="259"/>
      <c r="M56" s="120"/>
      <c r="N56" s="120"/>
      <c r="O56" s="268"/>
      <c r="P56" s="120"/>
    </row>
    <row r="57" spans="9:16" ht="17.25">
      <c r="I57" s="259"/>
      <c r="J57" s="120"/>
      <c r="K57" s="259"/>
      <c r="L57" s="259"/>
      <c r="M57" s="120"/>
      <c r="N57" s="120"/>
      <c r="O57" s="265"/>
      <c r="P57" s="120"/>
    </row>
    <row r="58" spans="9:16" ht="17.25">
      <c r="I58" s="259"/>
      <c r="J58" s="120"/>
      <c r="K58" s="259"/>
      <c r="L58" s="259"/>
      <c r="M58" s="120"/>
      <c r="N58" s="121"/>
      <c r="O58" s="265"/>
      <c r="P58" s="120"/>
    </row>
    <row r="59" spans="9:16">
      <c r="I59" s="259"/>
      <c r="J59" s="120"/>
      <c r="K59" s="259"/>
      <c r="L59" s="259"/>
      <c r="M59" s="120"/>
      <c r="N59" s="121"/>
      <c r="O59" s="260"/>
      <c r="P59" s="120"/>
    </row>
    <row r="60" spans="9:16">
      <c r="I60" s="259"/>
      <c r="J60" s="120"/>
      <c r="K60" s="263"/>
      <c r="L60" s="263"/>
      <c r="M60" s="263"/>
      <c r="N60" s="120"/>
      <c r="O60" s="263"/>
      <c r="P60" s="120"/>
    </row>
    <row r="61" spans="9:16">
      <c r="I61" s="259"/>
      <c r="J61" s="120"/>
      <c r="K61" s="263"/>
      <c r="L61" s="263"/>
      <c r="M61" s="263"/>
      <c r="N61" s="120"/>
      <c r="O61" s="268"/>
      <c r="P61" s="120"/>
    </row>
    <row r="62" spans="9:16">
      <c r="I62" s="259"/>
      <c r="J62" s="120"/>
      <c r="K62" s="263"/>
      <c r="L62" s="263"/>
      <c r="M62" s="263"/>
      <c r="N62" s="120"/>
      <c r="O62" s="263"/>
      <c r="P62" s="120"/>
    </row>
    <row r="63" spans="9:16">
      <c r="I63" s="259"/>
      <c r="J63" s="120"/>
      <c r="K63" s="263"/>
      <c r="L63" s="263"/>
      <c r="M63" s="263"/>
      <c r="N63" s="120"/>
      <c r="O63" s="268"/>
      <c r="P63" s="120"/>
    </row>
    <row r="64" spans="9:16">
      <c r="I64" s="259"/>
      <c r="J64" s="120"/>
      <c r="K64" s="263"/>
      <c r="L64" s="263"/>
      <c r="M64" s="263"/>
      <c r="N64" s="120"/>
      <c r="O64" s="268"/>
      <c r="P64" s="120"/>
    </row>
    <row r="65" spans="9:16">
      <c r="I65" s="259"/>
      <c r="J65" s="120"/>
      <c r="K65" s="263"/>
      <c r="L65" s="263"/>
      <c r="M65" s="263"/>
      <c r="N65" s="120"/>
      <c r="O65" s="268"/>
      <c r="P65" s="120"/>
    </row>
    <row r="66" spans="9:16">
      <c r="I66" s="259"/>
      <c r="J66" s="120"/>
      <c r="K66" s="263"/>
      <c r="L66" s="263"/>
      <c r="M66" s="263"/>
      <c r="N66" s="120"/>
      <c r="O66" s="268"/>
      <c r="P66" s="120"/>
    </row>
    <row r="67" spans="9:16">
      <c r="I67" s="259"/>
      <c r="J67" s="120"/>
      <c r="K67" s="263"/>
      <c r="L67" s="263"/>
      <c r="M67" s="263"/>
      <c r="N67" s="120"/>
      <c r="O67" s="263"/>
      <c r="P67" s="120"/>
    </row>
    <row r="68" spans="9:16">
      <c r="I68" s="259"/>
      <c r="J68" s="120"/>
      <c r="K68" s="263"/>
      <c r="L68" s="263"/>
      <c r="M68" s="263"/>
      <c r="N68" s="120"/>
      <c r="O68" s="263"/>
      <c r="P68" s="120"/>
    </row>
    <row r="69" spans="9:16">
      <c r="I69" s="259"/>
      <c r="J69" s="120"/>
      <c r="K69" s="263"/>
      <c r="L69" s="263"/>
      <c r="M69" s="263"/>
      <c r="N69" s="120"/>
      <c r="O69" s="263"/>
      <c r="P69" s="120"/>
    </row>
    <row r="70" spans="9:16">
      <c r="I70" s="259"/>
      <c r="J70" s="120"/>
      <c r="K70" s="263"/>
      <c r="L70" s="263"/>
      <c r="M70" s="263"/>
      <c r="N70" s="120"/>
      <c r="O70" s="268"/>
      <c r="P70" s="120"/>
    </row>
    <row r="71" spans="9:16">
      <c r="I71" s="262"/>
      <c r="K71" s="254"/>
      <c r="L71" s="254"/>
      <c r="M71" s="254"/>
      <c r="O71" s="254"/>
    </row>
    <row r="72" spans="9:16">
      <c r="I72" s="262"/>
      <c r="K72" s="254"/>
      <c r="L72" s="254"/>
      <c r="M72" s="254"/>
      <c r="O72" s="255"/>
    </row>
    <row r="73" spans="9:16" hidden="1">
      <c r="I73" s="262"/>
      <c r="K73" s="262"/>
      <c r="L73" s="262"/>
      <c r="O73" s="56"/>
    </row>
    <row r="74" spans="9:16" hidden="1">
      <c r="I74" s="262"/>
      <c r="K74" s="262"/>
      <c r="L74" s="262"/>
      <c r="O74" s="56"/>
    </row>
    <row r="75" spans="9:16" hidden="1">
      <c r="I75" s="262"/>
      <c r="K75" s="262"/>
      <c r="L75" s="262"/>
      <c r="O75" s="56"/>
    </row>
    <row r="76" spans="9:16" hidden="1">
      <c r="I76" s="262"/>
      <c r="K76" s="262"/>
      <c r="L76" s="262"/>
      <c r="O76" s="56"/>
    </row>
    <row r="77" spans="9:16" hidden="1">
      <c r="I77" s="262"/>
      <c r="K77" s="262"/>
      <c r="L77" s="262"/>
      <c r="O77" s="56"/>
    </row>
    <row r="78" spans="9:16" hidden="1">
      <c r="I78" s="262"/>
      <c r="K78" s="262"/>
      <c r="L78" s="262"/>
      <c r="O78" s="56"/>
    </row>
    <row r="79" spans="9:16" hidden="1">
      <c r="I79" s="262"/>
      <c r="K79" s="262"/>
      <c r="L79" s="262"/>
      <c r="O79" s="56"/>
    </row>
    <row r="80" spans="9:16" hidden="1">
      <c r="I80" s="262"/>
      <c r="K80" s="262"/>
      <c r="L80" s="262"/>
      <c r="O80" s="56"/>
    </row>
    <row r="81" spans="9:15" hidden="1">
      <c r="I81" s="262"/>
      <c r="K81" s="262"/>
      <c r="L81" s="262"/>
      <c r="O81" s="56"/>
    </row>
    <row r="82" spans="9:15" ht="17.25" hidden="1">
      <c r="I82" s="262"/>
      <c r="K82" s="262"/>
      <c r="L82" s="262"/>
      <c r="O82" s="249"/>
    </row>
    <row r="83" spans="9:15" ht="17.25">
      <c r="I83" s="262"/>
      <c r="K83" s="262"/>
      <c r="L83" s="262"/>
      <c r="N83" s="250"/>
      <c r="O83" s="249"/>
    </row>
    <row r="84" spans="9:15" ht="17.25">
      <c r="I84" s="262"/>
      <c r="K84" s="262"/>
      <c r="L84" s="262"/>
      <c r="N84" s="250"/>
      <c r="O84" s="249"/>
    </row>
    <row r="85" spans="9:15" ht="17.25">
      <c r="I85" s="262"/>
      <c r="K85" s="262"/>
      <c r="L85" s="262"/>
      <c r="N85" s="250"/>
      <c r="O85" s="257"/>
    </row>
    <row r="86" spans="9:15">
      <c r="O86" s="56"/>
    </row>
    <row r="87" spans="9:15" ht="17.25">
      <c r="I87" s="256"/>
      <c r="J87" s="246"/>
    </row>
  </sheetData>
  <mergeCells count="1">
    <mergeCell ref="A41:B42"/>
  </mergeCells>
  <phoneticPr fontId="33" type="noConversion"/>
  <pageMargins left="0.75" right="0.75" top="0.51" bottom="0.47" header="0.5" footer="0.5"/>
  <pageSetup scale="88" fitToHeight="2"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pageSetUpPr fitToPage="1"/>
  </sheetPr>
  <dimension ref="A1:Q23"/>
  <sheetViews>
    <sheetView topLeftCell="B1" zoomScaleNormal="100" workbookViewId="0">
      <selection activeCell="H17" sqref="H17"/>
    </sheetView>
  </sheetViews>
  <sheetFormatPr defaultColWidth="7.109375" defaultRowHeight="12.75"/>
  <cols>
    <col min="1" max="1" width="28.44140625" style="20" customWidth="1"/>
    <col min="2" max="13" width="8.44140625" style="20" bestFit="1" customWidth="1"/>
    <col min="14" max="14" width="9.21875" style="20" bestFit="1" customWidth="1"/>
    <col min="15" max="15" width="8.44140625" style="20" bestFit="1" customWidth="1"/>
    <col min="16" max="16" width="8" style="20" bestFit="1" customWidth="1"/>
    <col min="17" max="17" width="8.77734375" style="20" bestFit="1" customWidth="1"/>
    <col min="18" max="16384" width="7.109375" style="20"/>
  </cols>
  <sheetData>
    <row r="1" spans="1:17" ht="15.75">
      <c r="A1" s="33" t="s">
        <v>251</v>
      </c>
      <c r="B1" s="33"/>
      <c r="C1" s="33"/>
      <c r="D1" s="33"/>
      <c r="E1" s="33"/>
      <c r="F1" s="33"/>
      <c r="G1" s="33"/>
      <c r="H1" s="33"/>
      <c r="I1" s="33"/>
      <c r="J1" s="33"/>
      <c r="K1" s="33"/>
      <c r="L1" s="33"/>
      <c r="M1" s="33"/>
      <c r="N1" s="33"/>
      <c r="O1" s="33"/>
    </row>
    <row r="3" spans="1:17">
      <c r="A3" s="34" t="s">
        <v>643</v>
      </c>
      <c r="B3" s="34"/>
      <c r="C3" s="34"/>
      <c r="D3" s="34"/>
      <c r="E3" s="34"/>
      <c r="F3" s="34"/>
      <c r="G3" s="34"/>
      <c r="H3" s="34"/>
      <c r="I3" s="34"/>
      <c r="J3" s="34"/>
      <c r="K3" s="34"/>
      <c r="L3" s="34"/>
      <c r="M3" s="34"/>
      <c r="N3" s="34"/>
      <c r="O3" s="34"/>
    </row>
    <row r="4" spans="1:17">
      <c r="A4" s="21"/>
      <c r="B4" s="21"/>
      <c r="C4" s="21"/>
      <c r="D4" s="21"/>
      <c r="E4" s="21"/>
      <c r="F4" s="21"/>
      <c r="G4" s="21"/>
      <c r="H4" s="21"/>
      <c r="I4" s="21"/>
      <c r="J4" s="21"/>
      <c r="K4" s="21"/>
      <c r="L4" s="21"/>
      <c r="M4" s="21"/>
    </row>
    <row r="5" spans="1:17">
      <c r="A5" s="21"/>
      <c r="B5" s="21"/>
      <c r="C5" s="21"/>
      <c r="D5" s="21"/>
      <c r="E5" s="21"/>
      <c r="F5" s="21"/>
      <c r="G5" s="21"/>
      <c r="H5" s="21"/>
      <c r="I5" s="21"/>
      <c r="J5" s="21"/>
      <c r="K5" s="21"/>
      <c r="L5" s="21"/>
      <c r="M5" s="21"/>
    </row>
    <row r="7" spans="1:17" ht="15">
      <c r="B7" s="22" t="s">
        <v>644</v>
      </c>
      <c r="C7" s="22" t="s">
        <v>419</v>
      </c>
      <c r="D7" s="22" t="s">
        <v>524</v>
      </c>
      <c r="E7" s="22" t="s">
        <v>645</v>
      </c>
      <c r="F7" s="22" t="s">
        <v>646</v>
      </c>
      <c r="G7" s="22" t="s">
        <v>615</v>
      </c>
      <c r="H7" s="22" t="s">
        <v>642</v>
      </c>
      <c r="I7" s="22" t="s">
        <v>528</v>
      </c>
      <c r="J7" s="22" t="s">
        <v>647</v>
      </c>
      <c r="K7" s="22" t="s">
        <v>648</v>
      </c>
      <c r="L7" s="22" t="s">
        <v>616</v>
      </c>
      <c r="M7" s="22" t="s">
        <v>649</v>
      </c>
      <c r="N7" s="22" t="s">
        <v>16</v>
      </c>
      <c r="O7" s="22" t="s">
        <v>235</v>
      </c>
    </row>
    <row r="8" spans="1:17" ht="15">
      <c r="B8" s="22"/>
      <c r="C8" s="22"/>
      <c r="D8" s="22"/>
      <c r="E8" s="22"/>
      <c r="F8" s="22"/>
      <c r="G8" s="22"/>
      <c r="H8" s="22"/>
      <c r="I8" s="22"/>
      <c r="J8" s="22"/>
      <c r="K8" s="22"/>
      <c r="L8" s="22"/>
      <c r="M8" s="22"/>
      <c r="N8" s="22"/>
      <c r="O8" s="22"/>
    </row>
    <row r="9" spans="1:17">
      <c r="A9" s="203" t="s">
        <v>373</v>
      </c>
      <c r="B9" s="37">
        <v>5487000</v>
      </c>
      <c r="C9" s="37">
        <v>5220000</v>
      </c>
      <c r="D9" s="37">
        <v>4586000</v>
      </c>
      <c r="E9" s="37">
        <v>4304000</v>
      </c>
      <c r="F9" s="37">
        <v>5071000</v>
      </c>
      <c r="G9" s="37">
        <v>5699000</v>
      </c>
      <c r="H9" s="37">
        <v>5828000</v>
      </c>
      <c r="I9" s="37">
        <v>6002000</v>
      </c>
      <c r="J9" s="37">
        <v>5833000</v>
      </c>
      <c r="K9" s="37">
        <v>4686000</v>
      </c>
      <c r="L9" s="37">
        <v>4350000</v>
      </c>
      <c r="M9" s="37">
        <v>5467000</v>
      </c>
      <c r="N9" s="23">
        <f>SUM(B9:M9)</f>
        <v>62533000</v>
      </c>
      <c r="O9" s="23">
        <f>ROUND(N9/12,0)</f>
        <v>5211083</v>
      </c>
    </row>
    <row r="10" spans="1:17" ht="14.25" customHeight="1">
      <c r="B10" s="23"/>
      <c r="C10" s="23"/>
      <c r="D10" s="23"/>
      <c r="E10" s="23"/>
      <c r="F10" s="23"/>
      <c r="G10" s="23"/>
      <c r="H10" s="23"/>
      <c r="I10" s="23"/>
      <c r="J10" s="23"/>
      <c r="K10" s="23"/>
      <c r="L10" s="23"/>
      <c r="M10" s="23"/>
      <c r="N10" s="23"/>
      <c r="O10" s="23"/>
    </row>
    <row r="11" spans="1:17">
      <c r="A11" s="203" t="s">
        <v>657</v>
      </c>
      <c r="B11" s="580">
        <v>562000</v>
      </c>
      <c r="C11" s="580">
        <v>560000</v>
      </c>
      <c r="D11" s="580">
        <v>558000</v>
      </c>
      <c r="E11" s="581">
        <v>550000</v>
      </c>
      <c r="F11" s="580">
        <v>558000</v>
      </c>
      <c r="G11" s="580">
        <v>568000</v>
      </c>
      <c r="H11" s="581">
        <v>569000</v>
      </c>
      <c r="I11" s="580">
        <v>570000</v>
      </c>
      <c r="J11" s="581">
        <v>562000</v>
      </c>
      <c r="K11" s="580">
        <v>553000</v>
      </c>
      <c r="L11" s="580">
        <v>556000</v>
      </c>
      <c r="M11" s="581">
        <v>559000</v>
      </c>
      <c r="N11" s="37">
        <f>SUM(B11:M11)</f>
        <v>6725000</v>
      </c>
      <c r="O11" s="37">
        <f>ROUND(N11/12,0)</f>
        <v>560417</v>
      </c>
    </row>
    <row r="12" spans="1:17">
      <c r="A12" s="579"/>
      <c r="B12" s="23"/>
      <c r="C12" s="23"/>
      <c r="D12" s="23"/>
      <c r="E12" s="23"/>
      <c r="F12" s="23"/>
      <c r="G12" s="23"/>
      <c r="H12" s="23"/>
      <c r="I12" s="23"/>
      <c r="J12" s="23"/>
      <c r="K12" s="23"/>
      <c r="L12" s="23"/>
      <c r="M12" s="23"/>
      <c r="N12" s="23"/>
      <c r="O12" s="23"/>
      <c r="Q12" s="542"/>
    </row>
    <row r="13" spans="1:17">
      <c r="A13" s="203" t="s">
        <v>658</v>
      </c>
      <c r="B13" s="37">
        <v>828000</v>
      </c>
      <c r="C13" s="37">
        <v>692000</v>
      </c>
      <c r="D13" s="37">
        <v>556000</v>
      </c>
      <c r="E13" s="37">
        <v>632000</v>
      </c>
      <c r="F13" s="37">
        <v>1160000</v>
      </c>
      <c r="G13" s="37">
        <v>753000</v>
      </c>
      <c r="H13" s="37">
        <v>655000</v>
      </c>
      <c r="I13" s="37">
        <v>636000</v>
      </c>
      <c r="J13" s="37">
        <v>680000</v>
      </c>
      <c r="K13" s="37">
        <v>595000</v>
      </c>
      <c r="L13" s="37">
        <v>663000</v>
      </c>
      <c r="M13" s="37">
        <v>777000</v>
      </c>
      <c r="N13" s="37">
        <f t="shared" ref="N13" si="0">SUM(B13:M13)</f>
        <v>8627000</v>
      </c>
      <c r="O13" s="37">
        <f t="shared" ref="O13:O15" si="1">ROUND(N13/12,0)</f>
        <v>718917</v>
      </c>
      <c r="P13" s="542"/>
    </row>
    <row r="14" spans="1:17">
      <c r="A14" s="579"/>
      <c r="B14" s="23"/>
      <c r="C14" s="23"/>
      <c r="D14" s="23"/>
      <c r="E14" s="23"/>
      <c r="F14" s="23"/>
      <c r="G14" s="23"/>
      <c r="H14" s="23"/>
      <c r="I14" s="23"/>
      <c r="J14" s="23"/>
      <c r="K14" s="23"/>
      <c r="L14" s="23"/>
      <c r="M14" s="23"/>
      <c r="N14" s="23"/>
      <c r="O14" s="23"/>
    </row>
    <row r="15" spans="1:17" ht="33.75" customHeight="1">
      <c r="A15" s="25" t="s">
        <v>219</v>
      </c>
      <c r="B15" s="26">
        <f t="shared" ref="B15:N15" si="2">+B9-B11+B13</f>
        <v>5753000</v>
      </c>
      <c r="C15" s="26">
        <f t="shared" si="2"/>
        <v>5352000</v>
      </c>
      <c r="D15" s="26">
        <f t="shared" si="2"/>
        <v>4584000</v>
      </c>
      <c r="E15" s="26">
        <f t="shared" si="2"/>
        <v>4386000</v>
      </c>
      <c r="F15" s="26">
        <f t="shared" si="2"/>
        <v>5673000</v>
      </c>
      <c r="G15" s="26">
        <f t="shared" si="2"/>
        <v>5884000</v>
      </c>
      <c r="H15" s="26">
        <f t="shared" si="2"/>
        <v>5914000</v>
      </c>
      <c r="I15" s="26">
        <f t="shared" si="2"/>
        <v>6068000</v>
      </c>
      <c r="J15" s="26">
        <f t="shared" si="2"/>
        <v>5951000</v>
      </c>
      <c r="K15" s="26">
        <f t="shared" si="2"/>
        <v>4728000</v>
      </c>
      <c r="L15" s="26">
        <f t="shared" si="2"/>
        <v>4457000</v>
      </c>
      <c r="M15" s="26">
        <f t="shared" si="2"/>
        <v>5685000</v>
      </c>
      <c r="N15" s="26">
        <f t="shared" si="2"/>
        <v>64435000</v>
      </c>
      <c r="O15" s="26">
        <f t="shared" si="1"/>
        <v>5369583</v>
      </c>
    </row>
    <row r="16" spans="1:17">
      <c r="C16" s="542"/>
    </row>
    <row r="17" spans="1:14">
      <c r="C17" s="542"/>
      <c r="N17" s="542"/>
    </row>
    <row r="18" spans="1:14">
      <c r="A18" s="20" t="s">
        <v>236</v>
      </c>
    </row>
    <row r="19" spans="1:14">
      <c r="A19" s="203" t="s">
        <v>377</v>
      </c>
    </row>
    <row r="20" spans="1:14">
      <c r="A20" s="203" t="s">
        <v>376</v>
      </c>
    </row>
    <row r="21" spans="1:14">
      <c r="A21" s="24"/>
    </row>
    <row r="22" spans="1:14">
      <c r="A22" s="24"/>
      <c r="H22" s="27"/>
    </row>
    <row r="23" spans="1:14">
      <c r="D23" s="20" t="s">
        <v>9</v>
      </c>
    </row>
  </sheetData>
  <phoneticPr fontId="22" type="noConversion"/>
  <pageMargins left="0.25" right="0" top="0.25" bottom="0.5" header="0.25" footer="0.25"/>
  <pageSetup scale="77" orientation="landscape" horizontalDpi="300" verticalDpi="300" r:id="rId1"/>
  <headerFooter alignWithMargins="0">
    <oddFooter>&amp;L&amp;"Arial,Regular"&amp;8RateJA:\MISO\2004\&amp;F   &amp;A&amp;R&amp;"Arial,Regular"&amp;8Page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workbookViewId="0">
      <selection activeCell="D16" sqref="D16"/>
    </sheetView>
  </sheetViews>
  <sheetFormatPr defaultRowHeight="15"/>
  <cols>
    <col min="1" max="1" width="1.6640625" customWidth="1"/>
    <col min="2" max="2" width="10.88671875" bestFit="1" customWidth="1"/>
    <col min="3" max="3" width="27.5546875" bestFit="1" customWidth="1"/>
    <col min="4" max="5" width="13.44140625" bestFit="1" customWidth="1"/>
    <col min="6" max="6" width="12.33203125" bestFit="1" customWidth="1"/>
  </cols>
  <sheetData>
    <row r="1" spans="1:6" ht="18">
      <c r="A1" s="3" t="s">
        <v>251</v>
      </c>
      <c r="D1" s="28"/>
      <c r="F1" s="28" t="s">
        <v>412</v>
      </c>
    </row>
    <row r="2" spans="1:6">
      <c r="A2" t="s">
        <v>602</v>
      </c>
      <c r="D2" s="29"/>
      <c r="F2" s="29" t="s">
        <v>220</v>
      </c>
    </row>
    <row r="6" spans="1:6" ht="60">
      <c r="B6" s="544" t="s">
        <v>589</v>
      </c>
      <c r="C6" s="544" t="s">
        <v>590</v>
      </c>
      <c r="D6" s="550" t="s">
        <v>599</v>
      </c>
      <c r="E6" s="550" t="s">
        <v>600</v>
      </c>
      <c r="F6" s="544" t="s">
        <v>601</v>
      </c>
    </row>
    <row r="7" spans="1:6">
      <c r="B7" s="543">
        <v>561100</v>
      </c>
      <c r="C7" t="s">
        <v>591</v>
      </c>
      <c r="D7" s="545">
        <v>109922</v>
      </c>
      <c r="E7" s="545">
        <v>-60000</v>
      </c>
      <c r="F7" s="546">
        <f>+D7+E7</f>
        <v>49922</v>
      </c>
    </row>
    <row r="8" spans="1:6">
      <c r="B8" s="543">
        <v>561200</v>
      </c>
      <c r="C8" t="s">
        <v>592</v>
      </c>
      <c r="D8" s="545">
        <v>5987902</v>
      </c>
      <c r="E8" s="546"/>
      <c r="F8" s="546">
        <f t="shared" ref="F8:F9" si="0">+D8+E8</f>
        <v>5987902</v>
      </c>
    </row>
    <row r="9" spans="1:6">
      <c r="B9" s="543">
        <v>561300</v>
      </c>
      <c r="C9" t="s">
        <v>593</v>
      </c>
      <c r="D9" s="547">
        <v>857090</v>
      </c>
      <c r="E9" s="549"/>
      <c r="F9" s="549">
        <f t="shared" si="0"/>
        <v>857090</v>
      </c>
    </row>
    <row r="10" spans="1:6">
      <c r="B10" s="543"/>
      <c r="C10" t="s">
        <v>594</v>
      </c>
      <c r="D10" s="546">
        <f>SUM(D7:D9)</f>
        <v>6954914</v>
      </c>
      <c r="E10" s="546">
        <f>SUM(E7:E9)</f>
        <v>-60000</v>
      </c>
      <c r="F10" s="546">
        <f>+D10+E10</f>
        <v>6894914</v>
      </c>
    </row>
    <row r="11" spans="1:6">
      <c r="B11" s="543"/>
      <c r="D11" s="546"/>
      <c r="E11" s="546"/>
      <c r="F11" s="546"/>
    </row>
    <row r="12" spans="1:6">
      <c r="B12" s="543">
        <v>561400</v>
      </c>
      <c r="C12" t="s">
        <v>595</v>
      </c>
      <c r="D12" s="545">
        <v>7694901</v>
      </c>
      <c r="E12" s="546">
        <f>-E10</f>
        <v>60000</v>
      </c>
      <c r="F12" s="546">
        <f>+D12+E12</f>
        <v>7754901</v>
      </c>
    </row>
    <row r="13" spans="1:6">
      <c r="B13" s="543">
        <v>561500</v>
      </c>
      <c r="C13" t="s">
        <v>596</v>
      </c>
      <c r="D13" s="545">
        <v>91639</v>
      </c>
      <c r="E13" s="546"/>
      <c r="F13" s="546">
        <f>+D13+E13</f>
        <v>91639</v>
      </c>
    </row>
    <row r="14" spans="1:6">
      <c r="B14" s="543" t="s">
        <v>638</v>
      </c>
      <c r="C14" t="s">
        <v>639</v>
      </c>
      <c r="D14" s="545">
        <v>2771</v>
      </c>
      <c r="E14" s="546"/>
      <c r="F14" s="546">
        <f>+D14+E14</f>
        <v>2771</v>
      </c>
    </row>
    <row r="15" spans="1:6">
      <c r="B15" s="543">
        <v>561800</v>
      </c>
      <c r="C15" t="s">
        <v>597</v>
      </c>
      <c r="D15" s="547">
        <v>339934</v>
      </c>
      <c r="E15" s="548">
        <v>0</v>
      </c>
      <c r="F15" s="548">
        <f>+D15+E15</f>
        <v>339934</v>
      </c>
    </row>
    <row r="16" spans="1:6">
      <c r="C16" t="s">
        <v>598</v>
      </c>
      <c r="D16" s="546">
        <f>SUM(D10:D15)</f>
        <v>15084159</v>
      </c>
      <c r="E16" s="546">
        <f>SUM(E10:E15)</f>
        <v>0</v>
      </c>
      <c r="F16" s="546">
        <f>SUM(F10:F15)</f>
        <v>15084159</v>
      </c>
    </row>
  </sheetData>
  <pageMargins left="0.7" right="0.7" top="0.75" bottom="0.75" header="0.3" footer="0.3"/>
  <pageSetup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E38"/>
  <sheetViews>
    <sheetView topLeftCell="A8" workbookViewId="0">
      <selection activeCell="C34" sqref="C34"/>
    </sheetView>
  </sheetViews>
  <sheetFormatPr defaultColWidth="16.21875" defaultRowHeight="12.75"/>
  <cols>
    <col min="1" max="1" width="44.33203125" style="41" customWidth="1"/>
    <col min="2" max="16384" width="16.21875" style="41"/>
  </cols>
  <sheetData>
    <row r="1" spans="1:5" s="36" customFormat="1" ht="18">
      <c r="A1" s="105" t="s">
        <v>234</v>
      </c>
      <c r="B1" s="40"/>
    </row>
    <row r="2" spans="1:5" s="36" customFormat="1" ht="15.75">
      <c r="A2" s="93"/>
      <c r="B2" s="28" t="s">
        <v>412</v>
      </c>
    </row>
    <row r="3" spans="1:5" s="36" customFormat="1" ht="15.75">
      <c r="A3" s="93"/>
      <c r="B3" s="28" t="s">
        <v>220</v>
      </c>
    </row>
    <row r="4" spans="1:5" s="36" customFormat="1" ht="15.75">
      <c r="A4" s="93" t="s">
        <v>315</v>
      </c>
      <c r="B4" s="94"/>
    </row>
    <row r="5" spans="1:5" s="36" customFormat="1" ht="15.75">
      <c r="A5" s="93"/>
      <c r="B5" s="94"/>
    </row>
    <row r="6" spans="1:5" s="36" customFormat="1" ht="15">
      <c r="A6" s="46"/>
      <c r="B6" s="46"/>
    </row>
    <row r="7" spans="1:5" s="36" customFormat="1" ht="15">
      <c r="A7" s="46"/>
      <c r="B7" s="46"/>
    </row>
    <row r="8" spans="1:5" s="36" customFormat="1" ht="15">
      <c r="A8" s="95"/>
      <c r="B8" s="95"/>
    </row>
    <row r="9" spans="1:5" s="36" customFormat="1" ht="15">
      <c r="A9" s="95"/>
      <c r="B9" s="95"/>
    </row>
    <row r="10" spans="1:5" s="36" customFormat="1" ht="15.75">
      <c r="A10" s="96"/>
      <c r="B10" s="95"/>
    </row>
    <row r="11" spans="1:5" s="36" customFormat="1" ht="21" thickBot="1">
      <c r="A11" s="95"/>
      <c r="B11" s="97"/>
    </row>
    <row r="12" spans="1:5" s="36" customFormat="1" ht="21" thickBot="1">
      <c r="A12" s="111" t="s">
        <v>318</v>
      </c>
      <c r="B12" s="98" t="s">
        <v>253</v>
      </c>
    </row>
    <row r="13" spans="1:5" s="36" customFormat="1" ht="20.25">
      <c r="A13" s="95"/>
      <c r="B13" s="98"/>
    </row>
    <row r="14" spans="1:5" s="36" customFormat="1" ht="15">
      <c r="A14" s="99" t="s">
        <v>525</v>
      </c>
      <c r="B14" s="100" t="e">
        <f>#REF!</f>
        <v>#REF!</v>
      </c>
    </row>
    <row r="15" spans="1:5" s="36" customFormat="1" ht="15">
      <c r="A15" s="101"/>
      <c r="B15" s="95"/>
      <c r="E15" s="271"/>
    </row>
    <row r="16" spans="1:5" s="36" customFormat="1" ht="17.25">
      <c r="A16" s="101" t="s">
        <v>324</v>
      </c>
      <c r="B16" s="106" t="e">
        <f>SUM(#REF!)</f>
        <v>#REF!</v>
      </c>
      <c r="E16" s="271"/>
    </row>
    <row r="17" spans="1:5" s="36" customFormat="1" ht="15">
      <c r="A17" s="101"/>
      <c r="B17" s="95"/>
      <c r="C17" s="39"/>
      <c r="D17" s="39"/>
      <c r="E17" s="271"/>
    </row>
    <row r="18" spans="1:5" s="36" customFormat="1" ht="19.5" customHeight="1">
      <c r="A18" s="107" t="s">
        <v>302</v>
      </c>
      <c r="B18" s="104" t="e">
        <f>B14-B16</f>
        <v>#REF!</v>
      </c>
      <c r="C18" s="92"/>
      <c r="E18" s="271"/>
    </row>
    <row r="19" spans="1:5" s="36" customFormat="1">
      <c r="A19" s="39"/>
      <c r="B19" s="65"/>
      <c r="E19" s="271"/>
    </row>
    <row r="20" spans="1:5">
      <c r="A20" s="42"/>
      <c r="B20" s="43"/>
    </row>
    <row r="21" spans="1:5">
      <c r="B21" s="43"/>
    </row>
    <row r="22" spans="1:5">
      <c r="B22" s="43"/>
    </row>
    <row r="23" spans="1:5" ht="13.5" thickBot="1"/>
    <row r="24" spans="1:5" s="36" customFormat="1" ht="21" thickBot="1">
      <c r="A24" s="111" t="s">
        <v>317</v>
      </c>
      <c r="B24" s="98" t="s">
        <v>253</v>
      </c>
    </row>
    <row r="25" spans="1:5" s="36" customFormat="1" ht="20.25">
      <c r="A25" s="95"/>
      <c r="B25" s="98"/>
    </row>
    <row r="26" spans="1:5" s="36" customFormat="1" ht="15">
      <c r="A26" s="99" t="s">
        <v>316</v>
      </c>
      <c r="B26" s="100" t="e">
        <f>#REF!</f>
        <v>#REF!</v>
      </c>
      <c r="D26" s="466"/>
    </row>
    <row r="27" spans="1:5" s="36" customFormat="1" ht="15">
      <c r="A27" s="101"/>
      <c r="B27" s="95"/>
    </row>
    <row r="28" spans="1:5" s="36" customFormat="1" ht="17.25">
      <c r="A28" s="101" t="s">
        <v>374</v>
      </c>
      <c r="B28" s="106" t="e">
        <f>-SUM(#REF!)</f>
        <v>#REF!</v>
      </c>
    </row>
    <row r="29" spans="1:5" s="36" customFormat="1" ht="15">
      <c r="A29" s="101"/>
      <c r="B29" s="95"/>
      <c r="C29" s="39"/>
      <c r="D29" s="39"/>
    </row>
    <row r="30" spans="1:5" s="36" customFormat="1" ht="19.5" customHeight="1">
      <c r="A30" s="107" t="s">
        <v>302</v>
      </c>
      <c r="B30" s="104" t="e">
        <f>B26-B28</f>
        <v>#REF!</v>
      </c>
      <c r="C30" s="92"/>
    </row>
    <row r="37" spans="1:2">
      <c r="A37" s="589" t="s">
        <v>506</v>
      </c>
      <c r="B37" s="590"/>
    </row>
    <row r="38" spans="1:2" ht="18" customHeight="1">
      <c r="A38" s="590"/>
      <c r="B38" s="590"/>
    </row>
  </sheetData>
  <mergeCells count="1">
    <mergeCell ref="A37:B38"/>
  </mergeCells>
  <phoneticPr fontId="0" type="noConversion"/>
  <pageMargins left="0.25" right="0" top="0.25" bottom="0.5" header="0.25" footer="0.25"/>
  <pageSetup scale="95" orientation="landscape" horizontalDpi="300" verticalDpi="300" r:id="rId1"/>
  <headerFooter alignWithMargins="0">
    <oddFooter>&amp;L&amp;"Arial,Regular"&amp;8RateJA:\MISO\2004\&amp;F   &amp;A&amp;R&amp;"Arial,Regular"&amp;8Page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BM306"/>
  <sheetViews>
    <sheetView topLeftCell="A53" zoomScale="90" zoomScaleNormal="90" workbookViewId="0">
      <selection activeCell="G8" sqref="G8"/>
    </sheetView>
  </sheetViews>
  <sheetFormatPr defaultRowHeight="15"/>
  <cols>
    <col min="1" max="1" width="6" style="120" customWidth="1"/>
    <col min="2" max="2" width="1.44140625" style="120" customWidth="1"/>
    <col min="3" max="3" width="39.109375" style="120" customWidth="1"/>
    <col min="4" max="4" width="12" style="120" customWidth="1"/>
    <col min="5" max="5" width="14.44140625" style="120" customWidth="1"/>
    <col min="6" max="6" width="11.88671875" style="120" customWidth="1"/>
    <col min="7" max="7" width="14.109375" style="120" customWidth="1"/>
    <col min="8" max="8" width="13.88671875" style="120" customWidth="1"/>
    <col min="9" max="10" width="12.77734375" style="120" customWidth="1"/>
    <col min="11" max="11" width="13.5546875" style="120" customWidth="1"/>
    <col min="12" max="12" width="16" style="120" customWidth="1"/>
    <col min="13" max="13" width="12.77734375" style="120" customWidth="1"/>
    <col min="14" max="14" width="13.88671875" style="120" customWidth="1"/>
    <col min="15" max="15" width="1.88671875" style="120" customWidth="1"/>
    <col min="16" max="16" width="13" style="120" customWidth="1"/>
    <col min="17" max="17" width="12.44140625" style="120" bestFit="1" customWidth="1"/>
    <col min="18" max="16384" width="8.88671875" style="120"/>
  </cols>
  <sheetData>
    <row r="1" spans="1:65">
      <c r="N1" s="121"/>
    </row>
    <row r="2" spans="1:65">
      <c r="N2" s="121"/>
    </row>
    <row r="4" spans="1:65">
      <c r="N4" s="121" t="s">
        <v>272</v>
      </c>
    </row>
    <row r="5" spans="1:65">
      <c r="C5" s="54" t="s">
        <v>325</v>
      </c>
      <c r="D5" s="54"/>
      <c r="E5" s="54"/>
      <c r="F5" s="54"/>
      <c r="G5" s="122" t="s">
        <v>8</v>
      </c>
      <c r="H5" s="54"/>
      <c r="I5" s="54"/>
      <c r="J5" s="54"/>
      <c r="K5" s="52"/>
      <c r="M5" s="51"/>
      <c r="N5" s="123" t="s">
        <v>655</v>
      </c>
      <c r="O5" s="124"/>
      <c r="P5" s="125"/>
      <c r="Q5" s="125"/>
      <c r="R5" s="124"/>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row>
    <row r="6" spans="1:65">
      <c r="C6" s="54"/>
      <c r="D6" s="54"/>
      <c r="E6" s="53" t="s">
        <v>9</v>
      </c>
      <c r="F6" s="53"/>
      <c r="G6" s="53" t="s">
        <v>273</v>
      </c>
      <c r="H6" s="53"/>
      <c r="I6" s="53"/>
      <c r="J6" s="53"/>
      <c r="K6" s="52"/>
      <c r="M6" s="51"/>
      <c r="N6" s="52"/>
      <c r="O6" s="124"/>
      <c r="P6" s="127"/>
      <c r="Q6" s="125"/>
      <c r="R6" s="124"/>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c r="BC6" s="126"/>
      <c r="BD6" s="126"/>
      <c r="BE6" s="126"/>
      <c r="BF6" s="126"/>
      <c r="BG6" s="126"/>
      <c r="BH6" s="126"/>
      <c r="BI6" s="126"/>
      <c r="BJ6" s="126"/>
      <c r="BK6" s="126"/>
      <c r="BL6" s="126"/>
      <c r="BM6" s="126"/>
    </row>
    <row r="7" spans="1:65">
      <c r="C7" s="51"/>
      <c r="D7" s="51"/>
      <c r="E7" s="51"/>
      <c r="F7" s="51"/>
      <c r="G7" s="51"/>
      <c r="H7" s="51"/>
      <c r="I7" s="51"/>
      <c r="J7" s="51"/>
      <c r="K7" s="51"/>
      <c r="M7" s="51"/>
      <c r="N7" s="51" t="s">
        <v>274</v>
      </c>
      <c r="O7" s="124"/>
      <c r="P7" s="125"/>
      <c r="Q7" s="125"/>
      <c r="R7" s="124"/>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126"/>
      <c r="BC7" s="126"/>
      <c r="BD7" s="126"/>
      <c r="BE7" s="126"/>
      <c r="BF7" s="126"/>
      <c r="BG7" s="126"/>
      <c r="BH7" s="126"/>
      <c r="BI7" s="126"/>
      <c r="BJ7" s="126"/>
      <c r="BK7" s="126"/>
      <c r="BL7" s="126"/>
      <c r="BM7" s="126"/>
    </row>
    <row r="8" spans="1:65">
      <c r="A8" s="128"/>
      <c r="C8" s="51"/>
      <c r="D8" s="51"/>
      <c r="E8" s="51"/>
      <c r="F8" s="51"/>
      <c r="G8" s="129" t="s">
        <v>251</v>
      </c>
      <c r="H8" s="51"/>
      <c r="I8" s="51"/>
      <c r="J8" s="51"/>
      <c r="K8" s="51"/>
      <c r="L8" s="51"/>
      <c r="M8" s="51"/>
      <c r="N8" s="51"/>
      <c r="O8" s="124"/>
      <c r="P8" s="125"/>
      <c r="Q8" s="125"/>
      <c r="R8" s="124"/>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c r="BM8" s="126"/>
    </row>
    <row r="9" spans="1:65">
      <c r="A9" s="128"/>
      <c r="C9" s="51"/>
      <c r="D9" s="51"/>
      <c r="E9" s="51"/>
      <c r="F9" s="51"/>
      <c r="G9" s="130"/>
      <c r="H9" s="51"/>
      <c r="I9" s="51"/>
      <c r="J9" s="51"/>
      <c r="K9" s="51"/>
      <c r="L9" s="51"/>
      <c r="M9" s="51"/>
      <c r="N9" s="51"/>
      <c r="O9" s="124"/>
      <c r="P9" s="125"/>
      <c r="Q9" s="125"/>
      <c r="R9" s="124"/>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26"/>
      <c r="BM9" s="126"/>
    </row>
    <row r="10" spans="1:65">
      <c r="A10" s="128"/>
      <c r="C10" s="51" t="s">
        <v>326</v>
      </c>
      <c r="D10" s="51"/>
      <c r="E10" s="51"/>
      <c r="F10" s="51"/>
      <c r="G10" s="130"/>
      <c r="H10" s="51"/>
      <c r="I10" s="51"/>
      <c r="J10" s="51"/>
      <c r="K10" s="51"/>
      <c r="L10" s="51"/>
      <c r="M10" s="51"/>
      <c r="N10" s="51"/>
      <c r="O10" s="124"/>
      <c r="P10" s="125"/>
      <c r="Q10" s="125"/>
      <c r="R10" s="124"/>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126"/>
      <c r="BC10" s="126"/>
      <c r="BD10" s="126"/>
      <c r="BE10" s="126"/>
      <c r="BF10" s="126"/>
      <c r="BG10" s="126"/>
      <c r="BH10" s="126"/>
      <c r="BI10" s="126"/>
      <c r="BJ10" s="126"/>
      <c r="BK10" s="126"/>
      <c r="BL10" s="126"/>
      <c r="BM10" s="126"/>
    </row>
    <row r="11" spans="1:65">
      <c r="A11" s="128"/>
      <c r="C11" s="51"/>
      <c r="D11" s="51"/>
      <c r="E11" s="51"/>
      <c r="F11" s="51"/>
      <c r="G11" s="130"/>
      <c r="L11" s="51"/>
      <c r="M11" s="51"/>
      <c r="N11" s="51"/>
      <c r="O11" s="124"/>
      <c r="P11" s="124"/>
      <c r="Q11" s="124"/>
      <c r="R11" s="124"/>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126"/>
      <c r="BK11" s="126"/>
      <c r="BL11" s="126"/>
      <c r="BM11" s="126"/>
    </row>
    <row r="12" spans="1:65">
      <c r="A12" s="128"/>
      <c r="C12" s="51"/>
      <c r="D12" s="51"/>
      <c r="E12" s="51"/>
      <c r="F12" s="51"/>
      <c r="G12" s="51"/>
      <c r="L12" s="2"/>
      <c r="M12" s="51"/>
      <c r="N12" s="51"/>
      <c r="O12" s="124"/>
      <c r="P12" s="124"/>
      <c r="Q12" s="124"/>
      <c r="R12" s="124"/>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6"/>
      <c r="BM12" s="126"/>
    </row>
    <row r="13" spans="1:65">
      <c r="C13" s="49" t="s">
        <v>39</v>
      </c>
      <c r="D13" s="49"/>
      <c r="E13" s="49" t="s">
        <v>40</v>
      </c>
      <c r="F13" s="49"/>
      <c r="G13" s="49" t="s">
        <v>41</v>
      </c>
      <c r="L13" s="131" t="s">
        <v>42</v>
      </c>
      <c r="M13" s="53"/>
      <c r="N13" s="131"/>
      <c r="O13" s="132"/>
      <c r="P13" s="131"/>
      <c r="Q13" s="132"/>
      <c r="R13" s="133"/>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c r="BK13" s="126"/>
      <c r="BL13" s="126"/>
      <c r="BM13" s="126"/>
    </row>
    <row r="14" spans="1:65" ht="15.75">
      <c r="C14" s="48"/>
      <c r="D14" s="48"/>
      <c r="E14" s="134" t="s">
        <v>220</v>
      </c>
      <c r="F14" s="134"/>
      <c r="G14" s="53"/>
      <c r="M14" s="53"/>
      <c r="O14" s="132"/>
      <c r="P14" s="135"/>
      <c r="Q14" s="135"/>
      <c r="R14" s="133"/>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c r="BC14" s="126"/>
      <c r="BD14" s="126"/>
      <c r="BE14" s="126"/>
      <c r="BF14" s="126"/>
      <c r="BG14" s="126"/>
      <c r="BH14" s="126"/>
      <c r="BI14" s="126"/>
      <c r="BJ14" s="126"/>
      <c r="BK14" s="126"/>
      <c r="BL14" s="126"/>
      <c r="BM14" s="126"/>
    </row>
    <row r="15" spans="1:65" ht="15.75">
      <c r="A15" s="128" t="s">
        <v>11</v>
      </c>
      <c r="C15" s="48"/>
      <c r="D15" s="48"/>
      <c r="E15" s="136" t="s">
        <v>46</v>
      </c>
      <c r="F15" s="136"/>
      <c r="G15" s="137" t="s">
        <v>45</v>
      </c>
      <c r="L15" s="137" t="s">
        <v>17</v>
      </c>
      <c r="M15" s="53"/>
      <c r="O15" s="124"/>
      <c r="P15" s="138"/>
      <c r="Q15" s="135"/>
      <c r="R15" s="133"/>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row>
    <row r="16" spans="1:65" ht="15.75">
      <c r="A16" s="128" t="s">
        <v>13</v>
      </c>
      <c r="C16" s="139"/>
      <c r="D16" s="139"/>
      <c r="E16" s="53"/>
      <c r="F16" s="53"/>
      <c r="G16" s="53"/>
      <c r="L16" s="53"/>
      <c r="M16" s="53"/>
      <c r="N16" s="53"/>
      <c r="O16" s="124"/>
      <c r="P16" s="132"/>
      <c r="Q16" s="132"/>
      <c r="R16" s="133"/>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126"/>
      <c r="BD16" s="126"/>
      <c r="BE16" s="126"/>
      <c r="BF16" s="126"/>
      <c r="BG16" s="126"/>
      <c r="BH16" s="126"/>
      <c r="BI16" s="126"/>
      <c r="BJ16" s="126"/>
      <c r="BK16" s="126"/>
      <c r="BL16" s="126"/>
      <c r="BM16" s="126"/>
    </row>
    <row r="17" spans="1:65" ht="15.75">
      <c r="A17" s="140"/>
      <c r="C17" s="48"/>
      <c r="D17" s="48"/>
      <c r="E17" s="53"/>
      <c r="F17" s="53"/>
      <c r="G17" s="53"/>
      <c r="L17" s="53"/>
      <c r="M17" s="53"/>
      <c r="N17" s="53"/>
      <c r="O17" s="124"/>
      <c r="P17" s="132"/>
      <c r="Q17" s="132"/>
      <c r="R17" s="133"/>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c r="BC17" s="126"/>
      <c r="BD17" s="126"/>
      <c r="BE17" s="126"/>
      <c r="BF17" s="126"/>
      <c r="BG17" s="126"/>
      <c r="BH17" s="126"/>
      <c r="BI17" s="126"/>
      <c r="BJ17" s="126"/>
      <c r="BK17" s="126"/>
      <c r="BL17" s="126"/>
      <c r="BM17" s="126"/>
    </row>
    <row r="18" spans="1:65">
      <c r="A18" s="141">
        <v>1</v>
      </c>
      <c r="C18" s="48" t="s">
        <v>327</v>
      </c>
      <c r="D18" s="48"/>
      <c r="E18" s="142" t="s">
        <v>328</v>
      </c>
      <c r="F18" s="142"/>
      <c r="G18" s="30">
        <f>+'Nonlevelized-IOU'!I82</f>
        <v>1406353773</v>
      </c>
      <c r="M18" s="53"/>
      <c r="N18" s="53"/>
      <c r="O18" s="124"/>
      <c r="P18" s="132"/>
      <c r="Q18" s="132"/>
      <c r="R18" s="133"/>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row>
    <row r="19" spans="1:65">
      <c r="A19" s="141">
        <v>2</v>
      </c>
      <c r="C19" s="48" t="s">
        <v>329</v>
      </c>
      <c r="D19" s="48"/>
      <c r="E19" s="142" t="s">
        <v>420</v>
      </c>
      <c r="F19" s="142"/>
      <c r="G19" s="143">
        <f>+'Nonlevelized-IOU'!I98</f>
        <v>927565593.11144209</v>
      </c>
      <c r="M19" s="53"/>
      <c r="N19" s="53"/>
      <c r="O19" s="124"/>
      <c r="P19" s="132"/>
      <c r="Q19" s="472"/>
      <c r="R19" s="133"/>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126"/>
      <c r="BH19" s="126"/>
      <c r="BI19" s="126"/>
      <c r="BJ19" s="126"/>
      <c r="BK19" s="126"/>
      <c r="BL19" s="126"/>
      <c r="BM19" s="126"/>
    </row>
    <row r="20" spans="1:65">
      <c r="A20" s="141"/>
      <c r="E20" s="142"/>
      <c r="F20" s="142"/>
      <c r="M20" s="53"/>
      <c r="N20" s="53"/>
      <c r="O20" s="124"/>
      <c r="P20" s="132"/>
      <c r="Q20" s="472"/>
      <c r="R20" s="133"/>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6"/>
      <c r="BG20" s="126"/>
      <c r="BH20" s="126"/>
      <c r="BI20" s="126"/>
      <c r="BJ20" s="126"/>
      <c r="BK20" s="126"/>
      <c r="BL20" s="126"/>
      <c r="BM20" s="126"/>
    </row>
    <row r="21" spans="1:65">
      <c r="A21" s="141"/>
      <c r="C21" s="48" t="s">
        <v>275</v>
      </c>
      <c r="D21" s="48"/>
      <c r="E21" s="142"/>
      <c r="F21" s="142"/>
      <c r="G21" s="53"/>
      <c r="L21" s="53"/>
      <c r="M21" s="53"/>
      <c r="N21" s="53"/>
      <c r="O21" s="132"/>
      <c r="P21" s="132"/>
      <c r="Q21" s="472"/>
      <c r="R21" s="133"/>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row>
    <row r="22" spans="1:65">
      <c r="A22" s="141">
        <v>3</v>
      </c>
      <c r="C22" s="48" t="s">
        <v>330</v>
      </c>
      <c r="D22" s="48"/>
      <c r="E22" s="142" t="s">
        <v>331</v>
      </c>
      <c r="F22" s="142"/>
      <c r="G22" s="30">
        <f>+'Nonlevelized-IOU'!I156</f>
        <v>32460166.911720969</v>
      </c>
      <c r="M22" s="53"/>
      <c r="N22" s="53"/>
      <c r="O22" s="132"/>
      <c r="P22" s="132"/>
      <c r="Q22" s="132"/>
      <c r="R22" s="133"/>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6"/>
      <c r="BC22" s="126"/>
      <c r="BD22" s="126"/>
      <c r="BE22" s="126"/>
      <c r="BF22" s="126"/>
      <c r="BG22" s="126"/>
      <c r="BH22" s="126"/>
      <c r="BI22" s="126"/>
      <c r="BJ22" s="126"/>
      <c r="BK22" s="126"/>
      <c r="BL22" s="126"/>
      <c r="BM22" s="126"/>
    </row>
    <row r="23" spans="1:65" ht="15.75">
      <c r="A23" s="141">
        <v>4</v>
      </c>
      <c r="C23" s="48" t="s">
        <v>332</v>
      </c>
      <c r="D23" s="48"/>
      <c r="E23" s="142" t="s">
        <v>333</v>
      </c>
      <c r="F23" s="142"/>
      <c r="G23" s="144">
        <f>IF(G22=0,0,G22/G18)</f>
        <v>2.3081082110995247E-2</v>
      </c>
      <c r="L23" s="145">
        <f>G23</f>
        <v>2.3081082110995247E-2</v>
      </c>
      <c r="M23" s="53"/>
      <c r="N23" s="146"/>
      <c r="O23" s="147"/>
      <c r="P23" s="148"/>
      <c r="Q23" s="132"/>
      <c r="R23" s="133"/>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c r="BE23" s="126"/>
      <c r="BF23" s="126"/>
      <c r="BG23" s="126"/>
      <c r="BH23" s="126"/>
      <c r="BI23" s="126"/>
      <c r="BJ23" s="126"/>
      <c r="BK23" s="126"/>
      <c r="BL23" s="126"/>
      <c r="BM23" s="126"/>
    </row>
    <row r="24" spans="1:65" ht="15.75">
      <c r="A24" s="141"/>
      <c r="C24" s="48"/>
      <c r="D24" s="48"/>
      <c r="E24" s="142"/>
      <c r="F24" s="142"/>
      <c r="G24" s="144"/>
      <c r="L24" s="145"/>
      <c r="M24" s="53"/>
      <c r="N24" s="146"/>
      <c r="O24" s="147"/>
      <c r="P24" s="148"/>
      <c r="Q24" s="132"/>
      <c r="R24" s="133"/>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c r="BK24" s="126"/>
      <c r="BL24" s="126"/>
      <c r="BM24" s="126"/>
    </row>
    <row r="25" spans="1:65" ht="15.75">
      <c r="A25" s="157"/>
      <c r="B25" s="126"/>
      <c r="C25" s="48" t="s">
        <v>381</v>
      </c>
      <c r="D25" s="48"/>
      <c r="E25" s="55"/>
      <c r="F25" s="55"/>
      <c r="G25" s="53"/>
      <c r="H25" s="126"/>
      <c r="I25" s="126"/>
      <c r="J25" s="126"/>
      <c r="K25" s="126"/>
      <c r="L25" s="53"/>
      <c r="M25" s="53"/>
      <c r="N25" s="146"/>
      <c r="O25" s="147"/>
      <c r="P25" s="148"/>
      <c r="Q25" s="132"/>
      <c r="R25" s="133"/>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126"/>
      <c r="BG25" s="126"/>
      <c r="BH25" s="126"/>
      <c r="BI25" s="126"/>
      <c r="BJ25" s="126"/>
      <c r="BK25" s="126"/>
      <c r="BL25" s="126"/>
      <c r="BM25" s="126"/>
    </row>
    <row r="26" spans="1:65" ht="15.75">
      <c r="A26" s="157" t="s">
        <v>334</v>
      </c>
      <c r="B26" s="126"/>
      <c r="C26" s="48" t="s">
        <v>382</v>
      </c>
      <c r="D26" s="48"/>
      <c r="E26" s="142" t="s">
        <v>386</v>
      </c>
      <c r="F26" s="142"/>
      <c r="G26" s="30">
        <f>+'Nonlevelized-IOU'!I160+'Nonlevelized-IOU'!I161</f>
        <v>1507401.6311104319</v>
      </c>
      <c r="H26" s="126"/>
      <c r="I26" s="126"/>
      <c r="J26" s="126"/>
      <c r="K26" s="126"/>
      <c r="L26" s="126"/>
      <c r="M26" s="53"/>
      <c r="N26" s="146"/>
      <c r="O26" s="147"/>
      <c r="P26" s="148"/>
      <c r="Q26" s="132"/>
      <c r="R26" s="133"/>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126"/>
      <c r="BD26" s="126"/>
      <c r="BE26" s="126"/>
      <c r="BF26" s="126"/>
      <c r="BG26" s="126"/>
      <c r="BH26" s="126"/>
      <c r="BI26" s="126"/>
      <c r="BJ26" s="126"/>
      <c r="BK26" s="126"/>
      <c r="BL26" s="126"/>
      <c r="BM26" s="126"/>
    </row>
    <row r="27" spans="1:65" ht="15.75">
      <c r="A27" s="157" t="s">
        <v>336</v>
      </c>
      <c r="B27" s="126"/>
      <c r="C27" s="48" t="s">
        <v>383</v>
      </c>
      <c r="D27" s="48"/>
      <c r="E27" s="142" t="s">
        <v>338</v>
      </c>
      <c r="F27" s="142"/>
      <c r="G27" s="144">
        <f>IF(G26=0,0,G26/G18)</f>
        <v>1.0718509524775398E-3</v>
      </c>
      <c r="H27" s="126"/>
      <c r="I27" s="126"/>
      <c r="J27" s="126"/>
      <c r="K27" s="126"/>
      <c r="L27" s="145">
        <f>G27</f>
        <v>1.0718509524775398E-3</v>
      </c>
      <c r="M27" s="53"/>
      <c r="N27" s="146"/>
      <c r="O27" s="147"/>
      <c r="P27" s="148"/>
      <c r="Q27" s="132"/>
      <c r="R27" s="133"/>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6"/>
      <c r="BC27" s="126"/>
      <c r="BD27" s="126"/>
      <c r="BE27" s="126"/>
      <c r="BF27" s="126"/>
      <c r="BG27" s="126"/>
      <c r="BH27" s="126"/>
      <c r="BI27" s="126"/>
      <c r="BJ27" s="126"/>
      <c r="BK27" s="126"/>
      <c r="BL27" s="126"/>
      <c r="BM27" s="126"/>
    </row>
    <row r="28" spans="1:65" ht="15.75">
      <c r="A28" s="141"/>
      <c r="C28" s="48"/>
      <c r="D28" s="48"/>
      <c r="E28" s="142"/>
      <c r="F28" s="142"/>
      <c r="G28" s="144"/>
      <c r="L28" s="145"/>
      <c r="M28" s="53"/>
      <c r="N28" s="146"/>
      <c r="O28" s="147"/>
      <c r="P28" s="148"/>
      <c r="Q28" s="132"/>
      <c r="R28" s="133"/>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6"/>
      <c r="BC28" s="126"/>
      <c r="BD28" s="126"/>
      <c r="BE28" s="126"/>
      <c r="BF28" s="126"/>
      <c r="BG28" s="126"/>
      <c r="BH28" s="126"/>
      <c r="BI28" s="126"/>
      <c r="BJ28" s="126"/>
      <c r="BK28" s="126"/>
      <c r="BL28" s="126"/>
      <c r="BM28" s="126"/>
    </row>
    <row r="29" spans="1:65">
      <c r="A29" s="149"/>
      <c r="C29" s="48" t="s">
        <v>278</v>
      </c>
      <c r="D29" s="48"/>
      <c r="E29" s="55"/>
      <c r="F29" s="55"/>
      <c r="G29" s="53"/>
      <c r="L29" s="53"/>
      <c r="M29" s="53"/>
      <c r="N29" s="53"/>
      <c r="O29" s="132"/>
      <c r="P29" s="53"/>
      <c r="Q29" s="132"/>
      <c r="R29" s="133"/>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c r="BD29" s="126"/>
      <c r="BE29" s="126"/>
      <c r="BF29" s="126"/>
      <c r="BG29" s="126"/>
      <c r="BH29" s="126"/>
      <c r="BI29" s="126"/>
      <c r="BJ29" s="126"/>
      <c r="BK29" s="126"/>
      <c r="BL29" s="126"/>
      <c r="BM29" s="126"/>
    </row>
    <row r="30" spans="1:65" ht="15.75">
      <c r="A30" s="149" t="s">
        <v>339</v>
      </c>
      <c r="C30" s="48" t="s">
        <v>280</v>
      </c>
      <c r="D30" s="48"/>
      <c r="E30" s="142" t="s">
        <v>335</v>
      </c>
      <c r="F30" s="142"/>
      <c r="G30" s="30">
        <f>+'Nonlevelized-IOU'!I173</f>
        <v>5556820.0562718362</v>
      </c>
      <c r="M30" s="53"/>
      <c r="N30" s="150"/>
      <c r="O30" s="132"/>
      <c r="P30" s="151"/>
      <c r="Q30" s="135"/>
      <c r="R30" s="133"/>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6"/>
      <c r="AQ30" s="126"/>
      <c r="AR30" s="126"/>
      <c r="AS30" s="126"/>
      <c r="AT30" s="126"/>
      <c r="AU30" s="126"/>
      <c r="AV30" s="126"/>
      <c r="AW30" s="126"/>
      <c r="AX30" s="126"/>
      <c r="AY30" s="126"/>
      <c r="AZ30" s="126"/>
      <c r="BA30" s="126"/>
      <c r="BB30" s="126"/>
      <c r="BC30" s="126"/>
      <c r="BD30" s="126"/>
      <c r="BE30" s="126"/>
      <c r="BF30" s="126"/>
      <c r="BG30" s="126"/>
      <c r="BH30" s="126"/>
      <c r="BI30" s="126"/>
      <c r="BJ30" s="126"/>
      <c r="BK30" s="126"/>
      <c r="BL30" s="126"/>
      <c r="BM30" s="126"/>
    </row>
    <row r="31" spans="1:65" ht="15.75">
      <c r="A31" s="149" t="s">
        <v>341</v>
      </c>
      <c r="C31" s="48" t="s">
        <v>337</v>
      </c>
      <c r="D31" s="48"/>
      <c r="E31" s="142" t="s">
        <v>421</v>
      </c>
      <c r="F31" s="142"/>
      <c r="G31" s="144">
        <f>IF(G30=0,0,G30/G18)</f>
        <v>3.9512249072423374E-3</v>
      </c>
      <c r="L31" s="145">
        <f>G31</f>
        <v>3.9512249072423374E-3</v>
      </c>
      <c r="M31" s="53"/>
      <c r="N31" s="146"/>
      <c r="O31" s="132"/>
      <c r="P31" s="148"/>
      <c r="Q31" s="135"/>
      <c r="R31" s="133"/>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6"/>
      <c r="BD31" s="126"/>
      <c r="BE31" s="126"/>
      <c r="BF31" s="126"/>
      <c r="BG31" s="126"/>
      <c r="BH31" s="126"/>
      <c r="BI31" s="126"/>
      <c r="BJ31" s="126"/>
      <c r="BK31" s="126"/>
      <c r="BL31" s="126"/>
      <c r="BM31" s="126"/>
    </row>
    <row r="32" spans="1:65">
      <c r="A32" s="149"/>
      <c r="C32" s="48"/>
      <c r="D32" s="48"/>
      <c r="E32" s="142"/>
      <c r="F32" s="142"/>
      <c r="G32" s="53"/>
      <c r="L32" s="53"/>
      <c r="M32" s="53"/>
      <c r="Q32" s="132"/>
      <c r="R32" s="133"/>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126"/>
      <c r="BG32" s="126"/>
      <c r="BH32" s="126"/>
      <c r="BI32" s="126"/>
      <c r="BJ32" s="126"/>
      <c r="BK32" s="126"/>
      <c r="BL32" s="126"/>
      <c r="BM32" s="126"/>
    </row>
    <row r="33" spans="1:65" ht="15.75">
      <c r="A33" s="152" t="s">
        <v>276</v>
      </c>
      <c r="B33" s="153"/>
      <c r="C33" s="139" t="s">
        <v>340</v>
      </c>
      <c r="D33" s="139"/>
      <c r="E33" s="134" t="s">
        <v>387</v>
      </c>
      <c r="F33" s="134"/>
      <c r="G33" s="154"/>
      <c r="L33" s="155">
        <f>L23+L27+L31</f>
        <v>2.8104157970715124E-2</v>
      </c>
      <c r="M33" s="53"/>
      <c r="Q33" s="132"/>
      <c r="R33" s="133"/>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26"/>
      <c r="BM33" s="126"/>
    </row>
    <row r="34" spans="1:65">
      <c r="A34" s="149"/>
      <c r="C34" s="48"/>
      <c r="D34" s="48"/>
      <c r="E34" s="142"/>
      <c r="F34" s="142"/>
      <c r="G34" s="53"/>
      <c r="L34" s="53"/>
      <c r="M34" s="53"/>
      <c r="N34" s="53"/>
      <c r="O34" s="132"/>
      <c r="P34" s="156"/>
      <c r="Q34" s="132"/>
      <c r="R34" s="133"/>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row>
    <row r="35" spans="1:65">
      <c r="A35" s="157"/>
      <c r="B35" s="158"/>
      <c r="C35" s="53" t="s">
        <v>282</v>
      </c>
      <c r="D35" s="53"/>
      <c r="E35" s="142"/>
      <c r="F35" s="142"/>
      <c r="G35" s="53"/>
      <c r="L35" s="53"/>
      <c r="M35" s="159"/>
      <c r="N35" s="158"/>
      <c r="Q35" s="135"/>
      <c r="R35" s="132" t="s">
        <v>9</v>
      </c>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row>
    <row r="36" spans="1:65">
      <c r="A36" s="149" t="s">
        <v>277</v>
      </c>
      <c r="B36" s="158"/>
      <c r="C36" s="53" t="s">
        <v>181</v>
      </c>
      <c r="D36" s="53"/>
      <c r="E36" s="142" t="s">
        <v>342</v>
      </c>
      <c r="F36" s="142"/>
      <c r="G36" s="30">
        <f>+'Nonlevelized-IOU'!I185</f>
        <v>27071878.768324576</v>
      </c>
      <c r="L36" s="53"/>
      <c r="M36" s="159"/>
      <c r="N36" s="158"/>
      <c r="Q36" s="135"/>
      <c r="R36" s="132"/>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row>
    <row r="37" spans="1:65">
      <c r="A37" s="149" t="s">
        <v>279</v>
      </c>
      <c r="B37" s="158"/>
      <c r="C37" s="53" t="s">
        <v>343</v>
      </c>
      <c r="D37" s="53"/>
      <c r="E37" s="142" t="s">
        <v>346</v>
      </c>
      <c r="F37" s="142"/>
      <c r="G37" s="144">
        <f>IF(G36=0,0,G36/G19)</f>
        <v>2.9185945413859302E-2</v>
      </c>
      <c r="L37" s="145">
        <f>G37</f>
        <v>2.9185945413859302E-2</v>
      </c>
      <c r="M37" s="159"/>
      <c r="N37" s="158"/>
      <c r="O37" s="132"/>
      <c r="P37" s="132"/>
      <c r="Q37" s="135"/>
      <c r="R37" s="132"/>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row>
    <row r="38" spans="1:65">
      <c r="A38" s="149"/>
      <c r="C38" s="53"/>
      <c r="D38" s="53"/>
      <c r="E38" s="142"/>
      <c r="F38" s="142"/>
      <c r="G38" s="53"/>
      <c r="L38" s="53"/>
      <c r="M38" s="53"/>
      <c r="O38" s="124"/>
      <c r="P38" s="132"/>
      <c r="Q38" s="124"/>
      <c r="R38" s="133"/>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row>
    <row r="39" spans="1:65">
      <c r="A39" s="149"/>
      <c r="C39" s="48" t="s">
        <v>89</v>
      </c>
      <c r="D39" s="48"/>
      <c r="E39" s="160"/>
      <c r="F39" s="160"/>
      <c r="M39" s="53"/>
      <c r="O39" s="132"/>
      <c r="P39" s="132"/>
      <c r="Q39" s="132"/>
      <c r="R39" s="133"/>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row>
    <row r="40" spans="1:65">
      <c r="A40" s="149" t="s">
        <v>281</v>
      </c>
      <c r="C40" s="48" t="s">
        <v>283</v>
      </c>
      <c r="D40" s="48"/>
      <c r="E40" s="142" t="s">
        <v>344</v>
      </c>
      <c r="F40" s="142"/>
      <c r="G40" s="30">
        <f>+'Nonlevelized-IOU'!I187</f>
        <v>59996944.223632373</v>
      </c>
      <c r="L40" s="53"/>
      <c r="M40" s="53"/>
      <c r="O40" s="132"/>
      <c r="P40" s="132"/>
      <c r="Q40" s="132"/>
      <c r="R40" s="133"/>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126"/>
      <c r="BC40" s="126"/>
      <c r="BD40" s="126"/>
      <c r="BE40" s="126"/>
      <c r="BF40" s="126"/>
      <c r="BG40" s="126"/>
      <c r="BH40" s="126"/>
      <c r="BI40" s="126"/>
      <c r="BJ40" s="126"/>
      <c r="BK40" s="126"/>
      <c r="BL40" s="126"/>
      <c r="BM40" s="126"/>
    </row>
    <row r="41" spans="1:65">
      <c r="A41" s="149" t="s">
        <v>384</v>
      </c>
      <c r="B41" s="158"/>
      <c r="C41" s="53" t="s">
        <v>345</v>
      </c>
      <c r="D41" s="53"/>
      <c r="E41" s="142" t="s">
        <v>422</v>
      </c>
      <c r="F41" s="142"/>
      <c r="G41" s="161">
        <f>IF(G40=0,0,G40/G19)</f>
        <v>6.4682157972653545E-2</v>
      </c>
      <c r="L41" s="145">
        <f>G41</f>
        <v>6.4682157972653545E-2</v>
      </c>
      <c r="M41" s="53"/>
      <c r="P41" s="162"/>
      <c r="Q41" s="135"/>
      <c r="R41" s="132"/>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126"/>
      <c r="BA41" s="126"/>
      <c r="BB41" s="126"/>
      <c r="BC41" s="126"/>
      <c r="BD41" s="126"/>
      <c r="BE41" s="126"/>
      <c r="BF41" s="126"/>
      <c r="BG41" s="126"/>
      <c r="BH41" s="126"/>
      <c r="BI41" s="126"/>
      <c r="BJ41" s="126"/>
      <c r="BK41" s="126"/>
      <c r="BL41" s="126"/>
      <c r="BM41" s="126"/>
    </row>
    <row r="42" spans="1:65">
      <c r="A42" s="149"/>
      <c r="C42" s="48"/>
      <c r="D42" s="48"/>
      <c r="E42" s="142"/>
      <c r="F42" s="142"/>
      <c r="G42" s="53"/>
      <c r="L42" s="53"/>
      <c r="M42" s="53"/>
      <c r="N42" s="160"/>
      <c r="O42" s="132"/>
      <c r="P42" s="132"/>
      <c r="Q42" s="132"/>
      <c r="R42" s="133"/>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6"/>
      <c r="BC42" s="126"/>
      <c r="BD42" s="126"/>
      <c r="BE42" s="126"/>
      <c r="BF42" s="126"/>
      <c r="BG42" s="126"/>
      <c r="BH42" s="126"/>
      <c r="BI42" s="126"/>
      <c r="BJ42" s="126"/>
      <c r="BK42" s="126"/>
      <c r="BL42" s="126"/>
      <c r="BM42" s="126"/>
    </row>
    <row r="43" spans="1:65" ht="15.75">
      <c r="A43" s="152" t="s">
        <v>385</v>
      </c>
      <c r="B43" s="153"/>
      <c r="C43" s="139" t="s">
        <v>347</v>
      </c>
      <c r="D43" s="139"/>
      <c r="E43" s="134" t="s">
        <v>413</v>
      </c>
      <c r="F43" s="134"/>
      <c r="G43" s="154"/>
      <c r="L43" s="155">
        <f>L37+L41</f>
        <v>9.3868103386512844E-2</v>
      </c>
      <c r="M43" s="53"/>
      <c r="N43" s="160"/>
      <c r="O43" s="132"/>
      <c r="P43" s="132"/>
      <c r="Q43" s="132"/>
      <c r="R43" s="133"/>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6"/>
      <c r="AR43" s="126"/>
      <c r="AS43" s="126"/>
      <c r="AT43" s="126"/>
      <c r="AU43" s="126"/>
      <c r="AV43" s="126"/>
      <c r="AW43" s="126"/>
      <c r="AX43" s="126"/>
      <c r="AY43" s="126"/>
      <c r="AZ43" s="126"/>
      <c r="BA43" s="126"/>
      <c r="BB43" s="126"/>
      <c r="BC43" s="126"/>
      <c r="BD43" s="126"/>
      <c r="BE43" s="126"/>
      <c r="BF43" s="126"/>
      <c r="BG43" s="126"/>
      <c r="BH43" s="126"/>
      <c r="BI43" s="126"/>
      <c r="BJ43" s="126"/>
      <c r="BK43" s="126"/>
      <c r="BL43" s="126"/>
      <c r="BM43" s="126"/>
    </row>
    <row r="44" spans="1:65">
      <c r="M44" s="163"/>
      <c r="N44" s="163"/>
      <c r="O44" s="132"/>
      <c r="P44" s="132"/>
      <c r="Q44" s="132"/>
      <c r="R44" s="133"/>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126"/>
      <c r="BB44" s="126"/>
      <c r="BC44" s="126"/>
      <c r="BD44" s="126"/>
      <c r="BE44" s="126"/>
      <c r="BF44" s="126"/>
      <c r="BG44" s="126"/>
      <c r="BH44" s="126"/>
      <c r="BI44" s="126"/>
      <c r="BJ44" s="126"/>
      <c r="BK44" s="126"/>
      <c r="BL44" s="126"/>
      <c r="BM44" s="126"/>
    </row>
    <row r="45" spans="1:65">
      <c r="M45" s="163"/>
      <c r="N45" s="163"/>
      <c r="O45" s="132"/>
      <c r="P45" s="132"/>
      <c r="Q45" s="132"/>
      <c r="R45" s="133"/>
      <c r="S45" s="126"/>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26"/>
      <c r="AZ45" s="126"/>
      <c r="BA45" s="126"/>
      <c r="BB45" s="126"/>
      <c r="BC45" s="126"/>
      <c r="BD45" s="126"/>
      <c r="BE45" s="126"/>
      <c r="BF45" s="126"/>
      <c r="BG45" s="126"/>
      <c r="BH45" s="126"/>
      <c r="BI45" s="126"/>
      <c r="BJ45" s="126"/>
      <c r="BK45" s="126"/>
      <c r="BL45" s="126"/>
      <c r="BM45" s="126"/>
    </row>
    <row r="46" spans="1:65">
      <c r="M46" s="163"/>
      <c r="N46" s="163"/>
      <c r="O46" s="132"/>
      <c r="P46" s="132"/>
      <c r="Q46" s="132"/>
      <c r="R46" s="133"/>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126"/>
      <c r="BA46" s="126"/>
      <c r="BB46" s="126"/>
      <c r="BC46" s="126"/>
      <c r="BD46" s="126"/>
      <c r="BE46" s="126"/>
      <c r="BF46" s="126"/>
      <c r="BG46" s="126"/>
      <c r="BH46" s="126"/>
      <c r="BI46" s="126"/>
      <c r="BJ46" s="126"/>
      <c r="BK46" s="126"/>
      <c r="BL46" s="126"/>
      <c r="BM46" s="126"/>
    </row>
    <row r="47" spans="1:65">
      <c r="M47" s="51"/>
      <c r="N47" s="51"/>
      <c r="O47" s="133"/>
      <c r="P47" s="133"/>
      <c r="Q47" s="133"/>
      <c r="R47" s="133"/>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c r="BK47" s="126"/>
      <c r="BL47" s="126"/>
      <c r="BM47" s="126"/>
    </row>
    <row r="48" spans="1:65">
      <c r="M48" s="53"/>
      <c r="N48" s="53"/>
      <c r="O48" s="132"/>
      <c r="P48" s="124"/>
      <c r="Q48" s="132"/>
      <c r="R48" s="133"/>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26"/>
      <c r="BM48" s="126"/>
    </row>
    <row r="49" spans="1:65" ht="15.75">
      <c r="M49" s="53"/>
      <c r="N49" s="146"/>
      <c r="O49" s="132"/>
      <c r="P49" s="132"/>
      <c r="Q49" s="151"/>
      <c r="R49" s="132"/>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126"/>
      <c r="BA49" s="126"/>
      <c r="BB49" s="126"/>
      <c r="BC49" s="126"/>
      <c r="BD49" s="126"/>
      <c r="BE49" s="126"/>
      <c r="BF49" s="126"/>
      <c r="BG49" s="126"/>
      <c r="BH49" s="126"/>
      <c r="BI49" s="126"/>
      <c r="BJ49" s="126"/>
      <c r="BK49" s="126"/>
      <c r="BL49" s="126"/>
      <c r="BM49" s="126"/>
    </row>
    <row r="50" spans="1:65" ht="15.75">
      <c r="M50" s="53"/>
      <c r="N50" s="146"/>
      <c r="O50" s="132"/>
      <c r="P50" s="132"/>
      <c r="Q50" s="151"/>
      <c r="R50" s="132"/>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row>
    <row r="51" spans="1:65" ht="15.75">
      <c r="M51" s="53"/>
      <c r="N51" s="146"/>
      <c r="O51" s="132"/>
      <c r="P51" s="132"/>
      <c r="Q51" s="151"/>
      <c r="R51" s="132"/>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row>
    <row r="52" spans="1:65" ht="15.75">
      <c r="A52" s="157"/>
      <c r="B52" s="158"/>
      <c r="C52" s="47"/>
      <c r="D52" s="47"/>
      <c r="E52" s="55"/>
      <c r="F52" s="55"/>
      <c r="G52" s="53"/>
      <c r="H52" s="47"/>
      <c r="I52" s="47"/>
      <c r="J52" s="144"/>
      <c r="K52" s="47"/>
      <c r="L52" s="53"/>
      <c r="M52" s="53"/>
      <c r="N52" s="146"/>
      <c r="O52" s="132"/>
      <c r="P52" s="132"/>
      <c r="Q52" s="151"/>
      <c r="R52" s="132"/>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row>
    <row r="53" spans="1:65" ht="15.75">
      <c r="A53" s="157"/>
      <c r="B53" s="158"/>
      <c r="C53" s="47"/>
      <c r="D53" s="47"/>
      <c r="E53" s="55"/>
      <c r="F53" s="55"/>
      <c r="G53" s="53"/>
      <c r="H53" s="47"/>
      <c r="I53" s="47"/>
      <c r="J53" s="144"/>
      <c r="K53" s="47"/>
      <c r="L53" s="53"/>
      <c r="M53" s="53"/>
      <c r="N53" s="146"/>
      <c r="O53" s="132"/>
      <c r="P53" s="132"/>
      <c r="Q53" s="151"/>
      <c r="R53" s="132"/>
      <c r="S53" s="126"/>
      <c r="T53" s="126"/>
      <c r="U53" s="126"/>
      <c r="V53" s="126"/>
      <c r="W53" s="126"/>
      <c r="X53" s="126"/>
      <c r="Y53" s="126"/>
      <c r="Z53" s="126"/>
      <c r="AA53" s="126"/>
      <c r="AB53" s="126"/>
      <c r="AC53" s="126"/>
      <c r="AD53" s="126"/>
      <c r="AE53" s="126"/>
      <c r="AF53" s="126"/>
      <c r="AG53" s="126"/>
      <c r="AH53" s="126"/>
      <c r="AI53" s="126"/>
      <c r="AJ53" s="126"/>
      <c r="AK53" s="126"/>
      <c r="AL53" s="126"/>
      <c r="AM53" s="126"/>
      <c r="AN53" s="126"/>
      <c r="AO53" s="126"/>
      <c r="AP53" s="126"/>
      <c r="AQ53" s="126"/>
      <c r="AR53" s="126"/>
      <c r="AS53" s="126"/>
      <c r="AT53" s="126"/>
      <c r="AU53" s="126"/>
      <c r="AV53" s="126"/>
      <c r="AW53" s="126"/>
      <c r="AX53" s="126"/>
      <c r="AY53" s="126"/>
      <c r="AZ53" s="126"/>
      <c r="BA53" s="126"/>
      <c r="BB53" s="126"/>
      <c r="BC53" s="126"/>
      <c r="BD53" s="126"/>
      <c r="BE53" s="126"/>
      <c r="BF53" s="126"/>
      <c r="BG53" s="126"/>
      <c r="BH53" s="126"/>
      <c r="BI53" s="126"/>
      <c r="BJ53" s="126"/>
      <c r="BK53" s="126"/>
      <c r="BL53" s="126"/>
      <c r="BM53" s="126"/>
    </row>
    <row r="54" spans="1:65" ht="15.75">
      <c r="A54" s="164"/>
      <c r="B54" s="126"/>
      <c r="C54" s="157"/>
      <c r="D54" s="157"/>
      <c r="E54" s="55"/>
      <c r="F54" s="55"/>
      <c r="G54" s="53"/>
      <c r="H54" s="47"/>
      <c r="I54" s="47"/>
      <c r="J54" s="144"/>
      <c r="K54" s="47"/>
      <c r="M54" s="53"/>
      <c r="N54" s="165"/>
      <c r="O54" s="166"/>
      <c r="P54" s="132"/>
      <c r="Q54" s="151"/>
      <c r="R54" s="132"/>
      <c r="S54" s="126"/>
      <c r="T54" s="126"/>
      <c r="U54" s="126"/>
      <c r="V54" s="126"/>
      <c r="W54" s="126"/>
      <c r="X54" s="126"/>
      <c r="Y54" s="126"/>
      <c r="Z54" s="126"/>
      <c r="AA54" s="126"/>
      <c r="AB54" s="126"/>
      <c r="AC54" s="126"/>
      <c r="AD54" s="126"/>
      <c r="AE54" s="126"/>
      <c r="AF54" s="126"/>
      <c r="AG54" s="126"/>
      <c r="AH54" s="126"/>
      <c r="AI54" s="126"/>
      <c r="AJ54" s="126"/>
      <c r="AK54" s="126"/>
      <c r="AL54" s="126"/>
      <c r="AM54" s="126"/>
      <c r="AN54" s="126"/>
      <c r="AO54" s="126"/>
      <c r="AP54" s="126"/>
      <c r="AQ54" s="126"/>
      <c r="AR54" s="126"/>
      <c r="AS54" s="126"/>
      <c r="AT54" s="126"/>
      <c r="AU54" s="126"/>
      <c r="AV54" s="126"/>
      <c r="AW54" s="126"/>
      <c r="AX54" s="126"/>
      <c r="AY54" s="126"/>
      <c r="AZ54" s="126"/>
      <c r="BA54" s="126"/>
      <c r="BB54" s="126"/>
      <c r="BC54" s="126"/>
      <c r="BD54" s="126"/>
      <c r="BE54" s="126"/>
      <c r="BF54" s="126"/>
      <c r="BG54" s="126"/>
      <c r="BH54" s="126"/>
      <c r="BI54" s="126"/>
      <c r="BJ54" s="126"/>
      <c r="BK54" s="126"/>
      <c r="BL54" s="126"/>
      <c r="BM54" s="126"/>
    </row>
    <row r="55" spans="1:65" ht="15.75">
      <c r="A55" s="164"/>
      <c r="B55" s="126"/>
      <c r="C55" s="157"/>
      <c r="D55" s="157"/>
      <c r="E55" s="55"/>
      <c r="F55" s="55"/>
      <c r="G55" s="53"/>
      <c r="H55" s="47"/>
      <c r="I55" s="47"/>
      <c r="J55" s="144"/>
      <c r="K55" s="47"/>
      <c r="M55" s="53"/>
      <c r="N55" s="146"/>
      <c r="O55" s="166"/>
      <c r="P55" s="132"/>
      <c r="Q55" s="151"/>
      <c r="R55" s="132"/>
      <c r="S55" s="126"/>
      <c r="T55" s="126"/>
      <c r="U55" s="126"/>
      <c r="V55" s="126"/>
      <c r="W55" s="126"/>
      <c r="X55" s="126"/>
      <c r="Y55" s="126"/>
      <c r="Z55" s="126"/>
      <c r="AA55" s="126"/>
      <c r="AB55" s="126"/>
      <c r="AC55" s="126"/>
      <c r="AD55" s="126"/>
      <c r="AE55" s="126"/>
      <c r="AF55" s="126"/>
      <c r="AG55" s="126"/>
      <c r="AH55" s="126"/>
      <c r="AI55" s="126"/>
      <c r="AJ55" s="126"/>
      <c r="AK55" s="126"/>
      <c r="AL55" s="126"/>
      <c r="AM55" s="126"/>
      <c r="AN55" s="126"/>
      <c r="AO55" s="126"/>
      <c r="AP55" s="126"/>
      <c r="AQ55" s="126"/>
      <c r="AR55" s="126"/>
      <c r="AS55" s="126"/>
      <c r="AT55" s="126"/>
      <c r="AU55" s="126"/>
      <c r="AV55" s="126"/>
      <c r="AW55" s="126"/>
      <c r="AX55" s="126"/>
      <c r="AY55" s="126"/>
      <c r="AZ55" s="126"/>
      <c r="BA55" s="126"/>
      <c r="BB55" s="126"/>
      <c r="BC55" s="126"/>
      <c r="BD55" s="126"/>
      <c r="BE55" s="126"/>
      <c r="BF55" s="126"/>
      <c r="BG55" s="126"/>
      <c r="BH55" s="126"/>
      <c r="BI55" s="126"/>
      <c r="BJ55" s="126"/>
      <c r="BK55" s="126"/>
      <c r="BL55" s="126"/>
      <c r="BM55" s="126"/>
    </row>
    <row r="56" spans="1:65" ht="15.75">
      <c r="A56" s="167"/>
      <c r="B56" s="126"/>
      <c r="C56" s="157"/>
      <c r="D56" s="157"/>
      <c r="E56" s="55"/>
      <c r="F56" s="55"/>
      <c r="G56" s="53"/>
      <c r="H56" s="47"/>
      <c r="I56" s="47"/>
      <c r="J56" s="144"/>
      <c r="K56" s="47"/>
      <c r="M56" s="53"/>
      <c r="N56" s="146"/>
      <c r="O56" s="166"/>
      <c r="P56" s="132"/>
      <c r="Q56" s="151"/>
      <c r="R56" s="132"/>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126"/>
      <c r="BA56" s="126"/>
      <c r="BB56" s="126"/>
      <c r="BC56" s="126"/>
      <c r="BD56" s="126"/>
      <c r="BE56" s="126"/>
      <c r="BF56" s="126"/>
      <c r="BG56" s="126"/>
      <c r="BH56" s="126"/>
      <c r="BI56" s="126"/>
      <c r="BJ56" s="126"/>
      <c r="BK56" s="126"/>
      <c r="BL56" s="126"/>
      <c r="BM56" s="126"/>
    </row>
    <row r="57" spans="1:65">
      <c r="A57" s="128"/>
      <c r="C57" s="47"/>
      <c r="D57" s="47"/>
      <c r="E57" s="47"/>
      <c r="F57" s="47"/>
      <c r="G57" s="53"/>
      <c r="H57" s="47"/>
      <c r="I57" s="47"/>
      <c r="J57" s="47"/>
      <c r="K57" s="47"/>
      <c r="M57" s="53"/>
      <c r="N57" s="53"/>
      <c r="O57" s="132"/>
      <c r="P57" s="132"/>
      <c r="Q57" s="135"/>
      <c r="R57" s="132" t="s">
        <v>9</v>
      </c>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row>
    <row r="58" spans="1:65">
      <c r="N58" s="121"/>
    </row>
    <row r="59" spans="1:65">
      <c r="N59" s="121"/>
    </row>
    <row r="61" spans="1:65">
      <c r="A61" s="128"/>
      <c r="C61" s="47"/>
      <c r="D61" s="47"/>
      <c r="E61" s="47"/>
      <c r="F61" s="47"/>
      <c r="G61" s="53"/>
      <c r="H61" s="47"/>
      <c r="I61" s="47"/>
      <c r="J61" s="47"/>
      <c r="K61" s="47"/>
      <c r="M61" s="53"/>
      <c r="N61" s="121" t="s">
        <v>272</v>
      </c>
      <c r="O61" s="132"/>
      <c r="P61" s="124"/>
      <c r="Q61" s="132"/>
      <c r="R61" s="133"/>
      <c r="S61" s="126"/>
      <c r="T61" s="126"/>
      <c r="U61" s="126"/>
      <c r="V61" s="126"/>
      <c r="W61" s="126"/>
      <c r="X61" s="126"/>
      <c r="Y61" s="126"/>
      <c r="Z61" s="126"/>
      <c r="AA61" s="126"/>
      <c r="AB61" s="126"/>
      <c r="AC61" s="126"/>
      <c r="AD61" s="126"/>
      <c r="AE61" s="126"/>
      <c r="AF61" s="126"/>
      <c r="AG61" s="126"/>
      <c r="AH61" s="126"/>
      <c r="AI61" s="126"/>
      <c r="AJ61" s="126"/>
      <c r="AK61" s="126"/>
      <c r="AL61" s="126"/>
      <c r="AM61" s="126"/>
      <c r="AN61" s="126"/>
      <c r="AO61" s="126"/>
      <c r="AP61" s="126"/>
      <c r="AQ61" s="126"/>
      <c r="AR61" s="126"/>
      <c r="AS61" s="126"/>
      <c r="AT61" s="126"/>
      <c r="AU61" s="126"/>
      <c r="AV61" s="126"/>
      <c r="AW61" s="126"/>
      <c r="AX61" s="126"/>
      <c r="AY61" s="126"/>
      <c r="AZ61" s="126"/>
      <c r="BA61" s="126"/>
      <c r="BB61" s="126"/>
      <c r="BC61" s="126"/>
      <c r="BD61" s="126"/>
      <c r="BE61" s="126"/>
      <c r="BF61" s="126"/>
      <c r="BG61" s="126"/>
      <c r="BH61" s="126"/>
      <c r="BI61" s="126"/>
      <c r="BJ61" s="126"/>
      <c r="BK61" s="126"/>
      <c r="BL61" s="126"/>
      <c r="BM61" s="126"/>
    </row>
    <row r="62" spans="1:65">
      <c r="A62" s="128"/>
      <c r="C62" s="48" t="str">
        <f>C5</f>
        <v>Formula Rate calculation</v>
      </c>
      <c r="D62" s="48"/>
      <c r="E62" s="47"/>
      <c r="F62" s="47"/>
      <c r="G62" s="47" t="str">
        <f>G5</f>
        <v xml:space="preserve">     Rate Formula Template</v>
      </c>
      <c r="H62" s="47"/>
      <c r="I62" s="47"/>
      <c r="J62" s="47"/>
      <c r="K62" s="47"/>
      <c r="M62" s="53"/>
      <c r="N62" s="168" t="str">
        <f>N5</f>
        <v>For  the 12 months ended 12/31/2016</v>
      </c>
      <c r="O62" s="132"/>
      <c r="P62" s="124"/>
      <c r="Q62" s="132"/>
      <c r="R62" s="133"/>
      <c r="S62" s="126"/>
      <c r="T62" s="126"/>
      <c r="U62" s="126"/>
      <c r="V62" s="126"/>
      <c r="W62" s="126"/>
      <c r="X62" s="126"/>
      <c r="Y62" s="126"/>
      <c r="Z62" s="126"/>
      <c r="AA62" s="126"/>
      <c r="AB62" s="126"/>
      <c r="AC62" s="126"/>
      <c r="AD62" s="126"/>
      <c r="AE62" s="126"/>
      <c r="AF62" s="126"/>
      <c r="AG62" s="126"/>
      <c r="AH62" s="126"/>
      <c r="AI62" s="126"/>
      <c r="AJ62" s="126"/>
      <c r="AK62" s="126"/>
      <c r="AL62" s="126"/>
      <c r="AM62" s="126"/>
      <c r="AN62" s="126"/>
      <c r="AO62" s="126"/>
      <c r="AP62" s="126"/>
      <c r="AQ62" s="126"/>
      <c r="AR62" s="126"/>
      <c r="AS62" s="126"/>
      <c r="AT62" s="126"/>
      <c r="AU62" s="126"/>
      <c r="AV62" s="126"/>
      <c r="AW62" s="126"/>
      <c r="AX62" s="126"/>
      <c r="AY62" s="126"/>
      <c r="AZ62" s="126"/>
      <c r="BA62" s="126"/>
      <c r="BB62" s="126"/>
      <c r="BC62" s="126"/>
      <c r="BD62" s="126"/>
      <c r="BE62" s="126"/>
      <c r="BF62" s="126"/>
      <c r="BG62" s="126"/>
      <c r="BH62" s="126"/>
      <c r="BI62" s="126"/>
      <c r="BJ62" s="126"/>
      <c r="BK62" s="126"/>
      <c r="BL62" s="126"/>
      <c r="BM62" s="126"/>
    </row>
    <row r="63" spans="1:65">
      <c r="A63" s="128"/>
      <c r="C63" s="48"/>
      <c r="D63" s="48"/>
      <c r="E63" s="47"/>
      <c r="F63" s="47"/>
      <c r="G63" s="47" t="str">
        <f>G6</f>
        <v xml:space="preserve"> Utilizing Attachment O Data</v>
      </c>
      <c r="H63" s="47"/>
      <c r="I63" s="47"/>
      <c r="J63" s="47"/>
      <c r="K63" s="47"/>
      <c r="L63" s="53"/>
      <c r="M63" s="53"/>
      <c r="O63" s="132"/>
      <c r="P63" s="124"/>
      <c r="Q63" s="132"/>
      <c r="R63" s="133"/>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6"/>
      <c r="AS63" s="126"/>
      <c r="AT63" s="126"/>
      <c r="AU63" s="126"/>
      <c r="AV63" s="126"/>
      <c r="AW63" s="126"/>
      <c r="AX63" s="126"/>
      <c r="AY63" s="126"/>
      <c r="AZ63" s="126"/>
      <c r="BA63" s="126"/>
      <c r="BB63" s="126"/>
      <c r="BC63" s="126"/>
      <c r="BD63" s="126"/>
      <c r="BE63" s="126"/>
      <c r="BF63" s="126"/>
      <c r="BG63" s="126"/>
      <c r="BH63" s="126"/>
      <c r="BI63" s="126"/>
      <c r="BJ63" s="126"/>
      <c r="BK63" s="126"/>
      <c r="BL63" s="126"/>
      <c r="BM63" s="126"/>
    </row>
    <row r="64" spans="1:65" ht="14.25" customHeight="1">
      <c r="A64" s="128"/>
      <c r="C64" s="47"/>
      <c r="D64" s="47"/>
      <c r="E64" s="47"/>
      <c r="F64" s="47"/>
      <c r="G64" s="47"/>
      <c r="H64" s="47"/>
      <c r="I64" s="47"/>
      <c r="J64" s="47"/>
      <c r="K64" s="47"/>
      <c r="M64" s="53"/>
      <c r="N64" s="47" t="s">
        <v>284</v>
      </c>
      <c r="O64" s="132"/>
      <c r="P64" s="124"/>
      <c r="Q64" s="132"/>
      <c r="R64" s="133"/>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c r="AS64" s="126"/>
      <c r="AT64" s="126"/>
      <c r="AU64" s="126"/>
      <c r="AV64" s="126"/>
      <c r="AW64" s="126"/>
      <c r="AX64" s="126"/>
      <c r="AY64" s="126"/>
      <c r="AZ64" s="126"/>
      <c r="BA64" s="126"/>
      <c r="BB64" s="126"/>
      <c r="BC64" s="126"/>
      <c r="BD64" s="126"/>
      <c r="BE64" s="126"/>
      <c r="BF64" s="126"/>
      <c r="BG64" s="126"/>
      <c r="BH64" s="126"/>
      <c r="BI64" s="126"/>
      <c r="BJ64" s="126"/>
      <c r="BK64" s="126"/>
      <c r="BL64" s="126"/>
      <c r="BM64" s="126"/>
    </row>
    <row r="65" spans="1:65">
      <c r="A65" s="128"/>
      <c r="E65" s="47"/>
      <c r="F65" s="47"/>
      <c r="G65" s="47" t="str">
        <f>G8</f>
        <v>Duke Energy Indiana</v>
      </c>
      <c r="H65" s="47"/>
      <c r="I65" s="47"/>
      <c r="J65" s="47"/>
      <c r="K65" s="47"/>
      <c r="L65" s="47"/>
      <c r="M65" s="53"/>
      <c r="N65" s="53"/>
      <c r="O65" s="132"/>
      <c r="P65" s="124"/>
      <c r="Q65" s="132"/>
      <c r="R65" s="133"/>
      <c r="S65" s="1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c r="AS65" s="126"/>
      <c r="AT65" s="126"/>
      <c r="AU65" s="126"/>
      <c r="AV65" s="126"/>
      <c r="AW65" s="126"/>
      <c r="AX65" s="126"/>
      <c r="AY65" s="126"/>
      <c r="AZ65" s="126"/>
      <c r="BA65" s="126"/>
      <c r="BB65" s="126"/>
      <c r="BC65" s="126"/>
      <c r="BD65" s="126"/>
      <c r="BE65" s="126"/>
      <c r="BF65" s="126"/>
      <c r="BG65" s="126"/>
      <c r="BH65" s="126"/>
      <c r="BI65" s="126"/>
      <c r="BJ65" s="126"/>
      <c r="BK65" s="126"/>
      <c r="BL65" s="126"/>
      <c r="BM65" s="126"/>
    </row>
    <row r="66" spans="1:65">
      <c r="A66" s="128"/>
      <c r="E66" s="48"/>
      <c r="F66" s="48"/>
      <c r="G66" s="48"/>
      <c r="H66" s="48"/>
      <c r="I66" s="48"/>
      <c r="J66" s="48"/>
      <c r="K66" s="48"/>
      <c r="L66" s="48"/>
      <c r="M66" s="48"/>
      <c r="N66" s="48"/>
      <c r="O66" s="132"/>
      <c r="P66" s="124"/>
      <c r="Q66" s="132"/>
      <c r="R66" s="133"/>
      <c r="S66" s="126"/>
      <c r="T66" s="126"/>
      <c r="U66" s="126"/>
      <c r="V66" s="126"/>
      <c r="W66" s="126"/>
      <c r="X66" s="126"/>
      <c r="Y66" s="126"/>
      <c r="Z66" s="126"/>
      <c r="AA66" s="126"/>
      <c r="AB66" s="126"/>
      <c r="AC66" s="126"/>
      <c r="AD66" s="126"/>
      <c r="AE66" s="126"/>
      <c r="AF66" s="126"/>
      <c r="AG66" s="126"/>
      <c r="AH66" s="126"/>
      <c r="AI66" s="126"/>
      <c r="AJ66" s="126"/>
      <c r="AK66" s="126"/>
      <c r="AL66" s="126"/>
      <c r="AM66" s="126"/>
      <c r="AN66" s="126"/>
      <c r="AO66" s="126"/>
      <c r="AP66" s="126"/>
      <c r="AQ66" s="126"/>
      <c r="AR66" s="126"/>
      <c r="AS66" s="126"/>
      <c r="AT66" s="126"/>
      <c r="AU66" s="126"/>
      <c r="AV66" s="126"/>
      <c r="AW66" s="126"/>
      <c r="AX66" s="126"/>
      <c r="AY66" s="126"/>
      <c r="AZ66" s="126"/>
      <c r="BA66" s="126"/>
      <c r="BB66" s="126"/>
      <c r="BC66" s="126"/>
      <c r="BD66" s="126"/>
      <c r="BE66" s="126"/>
      <c r="BF66" s="126"/>
      <c r="BG66" s="126"/>
      <c r="BH66" s="126"/>
      <c r="BI66" s="126"/>
      <c r="BJ66" s="126"/>
      <c r="BK66" s="126"/>
      <c r="BL66" s="126"/>
      <c r="BM66" s="126"/>
    </row>
    <row r="67" spans="1:65" ht="15.75">
      <c r="A67" s="128"/>
      <c r="C67" s="47"/>
      <c r="D67" s="47"/>
      <c r="E67" s="139" t="s">
        <v>348</v>
      </c>
      <c r="F67" s="139"/>
      <c r="H67" s="51"/>
      <c r="I67" s="51"/>
      <c r="J67" s="51"/>
      <c r="K67" s="51"/>
      <c r="L67" s="51"/>
      <c r="M67" s="53"/>
      <c r="N67" s="53"/>
      <c r="O67" s="132"/>
      <c r="P67" s="124"/>
      <c r="Q67" s="132"/>
      <c r="R67" s="133"/>
      <c r="S67" s="126"/>
      <c r="T67" s="126"/>
      <c r="U67" s="126"/>
      <c r="V67" s="126"/>
      <c r="W67" s="126"/>
      <c r="X67" s="126"/>
      <c r="Y67" s="126"/>
      <c r="Z67" s="126"/>
      <c r="AA67" s="126"/>
      <c r="AB67" s="126"/>
      <c r="AC67" s="126"/>
      <c r="AD67" s="126"/>
      <c r="AE67" s="126"/>
      <c r="AF67" s="126"/>
      <c r="AG67" s="126"/>
      <c r="AH67" s="126"/>
      <c r="AI67" s="126"/>
      <c r="AJ67" s="126"/>
      <c r="AK67" s="126"/>
      <c r="AL67" s="126"/>
      <c r="AM67" s="126"/>
      <c r="AN67" s="126"/>
      <c r="AO67" s="126"/>
      <c r="AP67" s="126"/>
      <c r="AQ67" s="126"/>
      <c r="AR67" s="126"/>
      <c r="AS67" s="126"/>
      <c r="AT67" s="126"/>
      <c r="AU67" s="126"/>
      <c r="AV67" s="126"/>
      <c r="AW67" s="126"/>
      <c r="AX67" s="126"/>
      <c r="AY67" s="126"/>
      <c r="AZ67" s="126"/>
      <c r="BA67" s="126"/>
      <c r="BB67" s="126"/>
      <c r="BC67" s="126"/>
      <c r="BD67" s="126"/>
      <c r="BE67" s="126"/>
      <c r="BF67" s="126"/>
      <c r="BG67" s="126"/>
      <c r="BH67" s="126"/>
      <c r="BI67" s="126"/>
      <c r="BJ67" s="126"/>
      <c r="BK67" s="126"/>
      <c r="BL67" s="126"/>
      <c r="BM67" s="126"/>
    </row>
    <row r="68" spans="1:65" ht="15.75">
      <c r="A68" s="128"/>
      <c r="C68" s="47"/>
      <c r="D68" s="47"/>
      <c r="E68" s="139"/>
      <c r="F68" s="139"/>
      <c r="H68" s="51"/>
      <c r="I68" s="51"/>
      <c r="J68" s="51"/>
      <c r="K68" s="51"/>
      <c r="L68" s="51"/>
      <c r="M68" s="53"/>
      <c r="N68" s="53"/>
      <c r="O68" s="132"/>
      <c r="P68" s="124"/>
      <c r="Q68" s="132"/>
      <c r="R68" s="133"/>
      <c r="S68" s="126"/>
      <c r="T68" s="126"/>
      <c r="U68" s="126"/>
      <c r="V68" s="126"/>
      <c r="W68" s="126"/>
      <c r="X68" s="126"/>
      <c r="Y68" s="126"/>
      <c r="Z68" s="126"/>
      <c r="AA68" s="126"/>
      <c r="AB68" s="126"/>
      <c r="AC68" s="126"/>
      <c r="AD68" s="126"/>
      <c r="AE68" s="126"/>
      <c r="AF68" s="126"/>
      <c r="AG68" s="126"/>
      <c r="AH68" s="126"/>
      <c r="AI68" s="126"/>
      <c r="AJ68" s="126"/>
      <c r="AK68" s="126"/>
      <c r="AL68" s="126"/>
      <c r="AM68" s="126"/>
      <c r="AN68" s="126"/>
      <c r="AO68" s="126"/>
      <c r="AP68" s="126"/>
      <c r="AQ68" s="126"/>
      <c r="AR68" s="126"/>
      <c r="AS68" s="126"/>
      <c r="AT68" s="126"/>
      <c r="AU68" s="126"/>
      <c r="AV68" s="126"/>
      <c r="AW68" s="126"/>
      <c r="AX68" s="126"/>
      <c r="AY68" s="126"/>
      <c r="AZ68" s="126"/>
      <c r="BA68" s="126"/>
      <c r="BB68" s="126"/>
      <c r="BC68" s="126"/>
      <c r="BD68" s="126"/>
      <c r="BE68" s="126"/>
      <c r="BF68" s="126"/>
      <c r="BG68" s="126"/>
      <c r="BH68" s="126"/>
      <c r="BI68" s="126"/>
      <c r="BJ68" s="126"/>
      <c r="BK68" s="126"/>
      <c r="BL68" s="126"/>
      <c r="BM68" s="126"/>
    </row>
    <row r="69" spans="1:65" ht="15.75">
      <c r="A69" s="128"/>
      <c r="C69" s="169">
        <v>-1</v>
      </c>
      <c r="D69" s="169">
        <v>-2</v>
      </c>
      <c r="E69" s="169">
        <v>-3</v>
      </c>
      <c r="F69" s="169">
        <v>-4</v>
      </c>
      <c r="G69" s="169">
        <v>-5</v>
      </c>
      <c r="H69" s="169">
        <v>-6</v>
      </c>
      <c r="I69" s="169">
        <v>-7</v>
      </c>
      <c r="J69" s="169">
        <v>-8</v>
      </c>
      <c r="K69" s="169">
        <v>-9</v>
      </c>
      <c r="L69" s="169">
        <v>-10</v>
      </c>
      <c r="M69" s="169">
        <v>-11</v>
      </c>
      <c r="N69" s="169">
        <v>-12</v>
      </c>
      <c r="O69" s="132"/>
      <c r="P69" s="124"/>
      <c r="Q69" s="132"/>
      <c r="R69" s="133"/>
      <c r="S69" s="126"/>
      <c r="T69" s="126"/>
      <c r="U69" s="126"/>
      <c r="V69" s="126"/>
      <c r="W69" s="126"/>
      <c r="X69" s="126"/>
      <c r="Y69" s="126"/>
      <c r="Z69" s="126"/>
      <c r="AA69" s="126"/>
      <c r="AB69" s="126"/>
      <c r="AC69" s="126"/>
      <c r="AD69" s="126"/>
      <c r="AE69" s="126"/>
      <c r="AF69" s="126"/>
      <c r="AG69" s="126"/>
      <c r="AH69" s="126"/>
      <c r="AI69" s="126"/>
      <c r="AJ69" s="126"/>
      <c r="AK69" s="126"/>
      <c r="AL69" s="126"/>
      <c r="AM69" s="126"/>
      <c r="AN69" s="126"/>
      <c r="AO69" s="126"/>
      <c r="AP69" s="126"/>
      <c r="AQ69" s="126"/>
      <c r="AR69" s="126"/>
      <c r="AS69" s="126"/>
      <c r="AT69" s="126"/>
      <c r="AU69" s="126"/>
      <c r="AV69" s="126"/>
      <c r="AW69" s="126"/>
      <c r="AX69" s="126"/>
      <c r="AY69" s="126"/>
      <c r="AZ69" s="126"/>
      <c r="BA69" s="126"/>
      <c r="BB69" s="126"/>
      <c r="BC69" s="126"/>
      <c r="BD69" s="126"/>
      <c r="BE69" s="126"/>
      <c r="BF69" s="126"/>
      <c r="BG69" s="126"/>
      <c r="BH69" s="126"/>
      <c r="BI69" s="126"/>
      <c r="BJ69" s="126"/>
      <c r="BK69" s="126"/>
      <c r="BL69" s="126"/>
      <c r="BM69" s="126"/>
    </row>
    <row r="70" spans="1:65" ht="63">
      <c r="A70" s="170" t="s">
        <v>349</v>
      </c>
      <c r="B70" s="171"/>
      <c r="C70" s="171" t="s">
        <v>301</v>
      </c>
      <c r="D70" s="172" t="s">
        <v>350</v>
      </c>
      <c r="E70" s="173" t="s">
        <v>351</v>
      </c>
      <c r="F70" s="173" t="s">
        <v>340</v>
      </c>
      <c r="G70" s="174" t="s">
        <v>352</v>
      </c>
      <c r="H70" s="173" t="s">
        <v>353</v>
      </c>
      <c r="I70" s="173" t="s">
        <v>347</v>
      </c>
      <c r="J70" s="174" t="s">
        <v>354</v>
      </c>
      <c r="K70" s="173" t="s">
        <v>355</v>
      </c>
      <c r="L70" s="175" t="s">
        <v>356</v>
      </c>
      <c r="M70" s="176" t="s">
        <v>357</v>
      </c>
      <c r="N70" s="175" t="s">
        <v>358</v>
      </c>
      <c r="O70" s="147"/>
      <c r="P70" s="124"/>
      <c r="Q70" s="132"/>
      <c r="R70" s="133"/>
      <c r="S70" s="126"/>
      <c r="T70" s="126"/>
      <c r="U70" s="126"/>
      <c r="V70" s="126"/>
      <c r="W70" s="126"/>
      <c r="X70" s="126"/>
      <c r="Y70" s="126"/>
      <c r="Z70" s="126"/>
      <c r="AA70" s="126"/>
      <c r="AB70" s="126"/>
      <c r="AC70" s="126"/>
      <c r="AD70" s="126"/>
      <c r="AE70" s="126"/>
      <c r="AF70" s="126"/>
      <c r="AG70" s="126"/>
      <c r="AH70" s="126"/>
      <c r="AI70" s="126"/>
      <c r="AJ70" s="126"/>
      <c r="AK70" s="126"/>
      <c r="AL70" s="126"/>
      <c r="AM70" s="126"/>
      <c r="AN70" s="126"/>
      <c r="AO70" s="126"/>
      <c r="AP70" s="126"/>
      <c r="AQ70" s="126"/>
      <c r="AR70" s="126"/>
      <c r="AS70" s="126"/>
      <c r="AT70" s="126"/>
      <c r="AU70" s="126"/>
      <c r="AV70" s="126"/>
      <c r="AW70" s="126"/>
      <c r="AX70" s="126"/>
      <c r="AY70" s="126"/>
      <c r="AZ70" s="126"/>
      <c r="BA70" s="126"/>
      <c r="BB70" s="126"/>
      <c r="BC70" s="126"/>
      <c r="BD70" s="126"/>
      <c r="BE70" s="126"/>
      <c r="BF70" s="126"/>
      <c r="BG70" s="126"/>
      <c r="BH70" s="126"/>
      <c r="BI70" s="126"/>
      <c r="BJ70" s="126"/>
      <c r="BK70" s="126"/>
      <c r="BL70" s="126"/>
      <c r="BM70" s="126"/>
    </row>
    <row r="71" spans="1:65" ht="46.5" customHeight="1">
      <c r="A71" s="177"/>
      <c r="B71" s="178"/>
      <c r="C71" s="178"/>
      <c r="D71" s="178"/>
      <c r="E71" s="179" t="s">
        <v>25</v>
      </c>
      <c r="F71" s="179" t="s">
        <v>423</v>
      </c>
      <c r="G71" s="180" t="s">
        <v>359</v>
      </c>
      <c r="H71" s="179" t="s">
        <v>26</v>
      </c>
      <c r="I71" s="179" t="s">
        <v>424</v>
      </c>
      <c r="J71" s="180" t="s">
        <v>360</v>
      </c>
      <c r="K71" s="179" t="s">
        <v>361</v>
      </c>
      <c r="L71" s="180" t="s">
        <v>362</v>
      </c>
      <c r="M71" s="181" t="s">
        <v>285</v>
      </c>
      <c r="N71" s="182" t="s">
        <v>363</v>
      </c>
      <c r="O71" s="132"/>
      <c r="P71" s="124"/>
      <c r="Q71" s="132"/>
      <c r="R71" s="133"/>
      <c r="S71" s="126"/>
      <c r="T71" s="126"/>
      <c r="U71" s="126"/>
      <c r="V71" s="126"/>
      <c r="W71" s="126"/>
      <c r="X71" s="126"/>
      <c r="Y71" s="126"/>
      <c r="Z71" s="126"/>
      <c r="AA71" s="126"/>
      <c r="AB71" s="126"/>
      <c r="AC71" s="126"/>
      <c r="AD71" s="126"/>
      <c r="AE71" s="126"/>
      <c r="AF71" s="126"/>
      <c r="AG71" s="126"/>
      <c r="AH71" s="126"/>
      <c r="AI71" s="126"/>
      <c r="AJ71" s="126"/>
      <c r="AK71" s="126"/>
      <c r="AL71" s="126"/>
      <c r="AM71" s="126"/>
      <c r="AN71" s="126"/>
      <c r="AO71" s="126"/>
      <c r="AP71" s="126"/>
      <c r="AQ71" s="126"/>
      <c r="AR71" s="126"/>
      <c r="AS71" s="126"/>
      <c r="AT71" s="126"/>
      <c r="AU71" s="126"/>
      <c r="AV71" s="126"/>
      <c r="AW71" s="126"/>
      <c r="AX71" s="126"/>
      <c r="AY71" s="126"/>
      <c r="AZ71" s="126"/>
      <c r="BA71" s="126"/>
      <c r="BB71" s="126"/>
      <c r="BC71" s="126"/>
      <c r="BD71" s="126"/>
      <c r="BE71" s="126"/>
      <c r="BF71" s="126"/>
      <c r="BG71" s="126"/>
      <c r="BH71" s="126"/>
      <c r="BI71" s="126"/>
      <c r="BJ71" s="126"/>
      <c r="BK71" s="126"/>
      <c r="BL71" s="126"/>
      <c r="BM71" s="126"/>
    </row>
    <row r="72" spans="1:65">
      <c r="A72" s="183"/>
      <c r="B72" s="51"/>
      <c r="C72" s="51"/>
      <c r="D72" s="51"/>
      <c r="E72" s="51"/>
      <c r="F72" s="51"/>
      <c r="G72" s="184"/>
      <c r="H72" s="51"/>
      <c r="I72" s="51"/>
      <c r="J72" s="184"/>
      <c r="K72" s="51"/>
      <c r="L72" s="184"/>
      <c r="M72" s="53"/>
      <c r="N72" s="185"/>
      <c r="O72" s="132"/>
      <c r="P72" s="124"/>
      <c r="Q72" s="132"/>
      <c r="R72" s="133"/>
      <c r="S72" s="126"/>
      <c r="T72" s="126"/>
      <c r="U72" s="126"/>
      <c r="V72" s="126"/>
      <c r="W72" s="126"/>
      <c r="X72" s="126"/>
      <c r="Y72" s="126"/>
      <c r="Z72" s="126"/>
      <c r="AA72" s="126"/>
      <c r="AB72" s="126"/>
      <c r="AC72" s="126"/>
      <c r="AD72" s="126"/>
      <c r="AE72" s="126"/>
      <c r="AF72" s="126"/>
      <c r="AG72" s="126"/>
      <c r="AH72" s="126"/>
      <c r="AI72" s="126"/>
      <c r="AJ72" s="126"/>
      <c r="AK72" s="126"/>
      <c r="AL72" s="126"/>
      <c r="AM72" s="126"/>
      <c r="AN72" s="126"/>
      <c r="AO72" s="126"/>
      <c r="AP72" s="126"/>
      <c r="AQ72" s="126"/>
      <c r="AR72" s="126"/>
      <c r="AS72" s="126"/>
      <c r="AT72" s="126"/>
      <c r="AU72" s="126"/>
      <c r="AV72" s="126"/>
      <c r="AW72" s="126"/>
      <c r="AX72" s="126"/>
      <c r="AY72" s="126"/>
      <c r="AZ72" s="126"/>
      <c r="BA72" s="126"/>
      <c r="BB72" s="126"/>
      <c r="BC72" s="126"/>
      <c r="BD72" s="126"/>
      <c r="BE72" s="126"/>
      <c r="BF72" s="126"/>
      <c r="BG72" s="126"/>
      <c r="BH72" s="126"/>
      <c r="BI72" s="126"/>
      <c r="BJ72" s="126"/>
      <c r="BK72" s="126"/>
      <c r="BL72" s="126"/>
      <c r="BM72" s="126"/>
    </row>
    <row r="73" spans="1:65">
      <c r="A73" s="186" t="s">
        <v>4</v>
      </c>
      <c r="C73" s="120" t="s">
        <v>375</v>
      </c>
      <c r="D73" s="204">
        <v>852</v>
      </c>
      <c r="E73" s="187">
        <v>1257394.1399999999</v>
      </c>
      <c r="F73" s="145">
        <f>$L$33</f>
        <v>2.8104157970715124E-2</v>
      </c>
      <c r="G73" s="188">
        <f>E73*F73</f>
        <v>35338.003542011487</v>
      </c>
      <c r="H73" s="187">
        <v>995487</v>
      </c>
      <c r="I73" s="145">
        <f>$L$43</f>
        <v>9.3868103386512844E-2</v>
      </c>
      <c r="J73" s="207">
        <f>H73*I73</f>
        <v>93444.476635929517</v>
      </c>
      <c r="K73" s="189">
        <v>35641.43</v>
      </c>
      <c r="L73" s="207">
        <f>G73+J73+K73</f>
        <v>164423.910177941</v>
      </c>
      <c r="M73" s="190">
        <v>0</v>
      </c>
      <c r="N73" s="185">
        <f>L73+M73</f>
        <v>164423.910177941</v>
      </c>
      <c r="O73" s="191"/>
      <c r="P73" s="191"/>
      <c r="Q73" s="191"/>
      <c r="R73" s="191"/>
      <c r="S73" s="191"/>
      <c r="T73" s="191"/>
      <c r="U73" s="191"/>
    </row>
    <row r="74" spans="1:65">
      <c r="A74" s="186" t="s">
        <v>364</v>
      </c>
      <c r="C74" s="120" t="s">
        <v>378</v>
      </c>
      <c r="D74" s="204">
        <v>1263</v>
      </c>
      <c r="E74" s="187">
        <f>(11983364.56+145205.77)*0.5</f>
        <v>6064285.165</v>
      </c>
      <c r="F74" s="145">
        <f>$L$33</f>
        <v>2.8104157970715124E-2</v>
      </c>
      <c r="G74" s="188">
        <f>E74*F74</f>
        <v>170431.62825662424</v>
      </c>
      <c r="H74" s="187">
        <v>5107811</v>
      </c>
      <c r="I74" s="145">
        <f>$L$43</f>
        <v>9.3868103386512844E-2</v>
      </c>
      <c r="J74" s="207">
        <f>H74*I74</f>
        <v>479460.53102676757</v>
      </c>
      <c r="K74" s="189">
        <v>133842.63</v>
      </c>
      <c r="L74" s="207">
        <f>G74+J74+K74</f>
        <v>783734.78928339179</v>
      </c>
      <c r="M74" s="190">
        <v>0</v>
      </c>
      <c r="N74" s="185">
        <f>L74+M74</f>
        <v>783734.78928339179</v>
      </c>
      <c r="O74" s="191"/>
      <c r="P74" s="191"/>
      <c r="Q74" s="191"/>
      <c r="R74" s="191"/>
      <c r="S74" s="191"/>
      <c r="T74" s="191"/>
      <c r="U74" s="191"/>
    </row>
    <row r="75" spans="1:65">
      <c r="A75" s="186" t="s">
        <v>365</v>
      </c>
      <c r="C75" s="120" t="s">
        <v>426</v>
      </c>
      <c r="D75" s="204">
        <v>2050</v>
      </c>
      <c r="E75" s="187">
        <v>13833026</v>
      </c>
      <c r="F75" s="145">
        <f>$L$33</f>
        <v>2.8104157970715124E-2</v>
      </c>
      <c r="G75" s="188">
        <f>E75*F75</f>
        <v>388765.54791700956</v>
      </c>
      <c r="H75" s="187">
        <v>12409473</v>
      </c>
      <c r="I75" s="145">
        <f>$L$43</f>
        <v>9.3868103386512844E-2</v>
      </c>
      <c r="J75" s="207">
        <f>H75*I75</f>
        <v>1164853.6945361397</v>
      </c>
      <c r="K75" s="189">
        <v>285450.48</v>
      </c>
      <c r="L75" s="207">
        <f>G75+J75+K75</f>
        <v>1839069.7224531493</v>
      </c>
      <c r="M75" s="187">
        <v>0</v>
      </c>
      <c r="N75" s="185">
        <f>L75+M75</f>
        <v>1839069.7224531493</v>
      </c>
      <c r="O75" s="191"/>
      <c r="P75" s="191"/>
      <c r="Q75" s="191"/>
      <c r="R75" s="191"/>
      <c r="S75" s="191"/>
      <c r="T75" s="191"/>
      <c r="U75" s="191"/>
    </row>
    <row r="76" spans="1:65">
      <c r="A76" s="186" t="s">
        <v>526</v>
      </c>
      <c r="C76" s="120" t="s">
        <v>527</v>
      </c>
      <c r="D76" s="204">
        <v>852</v>
      </c>
      <c r="E76" s="187">
        <v>7174167.7300000004</v>
      </c>
      <c r="F76" s="145">
        <f>$L$33</f>
        <v>2.8104157970715124E-2</v>
      </c>
      <c r="G76" s="188">
        <f>E76*F76</f>
        <v>201623.94319232673</v>
      </c>
      <c r="H76" s="187">
        <v>6353665</v>
      </c>
      <c r="I76" s="145">
        <f>$L$43</f>
        <v>9.3868103386512844E-2</v>
      </c>
      <c r="J76" s="207">
        <f>H76*I76</f>
        <v>596406.48310326808</v>
      </c>
      <c r="K76" s="189">
        <v>209485.7</v>
      </c>
      <c r="L76" s="207">
        <f>G76+J76+K76</f>
        <v>1007516.1262955947</v>
      </c>
      <c r="M76" s="187">
        <v>0</v>
      </c>
      <c r="N76" s="185">
        <f>L76+M76</f>
        <v>1007516.1262955947</v>
      </c>
      <c r="O76" s="191"/>
      <c r="P76" s="191"/>
      <c r="Q76" s="191"/>
      <c r="R76" s="191"/>
      <c r="S76" s="191"/>
      <c r="T76" s="191"/>
      <c r="U76" s="191"/>
    </row>
    <row r="77" spans="1:65">
      <c r="A77" s="186"/>
      <c r="G77" s="188"/>
      <c r="J77" s="188"/>
      <c r="L77" s="188"/>
      <c r="N77" s="188"/>
      <c r="O77" s="191"/>
      <c r="P77" s="191"/>
      <c r="Q77" s="191"/>
      <c r="R77" s="191"/>
      <c r="S77" s="191"/>
      <c r="T77" s="191"/>
      <c r="U77" s="191"/>
    </row>
    <row r="78" spans="1:65">
      <c r="A78" s="186"/>
      <c r="G78" s="188"/>
      <c r="J78" s="188"/>
      <c r="L78" s="188"/>
      <c r="N78" s="188"/>
      <c r="O78" s="191"/>
      <c r="P78" s="191"/>
      <c r="Q78" s="191"/>
      <c r="R78" s="191"/>
      <c r="S78" s="191"/>
      <c r="T78" s="191"/>
      <c r="U78" s="191"/>
    </row>
    <row r="79" spans="1:65">
      <c r="A79" s="186"/>
      <c r="G79" s="188"/>
      <c r="J79" s="188"/>
      <c r="L79" s="188"/>
      <c r="N79" s="188"/>
      <c r="O79" s="191"/>
      <c r="P79" s="191"/>
      <c r="Q79" s="191"/>
      <c r="R79" s="191"/>
      <c r="S79" s="191"/>
      <c r="T79" s="191"/>
      <c r="U79" s="191"/>
    </row>
    <row r="80" spans="1:65">
      <c r="A80" s="186"/>
      <c r="G80" s="188"/>
      <c r="J80" s="188"/>
      <c r="L80" s="188"/>
      <c r="N80" s="188"/>
      <c r="O80" s="191"/>
      <c r="P80" s="191"/>
      <c r="Q80" s="191"/>
      <c r="R80" s="191"/>
      <c r="S80" s="191"/>
      <c r="T80" s="191"/>
      <c r="U80" s="191"/>
    </row>
    <row r="81" spans="1:21">
      <c r="A81" s="186"/>
      <c r="C81" s="191"/>
      <c r="D81" s="191"/>
      <c r="E81" s="191"/>
      <c r="F81" s="191"/>
      <c r="G81" s="192"/>
      <c r="H81" s="191"/>
      <c r="I81" s="191"/>
      <c r="J81" s="192"/>
      <c r="K81" s="191"/>
      <c r="L81" s="192"/>
      <c r="M81" s="191"/>
      <c r="N81" s="192"/>
      <c r="O81" s="191"/>
      <c r="P81" s="191"/>
      <c r="Q81" s="191"/>
      <c r="R81" s="191"/>
      <c r="S81" s="191"/>
      <c r="T81" s="191"/>
      <c r="U81" s="191"/>
    </row>
    <row r="82" spans="1:21">
      <c r="A82" s="186"/>
      <c r="C82" s="191"/>
      <c r="D82" s="191"/>
      <c r="E82" s="191"/>
      <c r="F82" s="191"/>
      <c r="G82" s="192"/>
      <c r="H82" s="191"/>
      <c r="I82" s="191"/>
      <c r="J82" s="192"/>
      <c r="K82" s="191"/>
      <c r="L82" s="192"/>
      <c r="M82" s="191"/>
      <c r="N82" s="192"/>
      <c r="O82" s="191"/>
      <c r="P82" s="191"/>
      <c r="Q82" s="191"/>
      <c r="R82" s="191"/>
      <c r="S82" s="191"/>
      <c r="T82" s="191"/>
      <c r="U82" s="191"/>
    </row>
    <row r="83" spans="1:21">
      <c r="A83" s="186"/>
      <c r="C83" s="191"/>
      <c r="D83" s="191"/>
      <c r="E83" s="191"/>
      <c r="F83" s="191"/>
      <c r="G83" s="192"/>
      <c r="H83" s="191"/>
      <c r="I83" s="191"/>
      <c r="J83" s="192"/>
      <c r="K83" s="191"/>
      <c r="L83" s="192"/>
      <c r="M83" s="191"/>
      <c r="N83" s="192"/>
      <c r="O83" s="191"/>
      <c r="P83" s="191"/>
      <c r="Q83" s="191"/>
      <c r="R83" s="191"/>
      <c r="S83" s="191"/>
      <c r="T83" s="191"/>
      <c r="U83" s="191"/>
    </row>
    <row r="84" spans="1:21">
      <c r="A84" s="186"/>
      <c r="C84" s="191"/>
      <c r="D84" s="191"/>
      <c r="E84" s="191"/>
      <c r="F84" s="191"/>
      <c r="G84" s="192"/>
      <c r="H84" s="191"/>
      <c r="I84" s="191"/>
      <c r="J84" s="192"/>
      <c r="K84" s="191"/>
      <c r="L84" s="192"/>
      <c r="M84" s="191"/>
      <c r="N84" s="192"/>
      <c r="O84" s="191"/>
      <c r="P84" s="191"/>
      <c r="Q84" s="191"/>
      <c r="R84" s="191"/>
      <c r="S84" s="191"/>
      <c r="T84" s="191"/>
      <c r="U84" s="191"/>
    </row>
    <row r="85" spans="1:21">
      <c r="A85" s="186"/>
      <c r="C85" s="191"/>
      <c r="D85" s="191"/>
      <c r="E85" s="191"/>
      <c r="F85" s="191"/>
      <c r="G85" s="192"/>
      <c r="H85" s="191"/>
      <c r="I85" s="191"/>
      <c r="J85" s="192"/>
      <c r="K85" s="191"/>
      <c r="L85" s="192"/>
      <c r="M85" s="191"/>
      <c r="N85" s="192"/>
      <c r="O85" s="191"/>
      <c r="P85" s="191"/>
      <c r="Q85" s="191"/>
      <c r="R85" s="191"/>
      <c r="S85" s="191"/>
      <c r="T85" s="191"/>
      <c r="U85" s="191"/>
    </row>
    <row r="86" spans="1:21">
      <c r="A86" s="186"/>
      <c r="C86" s="191"/>
      <c r="D86" s="191"/>
      <c r="E86" s="191"/>
      <c r="F86" s="191"/>
      <c r="G86" s="192"/>
      <c r="H86" s="191"/>
      <c r="I86" s="191"/>
      <c r="J86" s="192"/>
      <c r="K86" s="191"/>
      <c r="L86" s="192"/>
      <c r="M86" s="191"/>
      <c r="N86" s="192"/>
      <c r="O86" s="191"/>
      <c r="P86" s="191"/>
      <c r="Q86" s="191"/>
      <c r="R86" s="191"/>
      <c r="S86" s="191"/>
      <c r="T86" s="191"/>
      <c r="U86" s="191"/>
    </row>
    <row r="87" spans="1:21">
      <c r="A87" s="186"/>
      <c r="C87" s="191"/>
      <c r="D87" s="191"/>
      <c r="E87" s="191"/>
      <c r="F87" s="191"/>
      <c r="G87" s="192"/>
      <c r="H87" s="191"/>
      <c r="I87" s="191"/>
      <c r="J87" s="192"/>
      <c r="K87" s="191"/>
      <c r="L87" s="192"/>
      <c r="M87" s="191"/>
      <c r="N87" s="192"/>
      <c r="O87" s="191"/>
      <c r="P87" s="191"/>
      <c r="Q87" s="191"/>
      <c r="R87" s="191"/>
      <c r="S87" s="191"/>
      <c r="T87" s="191"/>
      <c r="U87" s="191"/>
    </row>
    <row r="88" spans="1:21">
      <c r="A88" s="186"/>
      <c r="C88" s="191"/>
      <c r="D88" s="191"/>
      <c r="E88" s="191"/>
      <c r="F88" s="191"/>
      <c r="G88" s="192"/>
      <c r="H88" s="191"/>
      <c r="I88" s="191"/>
      <c r="J88" s="192"/>
      <c r="K88" s="191"/>
      <c r="L88" s="192"/>
      <c r="M88" s="191"/>
      <c r="N88" s="192"/>
      <c r="O88" s="191"/>
      <c r="P88" s="191"/>
      <c r="Q88" s="191"/>
      <c r="R88" s="191"/>
      <c r="S88" s="191"/>
      <c r="T88" s="191"/>
      <c r="U88" s="191"/>
    </row>
    <row r="89" spans="1:21">
      <c r="A89" s="186"/>
      <c r="C89" s="191"/>
      <c r="D89" s="191"/>
      <c r="E89" s="191"/>
      <c r="F89" s="191"/>
      <c r="G89" s="192"/>
      <c r="H89" s="191"/>
      <c r="I89" s="191"/>
      <c r="J89" s="192"/>
      <c r="K89" s="191"/>
      <c r="L89" s="192"/>
      <c r="M89" s="191"/>
      <c r="N89" s="192"/>
      <c r="O89" s="191"/>
      <c r="P89" s="191"/>
      <c r="Q89" s="191"/>
      <c r="R89" s="191"/>
      <c r="S89" s="191"/>
      <c r="T89" s="191"/>
      <c r="U89" s="191"/>
    </row>
    <row r="90" spans="1:21">
      <c r="A90" s="186"/>
      <c r="C90" s="191"/>
      <c r="D90" s="191"/>
      <c r="E90" s="191"/>
      <c r="F90" s="191"/>
      <c r="G90" s="192"/>
      <c r="H90" s="191"/>
      <c r="I90" s="191"/>
      <c r="J90" s="192"/>
      <c r="K90" s="191"/>
      <c r="L90" s="192"/>
      <c r="M90" s="191"/>
      <c r="N90" s="192"/>
      <c r="O90" s="191"/>
      <c r="P90" s="191"/>
      <c r="Q90" s="191"/>
      <c r="R90" s="191"/>
      <c r="S90" s="191"/>
      <c r="T90" s="191"/>
      <c r="U90" s="191"/>
    </row>
    <row r="91" spans="1:21">
      <c r="A91" s="186"/>
      <c r="C91" s="191"/>
      <c r="D91" s="191"/>
      <c r="E91" s="191"/>
      <c r="F91" s="191"/>
      <c r="G91" s="192"/>
      <c r="H91" s="191"/>
      <c r="I91" s="191"/>
      <c r="J91" s="192"/>
      <c r="K91" s="191"/>
      <c r="L91" s="192"/>
      <c r="M91" s="191"/>
      <c r="N91" s="192"/>
      <c r="O91" s="191"/>
      <c r="P91" s="191"/>
      <c r="Q91" s="191"/>
      <c r="R91" s="191"/>
      <c r="S91" s="191"/>
      <c r="T91" s="191"/>
      <c r="U91" s="191"/>
    </row>
    <row r="92" spans="1:21">
      <c r="A92" s="193"/>
      <c r="B92" s="194"/>
      <c r="C92" s="195"/>
      <c r="D92" s="195"/>
      <c r="E92" s="195"/>
      <c r="F92" s="195"/>
      <c r="G92" s="196"/>
      <c r="H92" s="195"/>
      <c r="I92" s="195"/>
      <c r="J92" s="196"/>
      <c r="K92" s="195"/>
      <c r="L92" s="196"/>
      <c r="M92" s="195"/>
      <c r="N92" s="196"/>
      <c r="O92" s="191"/>
      <c r="P92" s="191"/>
      <c r="Q92" s="191"/>
      <c r="R92" s="191"/>
      <c r="S92" s="191"/>
      <c r="T92" s="191"/>
      <c r="U92" s="191"/>
    </row>
    <row r="93" spans="1:21">
      <c r="A93" s="131" t="s">
        <v>366</v>
      </c>
      <c r="B93" s="158"/>
      <c r="C93" s="48" t="s">
        <v>367</v>
      </c>
      <c r="D93" s="48"/>
      <c r="E93" s="55"/>
      <c r="F93" s="55"/>
      <c r="G93" s="53"/>
      <c r="H93" s="53"/>
      <c r="I93" s="53"/>
      <c r="J93" s="53"/>
      <c r="K93" s="53"/>
      <c r="L93" s="197">
        <f>SUM(L73:L92)</f>
        <v>3794744.548210077</v>
      </c>
      <c r="M93" s="197">
        <f>SUM(M73:M92)</f>
        <v>0</v>
      </c>
      <c r="N93" s="197">
        <f>SUM(N73:N92)</f>
        <v>3794744.548210077</v>
      </c>
      <c r="O93" s="191"/>
      <c r="P93" s="191"/>
      <c r="Q93" s="191"/>
      <c r="R93" s="191"/>
      <c r="S93" s="191"/>
      <c r="T93" s="191"/>
      <c r="U93" s="191"/>
    </row>
    <row r="94" spans="1:21">
      <c r="A94" s="35"/>
      <c r="B94" s="191"/>
      <c r="C94" s="191"/>
      <c r="D94" s="191"/>
      <c r="E94" s="191"/>
      <c r="F94" s="191"/>
      <c r="G94" s="191"/>
      <c r="H94" s="191"/>
      <c r="I94" s="191"/>
      <c r="J94" s="191"/>
      <c r="K94" s="191"/>
      <c r="L94" s="191"/>
      <c r="M94" s="191"/>
      <c r="N94" s="191"/>
      <c r="O94" s="191"/>
      <c r="P94" s="191"/>
      <c r="Q94" s="191"/>
      <c r="R94" s="191"/>
      <c r="S94" s="191"/>
      <c r="T94" s="191"/>
      <c r="U94" s="191"/>
    </row>
    <row r="95" spans="1:21">
      <c r="A95" s="274">
        <v>3</v>
      </c>
      <c r="B95" s="191"/>
      <c r="C95" s="47" t="s">
        <v>368</v>
      </c>
      <c r="D95" s="191"/>
      <c r="E95" s="191"/>
      <c r="F95" s="191"/>
      <c r="G95" s="191"/>
      <c r="H95" s="191"/>
      <c r="I95" s="191"/>
      <c r="J95" s="191"/>
      <c r="K95" s="191"/>
      <c r="L95" s="197">
        <f>L93</f>
        <v>3794744.548210077</v>
      </c>
      <c r="M95" s="191"/>
      <c r="N95" s="191"/>
      <c r="O95" s="191"/>
      <c r="P95" s="191"/>
      <c r="Q95" s="191"/>
      <c r="R95" s="191"/>
      <c r="S95" s="191"/>
      <c r="T95" s="191"/>
      <c r="U95" s="191"/>
    </row>
    <row r="96" spans="1:21">
      <c r="A96" s="191"/>
      <c r="B96" s="191"/>
      <c r="C96" s="191"/>
      <c r="D96" s="191"/>
      <c r="E96" s="191"/>
      <c r="F96" s="191"/>
      <c r="G96" s="191"/>
      <c r="H96" s="191"/>
      <c r="I96" s="191"/>
      <c r="J96" s="191"/>
      <c r="K96" s="191"/>
      <c r="L96" s="191"/>
      <c r="M96" s="191"/>
      <c r="N96" s="191"/>
      <c r="O96" s="191"/>
      <c r="P96" s="191"/>
      <c r="Q96" s="191"/>
      <c r="R96" s="191"/>
      <c r="S96" s="191"/>
      <c r="T96" s="191"/>
      <c r="U96" s="191"/>
    </row>
    <row r="97" spans="1:21">
      <c r="A97" s="191"/>
      <c r="B97" s="191"/>
      <c r="C97" s="191"/>
      <c r="D97" s="191"/>
      <c r="E97" s="191"/>
      <c r="F97" s="191"/>
      <c r="G97" s="191"/>
      <c r="H97" s="191"/>
      <c r="I97" s="191"/>
      <c r="J97" s="191"/>
      <c r="K97" s="191"/>
      <c r="L97" s="191"/>
      <c r="M97" s="191"/>
      <c r="N97" s="191"/>
      <c r="O97" s="191"/>
      <c r="P97" s="191"/>
      <c r="Q97" s="191"/>
      <c r="R97" s="191"/>
      <c r="S97" s="191"/>
      <c r="T97" s="191"/>
      <c r="U97" s="191"/>
    </row>
    <row r="98" spans="1:21">
      <c r="A98" s="47" t="s">
        <v>132</v>
      </c>
      <c r="B98" s="191"/>
      <c r="C98" s="191"/>
      <c r="D98" s="191"/>
      <c r="E98" s="191"/>
      <c r="F98" s="191"/>
      <c r="G98" s="191"/>
      <c r="H98" s="191"/>
      <c r="I98" s="191"/>
      <c r="J98" s="191"/>
      <c r="K98" s="191"/>
      <c r="L98" s="191"/>
      <c r="M98" s="191"/>
      <c r="N98" s="191"/>
      <c r="O98" s="191"/>
      <c r="P98" s="191"/>
      <c r="Q98" s="191"/>
      <c r="R98" s="191"/>
      <c r="S98" s="191"/>
      <c r="T98" s="191"/>
      <c r="U98" s="191"/>
    </row>
    <row r="99" spans="1:21" ht="15.75" thickBot="1">
      <c r="A99" s="198" t="s">
        <v>133</v>
      </c>
      <c r="B99" s="191"/>
      <c r="C99" s="191"/>
      <c r="D99" s="191"/>
      <c r="E99" s="191"/>
      <c r="F99" s="191"/>
      <c r="G99" s="191"/>
      <c r="H99" s="191"/>
      <c r="I99" s="191"/>
      <c r="J99" s="191"/>
      <c r="K99" s="191"/>
      <c r="L99" s="191"/>
      <c r="M99" s="191"/>
      <c r="N99" s="191"/>
      <c r="O99" s="191"/>
      <c r="P99" s="191"/>
      <c r="Q99" s="191"/>
      <c r="R99" s="191"/>
      <c r="S99" s="191"/>
      <c r="T99" s="191"/>
      <c r="U99" s="191"/>
    </row>
    <row r="100" spans="1:21" ht="34.5" customHeight="1">
      <c r="A100" s="200" t="s">
        <v>134</v>
      </c>
      <c r="B100" s="50"/>
      <c r="C100" s="594" t="s">
        <v>414</v>
      </c>
      <c r="D100" s="594"/>
      <c r="E100" s="594"/>
      <c r="F100" s="594"/>
      <c r="G100" s="594"/>
      <c r="H100" s="594"/>
      <c r="I100" s="594"/>
      <c r="J100" s="594"/>
      <c r="K100" s="594"/>
      <c r="L100" s="594"/>
      <c r="M100" s="594"/>
      <c r="N100" s="594"/>
      <c r="O100" s="191"/>
      <c r="P100" s="191"/>
      <c r="Q100" s="191"/>
      <c r="R100" s="191"/>
      <c r="S100" s="191"/>
      <c r="T100" s="191"/>
      <c r="U100" s="191"/>
    </row>
    <row r="101" spans="1:21" ht="34.5" customHeight="1">
      <c r="A101" s="200" t="s">
        <v>135</v>
      </c>
      <c r="B101" s="50"/>
      <c r="C101" s="594" t="s">
        <v>415</v>
      </c>
      <c r="D101" s="594"/>
      <c r="E101" s="594"/>
      <c r="F101" s="594"/>
      <c r="G101" s="594"/>
      <c r="H101" s="594"/>
      <c r="I101" s="594"/>
      <c r="J101" s="594"/>
      <c r="K101" s="594"/>
      <c r="L101" s="594"/>
      <c r="M101" s="594"/>
      <c r="N101" s="594"/>
      <c r="O101" s="191"/>
      <c r="P101" s="191"/>
      <c r="Q101" s="191"/>
      <c r="R101" s="191"/>
      <c r="S101" s="191"/>
      <c r="T101" s="191"/>
      <c r="U101" s="191"/>
    </row>
    <row r="102" spans="1:21" ht="34.5" customHeight="1">
      <c r="A102" s="200" t="s">
        <v>136</v>
      </c>
      <c r="B102" s="50"/>
      <c r="C102" s="595" t="s">
        <v>425</v>
      </c>
      <c r="D102" s="596"/>
      <c r="E102" s="596"/>
      <c r="F102" s="596"/>
      <c r="G102" s="596"/>
      <c r="H102" s="596"/>
      <c r="I102" s="596"/>
      <c r="J102" s="596"/>
      <c r="K102" s="596"/>
      <c r="L102" s="596"/>
      <c r="M102" s="596"/>
      <c r="N102" s="596"/>
      <c r="O102" s="191"/>
      <c r="P102" s="191"/>
      <c r="Q102" s="191"/>
      <c r="R102" s="191"/>
      <c r="S102" s="191"/>
      <c r="T102" s="191"/>
      <c r="U102" s="191"/>
    </row>
    <row r="103" spans="1:21">
      <c r="A103" s="200" t="s">
        <v>137</v>
      </c>
      <c r="B103" s="50"/>
      <c r="C103" s="597" t="s">
        <v>369</v>
      </c>
      <c r="D103" s="597"/>
      <c r="E103" s="597"/>
      <c r="F103" s="597"/>
      <c r="G103" s="597"/>
      <c r="H103" s="597"/>
      <c r="I103" s="597"/>
      <c r="J103" s="597"/>
      <c r="K103" s="597"/>
      <c r="L103" s="597"/>
      <c r="M103" s="597"/>
      <c r="N103" s="597"/>
      <c r="O103" s="191"/>
      <c r="P103" s="191"/>
      <c r="Q103" s="191"/>
      <c r="R103" s="191"/>
      <c r="S103" s="191"/>
      <c r="T103" s="191"/>
      <c r="U103" s="191"/>
    </row>
    <row r="104" spans="1:21">
      <c r="A104" s="199" t="s">
        <v>138</v>
      </c>
      <c r="B104" s="50"/>
      <c r="C104" s="592" t="s">
        <v>370</v>
      </c>
      <c r="D104" s="592"/>
      <c r="E104" s="592"/>
      <c r="F104" s="592"/>
      <c r="G104" s="592"/>
      <c r="H104" s="592"/>
      <c r="I104" s="592"/>
      <c r="J104" s="592"/>
      <c r="K104" s="592"/>
      <c r="L104" s="592"/>
      <c r="M104" s="592"/>
      <c r="N104" s="592"/>
      <c r="O104" s="191"/>
      <c r="P104" s="191"/>
      <c r="Q104" s="191"/>
      <c r="R104" s="191"/>
      <c r="S104" s="191"/>
      <c r="T104" s="191"/>
      <c r="U104" s="191"/>
    </row>
    <row r="105" spans="1:21">
      <c r="A105" s="199" t="s">
        <v>139</v>
      </c>
      <c r="B105" s="50"/>
      <c r="C105" s="592" t="s">
        <v>371</v>
      </c>
      <c r="D105" s="592"/>
      <c r="E105" s="592"/>
      <c r="F105" s="592"/>
      <c r="G105" s="592"/>
      <c r="H105" s="592"/>
      <c r="I105" s="592"/>
      <c r="J105" s="592"/>
      <c r="K105" s="592"/>
      <c r="L105" s="592"/>
      <c r="M105" s="592"/>
      <c r="N105" s="592"/>
      <c r="O105" s="191"/>
      <c r="P105" s="191"/>
      <c r="Q105" s="191"/>
      <c r="R105" s="191"/>
      <c r="S105" s="191"/>
      <c r="T105" s="191"/>
      <c r="U105" s="191"/>
    </row>
    <row r="106" spans="1:21">
      <c r="A106" s="199" t="s">
        <v>140</v>
      </c>
      <c r="B106" s="50"/>
      <c r="C106" s="591" t="s">
        <v>522</v>
      </c>
      <c r="D106" s="592"/>
      <c r="E106" s="592"/>
      <c r="F106" s="592"/>
      <c r="G106" s="592"/>
      <c r="H106" s="592"/>
      <c r="I106" s="592"/>
      <c r="J106" s="592"/>
      <c r="K106" s="592"/>
      <c r="L106" s="592"/>
      <c r="M106" s="592"/>
      <c r="N106" s="592"/>
      <c r="O106" s="191"/>
      <c r="P106" s="191"/>
      <c r="Q106" s="191"/>
      <c r="R106" s="191"/>
      <c r="S106" s="191"/>
      <c r="T106" s="191"/>
      <c r="U106" s="191"/>
    </row>
    <row r="107" spans="1:21">
      <c r="A107" s="241" t="s">
        <v>142</v>
      </c>
      <c r="B107" s="126"/>
      <c r="C107" s="593" t="s">
        <v>416</v>
      </c>
      <c r="D107" s="593"/>
      <c r="E107" s="593"/>
      <c r="F107" s="593"/>
      <c r="G107" s="593"/>
      <c r="H107" s="593"/>
      <c r="I107" s="593"/>
      <c r="J107" s="593"/>
      <c r="K107" s="593"/>
      <c r="L107" s="593"/>
      <c r="M107" s="593"/>
      <c r="N107" s="593"/>
      <c r="O107" s="191"/>
      <c r="P107" s="191"/>
      <c r="Q107" s="191"/>
      <c r="R107" s="191"/>
      <c r="S107" s="191"/>
      <c r="T107" s="191"/>
      <c r="U107" s="191"/>
    </row>
    <row r="108" spans="1:21">
      <c r="A108" s="275"/>
      <c r="B108" s="191"/>
      <c r="C108" s="191"/>
      <c r="D108" s="191"/>
      <c r="E108" s="191"/>
      <c r="F108" s="191"/>
      <c r="G108" s="191"/>
      <c r="H108" s="191"/>
      <c r="I108" s="191"/>
      <c r="J108" s="191"/>
      <c r="K108" s="191"/>
      <c r="L108" s="191"/>
      <c r="M108" s="191"/>
      <c r="N108" s="191"/>
      <c r="O108" s="191"/>
      <c r="P108" s="191"/>
      <c r="Q108" s="191"/>
      <c r="R108" s="191"/>
      <c r="S108" s="191"/>
      <c r="T108" s="191"/>
      <c r="U108" s="191"/>
    </row>
    <row r="109" spans="1:21" ht="15.75">
      <c r="A109" s="164"/>
      <c r="B109" s="201"/>
      <c r="C109" s="202"/>
      <c r="D109" s="157"/>
      <c r="E109" s="55"/>
      <c r="F109" s="55"/>
      <c r="G109" s="53"/>
      <c r="H109" s="47"/>
      <c r="I109" s="47"/>
      <c r="J109" s="144"/>
      <c r="K109" s="47"/>
      <c r="M109" s="53"/>
      <c r="N109" s="165"/>
      <c r="O109" s="191"/>
      <c r="P109" s="191"/>
      <c r="Q109" s="191"/>
      <c r="R109" s="191"/>
      <c r="S109" s="191"/>
      <c r="T109" s="191"/>
      <c r="U109" s="191"/>
    </row>
    <row r="110" spans="1:21" ht="15.75">
      <c r="A110" s="164"/>
      <c r="B110" s="201"/>
      <c r="C110" s="202"/>
      <c r="D110" s="157"/>
      <c r="E110" s="55"/>
      <c r="F110" s="55"/>
      <c r="G110" s="53"/>
      <c r="H110" s="47"/>
      <c r="I110" s="47"/>
      <c r="J110" s="144"/>
      <c r="K110" s="47"/>
      <c r="M110" s="53"/>
      <c r="N110" s="146"/>
      <c r="O110" s="191"/>
      <c r="P110" s="191"/>
      <c r="Q110" s="191"/>
      <c r="R110" s="191"/>
      <c r="S110" s="191"/>
      <c r="T110" s="191"/>
      <c r="U110" s="191"/>
    </row>
    <row r="111" spans="1:21">
      <c r="C111" s="191"/>
      <c r="D111" s="191"/>
      <c r="E111" s="191"/>
      <c r="F111" s="191"/>
      <c r="G111" s="191"/>
      <c r="H111" s="191"/>
      <c r="I111" s="191"/>
      <c r="J111" s="191"/>
      <c r="K111" s="191"/>
      <c r="L111" s="191"/>
      <c r="M111" s="191"/>
      <c r="N111" s="191"/>
      <c r="O111" s="191"/>
      <c r="P111" s="191"/>
      <c r="Q111" s="191"/>
      <c r="R111" s="191"/>
      <c r="S111" s="191"/>
      <c r="T111" s="191"/>
      <c r="U111" s="191"/>
    </row>
    <row r="112" spans="1:21">
      <c r="C112" s="191"/>
      <c r="D112" s="191"/>
      <c r="E112" s="191"/>
      <c r="F112" s="191"/>
      <c r="G112" s="191"/>
      <c r="H112" s="191"/>
      <c r="I112" s="191"/>
      <c r="J112" s="191"/>
      <c r="K112" s="191"/>
      <c r="L112" s="191"/>
      <c r="M112" s="191"/>
      <c r="N112" s="191"/>
      <c r="O112" s="191"/>
      <c r="P112" s="191"/>
      <c r="Q112" s="191"/>
      <c r="R112" s="191"/>
      <c r="S112" s="191"/>
      <c r="T112" s="191"/>
      <c r="U112" s="191"/>
    </row>
    <row r="113" spans="3:21">
      <c r="C113" s="191"/>
      <c r="D113" s="191"/>
      <c r="E113" s="191"/>
      <c r="F113" s="191"/>
      <c r="G113" s="191"/>
      <c r="H113" s="191"/>
      <c r="I113" s="191"/>
      <c r="J113" s="191"/>
      <c r="K113" s="191"/>
      <c r="L113" s="191"/>
      <c r="M113" s="191"/>
      <c r="N113" s="191"/>
      <c r="O113" s="191"/>
      <c r="P113" s="191"/>
      <c r="Q113" s="191"/>
      <c r="R113" s="191"/>
      <c r="S113" s="191"/>
      <c r="T113" s="191"/>
      <c r="U113" s="191"/>
    </row>
    <row r="114" spans="3:21">
      <c r="C114" s="191"/>
      <c r="D114" s="191"/>
      <c r="E114" s="191"/>
      <c r="F114" s="191"/>
      <c r="G114" s="191"/>
      <c r="H114" s="191"/>
      <c r="I114" s="191"/>
      <c r="J114" s="191"/>
      <c r="K114" s="191"/>
      <c r="L114" s="191"/>
      <c r="M114" s="191"/>
      <c r="N114" s="191"/>
      <c r="O114" s="191"/>
      <c r="P114" s="191"/>
      <c r="Q114" s="191"/>
      <c r="R114" s="191"/>
      <c r="S114" s="191"/>
      <c r="T114" s="191"/>
      <c r="U114" s="191"/>
    </row>
    <row r="115" spans="3:21">
      <c r="C115" s="191"/>
      <c r="D115" s="191"/>
      <c r="E115" s="191"/>
      <c r="F115" s="191"/>
      <c r="G115" s="191"/>
      <c r="H115" s="191"/>
      <c r="I115" s="191"/>
      <c r="J115" s="191"/>
      <c r="K115" s="191"/>
      <c r="L115" s="191"/>
      <c r="M115" s="191"/>
      <c r="N115" s="191"/>
      <c r="O115" s="191"/>
      <c r="P115" s="191"/>
      <c r="Q115" s="191"/>
      <c r="R115" s="191"/>
      <c r="S115" s="191"/>
      <c r="T115" s="191"/>
      <c r="U115" s="191"/>
    </row>
    <row r="116" spans="3:21">
      <c r="C116" s="191"/>
      <c r="D116" s="191"/>
      <c r="E116" s="191"/>
      <c r="F116" s="191"/>
      <c r="G116" s="191"/>
      <c r="H116" s="191"/>
      <c r="I116" s="191"/>
      <c r="J116" s="191"/>
      <c r="K116" s="191"/>
      <c r="L116" s="191"/>
      <c r="M116" s="191"/>
      <c r="N116" s="191"/>
      <c r="O116" s="191"/>
      <c r="P116" s="191"/>
      <c r="Q116" s="191"/>
      <c r="R116" s="191"/>
      <c r="S116" s="191"/>
      <c r="T116" s="191"/>
      <c r="U116" s="191"/>
    </row>
    <row r="117" spans="3:21">
      <c r="C117" s="191"/>
      <c r="D117" s="191"/>
      <c r="E117" s="191"/>
      <c r="F117" s="191"/>
      <c r="G117" s="191"/>
      <c r="H117" s="191"/>
      <c r="I117" s="191"/>
      <c r="J117" s="191"/>
      <c r="K117" s="191"/>
      <c r="L117" s="191"/>
      <c r="M117" s="191"/>
      <c r="N117" s="191"/>
      <c r="O117" s="191"/>
      <c r="P117" s="191"/>
      <c r="Q117" s="191"/>
      <c r="R117" s="191"/>
      <c r="S117" s="191"/>
      <c r="T117" s="191"/>
      <c r="U117" s="191"/>
    </row>
    <row r="118" spans="3:21">
      <c r="C118" s="191"/>
      <c r="D118" s="191"/>
      <c r="E118" s="191"/>
      <c r="F118" s="191"/>
      <c r="G118" s="191"/>
      <c r="H118" s="191"/>
      <c r="I118" s="191"/>
      <c r="J118" s="191"/>
      <c r="K118" s="191"/>
      <c r="L118" s="191"/>
      <c r="M118" s="191"/>
      <c r="N118" s="191"/>
      <c r="O118" s="191"/>
      <c r="P118" s="191"/>
      <c r="Q118" s="191"/>
      <c r="R118" s="191"/>
      <c r="S118" s="191"/>
      <c r="T118" s="191"/>
      <c r="U118" s="191"/>
    </row>
    <row r="119" spans="3:21">
      <c r="C119" s="191"/>
      <c r="D119" s="191"/>
      <c r="E119" s="191"/>
      <c r="F119" s="191"/>
      <c r="G119" s="191"/>
      <c r="H119" s="191"/>
      <c r="I119" s="191"/>
      <c r="J119" s="191"/>
      <c r="K119" s="191"/>
      <c r="L119" s="191"/>
      <c r="M119" s="191"/>
      <c r="N119" s="191"/>
      <c r="O119" s="191"/>
      <c r="P119" s="191"/>
      <c r="Q119" s="191"/>
      <c r="R119" s="191"/>
      <c r="S119" s="191"/>
      <c r="T119" s="191"/>
      <c r="U119" s="191"/>
    </row>
    <row r="120" spans="3:21">
      <c r="C120" s="191"/>
      <c r="D120" s="191"/>
      <c r="E120" s="191"/>
      <c r="F120" s="191"/>
      <c r="G120" s="191"/>
      <c r="H120" s="191"/>
      <c r="I120" s="191"/>
      <c r="J120" s="191"/>
      <c r="K120" s="191"/>
      <c r="L120" s="191"/>
      <c r="M120" s="191"/>
      <c r="N120" s="191"/>
      <c r="O120" s="191"/>
      <c r="P120" s="191"/>
      <c r="Q120" s="191"/>
      <c r="R120" s="191"/>
      <c r="S120" s="191"/>
      <c r="T120" s="191"/>
      <c r="U120" s="191"/>
    </row>
    <row r="121" spans="3:21">
      <c r="C121" s="191"/>
      <c r="D121" s="191"/>
      <c r="E121" s="191"/>
      <c r="F121" s="191"/>
      <c r="G121" s="191"/>
      <c r="H121" s="191"/>
      <c r="I121" s="191"/>
      <c r="J121" s="191"/>
      <c r="K121" s="191"/>
      <c r="L121" s="191"/>
      <c r="M121" s="191"/>
      <c r="N121" s="191"/>
      <c r="O121" s="191"/>
      <c r="P121" s="191"/>
      <c r="Q121" s="191"/>
      <c r="R121" s="191"/>
      <c r="S121" s="191"/>
      <c r="T121" s="191"/>
      <c r="U121" s="191"/>
    </row>
    <row r="122" spans="3:21">
      <c r="C122" s="191"/>
      <c r="D122" s="191"/>
      <c r="E122" s="191"/>
      <c r="F122" s="191"/>
      <c r="G122" s="191"/>
      <c r="H122" s="191"/>
      <c r="I122" s="191"/>
      <c r="J122" s="191"/>
      <c r="K122" s="191"/>
      <c r="L122" s="191"/>
      <c r="M122" s="191"/>
      <c r="N122" s="191"/>
      <c r="O122" s="191"/>
      <c r="P122" s="191"/>
      <c r="Q122" s="191"/>
      <c r="R122" s="191"/>
      <c r="S122" s="191"/>
      <c r="T122" s="191"/>
      <c r="U122" s="191"/>
    </row>
    <row r="123" spans="3:21">
      <c r="C123" s="191"/>
      <c r="D123" s="191"/>
      <c r="E123" s="191"/>
      <c r="F123" s="191"/>
      <c r="G123" s="191"/>
      <c r="H123" s="191"/>
      <c r="I123" s="191"/>
      <c r="J123" s="191"/>
      <c r="K123" s="191"/>
      <c r="L123" s="191"/>
      <c r="M123" s="191"/>
      <c r="N123" s="191"/>
      <c r="O123" s="191"/>
      <c r="P123" s="191"/>
      <c r="Q123" s="191"/>
      <c r="R123" s="191"/>
      <c r="S123" s="191"/>
      <c r="T123" s="191"/>
      <c r="U123" s="191"/>
    </row>
    <row r="124" spans="3:21">
      <c r="C124" s="191"/>
      <c r="D124" s="191"/>
      <c r="E124" s="191"/>
      <c r="F124" s="191"/>
      <c r="G124" s="191"/>
      <c r="H124" s="191"/>
      <c r="I124" s="191"/>
      <c r="J124" s="191"/>
      <c r="K124" s="191"/>
      <c r="L124" s="191"/>
      <c r="M124" s="191"/>
      <c r="N124" s="191"/>
      <c r="O124" s="191"/>
      <c r="P124" s="191"/>
      <c r="Q124" s="191"/>
      <c r="R124" s="191"/>
      <c r="S124" s="191"/>
      <c r="T124" s="191"/>
      <c r="U124" s="191"/>
    </row>
    <row r="125" spans="3:21">
      <c r="C125" s="191"/>
      <c r="D125" s="191"/>
      <c r="E125" s="191"/>
      <c r="F125" s="191"/>
      <c r="G125" s="191"/>
      <c r="H125" s="191"/>
      <c r="I125" s="191"/>
      <c r="J125" s="191"/>
      <c r="K125" s="191"/>
      <c r="L125" s="191"/>
      <c r="M125" s="191"/>
      <c r="N125" s="191"/>
      <c r="O125" s="191"/>
      <c r="P125" s="191"/>
      <c r="Q125" s="191"/>
      <c r="R125" s="191"/>
      <c r="S125" s="191"/>
      <c r="T125" s="191"/>
      <c r="U125" s="191"/>
    </row>
    <row r="126" spans="3:21">
      <c r="C126" s="191"/>
      <c r="D126" s="191"/>
      <c r="E126" s="191"/>
      <c r="F126" s="191"/>
      <c r="G126" s="191"/>
      <c r="H126" s="191"/>
      <c r="I126" s="191"/>
      <c r="J126" s="191"/>
      <c r="K126" s="191"/>
      <c r="L126" s="191"/>
      <c r="M126" s="191"/>
      <c r="N126" s="191"/>
      <c r="O126" s="191"/>
      <c r="P126" s="191"/>
      <c r="Q126" s="191"/>
      <c r="R126" s="191"/>
      <c r="S126" s="191"/>
      <c r="T126" s="191"/>
      <c r="U126" s="191"/>
    </row>
    <row r="127" spans="3:21">
      <c r="C127" s="191"/>
      <c r="D127" s="191"/>
      <c r="E127" s="191"/>
      <c r="F127" s="191"/>
      <c r="G127" s="191"/>
      <c r="H127" s="191"/>
      <c r="I127" s="191"/>
      <c r="J127" s="191"/>
      <c r="K127" s="191"/>
      <c r="L127" s="191"/>
      <c r="M127" s="191"/>
      <c r="N127" s="191"/>
      <c r="O127" s="191"/>
      <c r="P127" s="191"/>
      <c r="Q127" s="191"/>
      <c r="R127" s="191"/>
      <c r="S127" s="191"/>
      <c r="T127" s="191"/>
      <c r="U127" s="191"/>
    </row>
    <row r="128" spans="3:21">
      <c r="C128" s="191"/>
      <c r="D128" s="191"/>
      <c r="E128" s="191"/>
      <c r="F128" s="191"/>
      <c r="G128" s="191"/>
      <c r="H128" s="191"/>
      <c r="I128" s="191"/>
      <c r="J128" s="191"/>
      <c r="K128" s="191"/>
      <c r="L128" s="191"/>
      <c r="M128" s="191"/>
      <c r="N128" s="191"/>
      <c r="O128" s="191"/>
      <c r="P128" s="191"/>
      <c r="Q128" s="191"/>
      <c r="R128" s="191"/>
      <c r="S128" s="191"/>
      <c r="T128" s="191"/>
      <c r="U128" s="191"/>
    </row>
    <row r="129" spans="3:21">
      <c r="C129" s="191"/>
      <c r="D129" s="191"/>
      <c r="E129" s="191"/>
      <c r="F129" s="191"/>
      <c r="G129" s="191"/>
      <c r="H129" s="191"/>
      <c r="I129" s="191"/>
      <c r="J129" s="191"/>
      <c r="K129" s="191"/>
      <c r="L129" s="191"/>
      <c r="M129" s="191"/>
      <c r="N129" s="191"/>
      <c r="O129" s="191"/>
      <c r="P129" s="191"/>
      <c r="Q129" s="191"/>
      <c r="R129" s="191"/>
      <c r="S129" s="191"/>
      <c r="T129" s="191"/>
      <c r="U129" s="191"/>
    </row>
    <row r="130" spans="3:21">
      <c r="C130" s="191"/>
      <c r="D130" s="191"/>
      <c r="E130" s="191"/>
      <c r="F130" s="191"/>
      <c r="G130" s="191"/>
      <c r="H130" s="191"/>
      <c r="I130" s="191"/>
      <c r="J130" s="191"/>
      <c r="K130" s="191"/>
      <c r="L130" s="191"/>
      <c r="M130" s="191"/>
      <c r="N130" s="191"/>
      <c r="O130" s="191"/>
      <c r="P130" s="191"/>
      <c r="Q130" s="191"/>
      <c r="R130" s="191"/>
      <c r="S130" s="191"/>
      <c r="T130" s="191"/>
      <c r="U130" s="191"/>
    </row>
    <row r="131" spans="3:21">
      <c r="C131" s="191"/>
      <c r="D131" s="191"/>
      <c r="E131" s="191"/>
      <c r="F131" s="191"/>
      <c r="G131" s="191"/>
      <c r="H131" s="191"/>
      <c r="I131" s="191"/>
      <c r="J131" s="191"/>
      <c r="K131" s="191"/>
      <c r="L131" s="191"/>
      <c r="M131" s="191"/>
      <c r="N131" s="191"/>
      <c r="O131" s="191"/>
      <c r="P131" s="191"/>
      <c r="Q131" s="191"/>
      <c r="R131" s="191"/>
      <c r="S131" s="191"/>
      <c r="T131" s="191"/>
      <c r="U131" s="191"/>
    </row>
    <row r="132" spans="3:21">
      <c r="C132" s="191"/>
      <c r="D132" s="191"/>
      <c r="E132" s="191"/>
      <c r="F132" s="191"/>
      <c r="G132" s="191"/>
      <c r="H132" s="191"/>
      <c r="I132" s="191"/>
      <c r="J132" s="191"/>
      <c r="K132" s="191"/>
      <c r="L132" s="191"/>
      <c r="M132" s="191"/>
      <c r="N132" s="191"/>
      <c r="O132" s="191"/>
      <c r="P132" s="191"/>
      <c r="Q132" s="191"/>
      <c r="R132" s="191"/>
      <c r="S132" s="191"/>
      <c r="T132" s="191"/>
      <c r="U132" s="191"/>
    </row>
    <row r="133" spans="3:21">
      <c r="C133" s="191"/>
      <c r="D133" s="191"/>
      <c r="E133" s="191"/>
      <c r="F133" s="191"/>
      <c r="G133" s="191"/>
      <c r="H133" s="191"/>
      <c r="I133" s="191"/>
      <c r="J133" s="191"/>
      <c r="K133" s="191"/>
      <c r="L133" s="191"/>
      <c r="M133" s="191"/>
      <c r="N133" s="191"/>
      <c r="O133" s="191"/>
      <c r="P133" s="191"/>
      <c r="Q133" s="191"/>
      <c r="R133" s="191"/>
      <c r="S133" s="191"/>
      <c r="T133" s="191"/>
      <c r="U133" s="191"/>
    </row>
    <row r="134" spans="3:21">
      <c r="C134" s="191"/>
      <c r="D134" s="191"/>
      <c r="E134" s="191"/>
      <c r="F134" s="191"/>
      <c r="G134" s="191"/>
      <c r="H134" s="191"/>
      <c r="I134" s="191"/>
      <c r="J134" s="191"/>
      <c r="K134" s="191"/>
      <c r="L134" s="191"/>
      <c r="M134" s="191"/>
      <c r="N134" s="191"/>
      <c r="O134" s="191"/>
      <c r="P134" s="191"/>
      <c r="Q134" s="191"/>
      <c r="R134" s="191"/>
      <c r="S134" s="191"/>
      <c r="T134" s="191"/>
      <c r="U134" s="191"/>
    </row>
    <row r="135" spans="3:21">
      <c r="C135" s="191"/>
      <c r="D135" s="191"/>
      <c r="E135" s="191"/>
      <c r="F135" s="191"/>
      <c r="G135" s="191"/>
      <c r="H135" s="191"/>
      <c r="I135" s="191"/>
      <c r="J135" s="191"/>
      <c r="K135" s="191"/>
      <c r="L135" s="191"/>
      <c r="M135" s="191"/>
      <c r="N135" s="191"/>
      <c r="O135" s="191"/>
      <c r="P135" s="191"/>
      <c r="Q135" s="191"/>
      <c r="R135" s="191"/>
      <c r="S135" s="191"/>
      <c r="T135" s="191"/>
      <c r="U135" s="191"/>
    </row>
    <row r="136" spans="3:21">
      <c r="C136" s="191"/>
      <c r="D136" s="191"/>
      <c r="E136" s="191"/>
      <c r="F136" s="191"/>
      <c r="G136" s="191"/>
      <c r="H136" s="191"/>
      <c r="I136" s="191"/>
      <c r="J136" s="191"/>
      <c r="K136" s="191"/>
      <c r="L136" s="191"/>
      <c r="M136" s="191"/>
      <c r="N136" s="191"/>
      <c r="O136" s="191"/>
      <c r="P136" s="191"/>
      <c r="Q136" s="191"/>
      <c r="R136" s="191"/>
      <c r="S136" s="191"/>
      <c r="T136" s="191"/>
      <c r="U136" s="191"/>
    </row>
    <row r="137" spans="3:21">
      <c r="C137" s="191"/>
      <c r="D137" s="191"/>
      <c r="E137" s="191"/>
      <c r="F137" s="191"/>
      <c r="G137" s="191"/>
      <c r="H137" s="191"/>
      <c r="I137" s="191"/>
      <c r="J137" s="191"/>
      <c r="K137" s="191"/>
      <c r="L137" s="191"/>
      <c r="M137" s="191"/>
      <c r="N137" s="191"/>
      <c r="O137" s="191"/>
      <c r="P137" s="191"/>
      <c r="Q137" s="191"/>
      <c r="R137" s="191"/>
      <c r="S137" s="191"/>
      <c r="T137" s="191"/>
      <c r="U137" s="191"/>
    </row>
    <row r="138" spans="3:21">
      <c r="C138" s="191"/>
      <c r="D138" s="191"/>
      <c r="E138" s="191"/>
      <c r="F138" s="191"/>
      <c r="G138" s="191"/>
      <c r="H138" s="191"/>
      <c r="I138" s="191"/>
      <c r="J138" s="191"/>
      <c r="K138" s="191"/>
      <c r="L138" s="191"/>
      <c r="M138" s="191"/>
      <c r="N138" s="191"/>
      <c r="O138" s="191"/>
      <c r="P138" s="191"/>
      <c r="Q138" s="191"/>
      <c r="R138" s="191"/>
      <c r="S138" s="191"/>
      <c r="T138" s="191"/>
      <c r="U138" s="191"/>
    </row>
    <row r="139" spans="3:21">
      <c r="C139" s="191"/>
      <c r="D139" s="191"/>
      <c r="E139" s="191"/>
      <c r="F139" s="191"/>
      <c r="G139" s="191"/>
      <c r="H139" s="191"/>
      <c r="I139" s="191"/>
      <c r="J139" s="191"/>
      <c r="K139" s="191"/>
      <c r="L139" s="191"/>
      <c r="M139" s="191"/>
      <c r="N139" s="191"/>
      <c r="O139" s="191"/>
      <c r="P139" s="191"/>
      <c r="Q139" s="191"/>
      <c r="R139" s="191"/>
      <c r="S139" s="191"/>
      <c r="T139" s="191"/>
      <c r="U139" s="191"/>
    </row>
    <row r="140" spans="3:21">
      <c r="C140" s="191"/>
      <c r="D140" s="191"/>
      <c r="E140" s="191"/>
      <c r="F140" s="191"/>
      <c r="G140" s="191"/>
      <c r="H140" s="191"/>
      <c r="I140" s="191"/>
      <c r="J140" s="191"/>
      <c r="K140" s="191"/>
      <c r="L140" s="191"/>
      <c r="M140" s="191"/>
      <c r="N140" s="191"/>
      <c r="O140" s="191"/>
      <c r="P140" s="191"/>
      <c r="Q140" s="191"/>
      <c r="R140" s="191"/>
      <c r="S140" s="191"/>
      <c r="T140" s="191"/>
      <c r="U140" s="191"/>
    </row>
    <row r="141" spans="3:21">
      <c r="C141" s="191"/>
      <c r="D141" s="191"/>
      <c r="E141" s="191"/>
      <c r="F141" s="191"/>
      <c r="G141" s="191"/>
      <c r="H141" s="191"/>
      <c r="I141" s="191"/>
      <c r="J141" s="191"/>
      <c r="K141" s="191"/>
      <c r="L141" s="191"/>
      <c r="M141" s="191"/>
      <c r="N141" s="191"/>
      <c r="O141" s="191"/>
      <c r="P141" s="191"/>
      <c r="Q141" s="191"/>
      <c r="R141" s="191"/>
      <c r="S141" s="191"/>
      <c r="T141" s="191"/>
      <c r="U141" s="191"/>
    </row>
    <row r="142" spans="3:21">
      <c r="C142" s="191"/>
      <c r="D142" s="191"/>
      <c r="E142" s="191"/>
      <c r="F142" s="191"/>
      <c r="G142" s="191"/>
      <c r="H142" s="191"/>
      <c r="I142" s="191"/>
      <c r="J142" s="191"/>
      <c r="K142" s="191"/>
      <c r="L142" s="191"/>
      <c r="M142" s="191"/>
      <c r="N142" s="191"/>
      <c r="O142" s="191"/>
      <c r="P142" s="191"/>
      <c r="Q142" s="191"/>
      <c r="R142" s="191"/>
      <c r="S142" s="191"/>
      <c r="T142" s="191"/>
      <c r="U142" s="191"/>
    </row>
    <row r="143" spans="3:21">
      <c r="C143" s="191"/>
      <c r="D143" s="191"/>
      <c r="E143" s="191"/>
      <c r="F143" s="191"/>
      <c r="G143" s="191"/>
      <c r="H143" s="191"/>
      <c r="I143" s="191"/>
      <c r="J143" s="191"/>
      <c r="K143" s="191"/>
      <c r="L143" s="191"/>
      <c r="M143" s="191"/>
      <c r="N143" s="191"/>
      <c r="O143" s="191"/>
      <c r="P143" s="191"/>
      <c r="Q143" s="191"/>
      <c r="R143" s="191"/>
      <c r="S143" s="191"/>
      <c r="T143" s="191"/>
      <c r="U143" s="191"/>
    </row>
    <row r="144" spans="3:21">
      <c r="C144" s="191"/>
      <c r="D144" s="191"/>
      <c r="E144" s="191"/>
      <c r="F144" s="191"/>
      <c r="G144" s="191"/>
      <c r="H144" s="191"/>
      <c r="I144" s="191"/>
      <c r="J144" s="191"/>
      <c r="K144" s="191"/>
      <c r="L144" s="191"/>
      <c r="M144" s="191"/>
      <c r="N144" s="191"/>
      <c r="O144" s="191"/>
      <c r="P144" s="191"/>
      <c r="Q144" s="191"/>
      <c r="R144" s="191"/>
      <c r="S144" s="191"/>
      <c r="T144" s="191"/>
      <c r="U144" s="191"/>
    </row>
    <row r="145" spans="3:21">
      <c r="C145" s="191"/>
      <c r="D145" s="191"/>
      <c r="E145" s="191"/>
      <c r="F145" s="191"/>
      <c r="G145" s="191"/>
      <c r="H145" s="191"/>
      <c r="I145" s="191"/>
      <c r="J145" s="191"/>
      <c r="K145" s="191"/>
      <c r="L145" s="191"/>
      <c r="M145" s="191"/>
      <c r="N145" s="191"/>
      <c r="O145" s="191"/>
      <c r="P145" s="191"/>
      <c r="Q145" s="191"/>
      <c r="R145" s="191"/>
      <c r="S145" s="191"/>
      <c r="T145" s="191"/>
      <c r="U145" s="191"/>
    </row>
    <row r="146" spans="3:21">
      <c r="C146" s="191"/>
      <c r="D146" s="191"/>
      <c r="E146" s="191"/>
      <c r="F146" s="191"/>
      <c r="G146" s="191"/>
      <c r="H146" s="191"/>
      <c r="I146" s="191"/>
      <c r="J146" s="191"/>
      <c r="K146" s="191"/>
      <c r="L146" s="191"/>
      <c r="M146" s="191"/>
      <c r="N146" s="191"/>
      <c r="O146" s="191"/>
      <c r="P146" s="191"/>
      <c r="Q146" s="191"/>
      <c r="R146" s="191"/>
      <c r="S146" s="191"/>
      <c r="T146" s="191"/>
      <c r="U146" s="191"/>
    </row>
    <row r="147" spans="3:21">
      <c r="C147" s="191"/>
      <c r="D147" s="191"/>
      <c r="E147" s="191"/>
      <c r="F147" s="191"/>
      <c r="G147" s="191"/>
      <c r="H147" s="191"/>
      <c r="I147" s="191"/>
      <c r="J147" s="191"/>
      <c r="K147" s="191"/>
      <c r="L147" s="191"/>
      <c r="M147" s="191"/>
      <c r="N147" s="191"/>
      <c r="O147" s="191"/>
      <c r="P147" s="191"/>
      <c r="Q147" s="191"/>
      <c r="R147" s="191"/>
      <c r="S147" s="191"/>
      <c r="T147" s="191"/>
      <c r="U147" s="191"/>
    </row>
    <row r="148" spans="3:21">
      <c r="C148" s="191"/>
      <c r="D148" s="191"/>
      <c r="E148" s="191"/>
      <c r="F148" s="191"/>
      <c r="G148" s="191"/>
      <c r="H148" s="191"/>
      <c r="I148" s="191"/>
      <c r="J148" s="191"/>
      <c r="K148" s="191"/>
      <c r="L148" s="191"/>
      <c r="M148" s="191"/>
      <c r="N148" s="191"/>
      <c r="O148" s="191"/>
      <c r="P148" s="191"/>
      <c r="Q148" s="191"/>
      <c r="R148" s="191"/>
      <c r="S148" s="191"/>
      <c r="T148" s="191"/>
      <c r="U148" s="191"/>
    </row>
    <row r="149" spans="3:21">
      <c r="C149" s="191"/>
      <c r="D149" s="191"/>
      <c r="E149" s="191"/>
      <c r="F149" s="191"/>
      <c r="G149" s="191"/>
      <c r="H149" s="191"/>
      <c r="I149" s="191"/>
      <c r="J149" s="191"/>
      <c r="K149" s="191"/>
      <c r="L149" s="191"/>
      <c r="M149" s="191"/>
      <c r="N149" s="191"/>
      <c r="O149" s="191"/>
      <c r="P149" s="191"/>
      <c r="Q149" s="191"/>
      <c r="R149" s="191"/>
      <c r="S149" s="191"/>
      <c r="T149" s="191"/>
      <c r="U149" s="191"/>
    </row>
    <row r="150" spans="3:21">
      <c r="C150" s="191"/>
      <c r="D150" s="191"/>
      <c r="E150" s="191"/>
      <c r="F150" s="191"/>
      <c r="G150" s="191"/>
      <c r="H150" s="191"/>
      <c r="I150" s="191"/>
      <c r="J150" s="191"/>
      <c r="K150" s="191"/>
      <c r="L150" s="191"/>
      <c r="M150" s="191"/>
      <c r="N150" s="191"/>
      <c r="O150" s="191"/>
      <c r="P150" s="191"/>
      <c r="Q150" s="191"/>
      <c r="R150" s="191"/>
      <c r="S150" s="191"/>
      <c r="T150" s="191"/>
      <c r="U150" s="191"/>
    </row>
    <row r="151" spans="3:21">
      <c r="C151" s="191"/>
      <c r="D151" s="191"/>
      <c r="E151" s="191"/>
      <c r="F151" s="191"/>
      <c r="G151" s="191"/>
      <c r="H151" s="191"/>
      <c r="I151" s="191"/>
      <c r="J151" s="191"/>
      <c r="K151" s="191"/>
      <c r="L151" s="191"/>
      <c r="M151" s="191"/>
      <c r="N151" s="191"/>
      <c r="O151" s="191"/>
      <c r="P151" s="191"/>
      <c r="Q151" s="191"/>
      <c r="R151" s="191"/>
      <c r="S151" s="191"/>
      <c r="T151" s="191"/>
      <c r="U151" s="191"/>
    </row>
    <row r="152" spans="3:21">
      <c r="C152" s="191"/>
      <c r="D152" s="191"/>
      <c r="E152" s="191"/>
      <c r="F152" s="191"/>
      <c r="G152" s="191"/>
      <c r="H152" s="191"/>
      <c r="I152" s="191"/>
      <c r="J152" s="191"/>
      <c r="K152" s="191"/>
      <c r="L152" s="191"/>
      <c r="M152" s="191"/>
      <c r="N152" s="191"/>
      <c r="O152" s="191"/>
      <c r="P152" s="191"/>
      <c r="Q152" s="191"/>
      <c r="R152" s="191"/>
      <c r="S152" s="191"/>
      <c r="T152" s="191"/>
      <c r="U152" s="191"/>
    </row>
    <row r="153" spans="3:21">
      <c r="C153" s="191"/>
      <c r="D153" s="191"/>
      <c r="E153" s="191"/>
      <c r="F153" s="191"/>
      <c r="G153" s="191"/>
      <c r="H153" s="191"/>
      <c r="I153" s="191"/>
      <c r="J153" s="191"/>
      <c r="K153" s="191"/>
      <c r="L153" s="191"/>
      <c r="M153" s="191"/>
      <c r="N153" s="191"/>
      <c r="O153" s="191"/>
      <c r="P153" s="191"/>
      <c r="Q153" s="191"/>
      <c r="R153" s="191"/>
      <c r="S153" s="191"/>
      <c r="T153" s="191"/>
      <c r="U153" s="191"/>
    </row>
    <row r="154" spans="3:21">
      <c r="C154" s="191"/>
      <c r="D154" s="191"/>
      <c r="E154" s="191"/>
      <c r="F154" s="191"/>
      <c r="G154" s="191"/>
      <c r="H154" s="191"/>
      <c r="I154" s="191"/>
      <c r="J154" s="191"/>
      <c r="K154" s="191"/>
      <c r="L154" s="191"/>
      <c r="M154" s="191"/>
      <c r="N154" s="191"/>
      <c r="O154" s="191"/>
      <c r="P154" s="191"/>
      <c r="Q154" s="191"/>
      <c r="R154" s="191"/>
      <c r="S154" s="191"/>
      <c r="T154" s="191"/>
      <c r="U154" s="191"/>
    </row>
    <row r="155" spans="3:21">
      <c r="C155" s="191"/>
      <c r="D155" s="191"/>
      <c r="E155" s="191"/>
      <c r="F155" s="191"/>
      <c r="G155" s="191"/>
      <c r="H155" s="191"/>
      <c r="I155" s="191"/>
      <c r="J155" s="191"/>
      <c r="K155" s="191"/>
      <c r="L155" s="191"/>
      <c r="M155" s="191"/>
      <c r="N155" s="191"/>
      <c r="O155" s="191"/>
      <c r="P155" s="191"/>
      <c r="Q155" s="191"/>
      <c r="R155" s="191"/>
      <c r="S155" s="191"/>
      <c r="T155" s="191"/>
      <c r="U155" s="191"/>
    </row>
    <row r="156" spans="3:21">
      <c r="C156" s="191"/>
      <c r="D156" s="191"/>
      <c r="E156" s="191"/>
      <c r="F156" s="191"/>
      <c r="G156" s="191"/>
      <c r="H156" s="191"/>
      <c r="I156" s="191"/>
      <c r="J156" s="191"/>
      <c r="K156" s="191"/>
      <c r="L156" s="191"/>
      <c r="M156" s="191"/>
      <c r="N156" s="191"/>
      <c r="O156" s="191"/>
      <c r="P156" s="191"/>
      <c r="Q156" s="191"/>
      <c r="R156" s="191"/>
      <c r="S156" s="191"/>
      <c r="T156" s="191"/>
      <c r="U156" s="191"/>
    </row>
    <row r="157" spans="3:21">
      <c r="C157" s="191"/>
      <c r="D157" s="191"/>
      <c r="E157" s="191"/>
      <c r="F157" s="191"/>
      <c r="G157" s="191"/>
      <c r="H157" s="191"/>
      <c r="I157" s="191"/>
      <c r="J157" s="191"/>
      <c r="K157" s="191"/>
      <c r="L157" s="191"/>
      <c r="M157" s="191"/>
      <c r="N157" s="191"/>
      <c r="O157" s="191"/>
      <c r="P157" s="191"/>
      <c r="Q157" s="191"/>
      <c r="R157" s="191"/>
      <c r="S157" s="191"/>
      <c r="T157" s="191"/>
      <c r="U157" s="191"/>
    </row>
    <row r="158" spans="3:21">
      <c r="C158" s="191"/>
      <c r="D158" s="191"/>
      <c r="E158" s="191"/>
      <c r="F158" s="191"/>
      <c r="G158" s="191"/>
      <c r="H158" s="191"/>
      <c r="I158" s="191"/>
      <c r="J158" s="191"/>
      <c r="K158" s="191"/>
      <c r="L158" s="191"/>
      <c r="M158" s="191"/>
      <c r="N158" s="191"/>
      <c r="O158" s="191"/>
      <c r="P158" s="191"/>
      <c r="Q158" s="191"/>
      <c r="R158" s="191"/>
      <c r="S158" s="191"/>
      <c r="T158" s="191"/>
      <c r="U158" s="191"/>
    </row>
    <row r="159" spans="3:21">
      <c r="C159" s="191"/>
      <c r="D159" s="191"/>
      <c r="E159" s="191"/>
      <c r="F159" s="191"/>
      <c r="G159" s="191"/>
      <c r="H159" s="191"/>
      <c r="I159" s="191"/>
      <c r="J159" s="191"/>
      <c r="K159" s="191"/>
      <c r="L159" s="191"/>
      <c r="M159" s="191"/>
      <c r="N159" s="191"/>
      <c r="O159" s="191"/>
      <c r="P159" s="191"/>
      <c r="Q159" s="191"/>
      <c r="R159" s="191"/>
      <c r="S159" s="191"/>
      <c r="T159" s="191"/>
      <c r="U159" s="191"/>
    </row>
    <row r="160" spans="3:21">
      <c r="C160" s="191"/>
      <c r="D160" s="191"/>
      <c r="E160" s="191"/>
      <c r="F160" s="191"/>
      <c r="G160" s="191"/>
      <c r="H160" s="191"/>
      <c r="I160" s="191"/>
      <c r="J160" s="191"/>
      <c r="K160" s="191"/>
      <c r="L160" s="191"/>
      <c r="M160" s="191"/>
      <c r="N160" s="191"/>
      <c r="O160" s="191"/>
      <c r="P160" s="191"/>
      <c r="Q160" s="191"/>
      <c r="R160" s="191"/>
      <c r="S160" s="191"/>
      <c r="T160" s="191"/>
      <c r="U160" s="191"/>
    </row>
    <row r="161" spans="3:21">
      <c r="C161" s="191"/>
      <c r="D161" s="191"/>
      <c r="E161" s="191"/>
      <c r="F161" s="191"/>
      <c r="G161" s="191"/>
      <c r="H161" s="191"/>
      <c r="I161" s="191"/>
      <c r="J161" s="191"/>
      <c r="K161" s="191"/>
      <c r="L161" s="191"/>
      <c r="M161" s="191"/>
      <c r="N161" s="191"/>
      <c r="O161" s="191"/>
      <c r="P161" s="191"/>
      <c r="Q161" s="191"/>
      <c r="R161" s="191"/>
      <c r="S161" s="191"/>
      <c r="T161" s="191"/>
      <c r="U161" s="191"/>
    </row>
    <row r="162" spans="3:21">
      <c r="C162" s="191"/>
      <c r="D162" s="191"/>
      <c r="E162" s="191"/>
      <c r="F162" s="191"/>
      <c r="G162" s="191"/>
      <c r="H162" s="191"/>
      <c r="I162" s="191"/>
      <c r="J162" s="191"/>
      <c r="K162" s="191"/>
      <c r="L162" s="191"/>
      <c r="M162" s="191"/>
      <c r="N162" s="191"/>
      <c r="O162" s="191"/>
      <c r="P162" s="191"/>
      <c r="Q162" s="191"/>
      <c r="R162" s="191"/>
      <c r="S162" s="191"/>
      <c r="T162" s="191"/>
      <c r="U162" s="191"/>
    </row>
    <row r="163" spans="3:21">
      <c r="C163" s="191"/>
      <c r="D163" s="191"/>
      <c r="E163" s="191"/>
      <c r="F163" s="191"/>
      <c r="G163" s="191"/>
      <c r="H163" s="191"/>
      <c r="I163" s="191"/>
      <c r="J163" s="191"/>
      <c r="K163" s="191"/>
      <c r="L163" s="191"/>
      <c r="M163" s="191"/>
      <c r="N163" s="191"/>
      <c r="O163" s="191"/>
      <c r="P163" s="191"/>
      <c r="Q163" s="191"/>
      <c r="R163" s="191"/>
      <c r="S163" s="191"/>
      <c r="T163" s="191"/>
      <c r="U163" s="191"/>
    </row>
    <row r="164" spans="3:21">
      <c r="C164" s="191"/>
      <c r="D164" s="191"/>
      <c r="E164" s="191"/>
      <c r="F164" s="191"/>
      <c r="G164" s="191"/>
      <c r="H164" s="191"/>
      <c r="I164" s="191"/>
      <c r="J164" s="191"/>
      <c r="K164" s="191"/>
      <c r="L164" s="191"/>
      <c r="M164" s="191"/>
      <c r="N164" s="191"/>
      <c r="O164" s="191"/>
      <c r="P164" s="191"/>
      <c r="Q164" s="191"/>
      <c r="R164" s="191"/>
      <c r="S164" s="191"/>
      <c r="T164" s="191"/>
      <c r="U164" s="191"/>
    </row>
    <row r="165" spans="3:21">
      <c r="C165" s="191"/>
      <c r="D165" s="191"/>
      <c r="E165" s="191"/>
      <c r="F165" s="191"/>
      <c r="G165" s="191"/>
      <c r="H165" s="191"/>
      <c r="I165" s="191"/>
      <c r="J165" s="191"/>
      <c r="K165" s="191"/>
      <c r="L165" s="191"/>
      <c r="M165" s="191"/>
      <c r="N165" s="191"/>
      <c r="O165" s="191"/>
      <c r="P165" s="191"/>
      <c r="Q165" s="191"/>
      <c r="R165" s="191"/>
      <c r="S165" s="191"/>
      <c r="T165" s="191"/>
      <c r="U165" s="191"/>
    </row>
    <row r="166" spans="3:21">
      <c r="C166" s="191"/>
      <c r="D166" s="191"/>
      <c r="E166" s="191"/>
      <c r="F166" s="191"/>
      <c r="G166" s="191"/>
      <c r="H166" s="191"/>
      <c r="I166" s="191"/>
      <c r="J166" s="191"/>
      <c r="K166" s="191"/>
      <c r="L166" s="191"/>
      <c r="M166" s="191"/>
      <c r="N166" s="191"/>
      <c r="O166" s="191"/>
      <c r="P166" s="191"/>
      <c r="Q166" s="191"/>
      <c r="R166" s="191"/>
      <c r="S166" s="191"/>
      <c r="T166" s="191"/>
      <c r="U166" s="191"/>
    </row>
    <row r="167" spans="3:21">
      <c r="C167" s="191"/>
      <c r="D167" s="191"/>
      <c r="E167" s="191"/>
      <c r="F167" s="191"/>
      <c r="G167" s="191"/>
      <c r="H167" s="191"/>
      <c r="I167" s="191"/>
      <c r="J167" s="191"/>
      <c r="K167" s="191"/>
      <c r="L167" s="191"/>
      <c r="M167" s="191"/>
      <c r="N167" s="191"/>
      <c r="O167" s="191"/>
      <c r="P167" s="191"/>
      <c r="Q167" s="191"/>
      <c r="R167" s="191"/>
      <c r="S167" s="191"/>
      <c r="T167" s="191"/>
      <c r="U167" s="191"/>
    </row>
    <row r="168" spans="3:21">
      <c r="C168" s="191"/>
      <c r="D168" s="191"/>
      <c r="E168" s="191"/>
      <c r="F168" s="191"/>
      <c r="G168" s="191"/>
      <c r="H168" s="191"/>
      <c r="I168" s="191"/>
      <c r="J168" s="191"/>
      <c r="K168" s="191"/>
      <c r="L168" s="191"/>
      <c r="M168" s="191"/>
      <c r="N168" s="191"/>
      <c r="O168" s="191"/>
      <c r="P168" s="191"/>
      <c r="Q168" s="191"/>
      <c r="R168" s="191"/>
      <c r="S168" s="191"/>
      <c r="T168" s="191"/>
      <c r="U168" s="191"/>
    </row>
    <row r="169" spans="3:21">
      <c r="C169" s="191"/>
      <c r="D169" s="191"/>
      <c r="E169" s="191"/>
      <c r="F169" s="191"/>
      <c r="G169" s="191"/>
      <c r="H169" s="191"/>
      <c r="I169" s="191"/>
      <c r="J169" s="191"/>
      <c r="K169" s="191"/>
      <c r="L169" s="191"/>
      <c r="M169" s="191"/>
      <c r="N169" s="191"/>
      <c r="O169" s="191"/>
      <c r="P169" s="191"/>
      <c r="Q169" s="191"/>
      <c r="R169" s="191"/>
      <c r="S169" s="191"/>
      <c r="T169" s="191"/>
      <c r="U169" s="191"/>
    </row>
    <row r="170" spans="3:21">
      <c r="C170" s="191"/>
      <c r="D170" s="191"/>
      <c r="E170" s="191"/>
      <c r="F170" s="191"/>
      <c r="G170" s="191"/>
      <c r="H170" s="191"/>
      <c r="I170" s="191"/>
      <c r="J170" s="191"/>
      <c r="K170" s="191"/>
      <c r="L170" s="191"/>
      <c r="M170" s="191"/>
      <c r="N170" s="191"/>
      <c r="O170" s="191"/>
      <c r="P170" s="191"/>
      <c r="Q170" s="191"/>
      <c r="R170" s="191"/>
      <c r="S170" s="191"/>
      <c r="T170" s="191"/>
      <c r="U170" s="191"/>
    </row>
    <row r="171" spans="3:21">
      <c r="C171" s="191"/>
      <c r="D171" s="191"/>
      <c r="E171" s="191"/>
      <c r="F171" s="191"/>
      <c r="G171" s="191"/>
      <c r="H171" s="191"/>
      <c r="I171" s="191"/>
      <c r="J171" s="191"/>
      <c r="K171" s="191"/>
      <c r="L171" s="191"/>
      <c r="M171" s="191"/>
      <c r="N171" s="191"/>
      <c r="O171" s="191"/>
      <c r="P171" s="191"/>
      <c r="Q171" s="191"/>
      <c r="R171" s="191"/>
      <c r="S171" s="191"/>
      <c r="T171" s="191"/>
      <c r="U171" s="191"/>
    </row>
    <row r="172" spans="3:21">
      <c r="C172" s="191"/>
      <c r="D172" s="191"/>
      <c r="E172" s="191"/>
      <c r="F172" s="191"/>
      <c r="G172" s="191"/>
      <c r="H172" s="191"/>
      <c r="I172" s="191"/>
      <c r="J172" s="191"/>
      <c r="K172" s="191"/>
      <c r="L172" s="191"/>
      <c r="M172" s="191"/>
      <c r="N172" s="191"/>
      <c r="O172" s="191"/>
      <c r="P172" s="191"/>
      <c r="Q172" s="191"/>
      <c r="R172" s="191"/>
      <c r="S172" s="191"/>
      <c r="T172" s="191"/>
      <c r="U172" s="191"/>
    </row>
    <row r="173" spans="3:21">
      <c r="C173" s="191"/>
      <c r="D173" s="191"/>
      <c r="E173" s="191"/>
      <c r="F173" s="191"/>
      <c r="G173" s="191"/>
      <c r="H173" s="191"/>
      <c r="I173" s="191"/>
      <c r="J173" s="191"/>
      <c r="K173" s="191"/>
      <c r="L173" s="191"/>
      <c r="M173" s="191"/>
      <c r="N173" s="191"/>
      <c r="O173" s="191"/>
      <c r="P173" s="191"/>
      <c r="Q173" s="191"/>
      <c r="R173" s="191"/>
      <c r="S173" s="191"/>
      <c r="T173" s="191"/>
      <c r="U173" s="191"/>
    </row>
    <row r="174" spans="3:21">
      <c r="C174" s="191"/>
      <c r="D174" s="191"/>
      <c r="E174" s="191"/>
      <c r="F174" s="191"/>
      <c r="G174" s="191"/>
      <c r="H174" s="191"/>
      <c r="I174" s="191"/>
      <c r="J174" s="191"/>
      <c r="K174" s="191"/>
      <c r="L174" s="191"/>
      <c r="M174" s="191"/>
      <c r="N174" s="191"/>
      <c r="O174" s="191"/>
      <c r="P174" s="191"/>
      <c r="Q174" s="191"/>
      <c r="R174" s="191"/>
      <c r="S174" s="191"/>
      <c r="T174" s="191"/>
      <c r="U174" s="191"/>
    </row>
    <row r="175" spans="3:21">
      <c r="C175" s="191"/>
      <c r="D175" s="191"/>
      <c r="E175" s="191"/>
      <c r="F175" s="191"/>
      <c r="G175" s="191"/>
      <c r="H175" s="191"/>
      <c r="I175" s="191"/>
      <c r="J175" s="191"/>
      <c r="K175" s="191"/>
      <c r="L175" s="191"/>
      <c r="M175" s="191"/>
      <c r="N175" s="191"/>
      <c r="O175" s="191"/>
      <c r="P175" s="191"/>
      <c r="Q175" s="191"/>
      <c r="R175" s="191"/>
      <c r="S175" s="191"/>
      <c r="T175" s="191"/>
      <c r="U175" s="191"/>
    </row>
    <row r="176" spans="3:21">
      <c r="C176" s="191"/>
      <c r="D176" s="191"/>
      <c r="E176" s="191"/>
      <c r="F176" s="191"/>
      <c r="G176" s="191"/>
      <c r="H176" s="191"/>
      <c r="I176" s="191"/>
      <c r="J176" s="191"/>
      <c r="K176" s="191"/>
      <c r="L176" s="191"/>
      <c r="M176" s="191"/>
      <c r="N176" s="191"/>
      <c r="O176" s="191"/>
      <c r="P176" s="191"/>
      <c r="Q176" s="191"/>
      <c r="R176" s="191"/>
      <c r="S176" s="191"/>
      <c r="T176" s="191"/>
      <c r="U176" s="191"/>
    </row>
    <row r="177" spans="3:21">
      <c r="C177" s="191"/>
      <c r="D177" s="191"/>
      <c r="E177" s="191"/>
      <c r="F177" s="191"/>
      <c r="G177" s="191"/>
      <c r="H177" s="191"/>
      <c r="I177" s="191"/>
      <c r="J177" s="191"/>
      <c r="K177" s="191"/>
      <c r="L177" s="191"/>
      <c r="M177" s="191"/>
      <c r="N177" s="191"/>
      <c r="O177" s="191"/>
      <c r="P177" s="191"/>
      <c r="Q177" s="191"/>
      <c r="R177" s="191"/>
      <c r="S177" s="191"/>
      <c r="T177" s="191"/>
      <c r="U177" s="191"/>
    </row>
    <row r="178" spans="3:21">
      <c r="C178" s="191"/>
      <c r="D178" s="191"/>
      <c r="E178" s="191"/>
      <c r="F178" s="191"/>
      <c r="G178" s="191"/>
      <c r="H178" s="191"/>
      <c r="I178" s="191"/>
      <c r="J178" s="191"/>
      <c r="K178" s="191"/>
      <c r="L178" s="191"/>
      <c r="M178" s="191"/>
      <c r="N178" s="191"/>
      <c r="O178" s="191"/>
      <c r="P178" s="191"/>
      <c r="Q178" s="191"/>
      <c r="R178" s="191"/>
      <c r="S178" s="191"/>
      <c r="T178" s="191"/>
      <c r="U178" s="191"/>
    </row>
    <row r="179" spans="3:21">
      <c r="C179" s="191"/>
      <c r="D179" s="191"/>
      <c r="E179" s="191"/>
      <c r="F179" s="191"/>
      <c r="G179" s="191"/>
      <c r="H179" s="191"/>
      <c r="I179" s="191"/>
      <c r="J179" s="191"/>
      <c r="K179" s="191"/>
      <c r="L179" s="191"/>
      <c r="M179" s="191"/>
      <c r="N179" s="191"/>
      <c r="O179" s="191"/>
      <c r="P179" s="191"/>
      <c r="Q179" s="191"/>
      <c r="R179" s="191"/>
      <c r="S179" s="191"/>
      <c r="T179" s="191"/>
      <c r="U179" s="191"/>
    </row>
    <row r="180" spans="3:21">
      <c r="C180" s="191"/>
      <c r="D180" s="191"/>
      <c r="E180" s="191"/>
      <c r="F180" s="191"/>
      <c r="G180" s="191"/>
      <c r="H180" s="191"/>
      <c r="I180" s="191"/>
      <c r="J180" s="191"/>
      <c r="K180" s="191"/>
      <c r="L180" s="191"/>
      <c r="M180" s="191"/>
      <c r="N180" s="191"/>
      <c r="O180" s="191"/>
      <c r="P180" s="191"/>
      <c r="Q180" s="191"/>
      <c r="R180" s="191"/>
      <c r="S180" s="191"/>
      <c r="T180" s="191"/>
      <c r="U180" s="191"/>
    </row>
    <row r="181" spans="3:21">
      <c r="C181" s="191"/>
      <c r="D181" s="191"/>
      <c r="E181" s="191"/>
      <c r="F181" s="191"/>
      <c r="G181" s="191"/>
      <c r="H181" s="191"/>
      <c r="I181" s="191"/>
      <c r="J181" s="191"/>
      <c r="K181" s="191"/>
      <c r="L181" s="191"/>
      <c r="M181" s="191"/>
      <c r="N181" s="191"/>
      <c r="O181" s="191"/>
      <c r="P181" s="191"/>
      <c r="Q181" s="191"/>
      <c r="R181" s="191"/>
      <c r="S181" s="191"/>
      <c r="T181" s="191"/>
      <c r="U181" s="191"/>
    </row>
    <row r="182" spans="3:21">
      <c r="C182" s="191"/>
      <c r="D182" s="191"/>
      <c r="E182" s="191"/>
      <c r="F182" s="191"/>
      <c r="G182" s="191"/>
      <c r="H182" s="191"/>
      <c r="I182" s="191"/>
      <c r="J182" s="191"/>
      <c r="K182" s="191"/>
      <c r="L182" s="191"/>
      <c r="M182" s="191"/>
      <c r="N182" s="191"/>
      <c r="O182" s="191"/>
      <c r="P182" s="191"/>
      <c r="Q182" s="191"/>
      <c r="R182" s="191"/>
      <c r="S182" s="191"/>
      <c r="T182" s="191"/>
      <c r="U182" s="191"/>
    </row>
    <row r="183" spans="3:21">
      <c r="C183" s="191"/>
      <c r="D183" s="191"/>
      <c r="E183" s="191"/>
      <c r="F183" s="191"/>
      <c r="G183" s="191"/>
      <c r="H183" s="191"/>
      <c r="I183" s="191"/>
      <c r="J183" s="191"/>
      <c r="K183" s="191"/>
      <c r="L183" s="191"/>
      <c r="M183" s="191"/>
      <c r="N183" s="191"/>
      <c r="O183" s="191"/>
      <c r="P183" s="191"/>
      <c r="Q183" s="191"/>
      <c r="R183" s="191"/>
      <c r="S183" s="191"/>
      <c r="T183" s="191"/>
      <c r="U183" s="191"/>
    </row>
    <row r="184" spans="3:21">
      <c r="C184" s="191"/>
      <c r="D184" s="191"/>
      <c r="E184" s="191"/>
      <c r="F184" s="191"/>
      <c r="G184" s="191"/>
      <c r="H184" s="191"/>
      <c r="I184" s="191"/>
      <c r="J184" s="191"/>
      <c r="K184" s="191"/>
      <c r="L184" s="191"/>
      <c r="M184" s="191"/>
      <c r="N184" s="191"/>
      <c r="O184" s="191"/>
      <c r="P184" s="191"/>
      <c r="Q184" s="191"/>
      <c r="R184" s="191"/>
      <c r="S184" s="191"/>
      <c r="T184" s="191"/>
      <c r="U184" s="191"/>
    </row>
    <row r="185" spans="3:21">
      <c r="C185" s="191"/>
      <c r="D185" s="191"/>
      <c r="E185" s="191"/>
      <c r="F185" s="191"/>
      <c r="G185" s="191"/>
      <c r="H185" s="191"/>
      <c r="I185" s="191"/>
      <c r="J185" s="191"/>
      <c r="K185" s="191"/>
      <c r="L185" s="191"/>
      <c r="M185" s="191"/>
      <c r="N185" s="191"/>
      <c r="O185" s="191"/>
      <c r="P185" s="191"/>
      <c r="Q185" s="191"/>
      <c r="R185" s="191"/>
      <c r="S185" s="191"/>
      <c r="T185" s="191"/>
      <c r="U185" s="191"/>
    </row>
    <row r="186" spans="3:21">
      <c r="C186" s="191"/>
      <c r="D186" s="191"/>
      <c r="E186" s="191"/>
      <c r="F186" s="191"/>
      <c r="G186" s="191"/>
      <c r="H186" s="191"/>
      <c r="I186" s="191"/>
      <c r="J186" s="191"/>
      <c r="K186" s="191"/>
      <c r="L186" s="191"/>
      <c r="M186" s="191"/>
      <c r="N186" s="191"/>
      <c r="O186" s="191"/>
      <c r="P186" s="191"/>
      <c r="Q186" s="191"/>
      <c r="R186" s="191"/>
      <c r="S186" s="191"/>
      <c r="T186" s="191"/>
      <c r="U186" s="191"/>
    </row>
    <row r="187" spans="3:21">
      <c r="C187" s="191"/>
      <c r="D187" s="191"/>
      <c r="E187" s="191"/>
      <c r="F187" s="191"/>
      <c r="G187" s="191"/>
      <c r="H187" s="191"/>
      <c r="I187" s="191"/>
      <c r="J187" s="191"/>
      <c r="K187" s="191"/>
      <c r="L187" s="191"/>
      <c r="M187" s="191"/>
      <c r="N187" s="191"/>
      <c r="O187" s="191"/>
      <c r="P187" s="191"/>
      <c r="Q187" s="191"/>
      <c r="R187" s="191"/>
      <c r="S187" s="191"/>
      <c r="T187" s="191"/>
      <c r="U187" s="191"/>
    </row>
    <row r="188" spans="3:21">
      <c r="C188" s="191"/>
      <c r="D188" s="191"/>
      <c r="E188" s="191"/>
      <c r="F188" s="191"/>
      <c r="G188" s="191"/>
      <c r="H188" s="191"/>
      <c r="I188" s="191"/>
      <c r="J188" s="191"/>
      <c r="K188" s="191"/>
      <c r="L188" s="191"/>
      <c r="M188" s="191"/>
      <c r="N188" s="191"/>
      <c r="O188" s="191"/>
      <c r="P188" s="191"/>
      <c r="Q188" s="191"/>
      <c r="R188" s="191"/>
      <c r="S188" s="191"/>
      <c r="T188" s="191"/>
      <c r="U188" s="191"/>
    </row>
    <row r="189" spans="3:21">
      <c r="C189" s="191"/>
      <c r="D189" s="191"/>
      <c r="E189" s="191"/>
      <c r="F189" s="191"/>
      <c r="G189" s="191"/>
      <c r="H189" s="191"/>
      <c r="I189" s="191"/>
      <c r="J189" s="191"/>
      <c r="K189" s="191"/>
      <c r="L189" s="191"/>
      <c r="M189" s="191"/>
      <c r="N189" s="191"/>
      <c r="O189" s="191"/>
      <c r="P189" s="191"/>
      <c r="Q189" s="191"/>
      <c r="R189" s="191"/>
      <c r="S189" s="191"/>
      <c r="T189" s="191"/>
      <c r="U189" s="191"/>
    </row>
    <row r="190" spans="3:21">
      <c r="C190" s="191"/>
      <c r="D190" s="191"/>
      <c r="E190" s="191"/>
      <c r="F190" s="191"/>
      <c r="G190" s="191"/>
      <c r="H190" s="191"/>
      <c r="I190" s="191"/>
      <c r="J190" s="191"/>
      <c r="K190" s="191"/>
      <c r="L190" s="191"/>
      <c r="M190" s="191"/>
      <c r="N190" s="191"/>
      <c r="O190" s="191"/>
      <c r="P190" s="191"/>
      <c r="Q190" s="191"/>
      <c r="R190" s="191"/>
      <c r="S190" s="191"/>
      <c r="T190" s="191"/>
      <c r="U190" s="191"/>
    </row>
    <row r="191" spans="3:21">
      <c r="C191" s="191"/>
      <c r="D191" s="191"/>
      <c r="E191" s="191"/>
      <c r="F191" s="191"/>
      <c r="G191" s="191"/>
      <c r="H191" s="191"/>
      <c r="I191" s="191"/>
      <c r="J191" s="191"/>
      <c r="K191" s="191"/>
      <c r="L191" s="191"/>
      <c r="M191" s="191"/>
      <c r="N191" s="191"/>
      <c r="O191" s="191"/>
      <c r="P191" s="191"/>
      <c r="Q191" s="191"/>
      <c r="R191" s="191"/>
      <c r="S191" s="191"/>
      <c r="T191" s="191"/>
      <c r="U191" s="191"/>
    </row>
    <row r="192" spans="3:21">
      <c r="C192" s="191"/>
      <c r="D192" s="191"/>
      <c r="E192" s="191"/>
      <c r="F192" s="191"/>
      <c r="G192" s="191"/>
      <c r="H192" s="191"/>
      <c r="I192" s="191"/>
      <c r="J192" s="191"/>
      <c r="K192" s="191"/>
      <c r="L192" s="191"/>
      <c r="M192" s="191"/>
      <c r="N192" s="191"/>
      <c r="O192" s="191"/>
      <c r="P192" s="191"/>
      <c r="Q192" s="191"/>
      <c r="R192" s="191"/>
      <c r="S192" s="191"/>
      <c r="T192" s="191"/>
      <c r="U192" s="191"/>
    </row>
    <row r="193" spans="3:21">
      <c r="C193" s="191"/>
      <c r="D193" s="191"/>
      <c r="E193" s="191"/>
      <c r="F193" s="191"/>
      <c r="G193" s="191"/>
      <c r="H193" s="191"/>
      <c r="I193" s="191"/>
      <c r="J193" s="191"/>
      <c r="K193" s="191"/>
      <c r="L193" s="191"/>
      <c r="M193" s="191"/>
      <c r="N193" s="191"/>
      <c r="O193" s="191"/>
      <c r="P193" s="191"/>
      <c r="Q193" s="191"/>
      <c r="R193" s="191"/>
      <c r="S193" s="191"/>
      <c r="T193" s="191"/>
      <c r="U193" s="191"/>
    </row>
    <row r="194" spans="3:21">
      <c r="C194" s="191"/>
      <c r="D194" s="191"/>
      <c r="E194" s="191"/>
      <c r="F194" s="191"/>
      <c r="G194" s="191"/>
      <c r="H194" s="191"/>
      <c r="I194" s="191"/>
      <c r="J194" s="191"/>
      <c r="K194" s="191"/>
      <c r="L194" s="191"/>
      <c r="M194" s="191"/>
      <c r="N194" s="191"/>
      <c r="O194" s="191"/>
      <c r="P194" s="191"/>
      <c r="Q194" s="191"/>
      <c r="R194" s="191"/>
      <c r="S194" s="191"/>
      <c r="T194" s="191"/>
      <c r="U194" s="191"/>
    </row>
    <row r="195" spans="3:21">
      <c r="C195" s="191"/>
      <c r="D195" s="191"/>
      <c r="E195" s="191"/>
      <c r="F195" s="191"/>
      <c r="G195" s="191"/>
      <c r="H195" s="191"/>
      <c r="I195" s="191"/>
      <c r="J195" s="191"/>
      <c r="K195" s="191"/>
      <c r="L195" s="191"/>
      <c r="M195" s="191"/>
      <c r="N195" s="191"/>
      <c r="O195" s="191"/>
      <c r="P195" s="191"/>
      <c r="Q195" s="191"/>
      <c r="R195" s="191"/>
      <c r="S195" s="191"/>
      <c r="T195" s="191"/>
      <c r="U195" s="191"/>
    </row>
    <row r="196" spans="3:21">
      <c r="C196" s="191"/>
      <c r="D196" s="191"/>
      <c r="E196" s="191"/>
      <c r="F196" s="191"/>
      <c r="G196" s="191"/>
      <c r="H196" s="191"/>
      <c r="I196" s="191"/>
      <c r="J196" s="191"/>
      <c r="K196" s="191"/>
      <c r="L196" s="191"/>
      <c r="M196" s="191"/>
      <c r="N196" s="191"/>
      <c r="O196" s="191"/>
      <c r="P196" s="191"/>
      <c r="Q196" s="191"/>
      <c r="R196" s="191"/>
      <c r="S196" s="191"/>
      <c r="T196" s="191"/>
      <c r="U196" s="191"/>
    </row>
    <row r="197" spans="3:21">
      <c r="C197" s="191"/>
      <c r="D197" s="191"/>
      <c r="E197" s="191"/>
      <c r="F197" s="191"/>
      <c r="G197" s="191"/>
      <c r="H197" s="191"/>
      <c r="I197" s="191"/>
      <c r="J197" s="191"/>
      <c r="K197" s="191"/>
      <c r="L197" s="191"/>
      <c r="M197" s="191"/>
      <c r="N197" s="191"/>
      <c r="O197" s="191"/>
      <c r="P197" s="191"/>
      <c r="Q197" s="191"/>
      <c r="R197" s="191"/>
      <c r="S197" s="191"/>
      <c r="T197" s="191"/>
      <c r="U197" s="191"/>
    </row>
    <row r="198" spans="3:21">
      <c r="C198" s="191"/>
      <c r="D198" s="191"/>
      <c r="E198" s="191"/>
      <c r="F198" s="191"/>
      <c r="G198" s="191"/>
      <c r="H198" s="191"/>
      <c r="I198" s="191"/>
      <c r="J198" s="191"/>
      <c r="K198" s="191"/>
      <c r="L198" s="191"/>
      <c r="M198" s="191"/>
      <c r="N198" s="191"/>
      <c r="O198" s="191"/>
      <c r="P198" s="191"/>
      <c r="Q198" s="191"/>
      <c r="R198" s="191"/>
      <c r="S198" s="191"/>
      <c r="T198" s="191"/>
      <c r="U198" s="191"/>
    </row>
    <row r="199" spans="3:21">
      <c r="C199" s="191"/>
      <c r="D199" s="191"/>
      <c r="E199" s="191"/>
      <c r="F199" s="191"/>
      <c r="G199" s="191"/>
      <c r="H199" s="191"/>
      <c r="I199" s="191"/>
      <c r="J199" s="191"/>
      <c r="K199" s="191"/>
      <c r="L199" s="191"/>
      <c r="M199" s="191"/>
      <c r="N199" s="191"/>
      <c r="O199" s="191"/>
      <c r="P199" s="191"/>
      <c r="Q199" s="191"/>
      <c r="R199" s="191"/>
      <c r="S199" s="191"/>
      <c r="T199" s="191"/>
      <c r="U199" s="191"/>
    </row>
    <row r="200" spans="3:21">
      <c r="C200" s="191"/>
      <c r="D200" s="191"/>
      <c r="E200" s="191"/>
      <c r="F200" s="191"/>
      <c r="G200" s="191"/>
      <c r="H200" s="191"/>
      <c r="I200" s="191"/>
      <c r="J200" s="191"/>
      <c r="K200" s="191"/>
      <c r="L200" s="191"/>
      <c r="M200" s="191"/>
      <c r="N200" s="191"/>
      <c r="O200" s="191"/>
      <c r="P200" s="191"/>
      <c r="Q200" s="191"/>
      <c r="R200" s="191"/>
      <c r="S200" s="191"/>
      <c r="T200" s="191"/>
      <c r="U200" s="191"/>
    </row>
    <row r="201" spans="3:21">
      <c r="C201" s="191"/>
      <c r="D201" s="191"/>
      <c r="E201" s="191"/>
      <c r="F201" s="191"/>
      <c r="G201" s="191"/>
      <c r="H201" s="191"/>
      <c r="I201" s="191"/>
      <c r="J201" s="191"/>
      <c r="K201" s="191"/>
      <c r="L201" s="191"/>
      <c r="M201" s="191"/>
      <c r="N201" s="191"/>
      <c r="O201" s="191"/>
      <c r="P201" s="191"/>
      <c r="Q201" s="191"/>
      <c r="R201" s="191"/>
      <c r="S201" s="191"/>
      <c r="T201" s="191"/>
      <c r="U201" s="191"/>
    </row>
    <row r="202" spans="3:21">
      <c r="C202" s="191"/>
      <c r="D202" s="191"/>
      <c r="E202" s="191"/>
      <c r="F202" s="191"/>
      <c r="G202" s="191"/>
      <c r="H202" s="191"/>
      <c r="I202" s="191"/>
      <c r="J202" s="191"/>
      <c r="K202" s="191"/>
      <c r="L202" s="191"/>
      <c r="M202" s="191"/>
      <c r="N202" s="191"/>
      <c r="O202" s="191"/>
      <c r="P202" s="191"/>
      <c r="Q202" s="191"/>
      <c r="R202" s="191"/>
      <c r="S202" s="191"/>
      <c r="T202" s="191"/>
      <c r="U202" s="191"/>
    </row>
    <row r="203" spans="3:21">
      <c r="C203" s="191"/>
      <c r="D203" s="191"/>
      <c r="E203" s="191"/>
      <c r="F203" s="191"/>
      <c r="G203" s="191"/>
      <c r="H203" s="191"/>
      <c r="I203" s="191"/>
      <c r="J203" s="191"/>
      <c r="K203" s="191"/>
      <c r="L203" s="191"/>
      <c r="M203" s="191"/>
      <c r="N203" s="191"/>
      <c r="O203" s="191"/>
      <c r="P203" s="191"/>
      <c r="Q203" s="191"/>
      <c r="R203" s="191"/>
      <c r="S203" s="191"/>
      <c r="T203" s="191"/>
      <c r="U203" s="191"/>
    </row>
    <row r="204" spans="3:21">
      <c r="C204" s="191"/>
      <c r="D204" s="191"/>
      <c r="E204" s="191"/>
      <c r="F204" s="191"/>
      <c r="G204" s="191"/>
      <c r="H204" s="191"/>
      <c r="I204" s="191"/>
      <c r="J204" s="191"/>
      <c r="K204" s="191"/>
      <c r="L204" s="191"/>
      <c r="M204" s="191"/>
      <c r="N204" s="191"/>
      <c r="O204" s="191"/>
      <c r="P204" s="191"/>
      <c r="Q204" s="191"/>
      <c r="R204" s="191"/>
      <c r="S204" s="191"/>
      <c r="T204" s="191"/>
      <c r="U204" s="191"/>
    </row>
    <row r="205" spans="3:21">
      <c r="C205" s="191"/>
      <c r="D205" s="191"/>
      <c r="E205" s="191"/>
      <c r="F205" s="191"/>
      <c r="G205" s="191"/>
      <c r="H205" s="191"/>
      <c r="I205" s="191"/>
      <c r="J205" s="191"/>
      <c r="K205" s="191"/>
      <c r="L205" s="191"/>
      <c r="M205" s="191"/>
      <c r="N205" s="191"/>
      <c r="O205" s="191"/>
      <c r="P205" s="191"/>
      <c r="Q205" s="191"/>
      <c r="R205" s="191"/>
      <c r="S205" s="191"/>
      <c r="T205" s="191"/>
      <c r="U205" s="191"/>
    </row>
    <row r="206" spans="3:21">
      <c r="C206" s="191"/>
      <c r="D206" s="191"/>
      <c r="E206" s="191"/>
      <c r="F206" s="191"/>
      <c r="G206" s="191"/>
      <c r="H206" s="191"/>
      <c r="I206" s="191"/>
      <c r="J206" s="191"/>
      <c r="K206" s="191"/>
      <c r="L206" s="191"/>
      <c r="M206" s="191"/>
      <c r="N206" s="191"/>
      <c r="O206" s="191"/>
      <c r="P206" s="191"/>
      <c r="Q206" s="191"/>
      <c r="R206" s="191"/>
      <c r="S206" s="191"/>
      <c r="T206" s="191"/>
      <c r="U206" s="191"/>
    </row>
    <row r="207" spans="3:21">
      <c r="C207" s="191"/>
      <c r="D207" s="191"/>
      <c r="E207" s="191"/>
      <c r="F207" s="191"/>
      <c r="G207" s="191"/>
      <c r="H207" s="191"/>
      <c r="I207" s="191"/>
      <c r="J207" s="191"/>
      <c r="K207" s="191"/>
      <c r="L207" s="191"/>
      <c r="M207" s="191"/>
      <c r="N207" s="191"/>
      <c r="O207" s="191"/>
      <c r="P207" s="191"/>
      <c r="Q207" s="191"/>
      <c r="R207" s="191"/>
      <c r="S207" s="191"/>
      <c r="T207" s="191"/>
      <c r="U207" s="191"/>
    </row>
    <row r="208" spans="3:21">
      <c r="C208" s="191"/>
      <c r="D208" s="191"/>
      <c r="E208" s="191"/>
      <c r="F208" s="191"/>
      <c r="G208" s="191"/>
      <c r="H208" s="191"/>
      <c r="I208" s="191"/>
      <c r="J208" s="191"/>
      <c r="K208" s="191"/>
      <c r="L208" s="191"/>
      <c r="M208" s="191"/>
      <c r="N208" s="191"/>
      <c r="O208" s="191"/>
      <c r="P208" s="191"/>
      <c r="Q208" s="191"/>
      <c r="R208" s="191"/>
      <c r="S208" s="191"/>
      <c r="T208" s="191"/>
      <c r="U208" s="191"/>
    </row>
    <row r="209" spans="3:21">
      <c r="C209" s="191"/>
      <c r="D209" s="191"/>
      <c r="E209" s="191"/>
      <c r="F209" s="191"/>
      <c r="G209" s="191"/>
      <c r="H209" s="191"/>
      <c r="I209" s="191"/>
      <c r="J209" s="191"/>
      <c r="K209" s="191"/>
      <c r="L209" s="191"/>
      <c r="M209" s="191"/>
      <c r="N209" s="191"/>
      <c r="O209" s="191"/>
      <c r="P209" s="191"/>
      <c r="Q209" s="191"/>
      <c r="R209" s="191"/>
      <c r="S209" s="191"/>
      <c r="T209" s="191"/>
      <c r="U209" s="191"/>
    </row>
    <row r="210" spans="3:21">
      <c r="C210" s="191"/>
      <c r="D210" s="191"/>
      <c r="E210" s="191"/>
      <c r="F210" s="191"/>
      <c r="G210" s="191"/>
      <c r="H210" s="191"/>
      <c r="I210" s="191"/>
      <c r="J210" s="191"/>
      <c r="K210" s="191"/>
      <c r="L210" s="191"/>
      <c r="M210" s="191"/>
      <c r="N210" s="191"/>
      <c r="O210" s="191"/>
      <c r="P210" s="191"/>
      <c r="Q210" s="191"/>
      <c r="R210" s="191"/>
      <c r="S210" s="191"/>
      <c r="T210" s="191"/>
      <c r="U210" s="191"/>
    </row>
    <row r="211" spans="3:21">
      <c r="C211" s="191"/>
      <c r="D211" s="191"/>
      <c r="E211" s="191"/>
      <c r="F211" s="191"/>
      <c r="G211" s="191"/>
      <c r="H211" s="191"/>
      <c r="I211" s="191"/>
      <c r="J211" s="191"/>
      <c r="K211" s="191"/>
      <c r="L211" s="191"/>
      <c r="M211" s="191"/>
      <c r="N211" s="191"/>
      <c r="O211" s="191"/>
      <c r="P211" s="191"/>
      <c r="Q211" s="191"/>
      <c r="R211" s="191"/>
      <c r="S211" s="191"/>
      <c r="T211" s="191"/>
      <c r="U211" s="191"/>
    </row>
    <row r="212" spans="3:21">
      <c r="C212" s="191"/>
      <c r="D212" s="191"/>
      <c r="E212" s="191"/>
      <c r="F212" s="191"/>
      <c r="G212" s="191"/>
      <c r="H212" s="191"/>
      <c r="I212" s="191"/>
      <c r="J212" s="191"/>
      <c r="K212" s="191"/>
      <c r="L212" s="191"/>
      <c r="M212" s="191"/>
      <c r="N212" s="191"/>
      <c r="O212" s="191"/>
      <c r="P212" s="191"/>
      <c r="Q212" s="191"/>
      <c r="R212" s="191"/>
      <c r="S212" s="191"/>
      <c r="T212" s="191"/>
      <c r="U212" s="191"/>
    </row>
    <row r="213" spans="3:21">
      <c r="C213" s="191"/>
      <c r="D213" s="191"/>
      <c r="E213" s="191"/>
      <c r="F213" s="191"/>
      <c r="G213" s="191"/>
      <c r="H213" s="191"/>
      <c r="I213" s="191"/>
      <c r="J213" s="191"/>
      <c r="K213" s="191"/>
      <c r="L213" s="191"/>
      <c r="M213" s="191"/>
      <c r="N213" s="191"/>
      <c r="O213" s="191"/>
      <c r="P213" s="191"/>
      <c r="Q213" s="191"/>
      <c r="R213" s="191"/>
      <c r="S213" s="191"/>
      <c r="T213" s="191"/>
      <c r="U213" s="191"/>
    </row>
    <row r="214" spans="3:21">
      <c r="C214" s="191"/>
      <c r="D214" s="191"/>
      <c r="E214" s="191"/>
      <c r="F214" s="191"/>
      <c r="G214" s="191"/>
      <c r="H214" s="191"/>
      <c r="I214" s="191"/>
      <c r="J214" s="191"/>
      <c r="K214" s="191"/>
      <c r="L214" s="191"/>
      <c r="M214" s="191"/>
      <c r="N214" s="191"/>
      <c r="O214" s="191"/>
      <c r="P214" s="191"/>
      <c r="Q214" s="191"/>
      <c r="R214" s="191"/>
      <c r="S214" s="191"/>
      <c r="T214" s="191"/>
      <c r="U214" s="191"/>
    </row>
    <row r="215" spans="3:21">
      <c r="C215" s="191"/>
      <c r="D215" s="191"/>
      <c r="E215" s="191"/>
      <c r="F215" s="191"/>
      <c r="G215" s="191"/>
      <c r="H215" s="191"/>
      <c r="I215" s="191"/>
      <c r="J215" s="191"/>
      <c r="K215" s="191"/>
      <c r="L215" s="191"/>
      <c r="M215" s="191"/>
      <c r="N215" s="191"/>
      <c r="O215" s="191"/>
      <c r="P215" s="191"/>
      <c r="Q215" s="191"/>
      <c r="R215" s="191"/>
      <c r="S215" s="191"/>
      <c r="T215" s="191"/>
      <c r="U215" s="191"/>
    </row>
    <row r="216" spans="3:21">
      <c r="C216" s="191"/>
      <c r="D216" s="191"/>
      <c r="E216" s="191"/>
      <c r="F216" s="191"/>
      <c r="G216" s="191"/>
      <c r="H216" s="191"/>
      <c r="I216" s="191"/>
      <c r="J216" s="191"/>
      <c r="K216" s="191"/>
      <c r="L216" s="191"/>
      <c r="M216" s="191"/>
      <c r="N216" s="191"/>
      <c r="O216" s="191"/>
      <c r="P216" s="191"/>
      <c r="Q216" s="191"/>
      <c r="R216" s="191"/>
      <c r="S216" s="191"/>
      <c r="T216" s="191"/>
      <c r="U216" s="191"/>
    </row>
    <row r="217" spans="3:21">
      <c r="C217" s="191"/>
      <c r="D217" s="191"/>
      <c r="E217" s="191"/>
      <c r="F217" s="191"/>
      <c r="G217" s="191"/>
      <c r="H217" s="191"/>
      <c r="I217" s="191"/>
      <c r="J217" s="191"/>
      <c r="K217" s="191"/>
      <c r="L217" s="191"/>
      <c r="M217" s="191"/>
      <c r="N217" s="191"/>
      <c r="O217" s="191"/>
      <c r="P217" s="191"/>
      <c r="Q217" s="191"/>
      <c r="R217" s="191"/>
      <c r="S217" s="191"/>
      <c r="T217" s="191"/>
      <c r="U217" s="191"/>
    </row>
    <row r="218" spans="3:21">
      <c r="C218" s="191"/>
      <c r="D218" s="191"/>
      <c r="E218" s="191"/>
      <c r="F218" s="191"/>
      <c r="G218" s="191"/>
      <c r="H218" s="191"/>
      <c r="I218" s="191"/>
      <c r="J218" s="191"/>
      <c r="K218" s="191"/>
      <c r="L218" s="191"/>
      <c r="M218" s="191"/>
      <c r="N218" s="191"/>
      <c r="O218" s="191"/>
      <c r="P218" s="191"/>
      <c r="Q218" s="191"/>
      <c r="R218" s="191"/>
      <c r="S218" s="191"/>
      <c r="T218" s="191"/>
      <c r="U218" s="191"/>
    </row>
    <row r="219" spans="3:21">
      <c r="C219" s="191"/>
      <c r="D219" s="191"/>
      <c r="E219" s="191"/>
      <c r="F219" s="191"/>
      <c r="G219" s="191"/>
      <c r="H219" s="191"/>
      <c r="I219" s="191"/>
      <c r="J219" s="191"/>
      <c r="K219" s="191"/>
      <c r="L219" s="191"/>
      <c r="M219" s="191"/>
      <c r="N219" s="191"/>
      <c r="O219" s="191"/>
      <c r="P219" s="191"/>
      <c r="Q219" s="191"/>
      <c r="R219" s="191"/>
      <c r="S219" s="191"/>
      <c r="T219" s="191"/>
      <c r="U219" s="191"/>
    </row>
    <row r="220" spans="3:21">
      <c r="C220" s="191"/>
      <c r="D220" s="191"/>
      <c r="E220" s="191"/>
      <c r="F220" s="191"/>
      <c r="G220" s="191"/>
      <c r="H220" s="191"/>
      <c r="I220" s="191"/>
      <c r="J220" s="191"/>
      <c r="K220" s="191"/>
      <c r="L220" s="191"/>
      <c r="M220" s="191"/>
      <c r="N220" s="191"/>
      <c r="O220" s="191"/>
      <c r="P220" s="191"/>
      <c r="Q220" s="191"/>
      <c r="R220" s="191"/>
      <c r="S220" s="191"/>
      <c r="T220" s="191"/>
      <c r="U220" s="191"/>
    </row>
    <row r="221" spans="3:21">
      <c r="C221" s="191"/>
      <c r="D221" s="191"/>
      <c r="E221" s="191"/>
      <c r="F221" s="191"/>
      <c r="G221" s="191"/>
      <c r="H221" s="191"/>
      <c r="I221" s="191"/>
      <c r="J221" s="191"/>
      <c r="K221" s="191"/>
      <c r="L221" s="191"/>
      <c r="M221" s="191"/>
      <c r="N221" s="191"/>
      <c r="O221" s="191"/>
      <c r="P221" s="191"/>
      <c r="Q221" s="191"/>
      <c r="R221" s="191"/>
      <c r="S221" s="191"/>
      <c r="T221" s="191"/>
      <c r="U221" s="191"/>
    </row>
    <row r="222" spans="3:21">
      <c r="C222" s="191"/>
      <c r="D222" s="191"/>
      <c r="E222" s="191"/>
      <c r="F222" s="191"/>
      <c r="G222" s="191"/>
      <c r="H222" s="191"/>
      <c r="I222" s="191"/>
      <c r="J222" s="191"/>
      <c r="K222" s="191"/>
      <c r="L222" s="191"/>
      <c r="M222" s="191"/>
      <c r="N222" s="191"/>
      <c r="O222" s="191"/>
      <c r="P222" s="191"/>
      <c r="Q222" s="191"/>
      <c r="R222" s="191"/>
      <c r="S222" s="191"/>
      <c r="T222" s="191"/>
      <c r="U222" s="191"/>
    </row>
    <row r="223" spans="3:21">
      <c r="C223" s="191"/>
      <c r="D223" s="191"/>
      <c r="E223" s="191"/>
      <c r="F223" s="191"/>
      <c r="G223" s="191"/>
      <c r="H223" s="191"/>
      <c r="I223" s="191"/>
      <c r="J223" s="191"/>
      <c r="K223" s="191"/>
      <c r="L223" s="191"/>
      <c r="M223" s="191"/>
      <c r="N223" s="191"/>
      <c r="O223" s="191"/>
      <c r="P223" s="191"/>
      <c r="Q223" s="191"/>
      <c r="R223" s="191"/>
      <c r="S223" s="191"/>
      <c r="T223" s="191"/>
      <c r="U223" s="191"/>
    </row>
    <row r="224" spans="3:21">
      <c r="C224" s="191"/>
      <c r="D224" s="191"/>
      <c r="E224" s="191"/>
      <c r="F224" s="191"/>
      <c r="G224" s="191"/>
      <c r="H224" s="191"/>
      <c r="I224" s="191"/>
      <c r="J224" s="191"/>
      <c r="K224" s="191"/>
      <c r="L224" s="191"/>
      <c r="M224" s="191"/>
      <c r="N224" s="191"/>
      <c r="O224" s="191"/>
      <c r="P224" s="191"/>
      <c r="Q224" s="191"/>
      <c r="R224" s="191"/>
      <c r="S224" s="191"/>
      <c r="T224" s="191"/>
      <c r="U224" s="191"/>
    </row>
    <row r="225" spans="3:21">
      <c r="C225" s="191"/>
      <c r="D225" s="191"/>
      <c r="E225" s="191"/>
      <c r="F225" s="191"/>
      <c r="G225" s="191"/>
      <c r="H225" s="191"/>
      <c r="I225" s="191"/>
      <c r="J225" s="191"/>
      <c r="K225" s="191"/>
      <c r="L225" s="191"/>
      <c r="M225" s="191"/>
      <c r="N225" s="191"/>
      <c r="O225" s="191"/>
      <c r="P225" s="191"/>
      <c r="Q225" s="191"/>
      <c r="R225" s="191"/>
      <c r="S225" s="191"/>
      <c r="T225" s="191"/>
      <c r="U225" s="191"/>
    </row>
    <row r="226" spans="3:21">
      <c r="C226" s="191"/>
      <c r="D226" s="191"/>
      <c r="E226" s="191"/>
      <c r="F226" s="191"/>
      <c r="G226" s="191"/>
      <c r="H226" s="191"/>
      <c r="I226" s="191"/>
      <c r="J226" s="191"/>
      <c r="K226" s="191"/>
      <c r="L226" s="191"/>
      <c r="M226" s="191"/>
      <c r="N226" s="191"/>
      <c r="O226" s="191"/>
      <c r="P226" s="191"/>
      <c r="Q226" s="191"/>
      <c r="R226" s="191"/>
      <c r="S226" s="191"/>
      <c r="T226" s="191"/>
      <c r="U226" s="191"/>
    </row>
    <row r="227" spans="3:21">
      <c r="C227" s="191"/>
      <c r="D227" s="191"/>
      <c r="E227" s="191"/>
      <c r="F227" s="191"/>
      <c r="G227" s="191"/>
      <c r="H227" s="191"/>
      <c r="I227" s="191"/>
      <c r="J227" s="191"/>
      <c r="K227" s="191"/>
      <c r="L227" s="191"/>
      <c r="M227" s="191"/>
      <c r="N227" s="191"/>
      <c r="O227" s="191"/>
      <c r="P227" s="191"/>
      <c r="Q227" s="191"/>
      <c r="R227" s="191"/>
      <c r="S227" s="191"/>
      <c r="T227" s="191"/>
      <c r="U227" s="191"/>
    </row>
    <row r="228" spans="3:21">
      <c r="C228" s="191"/>
      <c r="D228" s="191"/>
      <c r="E228" s="191"/>
      <c r="F228" s="191"/>
      <c r="G228" s="191"/>
      <c r="H228" s="191"/>
      <c r="I228" s="191"/>
      <c r="J228" s="191"/>
      <c r="K228" s="191"/>
      <c r="L228" s="191"/>
      <c r="M228" s="191"/>
      <c r="N228" s="191"/>
      <c r="O228" s="191"/>
      <c r="P228" s="191"/>
      <c r="Q228" s="191"/>
      <c r="R228" s="191"/>
      <c r="S228" s="191"/>
      <c r="T228" s="191"/>
      <c r="U228" s="191"/>
    </row>
    <row r="229" spans="3:21">
      <c r="C229" s="191"/>
      <c r="D229" s="191"/>
      <c r="E229" s="191"/>
      <c r="F229" s="191"/>
      <c r="G229" s="191"/>
      <c r="H229" s="191"/>
      <c r="I229" s="191"/>
      <c r="J229" s="191"/>
      <c r="K229" s="191"/>
      <c r="L229" s="191"/>
      <c r="M229" s="191"/>
      <c r="N229" s="191"/>
      <c r="O229" s="191"/>
      <c r="P229" s="191"/>
      <c r="Q229" s="191"/>
      <c r="R229" s="191"/>
      <c r="S229" s="191"/>
      <c r="T229" s="191"/>
      <c r="U229" s="191"/>
    </row>
    <row r="230" spans="3:21">
      <c r="C230" s="191"/>
      <c r="D230" s="191"/>
      <c r="E230" s="191"/>
      <c r="F230" s="191"/>
      <c r="G230" s="191"/>
      <c r="H230" s="191"/>
      <c r="I230" s="191"/>
      <c r="J230" s="191"/>
      <c r="K230" s="191"/>
      <c r="L230" s="191"/>
      <c r="M230" s="191"/>
      <c r="N230" s="191"/>
      <c r="O230" s="191"/>
      <c r="P230" s="191"/>
      <c r="Q230" s="191"/>
      <c r="R230" s="191"/>
      <c r="S230" s="191"/>
      <c r="T230" s="191"/>
      <c r="U230" s="191"/>
    </row>
    <row r="231" spans="3:21">
      <c r="C231" s="191"/>
      <c r="D231" s="191"/>
      <c r="E231" s="191"/>
      <c r="F231" s="191"/>
      <c r="G231" s="191"/>
      <c r="H231" s="191"/>
      <c r="I231" s="191"/>
      <c r="J231" s="191"/>
      <c r="K231" s="191"/>
      <c r="L231" s="191"/>
      <c r="M231" s="191"/>
      <c r="N231" s="191"/>
      <c r="O231" s="191"/>
      <c r="P231" s="191"/>
      <c r="Q231" s="191"/>
      <c r="R231" s="191"/>
      <c r="S231" s="191"/>
      <c r="T231" s="191"/>
      <c r="U231" s="191"/>
    </row>
    <row r="232" spans="3:21">
      <c r="C232" s="191"/>
      <c r="D232" s="191"/>
      <c r="E232" s="191"/>
      <c r="F232" s="191"/>
      <c r="G232" s="191"/>
      <c r="H232" s="191"/>
      <c r="I232" s="191"/>
      <c r="J232" s="191"/>
      <c r="K232" s="191"/>
      <c r="L232" s="191"/>
      <c r="M232" s="191"/>
      <c r="N232" s="191"/>
      <c r="O232" s="191"/>
      <c r="P232" s="191"/>
      <c r="Q232" s="191"/>
      <c r="R232" s="191"/>
      <c r="S232" s="191"/>
      <c r="T232" s="191"/>
      <c r="U232" s="191"/>
    </row>
    <row r="233" spans="3:21">
      <c r="C233" s="191"/>
      <c r="D233" s="191"/>
      <c r="E233" s="191"/>
      <c r="F233" s="191"/>
      <c r="G233" s="191"/>
      <c r="H233" s="191"/>
      <c r="I233" s="191"/>
      <c r="J233" s="191"/>
      <c r="K233" s="191"/>
      <c r="L233" s="191"/>
      <c r="M233" s="191"/>
      <c r="N233" s="191"/>
      <c r="O233" s="191"/>
      <c r="P233" s="191"/>
      <c r="Q233" s="191"/>
      <c r="R233" s="191"/>
      <c r="S233" s="191"/>
      <c r="T233" s="191"/>
      <c r="U233" s="191"/>
    </row>
    <row r="234" spans="3:21">
      <c r="C234" s="191"/>
      <c r="D234" s="191"/>
      <c r="E234" s="191"/>
      <c r="F234" s="191"/>
      <c r="G234" s="191"/>
      <c r="H234" s="191"/>
      <c r="I234" s="191"/>
      <c r="J234" s="191"/>
      <c r="K234" s="191"/>
      <c r="L234" s="191"/>
      <c r="M234" s="191"/>
      <c r="N234" s="191"/>
      <c r="O234" s="191"/>
      <c r="P234" s="191"/>
      <c r="Q234" s="191"/>
      <c r="R234" s="191"/>
      <c r="S234" s="191"/>
      <c r="T234" s="191"/>
      <c r="U234" s="191"/>
    </row>
    <row r="235" spans="3:21">
      <c r="C235" s="191"/>
      <c r="D235" s="191"/>
      <c r="E235" s="191"/>
      <c r="F235" s="191"/>
      <c r="G235" s="191"/>
      <c r="H235" s="191"/>
      <c r="I235" s="191"/>
      <c r="J235" s="191"/>
      <c r="K235" s="191"/>
      <c r="L235" s="191"/>
      <c r="M235" s="191"/>
      <c r="N235" s="191"/>
      <c r="O235" s="191"/>
      <c r="P235" s="191"/>
      <c r="Q235" s="191"/>
      <c r="R235" s="191"/>
      <c r="S235" s="191"/>
      <c r="T235" s="191"/>
      <c r="U235" s="191"/>
    </row>
    <row r="236" spans="3:21">
      <c r="C236" s="191"/>
      <c r="D236" s="191"/>
      <c r="E236" s="191"/>
      <c r="F236" s="191"/>
      <c r="G236" s="191"/>
      <c r="H236" s="191"/>
      <c r="I236" s="191"/>
      <c r="J236" s="191"/>
      <c r="K236" s="191"/>
      <c r="L236" s="191"/>
      <c r="M236" s="191"/>
      <c r="N236" s="191"/>
      <c r="O236" s="191"/>
      <c r="P236" s="191"/>
      <c r="Q236" s="191"/>
      <c r="R236" s="191"/>
      <c r="S236" s="191"/>
      <c r="T236" s="191"/>
      <c r="U236" s="191"/>
    </row>
    <row r="237" spans="3:21">
      <c r="C237" s="191"/>
      <c r="D237" s="191"/>
      <c r="E237" s="191"/>
      <c r="F237" s="191"/>
      <c r="G237" s="191"/>
      <c r="H237" s="191"/>
      <c r="I237" s="191"/>
      <c r="J237" s="191"/>
      <c r="K237" s="191"/>
      <c r="L237" s="191"/>
      <c r="M237" s="191"/>
      <c r="N237" s="191"/>
      <c r="O237" s="191"/>
      <c r="P237" s="191"/>
      <c r="Q237" s="191"/>
      <c r="R237" s="191"/>
      <c r="S237" s="191"/>
      <c r="T237" s="191"/>
      <c r="U237" s="191"/>
    </row>
    <row r="238" spans="3:21">
      <c r="C238" s="191"/>
      <c r="D238" s="191"/>
      <c r="E238" s="191"/>
      <c r="F238" s="191"/>
      <c r="G238" s="191"/>
      <c r="H238" s="191"/>
      <c r="I238" s="191"/>
      <c r="J238" s="191"/>
      <c r="K238" s="191"/>
      <c r="L238" s="191"/>
      <c r="M238" s="191"/>
      <c r="N238" s="191"/>
      <c r="O238" s="191"/>
      <c r="P238" s="191"/>
      <c r="Q238" s="191"/>
      <c r="R238" s="191"/>
      <c r="S238" s="191"/>
      <c r="T238" s="191"/>
      <c r="U238" s="191"/>
    </row>
    <row r="239" spans="3:21">
      <c r="C239" s="191"/>
      <c r="D239" s="191"/>
      <c r="E239" s="191"/>
      <c r="F239" s="191"/>
      <c r="G239" s="191"/>
      <c r="H239" s="191"/>
      <c r="I239" s="191"/>
      <c r="J239" s="191"/>
      <c r="K239" s="191"/>
      <c r="L239" s="191"/>
      <c r="M239" s="191"/>
      <c r="N239" s="191"/>
      <c r="O239" s="191"/>
      <c r="P239" s="191"/>
      <c r="Q239" s="191"/>
      <c r="R239" s="191"/>
      <c r="S239" s="191"/>
      <c r="T239" s="191"/>
      <c r="U239" s="191"/>
    </row>
    <row r="240" spans="3:21">
      <c r="C240" s="191"/>
      <c r="D240" s="191"/>
      <c r="E240" s="191"/>
      <c r="F240" s="191"/>
      <c r="G240" s="191"/>
      <c r="H240" s="191"/>
      <c r="I240" s="191"/>
      <c r="J240" s="191"/>
      <c r="K240" s="191"/>
      <c r="L240" s="191"/>
      <c r="M240" s="191"/>
      <c r="N240" s="191"/>
      <c r="O240" s="191"/>
      <c r="P240" s="191"/>
      <c r="Q240" s="191"/>
      <c r="R240" s="191"/>
      <c r="S240" s="191"/>
      <c r="T240" s="191"/>
      <c r="U240" s="191"/>
    </row>
    <row r="241" spans="3:21">
      <c r="C241" s="191"/>
      <c r="D241" s="191"/>
      <c r="E241" s="191"/>
      <c r="F241" s="191"/>
      <c r="G241" s="191"/>
      <c r="H241" s="191"/>
      <c r="I241" s="191"/>
      <c r="J241" s="191"/>
      <c r="K241" s="191"/>
      <c r="L241" s="191"/>
      <c r="M241" s="191"/>
      <c r="N241" s="191"/>
      <c r="O241" s="191"/>
      <c r="P241" s="191"/>
      <c r="Q241" s="191"/>
      <c r="R241" s="191"/>
      <c r="S241" s="191"/>
      <c r="T241" s="191"/>
      <c r="U241" s="191"/>
    </row>
    <row r="242" spans="3:21">
      <c r="C242" s="191"/>
      <c r="D242" s="191"/>
      <c r="E242" s="191"/>
      <c r="F242" s="191"/>
      <c r="G242" s="191"/>
      <c r="H242" s="191"/>
      <c r="I242" s="191"/>
      <c r="J242" s="191"/>
      <c r="K242" s="191"/>
      <c r="L242" s="191"/>
      <c r="M242" s="191"/>
      <c r="N242" s="191"/>
      <c r="O242" s="191"/>
      <c r="P242" s="191"/>
      <c r="Q242" s="191"/>
      <c r="R242" s="191"/>
      <c r="S242" s="191"/>
      <c r="T242" s="191"/>
      <c r="U242" s="191"/>
    </row>
    <row r="243" spans="3:21">
      <c r="C243" s="191"/>
      <c r="D243" s="191"/>
      <c r="E243" s="191"/>
      <c r="F243" s="191"/>
      <c r="G243" s="191"/>
      <c r="H243" s="191"/>
      <c r="I243" s="191"/>
      <c r="J243" s="191"/>
      <c r="K243" s="191"/>
      <c r="L243" s="191"/>
      <c r="M243" s="191"/>
      <c r="N243" s="191"/>
      <c r="O243" s="191"/>
      <c r="P243" s="191"/>
      <c r="Q243" s="191"/>
      <c r="R243" s="191"/>
      <c r="S243" s="191"/>
      <c r="T243" s="191"/>
      <c r="U243" s="191"/>
    </row>
    <row r="244" spans="3:21">
      <c r="C244" s="191"/>
      <c r="D244" s="191"/>
      <c r="E244" s="191"/>
      <c r="F244" s="191"/>
      <c r="G244" s="191"/>
      <c r="H244" s="191"/>
      <c r="I244" s="191"/>
      <c r="J244" s="191"/>
      <c r="K244" s="191"/>
      <c r="L244" s="191"/>
      <c r="M244" s="191"/>
      <c r="N244" s="191"/>
      <c r="O244" s="191"/>
      <c r="P244" s="191"/>
      <c r="Q244" s="191"/>
      <c r="R244" s="191"/>
      <c r="S244" s="191"/>
      <c r="T244" s="191"/>
      <c r="U244" s="191"/>
    </row>
    <row r="245" spans="3:21">
      <c r="C245" s="191"/>
      <c r="D245" s="191"/>
      <c r="E245" s="191"/>
      <c r="F245" s="191"/>
      <c r="G245" s="191"/>
      <c r="H245" s="191"/>
      <c r="I245" s="191"/>
      <c r="J245" s="191"/>
      <c r="K245" s="191"/>
      <c r="L245" s="191"/>
      <c r="M245" s="191"/>
      <c r="N245" s="191"/>
      <c r="O245" s="191"/>
      <c r="P245" s="191"/>
      <c r="Q245" s="191"/>
      <c r="R245" s="191"/>
      <c r="S245" s="191"/>
      <c r="T245" s="191"/>
      <c r="U245" s="191"/>
    </row>
    <row r="246" spans="3:21">
      <c r="C246" s="191"/>
      <c r="D246" s="191"/>
      <c r="E246" s="191"/>
      <c r="F246" s="191"/>
      <c r="G246" s="191"/>
      <c r="H246" s="191"/>
      <c r="I246" s="191"/>
      <c r="J246" s="191"/>
      <c r="K246" s="191"/>
      <c r="L246" s="191"/>
      <c r="M246" s="191"/>
      <c r="N246" s="191"/>
      <c r="O246" s="191"/>
      <c r="P246" s="191"/>
      <c r="Q246" s="191"/>
      <c r="R246" s="191"/>
      <c r="S246" s="191"/>
      <c r="T246" s="191"/>
      <c r="U246" s="191"/>
    </row>
    <row r="247" spans="3:21">
      <c r="C247" s="191"/>
      <c r="D247" s="191"/>
      <c r="E247" s="191"/>
      <c r="F247" s="191"/>
      <c r="G247" s="191"/>
      <c r="H247" s="191"/>
      <c r="I247" s="191"/>
      <c r="J247" s="191"/>
      <c r="K247" s="191"/>
      <c r="L247" s="191"/>
      <c r="M247" s="191"/>
      <c r="N247" s="191"/>
      <c r="O247" s="191"/>
      <c r="P247" s="191"/>
      <c r="Q247" s="191"/>
      <c r="R247" s="191"/>
      <c r="S247" s="191"/>
      <c r="T247" s="191"/>
      <c r="U247" s="191"/>
    </row>
    <row r="248" spans="3:21">
      <c r="C248" s="191"/>
      <c r="D248" s="191"/>
      <c r="E248" s="191"/>
      <c r="F248" s="191"/>
      <c r="G248" s="191"/>
      <c r="H248" s="191"/>
      <c r="I248" s="191"/>
      <c r="J248" s="191"/>
      <c r="K248" s="191"/>
      <c r="L248" s="191"/>
      <c r="M248" s="191"/>
      <c r="N248" s="191"/>
      <c r="O248" s="191"/>
      <c r="P248" s="191"/>
      <c r="Q248" s="191"/>
      <c r="R248" s="191"/>
      <c r="S248" s="191"/>
      <c r="T248" s="191"/>
      <c r="U248" s="191"/>
    </row>
    <row r="249" spans="3:21">
      <c r="C249" s="191"/>
      <c r="D249" s="191"/>
      <c r="E249" s="191"/>
      <c r="F249" s="191"/>
      <c r="G249" s="191"/>
      <c r="H249" s="191"/>
      <c r="I249" s="191"/>
      <c r="J249" s="191"/>
      <c r="K249" s="191"/>
      <c r="L249" s="191"/>
      <c r="M249" s="191"/>
      <c r="N249" s="191"/>
      <c r="O249" s="191"/>
      <c r="P249" s="191"/>
      <c r="Q249" s="191"/>
      <c r="R249" s="191"/>
      <c r="S249" s="191"/>
      <c r="T249" s="191"/>
      <c r="U249" s="191"/>
    </row>
    <row r="250" spans="3:21">
      <c r="C250" s="191"/>
      <c r="D250" s="191"/>
      <c r="E250" s="191"/>
      <c r="F250" s="191"/>
      <c r="G250" s="191"/>
      <c r="H250" s="191"/>
      <c r="I250" s="191"/>
      <c r="J250" s="191"/>
      <c r="K250" s="191"/>
      <c r="L250" s="191"/>
      <c r="M250" s="191"/>
      <c r="N250" s="191"/>
      <c r="O250" s="191"/>
      <c r="P250" s="191"/>
      <c r="Q250" s="191"/>
      <c r="R250" s="191"/>
      <c r="S250" s="191"/>
      <c r="T250" s="191"/>
      <c r="U250" s="191"/>
    </row>
    <row r="251" spans="3:21">
      <c r="C251" s="191"/>
      <c r="D251" s="191"/>
      <c r="E251" s="191"/>
      <c r="F251" s="191"/>
      <c r="G251" s="191"/>
      <c r="H251" s="191"/>
      <c r="I251" s="191"/>
      <c r="J251" s="191"/>
      <c r="K251" s="191"/>
      <c r="L251" s="191"/>
      <c r="M251" s="191"/>
      <c r="N251" s="191"/>
      <c r="O251" s="191"/>
      <c r="P251" s="191"/>
      <c r="Q251" s="191"/>
      <c r="R251" s="191"/>
      <c r="S251" s="191"/>
      <c r="T251" s="191"/>
      <c r="U251" s="191"/>
    </row>
    <row r="252" spans="3:21">
      <c r="C252" s="191"/>
      <c r="D252" s="191"/>
      <c r="E252" s="191"/>
      <c r="F252" s="191"/>
      <c r="G252" s="191"/>
      <c r="H252" s="191"/>
      <c r="I252" s="191"/>
      <c r="J252" s="191"/>
      <c r="K252" s="191"/>
      <c r="L252" s="191"/>
      <c r="M252" s="191"/>
      <c r="N252" s="191"/>
      <c r="O252" s="191"/>
      <c r="P252" s="191"/>
      <c r="Q252" s="191"/>
      <c r="R252" s="191"/>
      <c r="S252" s="191"/>
      <c r="T252" s="191"/>
      <c r="U252" s="191"/>
    </row>
    <row r="253" spans="3:21">
      <c r="C253" s="191"/>
      <c r="D253" s="191"/>
      <c r="E253" s="191"/>
      <c r="F253" s="191"/>
      <c r="G253" s="191"/>
      <c r="H253" s="191"/>
      <c r="I253" s="191"/>
      <c r="J253" s="191"/>
      <c r="K253" s="191"/>
      <c r="L253" s="191"/>
      <c r="M253" s="191"/>
      <c r="N253" s="191"/>
      <c r="O253" s="191"/>
      <c r="P253" s="191"/>
      <c r="Q253" s="191"/>
      <c r="R253" s="191"/>
      <c r="S253" s="191"/>
      <c r="T253" s="191"/>
      <c r="U253" s="191"/>
    </row>
    <row r="254" spans="3:21">
      <c r="C254" s="191"/>
      <c r="D254" s="191"/>
      <c r="E254" s="191"/>
      <c r="F254" s="191"/>
      <c r="G254" s="191"/>
      <c r="H254" s="191"/>
      <c r="I254" s="191"/>
      <c r="J254" s="191"/>
      <c r="K254" s="191"/>
      <c r="L254" s="191"/>
      <c r="M254" s="191"/>
      <c r="N254" s="191"/>
      <c r="O254" s="191"/>
      <c r="P254" s="191"/>
      <c r="Q254" s="191"/>
      <c r="R254" s="191"/>
      <c r="S254" s="191"/>
      <c r="T254" s="191"/>
      <c r="U254" s="191"/>
    </row>
    <row r="255" spans="3:21">
      <c r="C255" s="191"/>
      <c r="D255" s="191"/>
      <c r="E255" s="191"/>
      <c r="F255" s="191"/>
      <c r="G255" s="191"/>
      <c r="H255" s="191"/>
      <c r="I255" s="191"/>
      <c r="J255" s="191"/>
      <c r="K255" s="191"/>
      <c r="L255" s="191"/>
      <c r="M255" s="191"/>
      <c r="N255" s="191"/>
      <c r="O255" s="191"/>
      <c r="P255" s="191"/>
      <c r="Q255" s="191"/>
      <c r="R255" s="191"/>
      <c r="S255" s="191"/>
      <c r="T255" s="191"/>
      <c r="U255" s="191"/>
    </row>
    <row r="256" spans="3:21">
      <c r="C256" s="191"/>
      <c r="D256" s="191"/>
      <c r="E256" s="191"/>
      <c r="F256" s="191"/>
      <c r="G256" s="191"/>
      <c r="H256" s="191"/>
      <c r="I256" s="191"/>
      <c r="J256" s="191"/>
      <c r="K256" s="191"/>
      <c r="L256" s="191"/>
      <c r="M256" s="191"/>
      <c r="N256" s="191"/>
      <c r="O256" s="191"/>
      <c r="P256" s="191"/>
      <c r="Q256" s="191"/>
      <c r="R256" s="191"/>
      <c r="S256" s="191"/>
      <c r="T256" s="191"/>
      <c r="U256" s="191"/>
    </row>
    <row r="257" spans="3:21">
      <c r="C257" s="191"/>
      <c r="D257" s="191"/>
      <c r="E257" s="191"/>
      <c r="F257" s="191"/>
      <c r="G257" s="191"/>
      <c r="H257" s="191"/>
      <c r="I257" s="191"/>
      <c r="J257" s="191"/>
      <c r="K257" s="191"/>
      <c r="L257" s="191"/>
      <c r="M257" s="191"/>
      <c r="N257" s="191"/>
      <c r="O257" s="191"/>
      <c r="P257" s="191"/>
      <c r="Q257" s="191"/>
      <c r="R257" s="191"/>
      <c r="S257" s="191"/>
      <c r="T257" s="191"/>
      <c r="U257" s="191"/>
    </row>
    <row r="258" spans="3:21">
      <c r="C258" s="191"/>
      <c r="D258" s="191"/>
      <c r="E258" s="191"/>
      <c r="F258" s="191"/>
      <c r="G258" s="191"/>
      <c r="H258" s="191"/>
      <c r="I258" s="191"/>
      <c r="J258" s="191"/>
      <c r="K258" s="191"/>
      <c r="L258" s="191"/>
      <c r="M258" s="191"/>
      <c r="N258" s="191"/>
      <c r="O258" s="191"/>
      <c r="P258" s="191"/>
      <c r="Q258" s="191"/>
      <c r="R258" s="191"/>
      <c r="S258" s="191"/>
      <c r="T258" s="191"/>
      <c r="U258" s="191"/>
    </row>
    <row r="259" spans="3:21">
      <c r="C259" s="191"/>
      <c r="D259" s="191"/>
      <c r="E259" s="191"/>
      <c r="F259" s="191"/>
      <c r="G259" s="191"/>
      <c r="H259" s="191"/>
      <c r="I259" s="191"/>
      <c r="J259" s="191"/>
      <c r="K259" s="191"/>
      <c r="L259" s="191"/>
      <c r="M259" s="191"/>
      <c r="N259" s="191"/>
      <c r="O259" s="191"/>
      <c r="P259" s="191"/>
      <c r="Q259" s="191"/>
      <c r="R259" s="191"/>
      <c r="S259" s="191"/>
      <c r="T259" s="191"/>
      <c r="U259" s="191"/>
    </row>
    <row r="260" spans="3:21">
      <c r="C260" s="191"/>
      <c r="D260" s="191"/>
      <c r="E260" s="191"/>
      <c r="F260" s="191"/>
      <c r="G260" s="191"/>
      <c r="H260" s="191"/>
      <c r="I260" s="191"/>
      <c r="J260" s="191"/>
      <c r="K260" s="191"/>
      <c r="L260" s="191"/>
      <c r="M260" s="191"/>
      <c r="N260" s="191"/>
      <c r="O260" s="191"/>
      <c r="P260" s="191"/>
      <c r="Q260" s="191"/>
      <c r="R260" s="191"/>
      <c r="S260" s="191"/>
      <c r="T260" s="191"/>
      <c r="U260" s="191"/>
    </row>
    <row r="261" spans="3:21">
      <c r="C261" s="191"/>
      <c r="D261" s="191"/>
      <c r="E261" s="191"/>
      <c r="F261" s="191"/>
      <c r="G261" s="191"/>
      <c r="H261" s="191"/>
      <c r="I261" s="191"/>
      <c r="J261" s="191"/>
      <c r="K261" s="191"/>
      <c r="L261" s="191"/>
      <c r="M261" s="191"/>
      <c r="N261" s="191"/>
      <c r="O261" s="191"/>
      <c r="P261" s="191"/>
      <c r="Q261" s="191"/>
      <c r="R261" s="191"/>
      <c r="S261" s="191"/>
      <c r="T261" s="191"/>
      <c r="U261" s="191"/>
    </row>
    <row r="262" spans="3:21">
      <c r="C262" s="191"/>
      <c r="D262" s="191"/>
      <c r="E262" s="191"/>
      <c r="F262" s="191"/>
      <c r="G262" s="191"/>
      <c r="H262" s="191"/>
      <c r="I262" s="191"/>
      <c r="J262" s="191"/>
      <c r="K262" s="191"/>
      <c r="L262" s="191"/>
      <c r="M262" s="191"/>
      <c r="N262" s="191"/>
      <c r="O262" s="191"/>
      <c r="P262" s="191"/>
      <c r="Q262" s="191"/>
      <c r="R262" s="191"/>
      <c r="S262" s="191"/>
      <c r="T262" s="191"/>
      <c r="U262" s="191"/>
    </row>
    <row r="263" spans="3:21">
      <c r="C263" s="191"/>
      <c r="D263" s="191"/>
      <c r="E263" s="191"/>
      <c r="F263" s="191"/>
      <c r="G263" s="191"/>
      <c r="H263" s="191"/>
      <c r="I263" s="191"/>
      <c r="J263" s="191"/>
      <c r="K263" s="191"/>
      <c r="L263" s="191"/>
      <c r="M263" s="191"/>
      <c r="N263" s="191"/>
      <c r="O263" s="191"/>
      <c r="P263" s="191"/>
      <c r="Q263" s="191"/>
      <c r="R263" s="191"/>
      <c r="S263" s="191"/>
      <c r="T263" s="191"/>
      <c r="U263" s="191"/>
    </row>
    <row r="264" spans="3:21">
      <c r="C264" s="191"/>
      <c r="D264" s="191"/>
      <c r="E264" s="191"/>
      <c r="F264" s="191"/>
      <c r="G264" s="191"/>
      <c r="H264" s="191"/>
      <c r="I264" s="191"/>
      <c r="J264" s="191"/>
      <c r="K264" s="191"/>
      <c r="L264" s="191"/>
      <c r="M264" s="191"/>
      <c r="N264" s="191"/>
      <c r="O264" s="191"/>
      <c r="P264" s="191"/>
      <c r="Q264" s="191"/>
      <c r="R264" s="191"/>
      <c r="S264" s="191"/>
      <c r="T264" s="191"/>
      <c r="U264" s="191"/>
    </row>
    <row r="265" spans="3:21">
      <c r="C265" s="191"/>
      <c r="D265" s="191"/>
      <c r="E265" s="191"/>
      <c r="F265" s="191"/>
      <c r="G265" s="191"/>
      <c r="H265" s="191"/>
      <c r="I265" s="191"/>
      <c r="J265" s="191"/>
      <c r="K265" s="191"/>
      <c r="L265" s="191"/>
      <c r="M265" s="191"/>
      <c r="N265" s="191"/>
      <c r="O265" s="191"/>
      <c r="P265" s="191"/>
      <c r="Q265" s="191"/>
      <c r="R265" s="191"/>
      <c r="S265" s="191"/>
      <c r="T265" s="191"/>
      <c r="U265" s="191"/>
    </row>
    <row r="266" spans="3:21">
      <c r="C266" s="191"/>
      <c r="D266" s="191"/>
      <c r="E266" s="191"/>
      <c r="F266" s="191"/>
      <c r="G266" s="191"/>
      <c r="H266" s="191"/>
      <c r="I266" s="191"/>
      <c r="J266" s="191"/>
      <c r="K266" s="191"/>
      <c r="L266" s="191"/>
      <c r="M266" s="191"/>
      <c r="N266" s="191"/>
      <c r="O266" s="191"/>
      <c r="P266" s="191"/>
      <c r="Q266" s="191"/>
      <c r="R266" s="191"/>
      <c r="S266" s="191"/>
      <c r="T266" s="191"/>
      <c r="U266" s="191"/>
    </row>
    <row r="267" spans="3:21">
      <c r="C267" s="191"/>
      <c r="D267" s="191"/>
      <c r="E267" s="191"/>
      <c r="F267" s="191"/>
      <c r="G267" s="191"/>
      <c r="H267" s="191"/>
      <c r="I267" s="191"/>
      <c r="J267" s="191"/>
      <c r="K267" s="191"/>
      <c r="L267" s="191"/>
      <c r="M267" s="191"/>
      <c r="N267" s="191"/>
      <c r="O267" s="191"/>
      <c r="P267" s="191"/>
      <c r="Q267" s="191"/>
      <c r="R267" s="191"/>
      <c r="S267" s="191"/>
      <c r="T267" s="191"/>
      <c r="U267" s="191"/>
    </row>
    <row r="268" spans="3:21">
      <c r="C268" s="191"/>
      <c r="D268" s="191"/>
      <c r="E268" s="191"/>
      <c r="F268" s="191"/>
      <c r="G268" s="191"/>
      <c r="H268" s="191"/>
      <c r="I268" s="191"/>
      <c r="J268" s="191"/>
      <c r="K268" s="191"/>
      <c r="L268" s="191"/>
      <c r="M268" s="191"/>
      <c r="N268" s="191"/>
      <c r="O268" s="191"/>
      <c r="P268" s="191"/>
      <c r="Q268" s="191"/>
      <c r="R268" s="191"/>
      <c r="S268" s="191"/>
      <c r="T268" s="191"/>
      <c r="U268" s="191"/>
    </row>
    <row r="269" spans="3:21">
      <c r="C269" s="191"/>
      <c r="D269" s="191"/>
      <c r="E269" s="191"/>
      <c r="F269" s="191"/>
      <c r="G269" s="191"/>
      <c r="H269" s="191"/>
      <c r="I269" s="191"/>
      <c r="J269" s="191"/>
      <c r="K269" s="191"/>
      <c r="L269" s="191"/>
      <c r="M269" s="191"/>
      <c r="N269" s="191"/>
      <c r="O269" s="191"/>
      <c r="P269" s="191"/>
      <c r="Q269" s="191"/>
      <c r="R269" s="191"/>
      <c r="S269" s="191"/>
      <c r="T269" s="191"/>
      <c r="U269" s="191"/>
    </row>
    <row r="270" spans="3:21">
      <c r="C270" s="191"/>
      <c r="D270" s="191"/>
      <c r="E270" s="191"/>
      <c r="F270" s="191"/>
      <c r="G270" s="191"/>
      <c r="H270" s="191"/>
      <c r="I270" s="191"/>
      <c r="J270" s="191"/>
      <c r="K270" s="191"/>
      <c r="L270" s="191"/>
      <c r="M270" s="191"/>
      <c r="N270" s="191"/>
      <c r="O270" s="191"/>
      <c r="P270" s="191"/>
      <c r="Q270" s="191"/>
      <c r="R270" s="191"/>
      <c r="S270" s="191"/>
      <c r="T270" s="191"/>
      <c r="U270" s="191"/>
    </row>
    <row r="271" spans="3:21">
      <c r="C271" s="191"/>
      <c r="D271" s="191"/>
      <c r="E271" s="191"/>
      <c r="F271" s="191"/>
      <c r="G271" s="191"/>
      <c r="H271" s="191"/>
      <c r="I271" s="191"/>
      <c r="J271" s="191"/>
      <c r="K271" s="191"/>
      <c r="L271" s="191"/>
      <c r="M271" s="191"/>
      <c r="N271" s="191"/>
      <c r="O271" s="191"/>
      <c r="P271" s="191"/>
      <c r="Q271" s="191"/>
      <c r="R271" s="191"/>
      <c r="S271" s="191"/>
      <c r="T271" s="191"/>
      <c r="U271" s="191"/>
    </row>
    <row r="272" spans="3:21">
      <c r="C272" s="191"/>
      <c r="D272" s="191"/>
      <c r="E272" s="191"/>
      <c r="F272" s="191"/>
      <c r="G272" s="191"/>
      <c r="H272" s="191"/>
      <c r="I272" s="191"/>
      <c r="J272" s="191"/>
      <c r="K272" s="191"/>
      <c r="L272" s="191"/>
      <c r="M272" s="191"/>
      <c r="N272" s="191"/>
      <c r="O272" s="191"/>
      <c r="P272" s="191"/>
      <c r="Q272" s="191"/>
      <c r="R272" s="191"/>
      <c r="S272" s="191"/>
      <c r="T272" s="191"/>
      <c r="U272" s="191"/>
    </row>
    <row r="273" spans="3:21">
      <c r="C273" s="191"/>
      <c r="D273" s="191"/>
      <c r="E273" s="191"/>
      <c r="F273" s="191"/>
      <c r="G273" s="191"/>
      <c r="H273" s="191"/>
      <c r="I273" s="191"/>
      <c r="J273" s="191"/>
      <c r="K273" s="191"/>
      <c r="L273" s="191"/>
      <c r="M273" s="191"/>
      <c r="N273" s="191"/>
      <c r="O273" s="191"/>
      <c r="P273" s="191"/>
      <c r="Q273" s="191"/>
      <c r="R273" s="191"/>
      <c r="S273" s="191"/>
      <c r="T273" s="191"/>
      <c r="U273" s="191"/>
    </row>
    <row r="274" spans="3:21">
      <c r="C274" s="191"/>
      <c r="D274" s="191"/>
      <c r="E274" s="191"/>
      <c r="F274" s="191"/>
      <c r="G274" s="191"/>
      <c r="H274" s="191"/>
      <c r="I274" s="191"/>
      <c r="J274" s="191"/>
      <c r="K274" s="191"/>
      <c r="L274" s="191"/>
      <c r="M274" s="191"/>
      <c r="N274" s="191"/>
      <c r="O274" s="191"/>
      <c r="P274" s="191"/>
      <c r="Q274" s="191"/>
      <c r="R274" s="191"/>
      <c r="S274" s="191"/>
      <c r="T274" s="191"/>
      <c r="U274" s="191"/>
    </row>
    <row r="275" spans="3:21">
      <c r="C275" s="191"/>
      <c r="D275" s="191"/>
      <c r="E275" s="191"/>
      <c r="F275" s="191"/>
      <c r="G275" s="191"/>
      <c r="H275" s="191"/>
      <c r="I275" s="191"/>
      <c r="J275" s="191"/>
      <c r="K275" s="191"/>
      <c r="L275" s="191"/>
      <c r="M275" s="191"/>
      <c r="N275" s="191"/>
      <c r="O275" s="191"/>
      <c r="P275" s="191"/>
      <c r="Q275" s="191"/>
      <c r="R275" s="191"/>
      <c r="S275" s="191"/>
      <c r="T275" s="191"/>
      <c r="U275" s="191"/>
    </row>
    <row r="276" spans="3:21">
      <c r="C276" s="191"/>
      <c r="D276" s="191"/>
      <c r="E276" s="191"/>
      <c r="F276" s="191"/>
      <c r="G276" s="191"/>
      <c r="H276" s="191"/>
      <c r="I276" s="191"/>
      <c r="J276" s="191"/>
      <c r="K276" s="191"/>
      <c r="L276" s="191"/>
      <c r="M276" s="191"/>
      <c r="N276" s="191"/>
      <c r="O276" s="191"/>
      <c r="P276" s="191"/>
      <c r="Q276" s="191"/>
      <c r="R276" s="191"/>
      <c r="S276" s="191"/>
      <c r="T276" s="191"/>
      <c r="U276" s="191"/>
    </row>
    <row r="277" spans="3:21">
      <c r="C277" s="191"/>
      <c r="D277" s="191"/>
      <c r="E277" s="191"/>
      <c r="F277" s="191"/>
      <c r="G277" s="191"/>
      <c r="H277" s="191"/>
      <c r="I277" s="191"/>
      <c r="J277" s="191"/>
      <c r="K277" s="191"/>
      <c r="L277" s="191"/>
      <c r="M277" s="191"/>
      <c r="N277" s="191"/>
      <c r="O277" s="191"/>
      <c r="P277" s="191"/>
      <c r="Q277" s="191"/>
      <c r="R277" s="191"/>
      <c r="S277" s="191"/>
      <c r="T277" s="191"/>
      <c r="U277" s="191"/>
    </row>
    <row r="278" spans="3:21">
      <c r="C278" s="191"/>
      <c r="D278" s="191"/>
      <c r="E278" s="191"/>
      <c r="F278" s="191"/>
      <c r="G278" s="191"/>
      <c r="H278" s="191"/>
      <c r="I278" s="191"/>
      <c r="J278" s="191"/>
      <c r="K278" s="191"/>
      <c r="L278" s="191"/>
      <c r="M278" s="191"/>
      <c r="N278" s="191"/>
      <c r="O278" s="191"/>
      <c r="P278" s="191"/>
      <c r="Q278" s="191"/>
      <c r="R278" s="191"/>
      <c r="S278" s="191"/>
      <c r="T278" s="191"/>
      <c r="U278" s="191"/>
    </row>
    <row r="279" spans="3:21">
      <c r="C279" s="191"/>
      <c r="D279" s="191"/>
      <c r="E279" s="191"/>
      <c r="F279" s="191"/>
      <c r="G279" s="191"/>
      <c r="H279" s="191"/>
      <c r="I279" s="191"/>
      <c r="J279" s="191"/>
      <c r="K279" s="191"/>
      <c r="L279" s="191"/>
      <c r="M279" s="191"/>
      <c r="N279" s="191"/>
      <c r="O279" s="191"/>
      <c r="P279" s="191"/>
      <c r="Q279" s="191"/>
      <c r="R279" s="191"/>
      <c r="S279" s="191"/>
      <c r="T279" s="191"/>
      <c r="U279" s="191"/>
    </row>
    <row r="280" spans="3:21">
      <c r="C280" s="191"/>
      <c r="D280" s="191"/>
      <c r="E280" s="191"/>
      <c r="F280" s="191"/>
      <c r="G280" s="191"/>
      <c r="H280" s="191"/>
      <c r="I280" s="191"/>
      <c r="J280" s="191"/>
      <c r="K280" s="191"/>
      <c r="L280" s="191"/>
      <c r="M280" s="191"/>
      <c r="N280" s="191"/>
      <c r="O280" s="191"/>
      <c r="P280" s="191"/>
      <c r="Q280" s="191"/>
      <c r="R280" s="191"/>
      <c r="S280" s="191"/>
      <c r="T280" s="191"/>
      <c r="U280" s="191"/>
    </row>
    <row r="281" spans="3:21">
      <c r="C281" s="191"/>
      <c r="D281" s="191"/>
      <c r="E281" s="191"/>
      <c r="F281" s="191"/>
      <c r="G281" s="191"/>
      <c r="H281" s="191"/>
      <c r="I281" s="191"/>
      <c r="J281" s="191"/>
      <c r="K281" s="191"/>
      <c r="L281" s="191"/>
      <c r="M281" s="191"/>
      <c r="N281" s="191"/>
      <c r="O281" s="191"/>
      <c r="P281" s="191"/>
      <c r="Q281" s="191"/>
      <c r="R281" s="191"/>
      <c r="S281" s="191"/>
      <c r="T281" s="191"/>
      <c r="U281" s="191"/>
    </row>
    <row r="282" spans="3:21">
      <c r="C282" s="191"/>
      <c r="D282" s="191"/>
      <c r="E282" s="191"/>
      <c r="F282" s="191"/>
      <c r="G282" s="191"/>
      <c r="H282" s="191"/>
      <c r="I282" s="191"/>
      <c r="J282" s="191"/>
      <c r="K282" s="191"/>
      <c r="L282" s="191"/>
      <c r="M282" s="191"/>
      <c r="N282" s="191"/>
      <c r="O282" s="191"/>
      <c r="P282" s="191"/>
      <c r="Q282" s="191"/>
      <c r="R282" s="191"/>
      <c r="S282" s="191"/>
      <c r="T282" s="191"/>
      <c r="U282" s="191"/>
    </row>
    <row r="283" spans="3:21">
      <c r="C283" s="191"/>
      <c r="D283" s="191"/>
      <c r="E283" s="191"/>
      <c r="F283" s="191"/>
      <c r="G283" s="191"/>
      <c r="H283" s="191"/>
      <c r="I283" s="191"/>
      <c r="J283" s="191"/>
      <c r="K283" s="191"/>
      <c r="L283" s="191"/>
      <c r="M283" s="191"/>
      <c r="N283" s="191"/>
      <c r="O283" s="191"/>
      <c r="P283" s="191"/>
      <c r="Q283" s="191"/>
      <c r="R283" s="191"/>
      <c r="S283" s="191"/>
      <c r="T283" s="191"/>
      <c r="U283" s="191"/>
    </row>
    <row r="284" spans="3:21">
      <c r="C284" s="191"/>
      <c r="D284" s="191"/>
      <c r="E284" s="191"/>
      <c r="F284" s="191"/>
      <c r="G284" s="191"/>
      <c r="H284" s="191"/>
      <c r="I284" s="191"/>
      <c r="J284" s="191"/>
      <c r="K284" s="191"/>
      <c r="L284" s="191"/>
      <c r="M284" s="191"/>
      <c r="N284" s="191"/>
      <c r="O284" s="191"/>
      <c r="P284" s="191"/>
      <c r="Q284" s="191"/>
      <c r="R284" s="191"/>
      <c r="S284" s="191"/>
      <c r="T284" s="191"/>
      <c r="U284" s="191"/>
    </row>
    <row r="285" spans="3:21">
      <c r="C285" s="191"/>
      <c r="D285" s="191"/>
      <c r="E285" s="191"/>
      <c r="F285" s="191"/>
      <c r="G285" s="191"/>
      <c r="H285" s="191"/>
      <c r="I285" s="191"/>
      <c r="J285" s="191"/>
      <c r="K285" s="191"/>
      <c r="L285" s="191"/>
      <c r="M285" s="191"/>
      <c r="N285" s="191"/>
      <c r="O285" s="191"/>
      <c r="P285" s="191"/>
      <c r="Q285" s="191"/>
      <c r="R285" s="191"/>
      <c r="S285" s="191"/>
      <c r="T285" s="191"/>
      <c r="U285" s="191"/>
    </row>
    <row r="286" spans="3:21">
      <c r="C286" s="191"/>
      <c r="D286" s="191"/>
      <c r="E286" s="191"/>
      <c r="F286" s="191"/>
      <c r="G286" s="191"/>
      <c r="H286" s="191"/>
      <c r="I286" s="191"/>
      <c r="J286" s="191"/>
      <c r="K286" s="191"/>
      <c r="L286" s="191"/>
      <c r="M286" s="191"/>
      <c r="N286" s="191"/>
      <c r="O286" s="191"/>
      <c r="P286" s="191"/>
      <c r="Q286" s="191"/>
      <c r="R286" s="191"/>
      <c r="S286" s="191"/>
      <c r="T286" s="191"/>
      <c r="U286" s="191"/>
    </row>
    <row r="287" spans="3:21">
      <c r="C287" s="191"/>
      <c r="D287" s="191"/>
      <c r="E287" s="191"/>
      <c r="F287" s="191"/>
      <c r="G287" s="191"/>
      <c r="H287" s="191"/>
      <c r="I287" s="191"/>
      <c r="J287" s="191"/>
      <c r="K287" s="191"/>
      <c r="L287" s="191"/>
      <c r="M287" s="191"/>
      <c r="N287" s="191"/>
      <c r="O287" s="191"/>
      <c r="P287" s="191"/>
      <c r="Q287" s="191"/>
      <c r="R287" s="191"/>
      <c r="S287" s="191"/>
      <c r="T287" s="191"/>
      <c r="U287" s="191"/>
    </row>
    <row r="288" spans="3:21">
      <c r="C288" s="191"/>
      <c r="D288" s="191"/>
      <c r="E288" s="191"/>
      <c r="F288" s="191"/>
      <c r="G288" s="191"/>
      <c r="H288" s="191"/>
      <c r="I288" s="191"/>
      <c r="J288" s="191"/>
      <c r="K288" s="191"/>
      <c r="L288" s="191"/>
      <c r="M288" s="191"/>
      <c r="N288" s="191"/>
      <c r="O288" s="191"/>
      <c r="P288" s="191"/>
      <c r="Q288" s="191"/>
      <c r="R288" s="191"/>
      <c r="S288" s="191"/>
      <c r="T288" s="191"/>
      <c r="U288" s="191"/>
    </row>
    <row r="289" spans="3:21">
      <c r="C289" s="191"/>
      <c r="D289" s="191"/>
      <c r="E289" s="191"/>
      <c r="F289" s="191"/>
      <c r="G289" s="191"/>
      <c r="H289" s="191"/>
      <c r="I289" s="191"/>
      <c r="J289" s="191"/>
      <c r="K289" s="191"/>
      <c r="L289" s="191"/>
      <c r="M289" s="191"/>
      <c r="N289" s="191"/>
      <c r="O289" s="191"/>
      <c r="P289" s="191"/>
      <c r="Q289" s="191"/>
      <c r="R289" s="191"/>
      <c r="S289" s="191"/>
      <c r="T289" s="191"/>
      <c r="U289" s="191"/>
    </row>
    <row r="290" spans="3:21">
      <c r="C290" s="191"/>
      <c r="D290" s="191"/>
      <c r="E290" s="191"/>
      <c r="F290" s="191"/>
      <c r="G290" s="191"/>
      <c r="H290" s="191"/>
      <c r="I290" s="191"/>
      <c r="J290" s="191"/>
      <c r="K290" s="191"/>
      <c r="L290" s="191"/>
      <c r="M290" s="191"/>
      <c r="N290" s="191"/>
      <c r="O290" s="191"/>
      <c r="P290" s="191"/>
      <c r="Q290" s="191"/>
      <c r="R290" s="191"/>
      <c r="S290" s="191"/>
      <c r="T290" s="191"/>
      <c r="U290" s="191"/>
    </row>
    <row r="291" spans="3:21">
      <c r="C291" s="191"/>
      <c r="D291" s="191"/>
      <c r="E291" s="191"/>
      <c r="F291" s="191"/>
      <c r="G291" s="191"/>
      <c r="H291" s="191"/>
      <c r="I291" s="191"/>
      <c r="J291" s="191"/>
      <c r="K291" s="191"/>
      <c r="L291" s="191"/>
      <c r="M291" s="191"/>
      <c r="N291" s="191"/>
      <c r="O291" s="191"/>
      <c r="P291" s="191"/>
      <c r="Q291" s="191"/>
      <c r="R291" s="191"/>
      <c r="S291" s="191"/>
      <c r="T291" s="191"/>
      <c r="U291" s="191"/>
    </row>
    <row r="292" spans="3:21">
      <c r="C292" s="191"/>
      <c r="D292" s="191"/>
      <c r="E292" s="191"/>
      <c r="F292" s="191"/>
      <c r="G292" s="191"/>
      <c r="H292" s="191"/>
      <c r="I292" s="191"/>
      <c r="J292" s="191"/>
      <c r="K292" s="191"/>
      <c r="L292" s="191"/>
      <c r="M292" s="191"/>
      <c r="N292" s="191"/>
      <c r="O292" s="191"/>
      <c r="P292" s="191"/>
      <c r="Q292" s="191"/>
      <c r="R292" s="191"/>
      <c r="S292" s="191"/>
      <c r="T292" s="191"/>
      <c r="U292" s="191"/>
    </row>
    <row r="293" spans="3:21">
      <c r="C293" s="191"/>
      <c r="D293" s="191"/>
      <c r="E293" s="191"/>
      <c r="F293" s="191"/>
      <c r="G293" s="191"/>
      <c r="H293" s="191"/>
      <c r="I293" s="191"/>
      <c r="J293" s="191"/>
      <c r="K293" s="191"/>
      <c r="L293" s="191"/>
      <c r="M293" s="191"/>
      <c r="N293" s="191"/>
      <c r="O293" s="191"/>
      <c r="P293" s="191"/>
      <c r="Q293" s="191"/>
      <c r="R293" s="191"/>
      <c r="S293" s="191"/>
      <c r="T293" s="191"/>
      <c r="U293" s="191"/>
    </row>
    <row r="294" spans="3:21">
      <c r="C294" s="191"/>
      <c r="D294" s="191"/>
      <c r="E294" s="191"/>
      <c r="F294" s="191"/>
      <c r="G294" s="191"/>
      <c r="H294" s="191"/>
      <c r="I294" s="191"/>
      <c r="J294" s="191"/>
      <c r="K294" s="191"/>
      <c r="L294" s="191"/>
      <c r="M294" s="191"/>
      <c r="N294" s="191"/>
      <c r="O294" s="191"/>
      <c r="P294" s="191"/>
      <c r="Q294" s="191"/>
      <c r="R294" s="191"/>
      <c r="S294" s="191"/>
      <c r="T294" s="191"/>
      <c r="U294" s="191"/>
    </row>
    <row r="295" spans="3:21">
      <c r="C295" s="191"/>
      <c r="D295" s="191"/>
      <c r="E295" s="191"/>
      <c r="F295" s="191"/>
      <c r="G295" s="191"/>
      <c r="H295" s="191"/>
      <c r="I295" s="191"/>
      <c r="J295" s="191"/>
      <c r="K295" s="191"/>
      <c r="L295" s="191"/>
      <c r="M295" s="191"/>
      <c r="N295" s="191"/>
      <c r="O295" s="191"/>
      <c r="P295" s="191"/>
      <c r="Q295" s="191"/>
      <c r="R295" s="191"/>
      <c r="S295" s="191"/>
      <c r="T295" s="191"/>
      <c r="U295" s="191"/>
    </row>
    <row r="296" spans="3:21">
      <c r="C296" s="191"/>
      <c r="D296" s="191"/>
      <c r="E296" s="191"/>
      <c r="F296" s="191"/>
      <c r="G296" s="191"/>
      <c r="H296" s="191"/>
      <c r="I296" s="191"/>
      <c r="J296" s="191"/>
      <c r="K296" s="191"/>
      <c r="L296" s="191"/>
      <c r="M296" s="191"/>
      <c r="N296" s="191"/>
      <c r="O296" s="191"/>
      <c r="P296" s="191"/>
      <c r="Q296" s="191"/>
      <c r="R296" s="191"/>
      <c r="S296" s="191"/>
      <c r="T296" s="191"/>
      <c r="U296" s="191"/>
    </row>
    <row r="297" spans="3:21">
      <c r="C297" s="191"/>
      <c r="D297" s="191"/>
      <c r="E297" s="191"/>
      <c r="F297" s="191"/>
      <c r="G297" s="191"/>
      <c r="H297" s="191"/>
      <c r="I297" s="191"/>
      <c r="J297" s="191"/>
      <c r="K297" s="191"/>
      <c r="L297" s="191"/>
      <c r="M297" s="191"/>
      <c r="N297" s="191"/>
      <c r="O297" s="191"/>
      <c r="P297" s="191"/>
      <c r="Q297" s="191"/>
      <c r="R297" s="191"/>
      <c r="S297" s="191"/>
      <c r="T297" s="191"/>
      <c r="U297" s="191"/>
    </row>
    <row r="298" spans="3:21">
      <c r="C298" s="191"/>
      <c r="D298" s="191"/>
      <c r="E298" s="191"/>
      <c r="F298" s="191"/>
      <c r="G298" s="191"/>
      <c r="H298" s="191"/>
      <c r="I298" s="191"/>
      <c r="J298" s="191"/>
      <c r="K298" s="191"/>
      <c r="L298" s="191"/>
      <c r="M298" s="191"/>
      <c r="N298" s="191"/>
      <c r="O298" s="191"/>
      <c r="P298" s="191"/>
      <c r="Q298" s="191"/>
      <c r="R298" s="191"/>
      <c r="S298" s="191"/>
      <c r="T298" s="191"/>
      <c r="U298" s="191"/>
    </row>
    <row r="299" spans="3:21">
      <c r="C299" s="191"/>
      <c r="D299" s="191"/>
      <c r="E299" s="191"/>
      <c r="F299" s="191"/>
      <c r="G299" s="191"/>
      <c r="H299" s="191"/>
      <c r="I299" s="191"/>
      <c r="J299" s="191"/>
      <c r="K299" s="191"/>
      <c r="L299" s="191"/>
      <c r="M299" s="191"/>
      <c r="N299" s="191"/>
    </row>
    <row r="300" spans="3:21">
      <c r="C300" s="191"/>
      <c r="D300" s="191"/>
      <c r="E300" s="191"/>
      <c r="F300" s="191"/>
      <c r="G300" s="191"/>
      <c r="H300" s="191"/>
      <c r="I300" s="191"/>
      <c r="J300" s="191"/>
      <c r="K300" s="191"/>
      <c r="L300" s="191"/>
      <c r="M300" s="191"/>
      <c r="N300" s="191"/>
    </row>
    <row r="301" spans="3:21">
      <c r="C301" s="191"/>
      <c r="D301" s="191"/>
      <c r="E301" s="191"/>
      <c r="F301" s="191"/>
      <c r="G301" s="191"/>
      <c r="H301" s="191"/>
      <c r="I301" s="191"/>
      <c r="J301" s="191"/>
      <c r="K301" s="191"/>
      <c r="L301" s="191"/>
      <c r="M301" s="191"/>
      <c r="N301" s="191"/>
    </row>
    <row r="302" spans="3:21">
      <c r="C302" s="191"/>
      <c r="D302" s="191"/>
      <c r="E302" s="191"/>
      <c r="F302" s="191"/>
      <c r="G302" s="191"/>
      <c r="H302" s="191"/>
      <c r="I302" s="191"/>
      <c r="J302" s="191"/>
      <c r="K302" s="191"/>
      <c r="L302" s="191"/>
      <c r="M302" s="191"/>
      <c r="N302" s="191"/>
    </row>
    <row r="303" spans="3:21">
      <c r="C303" s="191"/>
      <c r="D303" s="191"/>
      <c r="E303" s="191"/>
      <c r="F303" s="191"/>
      <c r="G303" s="191"/>
      <c r="H303" s="191"/>
      <c r="I303" s="191"/>
      <c r="J303" s="191"/>
      <c r="K303" s="191"/>
      <c r="L303" s="191"/>
      <c r="M303" s="191"/>
      <c r="N303" s="191"/>
    </row>
    <row r="304" spans="3:21">
      <c r="C304" s="191"/>
      <c r="D304" s="191"/>
      <c r="E304" s="191"/>
      <c r="F304" s="191"/>
      <c r="G304" s="191"/>
      <c r="H304" s="191"/>
      <c r="I304" s="191"/>
      <c r="J304" s="191"/>
      <c r="K304" s="191"/>
      <c r="L304" s="191"/>
      <c r="M304" s="191"/>
      <c r="N304" s="191"/>
    </row>
    <row r="305" spans="3:14">
      <c r="C305" s="191"/>
      <c r="D305" s="191"/>
      <c r="E305" s="191"/>
      <c r="F305" s="191"/>
      <c r="G305" s="191"/>
      <c r="H305" s="191"/>
      <c r="I305" s="191"/>
      <c r="J305" s="191"/>
      <c r="K305" s="191"/>
      <c r="L305" s="191"/>
      <c r="M305" s="191"/>
      <c r="N305" s="191"/>
    </row>
    <row r="306" spans="3:14">
      <c r="C306" s="191"/>
      <c r="D306" s="191"/>
      <c r="E306" s="191"/>
      <c r="F306" s="191"/>
      <c r="G306" s="191"/>
      <c r="H306" s="191"/>
      <c r="I306" s="191"/>
      <c r="J306" s="191"/>
      <c r="K306" s="191"/>
      <c r="L306" s="191"/>
      <c r="M306" s="191"/>
      <c r="N306" s="191"/>
    </row>
  </sheetData>
  <mergeCells count="8">
    <mergeCell ref="C106:N106"/>
    <mergeCell ref="C107:N107"/>
    <mergeCell ref="C100:N100"/>
    <mergeCell ref="C101:N101"/>
    <mergeCell ref="C102:N102"/>
    <mergeCell ref="C103:N103"/>
    <mergeCell ref="C104:N104"/>
    <mergeCell ref="C105:N105"/>
  </mergeCells>
  <printOptions horizontalCentered="1"/>
  <pageMargins left="0.32" right="0.3" top="0.77" bottom="0.75" header="0.5" footer="0.5"/>
  <pageSetup scale="54" fitToHeight="2" orientation="landscape" horizontalDpi="300" verticalDpi="300" r:id="rId1"/>
  <headerFooter alignWithMargins="0"/>
  <rowBreaks count="1" manualBreakCount="1">
    <brk id="57"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M34"/>
  <sheetViews>
    <sheetView workbookViewId="0">
      <selection activeCell="B4" sqref="B4"/>
    </sheetView>
  </sheetViews>
  <sheetFormatPr defaultRowHeight="12.75"/>
  <cols>
    <col min="1" max="1" width="20.88671875" style="277" customWidth="1"/>
    <col min="2" max="2" width="25.5546875" style="277" customWidth="1"/>
    <col min="3" max="3" width="10" style="277" customWidth="1"/>
    <col min="4" max="4" width="9.88671875" style="277" customWidth="1"/>
    <col min="5" max="5" width="9.6640625" style="277" customWidth="1"/>
    <col min="6" max="6" width="10.6640625" style="277" bestFit="1" customWidth="1"/>
    <col min="7" max="11" width="8.5546875" style="277" customWidth="1"/>
    <col min="12" max="12" width="9" style="277" customWidth="1"/>
    <col min="13" max="13" width="7.109375" style="277" hidden="1" customWidth="1"/>
    <col min="14" max="256" width="8.88671875" style="277"/>
    <col min="257" max="257" width="20.88671875" style="277" customWidth="1"/>
    <col min="258" max="258" width="25.5546875" style="277" customWidth="1"/>
    <col min="259" max="259" width="10" style="277" customWidth="1"/>
    <col min="260" max="260" width="8.77734375" style="277" customWidth="1"/>
    <col min="261" max="267" width="8.5546875" style="277" customWidth="1"/>
    <col min="268" max="268" width="9" style="277" customWidth="1"/>
    <col min="269" max="269" width="0" style="277" hidden="1" customWidth="1"/>
    <col min="270" max="512" width="8.88671875" style="277"/>
    <col min="513" max="513" width="20.88671875" style="277" customWidth="1"/>
    <col min="514" max="514" width="25.5546875" style="277" customWidth="1"/>
    <col min="515" max="515" width="10" style="277" customWidth="1"/>
    <col min="516" max="516" width="8.77734375" style="277" customWidth="1"/>
    <col min="517" max="523" width="8.5546875" style="277" customWidth="1"/>
    <col min="524" max="524" width="9" style="277" customWidth="1"/>
    <col min="525" max="525" width="0" style="277" hidden="1" customWidth="1"/>
    <col min="526" max="768" width="8.88671875" style="277"/>
    <col min="769" max="769" width="20.88671875" style="277" customWidth="1"/>
    <col min="770" max="770" width="25.5546875" style="277" customWidth="1"/>
    <col min="771" max="771" width="10" style="277" customWidth="1"/>
    <col min="772" max="772" width="8.77734375" style="277" customWidth="1"/>
    <col min="773" max="779" width="8.5546875" style="277" customWidth="1"/>
    <col min="780" max="780" width="9" style="277" customWidth="1"/>
    <col min="781" max="781" width="0" style="277" hidden="1" customWidth="1"/>
    <col min="782" max="1024" width="8.88671875" style="277"/>
    <col min="1025" max="1025" width="20.88671875" style="277" customWidth="1"/>
    <col min="1026" max="1026" width="25.5546875" style="277" customWidth="1"/>
    <col min="1027" max="1027" width="10" style="277" customWidth="1"/>
    <col min="1028" max="1028" width="8.77734375" style="277" customWidth="1"/>
    <col min="1029" max="1035" width="8.5546875" style="277" customWidth="1"/>
    <col min="1036" max="1036" width="9" style="277" customWidth="1"/>
    <col min="1037" max="1037" width="0" style="277" hidden="1" customWidth="1"/>
    <col min="1038" max="1280" width="8.88671875" style="277"/>
    <col min="1281" max="1281" width="20.88671875" style="277" customWidth="1"/>
    <col min="1282" max="1282" width="25.5546875" style="277" customWidth="1"/>
    <col min="1283" max="1283" width="10" style="277" customWidth="1"/>
    <col min="1284" max="1284" width="8.77734375" style="277" customWidth="1"/>
    <col min="1285" max="1291" width="8.5546875" style="277" customWidth="1"/>
    <col min="1292" max="1292" width="9" style="277" customWidth="1"/>
    <col min="1293" max="1293" width="0" style="277" hidden="1" customWidth="1"/>
    <col min="1294" max="1536" width="8.88671875" style="277"/>
    <col min="1537" max="1537" width="20.88671875" style="277" customWidth="1"/>
    <col min="1538" max="1538" width="25.5546875" style="277" customWidth="1"/>
    <col min="1539" max="1539" width="10" style="277" customWidth="1"/>
    <col min="1540" max="1540" width="8.77734375" style="277" customWidth="1"/>
    <col min="1541" max="1547" width="8.5546875" style="277" customWidth="1"/>
    <col min="1548" max="1548" width="9" style="277" customWidth="1"/>
    <col min="1549" max="1549" width="0" style="277" hidden="1" customWidth="1"/>
    <col min="1550" max="1792" width="8.88671875" style="277"/>
    <col min="1793" max="1793" width="20.88671875" style="277" customWidth="1"/>
    <col min="1794" max="1794" width="25.5546875" style="277" customWidth="1"/>
    <col min="1795" max="1795" width="10" style="277" customWidth="1"/>
    <col min="1796" max="1796" width="8.77734375" style="277" customWidth="1"/>
    <col min="1797" max="1803" width="8.5546875" style="277" customWidth="1"/>
    <col min="1804" max="1804" width="9" style="277" customWidth="1"/>
    <col min="1805" max="1805" width="0" style="277" hidden="1" customWidth="1"/>
    <col min="1806" max="2048" width="8.88671875" style="277"/>
    <col min="2049" max="2049" width="20.88671875" style="277" customWidth="1"/>
    <col min="2050" max="2050" width="25.5546875" style="277" customWidth="1"/>
    <col min="2051" max="2051" width="10" style="277" customWidth="1"/>
    <col min="2052" max="2052" width="8.77734375" style="277" customWidth="1"/>
    <col min="2053" max="2059" width="8.5546875" style="277" customWidth="1"/>
    <col min="2060" max="2060" width="9" style="277" customWidth="1"/>
    <col min="2061" max="2061" width="0" style="277" hidden="1" customWidth="1"/>
    <col min="2062" max="2304" width="8.88671875" style="277"/>
    <col min="2305" max="2305" width="20.88671875" style="277" customWidth="1"/>
    <col min="2306" max="2306" width="25.5546875" style="277" customWidth="1"/>
    <col min="2307" max="2307" width="10" style="277" customWidth="1"/>
    <col min="2308" max="2308" width="8.77734375" style="277" customWidth="1"/>
    <col min="2309" max="2315" width="8.5546875" style="277" customWidth="1"/>
    <col min="2316" max="2316" width="9" style="277" customWidth="1"/>
    <col min="2317" max="2317" width="0" style="277" hidden="1" customWidth="1"/>
    <col min="2318" max="2560" width="8.88671875" style="277"/>
    <col min="2561" max="2561" width="20.88671875" style="277" customWidth="1"/>
    <col min="2562" max="2562" width="25.5546875" style="277" customWidth="1"/>
    <col min="2563" max="2563" width="10" style="277" customWidth="1"/>
    <col min="2564" max="2564" width="8.77734375" style="277" customWidth="1"/>
    <col min="2565" max="2571" width="8.5546875" style="277" customWidth="1"/>
    <col min="2572" max="2572" width="9" style="277" customWidth="1"/>
    <col min="2573" max="2573" width="0" style="277" hidden="1" customWidth="1"/>
    <col min="2574" max="2816" width="8.88671875" style="277"/>
    <col min="2817" max="2817" width="20.88671875" style="277" customWidth="1"/>
    <col min="2818" max="2818" width="25.5546875" style="277" customWidth="1"/>
    <col min="2819" max="2819" width="10" style="277" customWidth="1"/>
    <col min="2820" max="2820" width="8.77734375" style="277" customWidth="1"/>
    <col min="2821" max="2827" width="8.5546875" style="277" customWidth="1"/>
    <col min="2828" max="2828" width="9" style="277" customWidth="1"/>
    <col min="2829" max="2829" width="0" style="277" hidden="1" customWidth="1"/>
    <col min="2830" max="3072" width="8.88671875" style="277"/>
    <col min="3073" max="3073" width="20.88671875" style="277" customWidth="1"/>
    <col min="3074" max="3074" width="25.5546875" style="277" customWidth="1"/>
    <col min="3075" max="3075" width="10" style="277" customWidth="1"/>
    <col min="3076" max="3076" width="8.77734375" style="277" customWidth="1"/>
    <col min="3077" max="3083" width="8.5546875" style="277" customWidth="1"/>
    <col min="3084" max="3084" width="9" style="277" customWidth="1"/>
    <col min="3085" max="3085" width="0" style="277" hidden="1" customWidth="1"/>
    <col min="3086" max="3328" width="8.88671875" style="277"/>
    <col min="3329" max="3329" width="20.88671875" style="277" customWidth="1"/>
    <col min="3330" max="3330" width="25.5546875" style="277" customWidth="1"/>
    <col min="3331" max="3331" width="10" style="277" customWidth="1"/>
    <col min="3332" max="3332" width="8.77734375" style="277" customWidth="1"/>
    <col min="3333" max="3339" width="8.5546875" style="277" customWidth="1"/>
    <col min="3340" max="3340" width="9" style="277" customWidth="1"/>
    <col min="3341" max="3341" width="0" style="277" hidden="1" customWidth="1"/>
    <col min="3342" max="3584" width="8.88671875" style="277"/>
    <col min="3585" max="3585" width="20.88671875" style="277" customWidth="1"/>
    <col min="3586" max="3586" width="25.5546875" style="277" customWidth="1"/>
    <col min="3587" max="3587" width="10" style="277" customWidth="1"/>
    <col min="3588" max="3588" width="8.77734375" style="277" customWidth="1"/>
    <col min="3589" max="3595" width="8.5546875" style="277" customWidth="1"/>
    <col min="3596" max="3596" width="9" style="277" customWidth="1"/>
    <col min="3597" max="3597" width="0" style="277" hidden="1" customWidth="1"/>
    <col min="3598" max="3840" width="8.88671875" style="277"/>
    <col min="3841" max="3841" width="20.88671875" style="277" customWidth="1"/>
    <col min="3842" max="3842" width="25.5546875" style="277" customWidth="1"/>
    <col min="3843" max="3843" width="10" style="277" customWidth="1"/>
    <col min="3844" max="3844" width="8.77734375" style="277" customWidth="1"/>
    <col min="3845" max="3851" width="8.5546875" style="277" customWidth="1"/>
    <col min="3852" max="3852" width="9" style="277" customWidth="1"/>
    <col min="3853" max="3853" width="0" style="277" hidden="1" customWidth="1"/>
    <col min="3854" max="4096" width="8.88671875" style="277"/>
    <col min="4097" max="4097" width="20.88671875" style="277" customWidth="1"/>
    <col min="4098" max="4098" width="25.5546875" style="277" customWidth="1"/>
    <col min="4099" max="4099" width="10" style="277" customWidth="1"/>
    <col min="4100" max="4100" width="8.77734375" style="277" customWidth="1"/>
    <col min="4101" max="4107" width="8.5546875" style="277" customWidth="1"/>
    <col min="4108" max="4108" width="9" style="277" customWidth="1"/>
    <col min="4109" max="4109" width="0" style="277" hidden="1" customWidth="1"/>
    <col min="4110" max="4352" width="8.88671875" style="277"/>
    <col min="4353" max="4353" width="20.88671875" style="277" customWidth="1"/>
    <col min="4354" max="4354" width="25.5546875" style="277" customWidth="1"/>
    <col min="4355" max="4355" width="10" style="277" customWidth="1"/>
    <col min="4356" max="4356" width="8.77734375" style="277" customWidth="1"/>
    <col min="4357" max="4363" width="8.5546875" style="277" customWidth="1"/>
    <col min="4364" max="4364" width="9" style="277" customWidth="1"/>
    <col min="4365" max="4365" width="0" style="277" hidden="1" customWidth="1"/>
    <col min="4366" max="4608" width="8.88671875" style="277"/>
    <col min="4609" max="4609" width="20.88671875" style="277" customWidth="1"/>
    <col min="4610" max="4610" width="25.5546875" style="277" customWidth="1"/>
    <col min="4611" max="4611" width="10" style="277" customWidth="1"/>
    <col min="4612" max="4612" width="8.77734375" style="277" customWidth="1"/>
    <col min="4613" max="4619" width="8.5546875" style="277" customWidth="1"/>
    <col min="4620" max="4620" width="9" style="277" customWidth="1"/>
    <col min="4621" max="4621" width="0" style="277" hidden="1" customWidth="1"/>
    <col min="4622" max="4864" width="8.88671875" style="277"/>
    <col min="4865" max="4865" width="20.88671875" style="277" customWidth="1"/>
    <col min="4866" max="4866" width="25.5546875" style="277" customWidth="1"/>
    <col min="4867" max="4867" width="10" style="277" customWidth="1"/>
    <col min="4868" max="4868" width="8.77734375" style="277" customWidth="1"/>
    <col min="4869" max="4875" width="8.5546875" style="277" customWidth="1"/>
    <col min="4876" max="4876" width="9" style="277" customWidth="1"/>
    <col min="4877" max="4877" width="0" style="277" hidden="1" customWidth="1"/>
    <col min="4878" max="5120" width="8.88671875" style="277"/>
    <col min="5121" max="5121" width="20.88671875" style="277" customWidth="1"/>
    <col min="5122" max="5122" width="25.5546875" style="277" customWidth="1"/>
    <col min="5123" max="5123" width="10" style="277" customWidth="1"/>
    <col min="5124" max="5124" width="8.77734375" style="277" customWidth="1"/>
    <col min="5125" max="5131" width="8.5546875" style="277" customWidth="1"/>
    <col min="5132" max="5132" width="9" style="277" customWidth="1"/>
    <col min="5133" max="5133" width="0" style="277" hidden="1" customWidth="1"/>
    <col min="5134" max="5376" width="8.88671875" style="277"/>
    <col min="5377" max="5377" width="20.88671875" style="277" customWidth="1"/>
    <col min="5378" max="5378" width="25.5546875" style="277" customWidth="1"/>
    <col min="5379" max="5379" width="10" style="277" customWidth="1"/>
    <col min="5380" max="5380" width="8.77734375" style="277" customWidth="1"/>
    <col min="5381" max="5387" width="8.5546875" style="277" customWidth="1"/>
    <col min="5388" max="5388" width="9" style="277" customWidth="1"/>
    <col min="5389" max="5389" width="0" style="277" hidden="1" customWidth="1"/>
    <col min="5390" max="5632" width="8.88671875" style="277"/>
    <col min="5633" max="5633" width="20.88671875" style="277" customWidth="1"/>
    <col min="5634" max="5634" width="25.5546875" style="277" customWidth="1"/>
    <col min="5635" max="5635" width="10" style="277" customWidth="1"/>
    <col min="5636" max="5636" width="8.77734375" style="277" customWidth="1"/>
    <col min="5637" max="5643" width="8.5546875" style="277" customWidth="1"/>
    <col min="5644" max="5644" width="9" style="277" customWidth="1"/>
    <col min="5645" max="5645" width="0" style="277" hidden="1" customWidth="1"/>
    <col min="5646" max="5888" width="8.88671875" style="277"/>
    <col min="5889" max="5889" width="20.88671875" style="277" customWidth="1"/>
    <col min="5890" max="5890" width="25.5546875" style="277" customWidth="1"/>
    <col min="5891" max="5891" width="10" style="277" customWidth="1"/>
    <col min="5892" max="5892" width="8.77734375" style="277" customWidth="1"/>
    <col min="5893" max="5899" width="8.5546875" style="277" customWidth="1"/>
    <col min="5900" max="5900" width="9" style="277" customWidth="1"/>
    <col min="5901" max="5901" width="0" style="277" hidden="1" customWidth="1"/>
    <col min="5902" max="6144" width="8.88671875" style="277"/>
    <col min="6145" max="6145" width="20.88671875" style="277" customWidth="1"/>
    <col min="6146" max="6146" width="25.5546875" style="277" customWidth="1"/>
    <col min="6147" max="6147" width="10" style="277" customWidth="1"/>
    <col min="6148" max="6148" width="8.77734375" style="277" customWidth="1"/>
    <col min="6149" max="6155" width="8.5546875" style="277" customWidth="1"/>
    <col min="6156" max="6156" width="9" style="277" customWidth="1"/>
    <col min="6157" max="6157" width="0" style="277" hidden="1" customWidth="1"/>
    <col min="6158" max="6400" width="8.88671875" style="277"/>
    <col min="6401" max="6401" width="20.88671875" style="277" customWidth="1"/>
    <col min="6402" max="6402" width="25.5546875" style="277" customWidth="1"/>
    <col min="6403" max="6403" width="10" style="277" customWidth="1"/>
    <col min="6404" max="6404" width="8.77734375" style="277" customWidth="1"/>
    <col min="6405" max="6411" width="8.5546875" style="277" customWidth="1"/>
    <col min="6412" max="6412" width="9" style="277" customWidth="1"/>
    <col min="6413" max="6413" width="0" style="277" hidden="1" customWidth="1"/>
    <col min="6414" max="6656" width="8.88671875" style="277"/>
    <col min="6657" max="6657" width="20.88671875" style="277" customWidth="1"/>
    <col min="6658" max="6658" width="25.5546875" style="277" customWidth="1"/>
    <col min="6659" max="6659" width="10" style="277" customWidth="1"/>
    <col min="6660" max="6660" width="8.77734375" style="277" customWidth="1"/>
    <col min="6661" max="6667" width="8.5546875" style="277" customWidth="1"/>
    <col min="6668" max="6668" width="9" style="277" customWidth="1"/>
    <col min="6669" max="6669" width="0" style="277" hidden="1" customWidth="1"/>
    <col min="6670" max="6912" width="8.88671875" style="277"/>
    <col min="6913" max="6913" width="20.88671875" style="277" customWidth="1"/>
    <col min="6914" max="6914" width="25.5546875" style="277" customWidth="1"/>
    <col min="6915" max="6915" width="10" style="277" customWidth="1"/>
    <col min="6916" max="6916" width="8.77734375" style="277" customWidth="1"/>
    <col min="6917" max="6923" width="8.5546875" style="277" customWidth="1"/>
    <col min="6924" max="6924" width="9" style="277" customWidth="1"/>
    <col min="6925" max="6925" width="0" style="277" hidden="1" customWidth="1"/>
    <col min="6926" max="7168" width="8.88671875" style="277"/>
    <col min="7169" max="7169" width="20.88671875" style="277" customWidth="1"/>
    <col min="7170" max="7170" width="25.5546875" style="277" customWidth="1"/>
    <col min="7171" max="7171" width="10" style="277" customWidth="1"/>
    <col min="7172" max="7172" width="8.77734375" style="277" customWidth="1"/>
    <col min="7173" max="7179" width="8.5546875" style="277" customWidth="1"/>
    <col min="7180" max="7180" width="9" style="277" customWidth="1"/>
    <col min="7181" max="7181" width="0" style="277" hidden="1" customWidth="1"/>
    <col min="7182" max="7424" width="8.88671875" style="277"/>
    <col min="7425" max="7425" width="20.88671875" style="277" customWidth="1"/>
    <col min="7426" max="7426" width="25.5546875" style="277" customWidth="1"/>
    <col min="7427" max="7427" width="10" style="277" customWidth="1"/>
    <col min="7428" max="7428" width="8.77734375" style="277" customWidth="1"/>
    <col min="7429" max="7435" width="8.5546875" style="277" customWidth="1"/>
    <col min="7436" max="7436" width="9" style="277" customWidth="1"/>
    <col min="7437" max="7437" width="0" style="277" hidden="1" customWidth="1"/>
    <col min="7438" max="7680" width="8.88671875" style="277"/>
    <col min="7681" max="7681" width="20.88671875" style="277" customWidth="1"/>
    <col min="7682" max="7682" width="25.5546875" style="277" customWidth="1"/>
    <col min="7683" max="7683" width="10" style="277" customWidth="1"/>
    <col min="7684" max="7684" width="8.77734375" style="277" customWidth="1"/>
    <col min="7685" max="7691" width="8.5546875" style="277" customWidth="1"/>
    <col min="7692" max="7692" width="9" style="277" customWidth="1"/>
    <col min="7693" max="7693" width="0" style="277" hidden="1" customWidth="1"/>
    <col min="7694" max="7936" width="8.88671875" style="277"/>
    <col min="7937" max="7937" width="20.88671875" style="277" customWidth="1"/>
    <col min="7938" max="7938" width="25.5546875" style="277" customWidth="1"/>
    <col min="7939" max="7939" width="10" style="277" customWidth="1"/>
    <col min="7940" max="7940" width="8.77734375" style="277" customWidth="1"/>
    <col min="7941" max="7947" width="8.5546875" style="277" customWidth="1"/>
    <col min="7948" max="7948" width="9" style="277" customWidth="1"/>
    <col min="7949" max="7949" width="0" style="277" hidden="1" customWidth="1"/>
    <col min="7950" max="8192" width="8.88671875" style="277"/>
    <col min="8193" max="8193" width="20.88671875" style="277" customWidth="1"/>
    <col min="8194" max="8194" width="25.5546875" style="277" customWidth="1"/>
    <col min="8195" max="8195" width="10" style="277" customWidth="1"/>
    <col min="8196" max="8196" width="8.77734375" style="277" customWidth="1"/>
    <col min="8197" max="8203" width="8.5546875" style="277" customWidth="1"/>
    <col min="8204" max="8204" width="9" style="277" customWidth="1"/>
    <col min="8205" max="8205" width="0" style="277" hidden="1" customWidth="1"/>
    <col min="8206" max="8448" width="8.88671875" style="277"/>
    <col min="8449" max="8449" width="20.88671875" style="277" customWidth="1"/>
    <col min="8450" max="8450" width="25.5546875" style="277" customWidth="1"/>
    <col min="8451" max="8451" width="10" style="277" customWidth="1"/>
    <col min="8452" max="8452" width="8.77734375" style="277" customWidth="1"/>
    <col min="8453" max="8459" width="8.5546875" style="277" customWidth="1"/>
    <col min="8460" max="8460" width="9" style="277" customWidth="1"/>
    <col min="8461" max="8461" width="0" style="277" hidden="1" customWidth="1"/>
    <col min="8462" max="8704" width="8.88671875" style="277"/>
    <col min="8705" max="8705" width="20.88671875" style="277" customWidth="1"/>
    <col min="8706" max="8706" width="25.5546875" style="277" customWidth="1"/>
    <col min="8707" max="8707" width="10" style="277" customWidth="1"/>
    <col min="8708" max="8708" width="8.77734375" style="277" customWidth="1"/>
    <col min="8709" max="8715" width="8.5546875" style="277" customWidth="1"/>
    <col min="8716" max="8716" width="9" style="277" customWidth="1"/>
    <col min="8717" max="8717" width="0" style="277" hidden="1" customWidth="1"/>
    <col min="8718" max="8960" width="8.88671875" style="277"/>
    <col min="8961" max="8961" width="20.88671875" style="277" customWidth="1"/>
    <col min="8962" max="8962" width="25.5546875" style="277" customWidth="1"/>
    <col min="8963" max="8963" width="10" style="277" customWidth="1"/>
    <col min="8964" max="8964" width="8.77734375" style="277" customWidth="1"/>
    <col min="8965" max="8971" width="8.5546875" style="277" customWidth="1"/>
    <col min="8972" max="8972" width="9" style="277" customWidth="1"/>
    <col min="8973" max="8973" width="0" style="277" hidden="1" customWidth="1"/>
    <col min="8974" max="9216" width="8.88671875" style="277"/>
    <col min="9217" max="9217" width="20.88671875" style="277" customWidth="1"/>
    <col min="9218" max="9218" width="25.5546875" style="277" customWidth="1"/>
    <col min="9219" max="9219" width="10" style="277" customWidth="1"/>
    <col min="9220" max="9220" width="8.77734375" style="277" customWidth="1"/>
    <col min="9221" max="9227" width="8.5546875" style="277" customWidth="1"/>
    <col min="9228" max="9228" width="9" style="277" customWidth="1"/>
    <col min="9229" max="9229" width="0" style="277" hidden="1" customWidth="1"/>
    <col min="9230" max="9472" width="8.88671875" style="277"/>
    <col min="9473" max="9473" width="20.88671875" style="277" customWidth="1"/>
    <col min="9474" max="9474" width="25.5546875" style="277" customWidth="1"/>
    <col min="9475" max="9475" width="10" style="277" customWidth="1"/>
    <col min="9476" max="9476" width="8.77734375" style="277" customWidth="1"/>
    <col min="9477" max="9483" width="8.5546875" style="277" customWidth="1"/>
    <col min="9484" max="9484" width="9" style="277" customWidth="1"/>
    <col min="9485" max="9485" width="0" style="277" hidden="1" customWidth="1"/>
    <col min="9486" max="9728" width="8.88671875" style="277"/>
    <col min="9729" max="9729" width="20.88671875" style="277" customWidth="1"/>
    <col min="9730" max="9730" width="25.5546875" style="277" customWidth="1"/>
    <col min="9731" max="9731" width="10" style="277" customWidth="1"/>
    <col min="9732" max="9732" width="8.77734375" style="277" customWidth="1"/>
    <col min="9733" max="9739" width="8.5546875" style="277" customWidth="1"/>
    <col min="9740" max="9740" width="9" style="277" customWidth="1"/>
    <col min="9741" max="9741" width="0" style="277" hidden="1" customWidth="1"/>
    <col min="9742" max="9984" width="8.88671875" style="277"/>
    <col min="9985" max="9985" width="20.88671875" style="277" customWidth="1"/>
    <col min="9986" max="9986" width="25.5546875" style="277" customWidth="1"/>
    <col min="9987" max="9987" width="10" style="277" customWidth="1"/>
    <col min="9988" max="9988" width="8.77734375" style="277" customWidth="1"/>
    <col min="9989" max="9995" width="8.5546875" style="277" customWidth="1"/>
    <col min="9996" max="9996" width="9" style="277" customWidth="1"/>
    <col min="9997" max="9997" width="0" style="277" hidden="1" customWidth="1"/>
    <col min="9998" max="10240" width="8.88671875" style="277"/>
    <col min="10241" max="10241" width="20.88671875" style="277" customWidth="1"/>
    <col min="10242" max="10242" width="25.5546875" style="277" customWidth="1"/>
    <col min="10243" max="10243" width="10" style="277" customWidth="1"/>
    <col min="10244" max="10244" width="8.77734375" style="277" customWidth="1"/>
    <col min="10245" max="10251" width="8.5546875" style="277" customWidth="1"/>
    <col min="10252" max="10252" width="9" style="277" customWidth="1"/>
    <col min="10253" max="10253" width="0" style="277" hidden="1" customWidth="1"/>
    <col min="10254" max="10496" width="8.88671875" style="277"/>
    <col min="10497" max="10497" width="20.88671875" style="277" customWidth="1"/>
    <col min="10498" max="10498" width="25.5546875" style="277" customWidth="1"/>
    <col min="10499" max="10499" width="10" style="277" customWidth="1"/>
    <col min="10500" max="10500" width="8.77734375" style="277" customWidth="1"/>
    <col min="10501" max="10507" width="8.5546875" style="277" customWidth="1"/>
    <col min="10508" max="10508" width="9" style="277" customWidth="1"/>
    <col min="10509" max="10509" width="0" style="277" hidden="1" customWidth="1"/>
    <col min="10510" max="10752" width="8.88671875" style="277"/>
    <col min="10753" max="10753" width="20.88671875" style="277" customWidth="1"/>
    <col min="10754" max="10754" width="25.5546875" style="277" customWidth="1"/>
    <col min="10755" max="10755" width="10" style="277" customWidth="1"/>
    <col min="10756" max="10756" width="8.77734375" style="277" customWidth="1"/>
    <col min="10757" max="10763" width="8.5546875" style="277" customWidth="1"/>
    <col min="10764" max="10764" width="9" style="277" customWidth="1"/>
    <col min="10765" max="10765" width="0" style="277" hidden="1" customWidth="1"/>
    <col min="10766" max="11008" width="8.88671875" style="277"/>
    <col min="11009" max="11009" width="20.88671875" style="277" customWidth="1"/>
    <col min="11010" max="11010" width="25.5546875" style="277" customWidth="1"/>
    <col min="11011" max="11011" width="10" style="277" customWidth="1"/>
    <col min="11012" max="11012" width="8.77734375" style="277" customWidth="1"/>
    <col min="11013" max="11019" width="8.5546875" style="277" customWidth="1"/>
    <col min="11020" max="11020" width="9" style="277" customWidth="1"/>
    <col min="11021" max="11021" width="0" style="277" hidden="1" customWidth="1"/>
    <col min="11022" max="11264" width="8.88671875" style="277"/>
    <col min="11265" max="11265" width="20.88671875" style="277" customWidth="1"/>
    <col min="11266" max="11266" width="25.5546875" style="277" customWidth="1"/>
    <col min="11267" max="11267" width="10" style="277" customWidth="1"/>
    <col min="11268" max="11268" width="8.77734375" style="277" customWidth="1"/>
    <col min="11269" max="11275" width="8.5546875" style="277" customWidth="1"/>
    <col min="11276" max="11276" width="9" style="277" customWidth="1"/>
    <col min="11277" max="11277" width="0" style="277" hidden="1" customWidth="1"/>
    <col min="11278" max="11520" width="8.88671875" style="277"/>
    <col min="11521" max="11521" width="20.88671875" style="277" customWidth="1"/>
    <col min="11522" max="11522" width="25.5546875" style="277" customWidth="1"/>
    <col min="11523" max="11523" width="10" style="277" customWidth="1"/>
    <col min="11524" max="11524" width="8.77734375" style="277" customWidth="1"/>
    <col min="11525" max="11531" width="8.5546875" style="277" customWidth="1"/>
    <col min="11532" max="11532" width="9" style="277" customWidth="1"/>
    <col min="11533" max="11533" width="0" style="277" hidden="1" customWidth="1"/>
    <col min="11534" max="11776" width="8.88671875" style="277"/>
    <col min="11777" max="11777" width="20.88671875" style="277" customWidth="1"/>
    <col min="11778" max="11778" width="25.5546875" style="277" customWidth="1"/>
    <col min="11779" max="11779" width="10" style="277" customWidth="1"/>
    <col min="11780" max="11780" width="8.77734375" style="277" customWidth="1"/>
    <col min="11781" max="11787" width="8.5546875" style="277" customWidth="1"/>
    <col min="11788" max="11788" width="9" style="277" customWidth="1"/>
    <col min="11789" max="11789" width="0" style="277" hidden="1" customWidth="1"/>
    <col min="11790" max="12032" width="8.88671875" style="277"/>
    <col min="12033" max="12033" width="20.88671875" style="277" customWidth="1"/>
    <col min="12034" max="12034" width="25.5546875" style="277" customWidth="1"/>
    <col min="12035" max="12035" width="10" style="277" customWidth="1"/>
    <col min="12036" max="12036" width="8.77734375" style="277" customWidth="1"/>
    <col min="12037" max="12043" width="8.5546875" style="277" customWidth="1"/>
    <col min="12044" max="12044" width="9" style="277" customWidth="1"/>
    <col min="12045" max="12045" width="0" style="277" hidden="1" customWidth="1"/>
    <col min="12046" max="12288" width="8.88671875" style="277"/>
    <col min="12289" max="12289" width="20.88671875" style="277" customWidth="1"/>
    <col min="12290" max="12290" width="25.5546875" style="277" customWidth="1"/>
    <col min="12291" max="12291" width="10" style="277" customWidth="1"/>
    <col min="12292" max="12292" width="8.77734375" style="277" customWidth="1"/>
    <col min="12293" max="12299" width="8.5546875" style="277" customWidth="1"/>
    <col min="12300" max="12300" width="9" style="277" customWidth="1"/>
    <col min="12301" max="12301" width="0" style="277" hidden="1" customWidth="1"/>
    <col min="12302" max="12544" width="8.88671875" style="277"/>
    <col min="12545" max="12545" width="20.88671875" style="277" customWidth="1"/>
    <col min="12546" max="12546" width="25.5546875" style="277" customWidth="1"/>
    <col min="12547" max="12547" width="10" style="277" customWidth="1"/>
    <col min="12548" max="12548" width="8.77734375" style="277" customWidth="1"/>
    <col min="12549" max="12555" width="8.5546875" style="277" customWidth="1"/>
    <col min="12556" max="12556" width="9" style="277" customWidth="1"/>
    <col min="12557" max="12557" width="0" style="277" hidden="1" customWidth="1"/>
    <col min="12558" max="12800" width="8.88671875" style="277"/>
    <col min="12801" max="12801" width="20.88671875" style="277" customWidth="1"/>
    <col min="12802" max="12802" width="25.5546875" style="277" customWidth="1"/>
    <col min="12803" max="12803" width="10" style="277" customWidth="1"/>
    <col min="12804" max="12804" width="8.77734375" style="277" customWidth="1"/>
    <col min="12805" max="12811" width="8.5546875" style="277" customWidth="1"/>
    <col min="12812" max="12812" width="9" style="277" customWidth="1"/>
    <col min="12813" max="12813" width="0" style="277" hidden="1" customWidth="1"/>
    <col min="12814" max="13056" width="8.88671875" style="277"/>
    <col min="13057" max="13057" width="20.88671875" style="277" customWidth="1"/>
    <col min="13058" max="13058" width="25.5546875" style="277" customWidth="1"/>
    <col min="13059" max="13059" width="10" style="277" customWidth="1"/>
    <col min="13060" max="13060" width="8.77734375" style="277" customWidth="1"/>
    <col min="13061" max="13067" width="8.5546875" style="277" customWidth="1"/>
    <col min="13068" max="13068" width="9" style="277" customWidth="1"/>
    <col min="13069" max="13069" width="0" style="277" hidden="1" customWidth="1"/>
    <col min="13070" max="13312" width="8.88671875" style="277"/>
    <col min="13313" max="13313" width="20.88671875" style="277" customWidth="1"/>
    <col min="13314" max="13314" width="25.5546875" style="277" customWidth="1"/>
    <col min="13315" max="13315" width="10" style="277" customWidth="1"/>
    <col min="13316" max="13316" width="8.77734375" style="277" customWidth="1"/>
    <col min="13317" max="13323" width="8.5546875" style="277" customWidth="1"/>
    <col min="13324" max="13324" width="9" style="277" customWidth="1"/>
    <col min="13325" max="13325" width="0" style="277" hidden="1" customWidth="1"/>
    <col min="13326" max="13568" width="8.88671875" style="277"/>
    <col min="13569" max="13569" width="20.88671875" style="277" customWidth="1"/>
    <col min="13570" max="13570" width="25.5546875" style="277" customWidth="1"/>
    <col min="13571" max="13571" width="10" style="277" customWidth="1"/>
    <col min="13572" max="13572" width="8.77734375" style="277" customWidth="1"/>
    <col min="13573" max="13579" width="8.5546875" style="277" customWidth="1"/>
    <col min="13580" max="13580" width="9" style="277" customWidth="1"/>
    <col min="13581" max="13581" width="0" style="277" hidden="1" customWidth="1"/>
    <col min="13582" max="13824" width="8.88671875" style="277"/>
    <col min="13825" max="13825" width="20.88671875" style="277" customWidth="1"/>
    <col min="13826" max="13826" width="25.5546875" style="277" customWidth="1"/>
    <col min="13827" max="13827" width="10" style="277" customWidth="1"/>
    <col min="13828" max="13828" width="8.77734375" style="277" customWidth="1"/>
    <col min="13829" max="13835" width="8.5546875" style="277" customWidth="1"/>
    <col min="13836" max="13836" width="9" style="277" customWidth="1"/>
    <col min="13837" max="13837" width="0" style="277" hidden="1" customWidth="1"/>
    <col min="13838" max="14080" width="8.88671875" style="277"/>
    <col min="14081" max="14081" width="20.88671875" style="277" customWidth="1"/>
    <col min="14082" max="14082" width="25.5546875" style="277" customWidth="1"/>
    <col min="14083" max="14083" width="10" style="277" customWidth="1"/>
    <col min="14084" max="14084" width="8.77734375" style="277" customWidth="1"/>
    <col min="14085" max="14091" width="8.5546875" style="277" customWidth="1"/>
    <col min="14092" max="14092" width="9" style="277" customWidth="1"/>
    <col min="14093" max="14093" width="0" style="277" hidden="1" customWidth="1"/>
    <col min="14094" max="14336" width="8.88671875" style="277"/>
    <col min="14337" max="14337" width="20.88671875" style="277" customWidth="1"/>
    <col min="14338" max="14338" width="25.5546875" style="277" customWidth="1"/>
    <col min="14339" max="14339" width="10" style="277" customWidth="1"/>
    <col min="14340" max="14340" width="8.77734375" style="277" customWidth="1"/>
    <col min="14341" max="14347" width="8.5546875" style="277" customWidth="1"/>
    <col min="14348" max="14348" width="9" style="277" customWidth="1"/>
    <col min="14349" max="14349" width="0" style="277" hidden="1" customWidth="1"/>
    <col min="14350" max="14592" width="8.88671875" style="277"/>
    <col min="14593" max="14593" width="20.88671875" style="277" customWidth="1"/>
    <col min="14594" max="14594" width="25.5546875" style="277" customWidth="1"/>
    <col min="14595" max="14595" width="10" style="277" customWidth="1"/>
    <col min="14596" max="14596" width="8.77734375" style="277" customWidth="1"/>
    <col min="14597" max="14603" width="8.5546875" style="277" customWidth="1"/>
    <col min="14604" max="14604" width="9" style="277" customWidth="1"/>
    <col min="14605" max="14605" width="0" style="277" hidden="1" customWidth="1"/>
    <col min="14606" max="14848" width="8.88671875" style="277"/>
    <col min="14849" max="14849" width="20.88671875" style="277" customWidth="1"/>
    <col min="14850" max="14850" width="25.5546875" style="277" customWidth="1"/>
    <col min="14851" max="14851" width="10" style="277" customWidth="1"/>
    <col min="14852" max="14852" width="8.77734375" style="277" customWidth="1"/>
    <col min="14853" max="14859" width="8.5546875" style="277" customWidth="1"/>
    <col min="14860" max="14860" width="9" style="277" customWidth="1"/>
    <col min="14861" max="14861" width="0" style="277" hidden="1" customWidth="1"/>
    <col min="14862" max="15104" width="8.88671875" style="277"/>
    <col min="15105" max="15105" width="20.88671875" style="277" customWidth="1"/>
    <col min="15106" max="15106" width="25.5546875" style="277" customWidth="1"/>
    <col min="15107" max="15107" width="10" style="277" customWidth="1"/>
    <col min="15108" max="15108" width="8.77734375" style="277" customWidth="1"/>
    <col min="15109" max="15115" width="8.5546875" style="277" customWidth="1"/>
    <col min="15116" max="15116" width="9" style="277" customWidth="1"/>
    <col min="15117" max="15117" width="0" style="277" hidden="1" customWidth="1"/>
    <col min="15118" max="15360" width="8.88671875" style="277"/>
    <col min="15361" max="15361" width="20.88671875" style="277" customWidth="1"/>
    <col min="15362" max="15362" width="25.5546875" style="277" customWidth="1"/>
    <col min="15363" max="15363" width="10" style="277" customWidth="1"/>
    <col min="15364" max="15364" width="8.77734375" style="277" customWidth="1"/>
    <col min="15365" max="15371" width="8.5546875" style="277" customWidth="1"/>
    <col min="15372" max="15372" width="9" style="277" customWidth="1"/>
    <col min="15373" max="15373" width="0" style="277" hidden="1" customWidth="1"/>
    <col min="15374" max="15616" width="8.88671875" style="277"/>
    <col min="15617" max="15617" width="20.88671875" style="277" customWidth="1"/>
    <col min="15618" max="15618" width="25.5546875" style="277" customWidth="1"/>
    <col min="15619" max="15619" width="10" style="277" customWidth="1"/>
    <col min="15620" max="15620" width="8.77734375" style="277" customWidth="1"/>
    <col min="15621" max="15627" width="8.5546875" style="277" customWidth="1"/>
    <col min="15628" max="15628" width="9" style="277" customWidth="1"/>
    <col min="15629" max="15629" width="0" style="277" hidden="1" customWidth="1"/>
    <col min="15630" max="15872" width="8.88671875" style="277"/>
    <col min="15873" max="15873" width="20.88671875" style="277" customWidth="1"/>
    <col min="15874" max="15874" width="25.5546875" style="277" customWidth="1"/>
    <col min="15875" max="15875" width="10" style="277" customWidth="1"/>
    <col min="15876" max="15876" width="8.77734375" style="277" customWidth="1"/>
    <col min="15877" max="15883" width="8.5546875" style="277" customWidth="1"/>
    <col min="15884" max="15884" width="9" style="277" customWidth="1"/>
    <col min="15885" max="15885" width="0" style="277" hidden="1" customWidth="1"/>
    <col min="15886" max="16128" width="8.88671875" style="277"/>
    <col min="16129" max="16129" width="20.88671875" style="277" customWidth="1"/>
    <col min="16130" max="16130" width="25.5546875" style="277" customWidth="1"/>
    <col min="16131" max="16131" width="10" style="277" customWidth="1"/>
    <col min="16132" max="16132" width="8.77734375" style="277" customWidth="1"/>
    <col min="16133" max="16139" width="8.5546875" style="277" customWidth="1"/>
    <col min="16140" max="16140" width="9" style="277" customWidth="1"/>
    <col min="16141" max="16141" width="0" style="277" hidden="1" customWidth="1"/>
    <col min="16142" max="16384" width="8.88671875" style="277"/>
  </cols>
  <sheetData>
    <row r="1" spans="1:13" s="276" customFormat="1" ht="18">
      <c r="A1" s="208" t="s">
        <v>388</v>
      </c>
    </row>
    <row r="2" spans="1:13">
      <c r="A2" s="209"/>
    </row>
    <row r="3" spans="1:13">
      <c r="A3" s="210" t="s">
        <v>389</v>
      </c>
      <c r="B3" s="278">
        <v>2016</v>
      </c>
      <c r="C3" s="211"/>
      <c r="D3" s="211"/>
      <c r="E3" s="211"/>
    </row>
    <row r="4" spans="1:13">
      <c r="A4" s="209"/>
      <c r="B4" s="211"/>
      <c r="C4" s="211"/>
      <c r="D4" s="211"/>
      <c r="E4" s="211"/>
    </row>
    <row r="5" spans="1:13">
      <c r="A5" s="210" t="s">
        <v>390</v>
      </c>
      <c r="B5" s="212"/>
      <c r="C5" s="211"/>
      <c r="D5" s="211"/>
      <c r="E5" s="211"/>
    </row>
    <row r="6" spans="1:13">
      <c r="A6" s="209"/>
      <c r="B6" s="211"/>
      <c r="C6" s="211"/>
      <c r="D6" s="211"/>
      <c r="E6" s="211"/>
      <c r="M6" s="279" t="s">
        <v>391</v>
      </c>
    </row>
    <row r="7" spans="1:13">
      <c r="A7" s="214"/>
      <c r="B7" s="280" t="s">
        <v>392</v>
      </c>
      <c r="C7" s="300">
        <v>852</v>
      </c>
      <c r="D7" s="300">
        <v>1263</v>
      </c>
      <c r="E7" s="300">
        <v>2050</v>
      </c>
      <c r="F7" s="215">
        <v>852</v>
      </c>
      <c r="G7" s="215" t="s">
        <v>393</v>
      </c>
      <c r="H7" s="215" t="s">
        <v>394</v>
      </c>
      <c r="I7" s="215" t="s">
        <v>395</v>
      </c>
      <c r="J7" s="215" t="s">
        <v>396</v>
      </c>
      <c r="K7" s="215" t="s">
        <v>397</v>
      </c>
      <c r="L7" s="215" t="s">
        <v>398</v>
      </c>
      <c r="M7" s="216" t="s">
        <v>300</v>
      </c>
    </row>
    <row r="8" spans="1:13">
      <c r="A8" s="214"/>
      <c r="B8" s="280" t="s">
        <v>399</v>
      </c>
      <c r="C8" s="215" t="s">
        <v>253</v>
      </c>
      <c r="D8" s="215" t="s">
        <v>253</v>
      </c>
      <c r="E8" s="215" t="s">
        <v>253</v>
      </c>
      <c r="F8" s="215" t="s">
        <v>253</v>
      </c>
      <c r="G8" s="215" t="s">
        <v>400</v>
      </c>
      <c r="H8" s="215" t="s">
        <v>400</v>
      </c>
      <c r="I8" s="215" t="s">
        <v>400</v>
      </c>
      <c r="J8" s="215" t="s">
        <v>400</v>
      </c>
      <c r="K8" s="215" t="s">
        <v>400</v>
      </c>
      <c r="L8" s="215" t="s">
        <v>400</v>
      </c>
    </row>
    <row r="9" spans="1:13" ht="15" customHeight="1">
      <c r="A9" s="214"/>
      <c r="B9" s="280" t="s">
        <v>401</v>
      </c>
      <c r="C9" s="215" t="s">
        <v>391</v>
      </c>
      <c r="D9" s="215" t="s">
        <v>300</v>
      </c>
      <c r="E9" s="215" t="s">
        <v>391</v>
      </c>
      <c r="F9" s="215" t="s">
        <v>391</v>
      </c>
      <c r="G9" s="215" t="s">
        <v>391</v>
      </c>
      <c r="H9" s="215" t="s">
        <v>391</v>
      </c>
      <c r="I9" s="215" t="s">
        <v>391</v>
      </c>
      <c r="J9" s="215" t="s">
        <v>391</v>
      </c>
      <c r="K9" s="215" t="s">
        <v>300</v>
      </c>
      <c r="L9" s="215" t="s">
        <v>300</v>
      </c>
    </row>
    <row r="10" spans="1:13">
      <c r="A10" s="217" t="s">
        <v>402</v>
      </c>
      <c r="B10" s="281" t="s">
        <v>403</v>
      </c>
      <c r="C10" s="301">
        <f>+'Attach GG Proj #1- 2012'!E73</f>
        <v>1257394.1399999999</v>
      </c>
      <c r="D10" s="302">
        <f>+'Attach GG Proj #1- 2012'!E74*2</f>
        <v>12128570.33</v>
      </c>
      <c r="E10" s="303">
        <f>+'Attach GG Proj #1- 2012'!E75</f>
        <v>13833026</v>
      </c>
      <c r="F10" s="302">
        <f>+'Attach GG Proj #1- 2012'!E76</f>
        <v>7174167.7300000004</v>
      </c>
      <c r="G10" s="283">
        <v>0</v>
      </c>
      <c r="H10" s="282">
        <v>0</v>
      </c>
      <c r="I10" s="283">
        <v>0</v>
      </c>
      <c r="J10" s="282">
        <v>0</v>
      </c>
      <c r="K10" s="283">
        <v>0</v>
      </c>
      <c r="L10" s="284">
        <v>0</v>
      </c>
    </row>
    <row r="11" spans="1:13">
      <c r="A11" s="218"/>
      <c r="B11" s="285"/>
      <c r="C11" s="286"/>
      <c r="D11" s="286"/>
      <c r="E11" s="286"/>
      <c r="F11" s="537"/>
      <c r="G11" s="286"/>
      <c r="H11" s="286"/>
      <c r="I11" s="286"/>
      <c r="J11" s="286"/>
      <c r="K11" s="286"/>
      <c r="L11" s="286"/>
    </row>
    <row r="12" spans="1:13">
      <c r="A12" s="217" t="s">
        <v>260</v>
      </c>
      <c r="B12" s="281" t="s">
        <v>403</v>
      </c>
      <c r="C12" s="301">
        <f>+'Attach GG Proj #1- 2012'!E73-'Attach GG Proj #1- 2012'!H73</f>
        <v>261907.1399999999</v>
      </c>
      <c r="D12" s="302">
        <f>(+'Attach GG Proj #1- 2012'!E74-'Attach GG Proj #1- 2012'!H74)*2-1</f>
        <v>1912947.33</v>
      </c>
      <c r="E12" s="303">
        <f>+'Attach GG Proj #1- 2012'!E75-'Attach GG Proj #1- 2012'!H75</f>
        <v>1423553</v>
      </c>
      <c r="F12" s="302">
        <f>+'Attach GG Proj #1- 2012'!E76-'Attach GG Proj #1- 2012'!H76</f>
        <v>820502.73000000045</v>
      </c>
      <c r="G12" s="283">
        <v>0</v>
      </c>
      <c r="H12" s="282">
        <v>0</v>
      </c>
      <c r="I12" s="283">
        <v>0</v>
      </c>
      <c r="J12" s="282">
        <v>0</v>
      </c>
      <c r="K12" s="283">
        <v>0</v>
      </c>
      <c r="L12" s="284">
        <v>0</v>
      </c>
    </row>
    <row r="13" spans="1:13">
      <c r="A13" s="218"/>
      <c r="B13" s="287"/>
      <c r="C13" s="285"/>
      <c r="D13" s="456"/>
      <c r="E13" s="285"/>
      <c r="F13" s="538"/>
      <c r="G13" s="285"/>
      <c r="H13" s="285"/>
      <c r="I13" s="285"/>
      <c r="J13" s="285"/>
      <c r="K13" s="285"/>
      <c r="L13" s="285"/>
    </row>
    <row r="14" spans="1:13">
      <c r="A14" s="217" t="s">
        <v>404</v>
      </c>
      <c r="B14" s="281" t="s">
        <v>403</v>
      </c>
      <c r="C14" s="242">
        <f>+C10-C12</f>
        <v>995487</v>
      </c>
      <c r="D14" s="269">
        <f>+D10-D12</f>
        <v>10215623</v>
      </c>
      <c r="E14" s="242">
        <f t="shared" ref="E14:L14" si="0">+E10-E12</f>
        <v>12409473</v>
      </c>
      <c r="F14" s="269">
        <f t="shared" si="0"/>
        <v>6353665</v>
      </c>
      <c r="G14" s="219">
        <f t="shared" si="0"/>
        <v>0</v>
      </c>
      <c r="H14" s="220">
        <f t="shared" si="0"/>
        <v>0</v>
      </c>
      <c r="I14" s="219">
        <f t="shared" si="0"/>
        <v>0</v>
      </c>
      <c r="J14" s="220">
        <f t="shared" si="0"/>
        <v>0</v>
      </c>
      <c r="K14" s="219">
        <f t="shared" si="0"/>
        <v>0</v>
      </c>
      <c r="L14" s="220">
        <f t="shared" si="0"/>
        <v>0</v>
      </c>
    </row>
    <row r="15" spans="1:13">
      <c r="A15" s="218"/>
      <c r="B15" s="285"/>
      <c r="C15" s="221"/>
      <c r="D15" s="458"/>
      <c r="E15" s="221"/>
      <c r="F15" s="539"/>
      <c r="G15" s="221"/>
      <c r="H15" s="221"/>
      <c r="I15" s="221"/>
      <c r="J15" s="221"/>
      <c r="K15" s="221"/>
      <c r="L15" s="221"/>
    </row>
    <row r="16" spans="1:13">
      <c r="A16" s="218"/>
      <c r="B16" s="288"/>
      <c r="C16" s="289"/>
      <c r="D16" s="456"/>
      <c r="E16" s="289"/>
      <c r="F16" s="540"/>
      <c r="G16" s="289"/>
      <c r="H16" s="289"/>
      <c r="I16" s="289"/>
      <c r="J16" s="289"/>
      <c r="K16" s="289"/>
      <c r="L16" s="289"/>
    </row>
    <row r="17" spans="1:12">
      <c r="A17" s="290" t="s">
        <v>405</v>
      </c>
      <c r="B17" s="222" t="s">
        <v>355</v>
      </c>
      <c r="C17" s="461">
        <f>+'Attach GG Proj #1- 2012'!K73</f>
        <v>35641.43</v>
      </c>
      <c r="D17" s="460">
        <f>+'Attach GG Proj #1- 2012'!K74*2</f>
        <v>267685.26</v>
      </c>
      <c r="E17" s="464">
        <f>+'Attach GG Proj #1- 2012'!K75</f>
        <v>285450.48</v>
      </c>
      <c r="F17" s="460">
        <f>+'Attach GG Proj #1- 2012'!K76</f>
        <v>209485.7</v>
      </c>
      <c r="G17" s="292">
        <v>0</v>
      </c>
      <c r="H17" s="291">
        <v>0</v>
      </c>
      <c r="I17" s="292">
        <v>0</v>
      </c>
      <c r="J17" s="291">
        <v>0</v>
      </c>
      <c r="K17" s="292">
        <v>0</v>
      </c>
      <c r="L17" s="293">
        <v>0</v>
      </c>
    </row>
    <row r="18" spans="1:12">
      <c r="A18" s="223" t="s">
        <v>406</v>
      </c>
      <c r="B18" s="224" t="s">
        <v>407</v>
      </c>
      <c r="C18" s="462">
        <v>0</v>
      </c>
      <c r="D18" s="459">
        <v>0</v>
      </c>
      <c r="E18" s="295">
        <v>0</v>
      </c>
      <c r="F18" s="541">
        <v>0</v>
      </c>
      <c r="G18" s="295">
        <v>0</v>
      </c>
      <c r="H18" s="294">
        <v>0</v>
      </c>
      <c r="I18" s="295">
        <v>0</v>
      </c>
      <c r="J18" s="294">
        <v>0</v>
      </c>
      <c r="K18" s="295">
        <v>0</v>
      </c>
      <c r="L18" s="296">
        <v>0</v>
      </c>
    </row>
    <row r="19" spans="1:12">
      <c r="A19" s="209"/>
      <c r="B19" s="297" t="s">
        <v>408</v>
      </c>
      <c r="C19" s="304">
        <f>+C17+C18</f>
        <v>35641.43</v>
      </c>
      <c r="D19" s="457">
        <f>+D17+D18</f>
        <v>267685.26</v>
      </c>
      <c r="E19" s="304">
        <f t="shared" ref="E19:L19" si="1">+E17+E18</f>
        <v>285450.48</v>
      </c>
      <c r="F19" s="269">
        <f t="shared" si="1"/>
        <v>209485.7</v>
      </c>
      <c r="G19" s="298">
        <f t="shared" si="1"/>
        <v>0</v>
      </c>
      <c r="H19" s="220">
        <f t="shared" si="1"/>
        <v>0</v>
      </c>
      <c r="I19" s="298">
        <f t="shared" si="1"/>
        <v>0</v>
      </c>
      <c r="J19" s="220">
        <f t="shared" si="1"/>
        <v>0</v>
      </c>
      <c r="K19" s="298">
        <f t="shared" si="1"/>
        <v>0</v>
      </c>
      <c r="L19" s="220">
        <f t="shared" si="1"/>
        <v>0</v>
      </c>
    </row>
    <row r="20" spans="1:12">
      <c r="E20" s="299"/>
    </row>
    <row r="21" spans="1:12">
      <c r="A21" s="213" t="s">
        <v>417</v>
      </c>
    </row>
    <row r="33" spans="7:7">
      <c r="G33" s="471"/>
    </row>
    <row r="34" spans="7:7">
      <c r="G34" s="471"/>
    </row>
  </sheetData>
  <dataValidations count="1">
    <dataValidation type="list" allowBlank="1" showInputMessage="1" showErrorMessage="1" sqref="C9:L9 IY9:JH9 SU9:TD9 ACQ9:ACZ9 AMM9:AMV9 AWI9:AWR9 BGE9:BGN9 BQA9:BQJ9 BZW9:CAF9 CJS9:CKB9 CTO9:CTX9 DDK9:DDT9 DNG9:DNP9 DXC9:DXL9 EGY9:EHH9 EQU9:ERD9 FAQ9:FAZ9 FKM9:FKV9 FUI9:FUR9 GEE9:GEN9 GOA9:GOJ9 GXW9:GYF9 HHS9:HIB9 HRO9:HRX9 IBK9:IBT9 ILG9:ILP9 IVC9:IVL9 JEY9:JFH9 JOU9:JPD9 JYQ9:JYZ9 KIM9:KIV9 KSI9:KSR9 LCE9:LCN9 LMA9:LMJ9 LVW9:LWF9 MFS9:MGB9 MPO9:MPX9 MZK9:MZT9 NJG9:NJP9 NTC9:NTL9 OCY9:ODH9 OMU9:OND9 OWQ9:OWZ9 PGM9:PGV9 PQI9:PQR9 QAE9:QAN9 QKA9:QKJ9 QTW9:QUF9 RDS9:REB9 RNO9:RNX9 RXK9:RXT9 SHG9:SHP9 SRC9:SRL9 TAY9:TBH9 TKU9:TLD9 TUQ9:TUZ9 UEM9:UEV9 UOI9:UOR9 UYE9:UYN9 VIA9:VIJ9 VRW9:VSF9 WBS9:WCB9 WLO9:WLX9 WVK9:WVT9 C65545:L65545 IY65545:JH65545 SU65545:TD65545 ACQ65545:ACZ65545 AMM65545:AMV65545 AWI65545:AWR65545 BGE65545:BGN65545 BQA65545:BQJ65545 BZW65545:CAF65545 CJS65545:CKB65545 CTO65545:CTX65545 DDK65545:DDT65545 DNG65545:DNP65545 DXC65545:DXL65545 EGY65545:EHH65545 EQU65545:ERD65545 FAQ65545:FAZ65545 FKM65545:FKV65545 FUI65545:FUR65545 GEE65545:GEN65545 GOA65545:GOJ65545 GXW65545:GYF65545 HHS65545:HIB65545 HRO65545:HRX65545 IBK65545:IBT65545 ILG65545:ILP65545 IVC65545:IVL65545 JEY65545:JFH65545 JOU65545:JPD65545 JYQ65545:JYZ65545 KIM65545:KIV65545 KSI65545:KSR65545 LCE65545:LCN65545 LMA65545:LMJ65545 LVW65545:LWF65545 MFS65545:MGB65545 MPO65545:MPX65545 MZK65545:MZT65545 NJG65545:NJP65545 NTC65545:NTL65545 OCY65545:ODH65545 OMU65545:OND65545 OWQ65545:OWZ65545 PGM65545:PGV65545 PQI65545:PQR65545 QAE65545:QAN65545 QKA65545:QKJ65545 QTW65545:QUF65545 RDS65545:REB65545 RNO65545:RNX65545 RXK65545:RXT65545 SHG65545:SHP65545 SRC65545:SRL65545 TAY65545:TBH65545 TKU65545:TLD65545 TUQ65545:TUZ65545 UEM65545:UEV65545 UOI65545:UOR65545 UYE65545:UYN65545 VIA65545:VIJ65545 VRW65545:VSF65545 WBS65545:WCB65545 WLO65545:WLX65545 WVK65545:WVT65545 C131081:L131081 IY131081:JH131081 SU131081:TD131081 ACQ131081:ACZ131081 AMM131081:AMV131081 AWI131081:AWR131081 BGE131081:BGN131081 BQA131081:BQJ131081 BZW131081:CAF131081 CJS131081:CKB131081 CTO131081:CTX131081 DDK131081:DDT131081 DNG131081:DNP131081 DXC131081:DXL131081 EGY131081:EHH131081 EQU131081:ERD131081 FAQ131081:FAZ131081 FKM131081:FKV131081 FUI131081:FUR131081 GEE131081:GEN131081 GOA131081:GOJ131081 GXW131081:GYF131081 HHS131081:HIB131081 HRO131081:HRX131081 IBK131081:IBT131081 ILG131081:ILP131081 IVC131081:IVL131081 JEY131081:JFH131081 JOU131081:JPD131081 JYQ131081:JYZ131081 KIM131081:KIV131081 KSI131081:KSR131081 LCE131081:LCN131081 LMA131081:LMJ131081 LVW131081:LWF131081 MFS131081:MGB131081 MPO131081:MPX131081 MZK131081:MZT131081 NJG131081:NJP131081 NTC131081:NTL131081 OCY131081:ODH131081 OMU131081:OND131081 OWQ131081:OWZ131081 PGM131081:PGV131081 PQI131081:PQR131081 QAE131081:QAN131081 QKA131081:QKJ131081 QTW131081:QUF131081 RDS131081:REB131081 RNO131081:RNX131081 RXK131081:RXT131081 SHG131081:SHP131081 SRC131081:SRL131081 TAY131081:TBH131081 TKU131081:TLD131081 TUQ131081:TUZ131081 UEM131081:UEV131081 UOI131081:UOR131081 UYE131081:UYN131081 VIA131081:VIJ131081 VRW131081:VSF131081 WBS131081:WCB131081 WLO131081:WLX131081 WVK131081:WVT131081 C196617:L196617 IY196617:JH196617 SU196617:TD196617 ACQ196617:ACZ196617 AMM196617:AMV196617 AWI196617:AWR196617 BGE196617:BGN196617 BQA196617:BQJ196617 BZW196617:CAF196617 CJS196617:CKB196617 CTO196617:CTX196617 DDK196617:DDT196617 DNG196617:DNP196617 DXC196617:DXL196617 EGY196617:EHH196617 EQU196617:ERD196617 FAQ196617:FAZ196617 FKM196617:FKV196617 FUI196617:FUR196617 GEE196617:GEN196617 GOA196617:GOJ196617 GXW196617:GYF196617 HHS196617:HIB196617 HRO196617:HRX196617 IBK196617:IBT196617 ILG196617:ILP196617 IVC196617:IVL196617 JEY196617:JFH196617 JOU196617:JPD196617 JYQ196617:JYZ196617 KIM196617:KIV196617 KSI196617:KSR196617 LCE196617:LCN196617 LMA196617:LMJ196617 LVW196617:LWF196617 MFS196617:MGB196617 MPO196617:MPX196617 MZK196617:MZT196617 NJG196617:NJP196617 NTC196617:NTL196617 OCY196617:ODH196617 OMU196617:OND196617 OWQ196617:OWZ196617 PGM196617:PGV196617 PQI196617:PQR196617 QAE196617:QAN196617 QKA196617:QKJ196617 QTW196617:QUF196617 RDS196617:REB196617 RNO196617:RNX196617 RXK196617:RXT196617 SHG196617:SHP196617 SRC196617:SRL196617 TAY196617:TBH196617 TKU196617:TLD196617 TUQ196617:TUZ196617 UEM196617:UEV196617 UOI196617:UOR196617 UYE196617:UYN196617 VIA196617:VIJ196617 VRW196617:VSF196617 WBS196617:WCB196617 WLO196617:WLX196617 WVK196617:WVT196617 C262153:L262153 IY262153:JH262153 SU262153:TD262153 ACQ262153:ACZ262153 AMM262153:AMV262153 AWI262153:AWR262153 BGE262153:BGN262153 BQA262153:BQJ262153 BZW262153:CAF262153 CJS262153:CKB262153 CTO262153:CTX262153 DDK262153:DDT262153 DNG262153:DNP262153 DXC262153:DXL262153 EGY262153:EHH262153 EQU262153:ERD262153 FAQ262153:FAZ262153 FKM262153:FKV262153 FUI262153:FUR262153 GEE262153:GEN262153 GOA262153:GOJ262153 GXW262153:GYF262153 HHS262153:HIB262153 HRO262153:HRX262153 IBK262153:IBT262153 ILG262153:ILP262153 IVC262153:IVL262153 JEY262153:JFH262153 JOU262153:JPD262153 JYQ262153:JYZ262153 KIM262153:KIV262153 KSI262153:KSR262153 LCE262153:LCN262153 LMA262153:LMJ262153 LVW262153:LWF262153 MFS262153:MGB262153 MPO262153:MPX262153 MZK262153:MZT262153 NJG262153:NJP262153 NTC262153:NTL262153 OCY262153:ODH262153 OMU262153:OND262153 OWQ262153:OWZ262153 PGM262153:PGV262153 PQI262153:PQR262153 QAE262153:QAN262153 QKA262153:QKJ262153 QTW262153:QUF262153 RDS262153:REB262153 RNO262153:RNX262153 RXK262153:RXT262153 SHG262153:SHP262153 SRC262153:SRL262153 TAY262153:TBH262153 TKU262153:TLD262153 TUQ262153:TUZ262153 UEM262153:UEV262153 UOI262153:UOR262153 UYE262153:UYN262153 VIA262153:VIJ262153 VRW262153:VSF262153 WBS262153:WCB262153 WLO262153:WLX262153 WVK262153:WVT262153 C327689:L327689 IY327689:JH327689 SU327689:TD327689 ACQ327689:ACZ327689 AMM327689:AMV327689 AWI327689:AWR327689 BGE327689:BGN327689 BQA327689:BQJ327689 BZW327689:CAF327689 CJS327689:CKB327689 CTO327689:CTX327689 DDK327689:DDT327689 DNG327689:DNP327689 DXC327689:DXL327689 EGY327689:EHH327689 EQU327689:ERD327689 FAQ327689:FAZ327689 FKM327689:FKV327689 FUI327689:FUR327689 GEE327689:GEN327689 GOA327689:GOJ327689 GXW327689:GYF327689 HHS327689:HIB327689 HRO327689:HRX327689 IBK327689:IBT327689 ILG327689:ILP327689 IVC327689:IVL327689 JEY327689:JFH327689 JOU327689:JPD327689 JYQ327689:JYZ327689 KIM327689:KIV327689 KSI327689:KSR327689 LCE327689:LCN327689 LMA327689:LMJ327689 LVW327689:LWF327689 MFS327689:MGB327689 MPO327689:MPX327689 MZK327689:MZT327689 NJG327689:NJP327689 NTC327689:NTL327689 OCY327689:ODH327689 OMU327689:OND327689 OWQ327689:OWZ327689 PGM327689:PGV327689 PQI327689:PQR327689 QAE327689:QAN327689 QKA327689:QKJ327689 QTW327689:QUF327689 RDS327689:REB327689 RNO327689:RNX327689 RXK327689:RXT327689 SHG327689:SHP327689 SRC327689:SRL327689 TAY327689:TBH327689 TKU327689:TLD327689 TUQ327689:TUZ327689 UEM327689:UEV327689 UOI327689:UOR327689 UYE327689:UYN327689 VIA327689:VIJ327689 VRW327689:VSF327689 WBS327689:WCB327689 WLO327689:WLX327689 WVK327689:WVT327689 C393225:L393225 IY393225:JH393225 SU393225:TD393225 ACQ393225:ACZ393225 AMM393225:AMV393225 AWI393225:AWR393225 BGE393225:BGN393225 BQA393225:BQJ393225 BZW393225:CAF393225 CJS393225:CKB393225 CTO393225:CTX393225 DDK393225:DDT393225 DNG393225:DNP393225 DXC393225:DXL393225 EGY393225:EHH393225 EQU393225:ERD393225 FAQ393225:FAZ393225 FKM393225:FKV393225 FUI393225:FUR393225 GEE393225:GEN393225 GOA393225:GOJ393225 GXW393225:GYF393225 HHS393225:HIB393225 HRO393225:HRX393225 IBK393225:IBT393225 ILG393225:ILP393225 IVC393225:IVL393225 JEY393225:JFH393225 JOU393225:JPD393225 JYQ393225:JYZ393225 KIM393225:KIV393225 KSI393225:KSR393225 LCE393225:LCN393225 LMA393225:LMJ393225 LVW393225:LWF393225 MFS393225:MGB393225 MPO393225:MPX393225 MZK393225:MZT393225 NJG393225:NJP393225 NTC393225:NTL393225 OCY393225:ODH393225 OMU393225:OND393225 OWQ393225:OWZ393225 PGM393225:PGV393225 PQI393225:PQR393225 QAE393225:QAN393225 QKA393225:QKJ393225 QTW393225:QUF393225 RDS393225:REB393225 RNO393225:RNX393225 RXK393225:RXT393225 SHG393225:SHP393225 SRC393225:SRL393225 TAY393225:TBH393225 TKU393225:TLD393225 TUQ393225:TUZ393225 UEM393225:UEV393225 UOI393225:UOR393225 UYE393225:UYN393225 VIA393225:VIJ393225 VRW393225:VSF393225 WBS393225:WCB393225 WLO393225:WLX393225 WVK393225:WVT393225 C458761:L458761 IY458761:JH458761 SU458761:TD458761 ACQ458761:ACZ458761 AMM458761:AMV458761 AWI458761:AWR458761 BGE458761:BGN458761 BQA458761:BQJ458761 BZW458761:CAF458761 CJS458761:CKB458761 CTO458761:CTX458761 DDK458761:DDT458761 DNG458761:DNP458761 DXC458761:DXL458761 EGY458761:EHH458761 EQU458761:ERD458761 FAQ458761:FAZ458761 FKM458761:FKV458761 FUI458761:FUR458761 GEE458761:GEN458761 GOA458761:GOJ458761 GXW458761:GYF458761 HHS458761:HIB458761 HRO458761:HRX458761 IBK458761:IBT458761 ILG458761:ILP458761 IVC458761:IVL458761 JEY458761:JFH458761 JOU458761:JPD458761 JYQ458761:JYZ458761 KIM458761:KIV458761 KSI458761:KSR458761 LCE458761:LCN458761 LMA458761:LMJ458761 LVW458761:LWF458761 MFS458761:MGB458761 MPO458761:MPX458761 MZK458761:MZT458761 NJG458761:NJP458761 NTC458761:NTL458761 OCY458761:ODH458761 OMU458761:OND458761 OWQ458761:OWZ458761 PGM458761:PGV458761 PQI458761:PQR458761 QAE458761:QAN458761 QKA458761:QKJ458761 QTW458761:QUF458761 RDS458761:REB458761 RNO458761:RNX458761 RXK458761:RXT458761 SHG458761:SHP458761 SRC458761:SRL458761 TAY458761:TBH458761 TKU458761:TLD458761 TUQ458761:TUZ458761 UEM458761:UEV458761 UOI458761:UOR458761 UYE458761:UYN458761 VIA458761:VIJ458761 VRW458761:VSF458761 WBS458761:WCB458761 WLO458761:WLX458761 WVK458761:WVT458761 C524297:L524297 IY524297:JH524297 SU524297:TD524297 ACQ524297:ACZ524297 AMM524297:AMV524297 AWI524297:AWR524297 BGE524297:BGN524297 BQA524297:BQJ524297 BZW524297:CAF524297 CJS524297:CKB524297 CTO524297:CTX524297 DDK524297:DDT524297 DNG524297:DNP524297 DXC524297:DXL524297 EGY524297:EHH524297 EQU524297:ERD524297 FAQ524297:FAZ524297 FKM524297:FKV524297 FUI524297:FUR524297 GEE524297:GEN524297 GOA524297:GOJ524297 GXW524297:GYF524297 HHS524297:HIB524297 HRO524297:HRX524297 IBK524297:IBT524297 ILG524297:ILP524297 IVC524297:IVL524297 JEY524297:JFH524297 JOU524297:JPD524297 JYQ524297:JYZ524297 KIM524297:KIV524297 KSI524297:KSR524297 LCE524297:LCN524297 LMA524297:LMJ524297 LVW524297:LWF524297 MFS524297:MGB524297 MPO524297:MPX524297 MZK524297:MZT524297 NJG524297:NJP524297 NTC524297:NTL524297 OCY524297:ODH524297 OMU524297:OND524297 OWQ524297:OWZ524297 PGM524297:PGV524297 PQI524297:PQR524297 QAE524297:QAN524297 QKA524297:QKJ524297 QTW524297:QUF524297 RDS524297:REB524297 RNO524297:RNX524297 RXK524297:RXT524297 SHG524297:SHP524297 SRC524297:SRL524297 TAY524297:TBH524297 TKU524297:TLD524297 TUQ524297:TUZ524297 UEM524297:UEV524297 UOI524297:UOR524297 UYE524297:UYN524297 VIA524297:VIJ524297 VRW524297:VSF524297 WBS524297:WCB524297 WLO524297:WLX524297 WVK524297:WVT524297 C589833:L589833 IY589833:JH589833 SU589833:TD589833 ACQ589833:ACZ589833 AMM589833:AMV589833 AWI589833:AWR589833 BGE589833:BGN589833 BQA589833:BQJ589833 BZW589833:CAF589833 CJS589833:CKB589833 CTO589833:CTX589833 DDK589833:DDT589833 DNG589833:DNP589833 DXC589833:DXL589833 EGY589833:EHH589833 EQU589833:ERD589833 FAQ589833:FAZ589833 FKM589833:FKV589833 FUI589833:FUR589833 GEE589833:GEN589833 GOA589833:GOJ589833 GXW589833:GYF589833 HHS589833:HIB589833 HRO589833:HRX589833 IBK589833:IBT589833 ILG589833:ILP589833 IVC589833:IVL589833 JEY589833:JFH589833 JOU589833:JPD589833 JYQ589833:JYZ589833 KIM589833:KIV589833 KSI589833:KSR589833 LCE589833:LCN589833 LMA589833:LMJ589833 LVW589833:LWF589833 MFS589833:MGB589833 MPO589833:MPX589833 MZK589833:MZT589833 NJG589833:NJP589833 NTC589833:NTL589833 OCY589833:ODH589833 OMU589833:OND589833 OWQ589833:OWZ589833 PGM589833:PGV589833 PQI589833:PQR589833 QAE589833:QAN589833 QKA589833:QKJ589833 QTW589833:QUF589833 RDS589833:REB589833 RNO589833:RNX589833 RXK589833:RXT589833 SHG589833:SHP589833 SRC589833:SRL589833 TAY589833:TBH589833 TKU589833:TLD589833 TUQ589833:TUZ589833 UEM589833:UEV589833 UOI589833:UOR589833 UYE589833:UYN589833 VIA589833:VIJ589833 VRW589833:VSF589833 WBS589833:WCB589833 WLO589833:WLX589833 WVK589833:WVT589833 C655369:L655369 IY655369:JH655369 SU655369:TD655369 ACQ655369:ACZ655369 AMM655369:AMV655369 AWI655369:AWR655369 BGE655369:BGN655369 BQA655369:BQJ655369 BZW655369:CAF655369 CJS655369:CKB655369 CTO655369:CTX655369 DDK655369:DDT655369 DNG655369:DNP655369 DXC655369:DXL655369 EGY655369:EHH655369 EQU655369:ERD655369 FAQ655369:FAZ655369 FKM655369:FKV655369 FUI655369:FUR655369 GEE655369:GEN655369 GOA655369:GOJ655369 GXW655369:GYF655369 HHS655369:HIB655369 HRO655369:HRX655369 IBK655369:IBT655369 ILG655369:ILP655369 IVC655369:IVL655369 JEY655369:JFH655369 JOU655369:JPD655369 JYQ655369:JYZ655369 KIM655369:KIV655369 KSI655369:KSR655369 LCE655369:LCN655369 LMA655369:LMJ655369 LVW655369:LWF655369 MFS655369:MGB655369 MPO655369:MPX655369 MZK655369:MZT655369 NJG655369:NJP655369 NTC655369:NTL655369 OCY655369:ODH655369 OMU655369:OND655369 OWQ655369:OWZ655369 PGM655369:PGV655369 PQI655369:PQR655369 QAE655369:QAN655369 QKA655369:QKJ655369 QTW655369:QUF655369 RDS655369:REB655369 RNO655369:RNX655369 RXK655369:RXT655369 SHG655369:SHP655369 SRC655369:SRL655369 TAY655369:TBH655369 TKU655369:TLD655369 TUQ655369:TUZ655369 UEM655369:UEV655369 UOI655369:UOR655369 UYE655369:UYN655369 VIA655369:VIJ655369 VRW655369:VSF655369 WBS655369:WCB655369 WLO655369:WLX655369 WVK655369:WVT655369 C720905:L720905 IY720905:JH720905 SU720905:TD720905 ACQ720905:ACZ720905 AMM720905:AMV720905 AWI720905:AWR720905 BGE720905:BGN720905 BQA720905:BQJ720905 BZW720905:CAF720905 CJS720905:CKB720905 CTO720905:CTX720905 DDK720905:DDT720905 DNG720905:DNP720905 DXC720905:DXL720905 EGY720905:EHH720905 EQU720905:ERD720905 FAQ720905:FAZ720905 FKM720905:FKV720905 FUI720905:FUR720905 GEE720905:GEN720905 GOA720905:GOJ720905 GXW720905:GYF720905 HHS720905:HIB720905 HRO720905:HRX720905 IBK720905:IBT720905 ILG720905:ILP720905 IVC720905:IVL720905 JEY720905:JFH720905 JOU720905:JPD720905 JYQ720905:JYZ720905 KIM720905:KIV720905 KSI720905:KSR720905 LCE720905:LCN720905 LMA720905:LMJ720905 LVW720905:LWF720905 MFS720905:MGB720905 MPO720905:MPX720905 MZK720905:MZT720905 NJG720905:NJP720905 NTC720905:NTL720905 OCY720905:ODH720905 OMU720905:OND720905 OWQ720905:OWZ720905 PGM720905:PGV720905 PQI720905:PQR720905 QAE720905:QAN720905 QKA720905:QKJ720905 QTW720905:QUF720905 RDS720905:REB720905 RNO720905:RNX720905 RXK720905:RXT720905 SHG720905:SHP720905 SRC720905:SRL720905 TAY720905:TBH720905 TKU720905:TLD720905 TUQ720905:TUZ720905 UEM720905:UEV720905 UOI720905:UOR720905 UYE720905:UYN720905 VIA720905:VIJ720905 VRW720905:VSF720905 WBS720905:WCB720905 WLO720905:WLX720905 WVK720905:WVT720905 C786441:L786441 IY786441:JH786441 SU786441:TD786441 ACQ786441:ACZ786441 AMM786441:AMV786441 AWI786441:AWR786441 BGE786441:BGN786441 BQA786441:BQJ786441 BZW786441:CAF786441 CJS786441:CKB786441 CTO786441:CTX786441 DDK786441:DDT786441 DNG786441:DNP786441 DXC786441:DXL786441 EGY786441:EHH786441 EQU786441:ERD786441 FAQ786441:FAZ786441 FKM786441:FKV786441 FUI786441:FUR786441 GEE786441:GEN786441 GOA786441:GOJ786441 GXW786441:GYF786441 HHS786441:HIB786441 HRO786441:HRX786441 IBK786441:IBT786441 ILG786441:ILP786441 IVC786441:IVL786441 JEY786441:JFH786441 JOU786441:JPD786441 JYQ786441:JYZ786441 KIM786441:KIV786441 KSI786441:KSR786441 LCE786441:LCN786441 LMA786441:LMJ786441 LVW786441:LWF786441 MFS786441:MGB786441 MPO786441:MPX786441 MZK786441:MZT786441 NJG786441:NJP786441 NTC786441:NTL786441 OCY786441:ODH786441 OMU786441:OND786441 OWQ786441:OWZ786441 PGM786441:PGV786441 PQI786441:PQR786441 QAE786441:QAN786441 QKA786441:QKJ786441 QTW786441:QUF786441 RDS786441:REB786441 RNO786441:RNX786441 RXK786441:RXT786441 SHG786441:SHP786441 SRC786441:SRL786441 TAY786441:TBH786441 TKU786441:TLD786441 TUQ786441:TUZ786441 UEM786441:UEV786441 UOI786441:UOR786441 UYE786441:UYN786441 VIA786441:VIJ786441 VRW786441:VSF786441 WBS786441:WCB786441 WLO786441:WLX786441 WVK786441:WVT786441 C851977:L851977 IY851977:JH851977 SU851977:TD851977 ACQ851977:ACZ851977 AMM851977:AMV851977 AWI851977:AWR851977 BGE851977:BGN851977 BQA851977:BQJ851977 BZW851977:CAF851977 CJS851977:CKB851977 CTO851977:CTX851977 DDK851977:DDT851977 DNG851977:DNP851977 DXC851977:DXL851977 EGY851977:EHH851977 EQU851977:ERD851977 FAQ851977:FAZ851977 FKM851977:FKV851977 FUI851977:FUR851977 GEE851977:GEN851977 GOA851977:GOJ851977 GXW851977:GYF851977 HHS851977:HIB851977 HRO851977:HRX851977 IBK851977:IBT851977 ILG851977:ILP851977 IVC851977:IVL851977 JEY851977:JFH851977 JOU851977:JPD851977 JYQ851977:JYZ851977 KIM851977:KIV851977 KSI851977:KSR851977 LCE851977:LCN851977 LMA851977:LMJ851977 LVW851977:LWF851977 MFS851977:MGB851977 MPO851977:MPX851977 MZK851977:MZT851977 NJG851977:NJP851977 NTC851977:NTL851977 OCY851977:ODH851977 OMU851977:OND851977 OWQ851977:OWZ851977 PGM851977:PGV851977 PQI851977:PQR851977 QAE851977:QAN851977 QKA851977:QKJ851977 QTW851977:QUF851977 RDS851977:REB851977 RNO851977:RNX851977 RXK851977:RXT851977 SHG851977:SHP851977 SRC851977:SRL851977 TAY851977:TBH851977 TKU851977:TLD851977 TUQ851977:TUZ851977 UEM851977:UEV851977 UOI851977:UOR851977 UYE851977:UYN851977 VIA851977:VIJ851977 VRW851977:VSF851977 WBS851977:WCB851977 WLO851977:WLX851977 WVK851977:WVT851977 C917513:L917513 IY917513:JH917513 SU917513:TD917513 ACQ917513:ACZ917513 AMM917513:AMV917513 AWI917513:AWR917513 BGE917513:BGN917513 BQA917513:BQJ917513 BZW917513:CAF917513 CJS917513:CKB917513 CTO917513:CTX917513 DDK917513:DDT917513 DNG917513:DNP917513 DXC917513:DXL917513 EGY917513:EHH917513 EQU917513:ERD917513 FAQ917513:FAZ917513 FKM917513:FKV917513 FUI917513:FUR917513 GEE917513:GEN917513 GOA917513:GOJ917513 GXW917513:GYF917513 HHS917513:HIB917513 HRO917513:HRX917513 IBK917513:IBT917513 ILG917513:ILP917513 IVC917513:IVL917513 JEY917513:JFH917513 JOU917513:JPD917513 JYQ917513:JYZ917513 KIM917513:KIV917513 KSI917513:KSR917513 LCE917513:LCN917513 LMA917513:LMJ917513 LVW917513:LWF917513 MFS917513:MGB917513 MPO917513:MPX917513 MZK917513:MZT917513 NJG917513:NJP917513 NTC917513:NTL917513 OCY917513:ODH917513 OMU917513:OND917513 OWQ917513:OWZ917513 PGM917513:PGV917513 PQI917513:PQR917513 QAE917513:QAN917513 QKA917513:QKJ917513 QTW917513:QUF917513 RDS917513:REB917513 RNO917513:RNX917513 RXK917513:RXT917513 SHG917513:SHP917513 SRC917513:SRL917513 TAY917513:TBH917513 TKU917513:TLD917513 TUQ917513:TUZ917513 UEM917513:UEV917513 UOI917513:UOR917513 UYE917513:UYN917513 VIA917513:VIJ917513 VRW917513:VSF917513 WBS917513:WCB917513 WLO917513:WLX917513 WVK917513:WVT917513 C983049:L983049 IY983049:JH983049 SU983049:TD983049 ACQ983049:ACZ983049 AMM983049:AMV983049 AWI983049:AWR983049 BGE983049:BGN983049 BQA983049:BQJ983049 BZW983049:CAF983049 CJS983049:CKB983049 CTO983049:CTX983049 DDK983049:DDT983049 DNG983049:DNP983049 DXC983049:DXL983049 EGY983049:EHH983049 EQU983049:ERD983049 FAQ983049:FAZ983049 FKM983049:FKV983049 FUI983049:FUR983049 GEE983049:GEN983049 GOA983049:GOJ983049 GXW983049:GYF983049 HHS983049:HIB983049 HRO983049:HRX983049 IBK983049:IBT983049 ILG983049:ILP983049 IVC983049:IVL983049 JEY983049:JFH983049 JOU983049:JPD983049 JYQ983049:JYZ983049 KIM983049:KIV983049 KSI983049:KSR983049 LCE983049:LCN983049 LMA983049:LMJ983049 LVW983049:LWF983049 MFS983049:MGB983049 MPO983049:MPX983049 MZK983049:MZT983049 NJG983049:NJP983049 NTC983049:NTL983049 OCY983049:ODH983049 OMU983049:OND983049 OWQ983049:OWZ983049 PGM983049:PGV983049 PQI983049:PQR983049 QAE983049:QAN983049 QKA983049:QKJ983049 QTW983049:QUF983049 RDS983049:REB983049 RNO983049:RNX983049 RXK983049:RXT983049 SHG983049:SHP983049 SRC983049:SRL983049 TAY983049:TBH983049 TKU983049:TLD983049 TUQ983049:TUZ983049 UEM983049:UEV983049 UOI983049:UOR983049 UYE983049:UYN983049 VIA983049:VIJ983049 VRW983049:VSF983049 WBS983049:WCB983049 WLO983049:WLX983049 WVK983049:WVT983049">
      <formula1>$M$6:$M$7</formula1>
    </dataValidation>
  </dataValidations>
  <pageMargins left="0.75" right="0.75" top="1" bottom="1" header="0.5" footer="0.5"/>
  <pageSetup scale="7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9"/>
  <sheetViews>
    <sheetView showGridLines="0" workbookViewId="0">
      <selection activeCell="D27" sqref="D27"/>
    </sheetView>
  </sheetViews>
  <sheetFormatPr defaultRowHeight="15"/>
  <cols>
    <col min="1" max="2" width="8.88671875" style="277"/>
    <col min="3" max="3" width="8.77734375" style="277" bestFit="1" customWidth="1"/>
    <col min="4" max="4" width="87.44140625" style="277" customWidth="1"/>
    <col min="5" max="5" width="10.88671875" style="552" bestFit="1" customWidth="1"/>
    <col min="6" max="16384" width="8.88671875" style="277"/>
  </cols>
  <sheetData>
    <row r="1" spans="1:5">
      <c r="A1" s="551" t="s">
        <v>604</v>
      </c>
      <c r="B1" s="551"/>
    </row>
    <row r="3" spans="1:5" ht="25.5">
      <c r="A3" s="553" t="s">
        <v>392</v>
      </c>
      <c r="B3" s="554" t="s">
        <v>605</v>
      </c>
      <c r="C3" s="553" t="s">
        <v>606</v>
      </c>
      <c r="D3" s="554" t="s">
        <v>607</v>
      </c>
    </row>
    <row r="4" spans="1:5">
      <c r="A4" s="555">
        <v>852</v>
      </c>
      <c r="B4" s="556">
        <v>827</v>
      </c>
      <c r="C4" s="557">
        <v>39927</v>
      </c>
      <c r="D4" s="556" t="s">
        <v>608</v>
      </c>
    </row>
    <row r="5" spans="1:5" ht="38.25">
      <c r="A5" s="558">
        <v>1263</v>
      </c>
      <c r="B5" s="559">
        <v>2570</v>
      </c>
      <c r="C5" s="560">
        <v>40288</v>
      </c>
      <c r="D5" s="561" t="s">
        <v>609</v>
      </c>
    </row>
    <row r="6" spans="1:5" ht="25.5">
      <c r="A6" s="558">
        <v>1263</v>
      </c>
      <c r="B6" s="559">
        <v>1980</v>
      </c>
      <c r="C6" s="562">
        <v>40288</v>
      </c>
      <c r="D6" s="561" t="s">
        <v>610</v>
      </c>
    </row>
    <row r="7" spans="1:5">
      <c r="A7" s="558">
        <v>2050</v>
      </c>
      <c r="B7" s="559">
        <v>3936</v>
      </c>
      <c r="C7" s="562">
        <v>40324</v>
      </c>
      <c r="D7" s="559" t="s">
        <v>611</v>
      </c>
      <c r="E7" s="563"/>
    </row>
    <row r="8" spans="1:5">
      <c r="A8" s="558">
        <v>2050</v>
      </c>
      <c r="B8" s="559">
        <v>5033</v>
      </c>
      <c r="C8" s="562">
        <v>40908</v>
      </c>
      <c r="D8" s="559" t="s">
        <v>612</v>
      </c>
    </row>
    <row r="9" spans="1:5">
      <c r="A9" s="558">
        <v>852</v>
      </c>
      <c r="B9" s="558">
        <v>1979</v>
      </c>
      <c r="C9" s="562">
        <v>41334</v>
      </c>
      <c r="D9" s="558" t="s">
        <v>613</v>
      </c>
    </row>
    <row r="10" spans="1:5">
      <c r="A10" s="558"/>
      <c r="B10" s="558"/>
      <c r="C10" s="558"/>
      <c r="D10" s="558"/>
    </row>
    <row r="11" spans="1:5">
      <c r="A11" s="558"/>
      <c r="B11" s="558"/>
      <c r="C11" s="558"/>
      <c r="D11" s="558"/>
    </row>
    <row r="12" spans="1:5">
      <c r="A12" s="558"/>
      <c r="B12" s="558"/>
      <c r="C12" s="558"/>
      <c r="D12" s="558"/>
    </row>
    <row r="13" spans="1:5">
      <c r="A13" s="558"/>
      <c r="B13" s="558"/>
      <c r="C13" s="558"/>
      <c r="D13" s="558"/>
    </row>
    <row r="14" spans="1:5">
      <c r="A14" s="558"/>
      <c r="B14" s="558"/>
      <c r="C14" s="558"/>
      <c r="D14" s="558"/>
    </row>
    <row r="15" spans="1:5">
      <c r="A15" s="558"/>
      <c r="B15" s="558"/>
      <c r="C15" s="558"/>
      <c r="D15" s="558"/>
    </row>
    <row r="16" spans="1:5">
      <c r="A16" s="558"/>
      <c r="B16" s="558"/>
      <c r="C16" s="558"/>
      <c r="D16" s="558"/>
    </row>
    <row r="17" spans="1:4">
      <c r="A17" s="558"/>
      <c r="B17" s="558"/>
      <c r="C17" s="558"/>
      <c r="D17" s="558"/>
    </row>
    <row r="18" spans="1:4">
      <c r="A18" s="558"/>
      <c r="B18" s="558"/>
      <c r="C18" s="558"/>
      <c r="D18" s="558"/>
    </row>
    <row r="19" spans="1:4">
      <c r="A19" s="558"/>
      <c r="B19" s="558"/>
      <c r="C19" s="558"/>
      <c r="D19" s="558"/>
    </row>
    <row r="20" spans="1:4">
      <c r="A20" s="558"/>
      <c r="B20" s="558"/>
      <c r="C20" s="558"/>
      <c r="D20" s="558"/>
    </row>
    <row r="21" spans="1:4">
      <c r="A21" s="558"/>
      <c r="B21" s="558"/>
      <c r="C21" s="558"/>
      <c r="D21" s="558"/>
    </row>
    <row r="22" spans="1:4">
      <c r="A22" s="558"/>
      <c r="B22" s="558"/>
      <c r="C22" s="558"/>
      <c r="D22" s="558"/>
    </row>
    <row r="23" spans="1:4">
      <c r="A23" s="558"/>
      <c r="B23" s="558"/>
      <c r="C23" s="558"/>
      <c r="D23" s="558"/>
    </row>
    <row r="24" spans="1:4">
      <c r="A24" s="558"/>
      <c r="B24" s="558"/>
      <c r="C24" s="558"/>
      <c r="D24" s="558"/>
    </row>
    <row r="25" spans="1:4">
      <c r="A25" s="558"/>
      <c r="B25" s="558"/>
      <c r="C25" s="558"/>
      <c r="D25" s="558"/>
    </row>
    <row r="26" spans="1:4">
      <c r="A26" s="558"/>
      <c r="B26" s="558"/>
      <c r="C26" s="558"/>
      <c r="D26" s="558"/>
    </row>
    <row r="27" spans="1:4">
      <c r="A27" s="558"/>
      <c r="B27" s="558"/>
      <c r="C27" s="558"/>
      <c r="D27" s="558"/>
    </row>
    <row r="28" spans="1:4">
      <c r="A28" s="558"/>
      <c r="B28" s="558"/>
      <c r="C28" s="558"/>
      <c r="D28" s="558"/>
    </row>
    <row r="29" spans="1:4">
      <c r="A29" s="558"/>
      <c r="B29" s="558"/>
      <c r="C29" s="558"/>
      <c r="D29" s="558"/>
    </row>
    <row r="30" spans="1:4">
      <c r="A30" s="558"/>
      <c r="B30" s="558"/>
      <c r="C30" s="558"/>
      <c r="D30" s="558"/>
    </row>
    <row r="31" spans="1:4">
      <c r="A31" s="558"/>
      <c r="B31" s="558"/>
      <c r="C31" s="558"/>
      <c r="D31" s="558"/>
    </row>
    <row r="32" spans="1:4">
      <c r="A32" s="558"/>
      <c r="B32" s="558"/>
      <c r="C32" s="558"/>
      <c r="D32" s="558"/>
    </row>
    <row r="33" spans="1:4">
      <c r="A33" s="558"/>
      <c r="B33" s="558"/>
      <c r="C33" s="558"/>
      <c r="D33" s="558"/>
    </row>
    <row r="34" spans="1:4">
      <c r="A34" s="558"/>
      <c r="B34" s="558"/>
      <c r="C34" s="558"/>
      <c r="D34" s="558"/>
    </row>
    <row r="35" spans="1:4">
      <c r="A35" s="558"/>
      <c r="B35" s="558"/>
      <c r="C35" s="558"/>
      <c r="D35" s="558"/>
    </row>
    <row r="36" spans="1:4">
      <c r="A36" s="558"/>
      <c r="B36" s="558"/>
      <c r="C36" s="558"/>
      <c r="D36" s="558"/>
    </row>
    <row r="37" spans="1:4">
      <c r="A37" s="558"/>
      <c r="B37" s="558"/>
      <c r="C37" s="558"/>
      <c r="D37" s="558"/>
    </row>
    <row r="38" spans="1:4">
      <c r="A38" s="558"/>
      <c r="B38" s="558"/>
      <c r="C38" s="558"/>
      <c r="D38" s="558"/>
    </row>
    <row r="39" spans="1:4">
      <c r="A39" s="558"/>
      <c r="B39" s="558"/>
      <c r="C39" s="558"/>
      <c r="D39" s="558"/>
    </row>
  </sheetData>
  <pageMargins left="0.7" right="0.7" top="0.75" bottom="0.75" header="0.3" footer="0.3"/>
  <pageSetup scale="81" orientation="landscape"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38"/>
  <sheetViews>
    <sheetView topLeftCell="A2" zoomScale="80" zoomScaleNormal="80" workbookViewId="0">
      <selection activeCell="N30" sqref="N30"/>
    </sheetView>
  </sheetViews>
  <sheetFormatPr defaultRowHeight="15.75"/>
  <cols>
    <col min="1" max="1" width="20.109375" style="485" bestFit="1" customWidth="1"/>
    <col min="2" max="2" width="2.109375" style="485" customWidth="1"/>
    <col min="3" max="3" width="16.109375" style="487" bestFit="1" customWidth="1"/>
    <col min="4" max="4" width="2.109375" style="487" customWidth="1"/>
    <col min="5" max="5" width="14.6640625" style="487" customWidth="1"/>
    <col min="6" max="6" width="2" style="487" customWidth="1"/>
    <col min="7" max="7" width="14" style="485" bestFit="1" customWidth="1"/>
    <col min="8" max="8" width="2" style="485" customWidth="1"/>
    <col min="9" max="9" width="15.21875" style="485" customWidth="1"/>
    <col min="10" max="16384" width="8.88671875" style="485"/>
  </cols>
  <sheetData>
    <row r="1" spans="1:9" ht="18.75">
      <c r="A1" s="598" t="s">
        <v>251</v>
      </c>
      <c r="B1" s="598"/>
      <c r="C1" s="598"/>
      <c r="D1" s="598"/>
      <c r="E1" s="598"/>
      <c r="F1" s="598"/>
      <c r="G1" s="598"/>
      <c r="I1" s="486" t="s">
        <v>535</v>
      </c>
    </row>
    <row r="2" spans="1:9" ht="15.75" customHeight="1">
      <c r="A2" s="599" t="s">
        <v>536</v>
      </c>
      <c r="B2" s="599"/>
      <c r="C2" s="599"/>
      <c r="D2" s="599"/>
      <c r="E2" s="599"/>
      <c r="F2" s="599"/>
      <c r="G2" s="599"/>
      <c r="I2" s="486" t="s">
        <v>537</v>
      </c>
    </row>
    <row r="3" spans="1:9">
      <c r="I3" s="570" t="s">
        <v>640</v>
      </c>
    </row>
    <row r="6" spans="1:9" ht="15">
      <c r="A6" s="488"/>
      <c r="C6" s="600" t="s">
        <v>261</v>
      </c>
      <c r="D6" s="600"/>
      <c r="E6" s="600"/>
      <c r="F6" s="600"/>
      <c r="G6" s="600"/>
      <c r="H6" s="600"/>
      <c r="I6" s="600"/>
    </row>
    <row r="7" spans="1:9" ht="45.75" customHeight="1">
      <c r="C7" s="499" t="s">
        <v>538</v>
      </c>
      <c r="D7" s="499"/>
      <c r="E7" s="499" t="s">
        <v>539</v>
      </c>
      <c r="F7" s="499"/>
      <c r="G7" s="500" t="s">
        <v>540</v>
      </c>
      <c r="H7" s="500"/>
      <c r="I7" s="501" t="s">
        <v>541</v>
      </c>
    </row>
    <row r="8" spans="1:9" ht="15">
      <c r="A8" s="485" t="s">
        <v>262</v>
      </c>
      <c r="C8" s="489">
        <v>214682276</v>
      </c>
      <c r="D8" s="489"/>
      <c r="E8" s="489"/>
      <c r="F8" s="489"/>
      <c r="G8" s="498"/>
      <c r="H8" s="498"/>
      <c r="I8" s="502">
        <f t="shared" ref="I8:I13" si="0">+C8-G8</f>
        <v>214682276</v>
      </c>
    </row>
    <row r="9" spans="1:9" ht="15">
      <c r="A9" s="485" t="s">
        <v>263</v>
      </c>
      <c r="C9" s="491">
        <v>9052605078</v>
      </c>
      <c r="D9" s="491"/>
      <c r="E9" s="491"/>
      <c r="F9" s="491"/>
      <c r="G9" s="498">
        <f>689288703+937773</f>
        <v>690226476</v>
      </c>
      <c r="H9" s="498"/>
      <c r="I9" s="502">
        <f t="shared" si="0"/>
        <v>8362378602</v>
      </c>
    </row>
    <row r="10" spans="1:9" ht="15">
      <c r="A10" s="485" t="s">
        <v>45</v>
      </c>
      <c r="C10" s="489">
        <v>1457167553</v>
      </c>
      <c r="D10" s="489"/>
      <c r="E10" s="489"/>
      <c r="F10" s="489"/>
      <c r="G10" s="498"/>
      <c r="H10" s="498"/>
      <c r="I10" s="502">
        <f t="shared" si="0"/>
        <v>1457167553</v>
      </c>
    </row>
    <row r="11" spans="1:9" ht="15">
      <c r="A11" s="485" t="s">
        <v>264</v>
      </c>
      <c r="C11" s="489">
        <v>2849940460</v>
      </c>
      <c r="D11" s="489"/>
      <c r="E11" s="489"/>
      <c r="F11" s="489"/>
      <c r="G11" s="498"/>
      <c r="H11" s="498"/>
      <c r="I11" s="502">
        <f t="shared" si="0"/>
        <v>2849940460</v>
      </c>
    </row>
    <row r="12" spans="1:9" ht="15">
      <c r="A12" s="485" t="s">
        <v>265</v>
      </c>
      <c r="C12" s="489">
        <v>366821693</v>
      </c>
      <c r="D12" s="489"/>
      <c r="E12" s="489"/>
      <c r="F12" s="489"/>
      <c r="G12" s="498">
        <v>1365983</v>
      </c>
      <c r="H12" s="498"/>
      <c r="I12" s="502">
        <f t="shared" si="0"/>
        <v>365455710</v>
      </c>
    </row>
    <row r="13" spans="1:9" ht="16.5">
      <c r="A13" s="485" t="s">
        <v>542</v>
      </c>
      <c r="C13" s="503">
        <v>0</v>
      </c>
      <c r="D13" s="503"/>
      <c r="E13" s="503">
        <v>0</v>
      </c>
      <c r="F13" s="503"/>
      <c r="G13" s="503">
        <v>0</v>
      </c>
      <c r="H13" s="503"/>
      <c r="I13" s="504">
        <f t="shared" si="0"/>
        <v>0</v>
      </c>
    </row>
    <row r="14" spans="1:9" ht="15">
      <c r="A14" s="485" t="s">
        <v>543</v>
      </c>
      <c r="C14" s="505">
        <f>SUM(C8:C13)</f>
        <v>13941217060</v>
      </c>
      <c r="D14" s="505"/>
      <c r="E14" s="505"/>
      <c r="F14" s="505"/>
      <c r="G14" s="505">
        <f>SUM(G8:G13)</f>
        <v>691592459</v>
      </c>
      <c r="H14" s="505"/>
      <c r="I14" s="505">
        <f>SUM(I8:I13)</f>
        <v>13249624601</v>
      </c>
    </row>
    <row r="15" spans="1:9" ht="15">
      <c r="C15" s="505"/>
      <c r="D15" s="505"/>
      <c r="E15" s="505"/>
      <c r="F15" s="505"/>
      <c r="G15" s="498"/>
      <c r="H15" s="498"/>
      <c r="I15" s="506"/>
    </row>
    <row r="16" spans="1:9" ht="15.75" customHeight="1">
      <c r="C16" s="601" t="s">
        <v>260</v>
      </c>
      <c r="D16" s="601"/>
      <c r="E16" s="601"/>
      <c r="F16" s="601"/>
      <c r="G16" s="601"/>
      <c r="H16" s="601"/>
      <c r="I16" s="601"/>
    </row>
    <row r="17" spans="1:9" ht="15">
      <c r="A17" s="485" t="s">
        <v>263</v>
      </c>
      <c r="C17" s="506"/>
      <c r="D17" s="506"/>
      <c r="E17" s="506"/>
      <c r="F17" s="506"/>
      <c r="G17" s="498"/>
      <c r="H17" s="498"/>
      <c r="I17" s="506"/>
    </row>
    <row r="18" spans="1:9" ht="15">
      <c r="A18" s="493" t="s">
        <v>267</v>
      </c>
      <c r="C18" s="494">
        <v>2501404138</v>
      </c>
      <c r="D18" s="494"/>
      <c r="E18" s="494"/>
      <c r="F18" s="494"/>
      <c r="G18" s="498">
        <f>47188990.19+3006380.44</f>
        <v>50195370.629999995</v>
      </c>
      <c r="H18" s="498" t="s">
        <v>544</v>
      </c>
      <c r="I18" s="502">
        <f t="shared" ref="I18:I23" si="1">+C18-G18</f>
        <v>2451208767.3699999</v>
      </c>
    </row>
    <row r="19" spans="1:9" ht="15">
      <c r="A19" s="493" t="s">
        <v>545</v>
      </c>
      <c r="C19" s="494"/>
      <c r="D19" s="494"/>
      <c r="E19" s="494"/>
      <c r="F19" s="494"/>
      <c r="G19" s="498"/>
      <c r="H19" s="498"/>
      <c r="I19" s="502">
        <f t="shared" si="1"/>
        <v>0</v>
      </c>
    </row>
    <row r="20" spans="1:9" ht="15">
      <c r="A20" s="493" t="s">
        <v>268</v>
      </c>
      <c r="C20" s="495"/>
      <c r="D20" s="495"/>
      <c r="E20" s="495"/>
      <c r="F20" s="495"/>
      <c r="G20" s="498"/>
      <c r="H20" s="498"/>
      <c r="I20" s="502">
        <f t="shared" si="1"/>
        <v>0</v>
      </c>
    </row>
    <row r="21" spans="1:9" ht="15">
      <c r="A21" s="493" t="s">
        <v>269</v>
      </c>
      <c r="C21" s="494">
        <v>30227701</v>
      </c>
      <c r="D21" s="494"/>
      <c r="E21" s="494"/>
      <c r="F21" s="494"/>
      <c r="G21" s="498"/>
      <c r="H21" s="498"/>
      <c r="I21" s="502">
        <f t="shared" si="1"/>
        <v>30227701</v>
      </c>
    </row>
    <row r="22" spans="1:9" ht="16.5">
      <c r="A22" s="493" t="s">
        <v>270</v>
      </c>
      <c r="C22" s="496">
        <v>496522857</v>
      </c>
      <c r="D22" s="496"/>
      <c r="E22" s="496">
        <v>0</v>
      </c>
      <c r="F22" s="496"/>
      <c r="G22" s="503">
        <v>455468.41</v>
      </c>
      <c r="H22" s="505" t="s">
        <v>544</v>
      </c>
      <c r="I22" s="504">
        <f t="shared" si="1"/>
        <v>496067388.58999997</v>
      </c>
    </row>
    <row r="23" spans="1:9" ht="15">
      <c r="A23" s="485" t="s">
        <v>271</v>
      </c>
      <c r="C23" s="497">
        <f t="shared" ref="C23" si="2">SUM(C18:C22)</f>
        <v>3028154696</v>
      </c>
      <c r="D23" s="497"/>
      <c r="E23" s="497"/>
      <c r="F23" s="497"/>
      <c r="G23" s="569">
        <f>SUM(G18:G22)</f>
        <v>50650839.039999992</v>
      </c>
      <c r="H23" s="497"/>
      <c r="I23" s="502">
        <f t="shared" si="1"/>
        <v>2977503856.96</v>
      </c>
    </row>
    <row r="24" spans="1:9" ht="15">
      <c r="A24" s="493" t="s">
        <v>262</v>
      </c>
      <c r="C24" s="497"/>
      <c r="D24" s="497"/>
      <c r="E24" s="497">
        <v>213482476</v>
      </c>
      <c r="F24" s="497"/>
      <c r="G24" s="498"/>
      <c r="H24" s="498"/>
      <c r="I24" s="502">
        <f>+E24</f>
        <v>213482476</v>
      </c>
    </row>
    <row r="25" spans="1:9" ht="15">
      <c r="A25" s="485" t="s">
        <v>45</v>
      </c>
      <c r="C25" s="497">
        <v>496087552</v>
      </c>
      <c r="D25" s="497"/>
      <c r="E25" s="497"/>
      <c r="F25" s="497"/>
      <c r="G25" s="498"/>
      <c r="H25" s="498"/>
      <c r="I25" s="502">
        <f>+C25-G25</f>
        <v>496087552</v>
      </c>
    </row>
    <row r="26" spans="1:9" ht="15">
      <c r="A26" s="485" t="s">
        <v>264</v>
      </c>
      <c r="C26" s="497">
        <v>1219857283</v>
      </c>
      <c r="D26" s="497"/>
      <c r="E26" s="497"/>
      <c r="F26" s="497"/>
      <c r="G26" s="498"/>
      <c r="H26" s="498"/>
      <c r="I26" s="502">
        <f>+C26-G26</f>
        <v>1219857283</v>
      </c>
    </row>
    <row r="27" spans="1:9" ht="16.5">
      <c r="A27" s="485" t="s">
        <v>265</v>
      </c>
      <c r="C27" s="496">
        <v>134710489</v>
      </c>
      <c r="D27" s="496"/>
      <c r="E27" s="496">
        <v>0</v>
      </c>
      <c r="F27" s="496"/>
      <c r="G27" s="503">
        <v>1286145.76</v>
      </c>
      <c r="H27" s="505" t="s">
        <v>544</v>
      </c>
      <c r="I27" s="504">
        <f>+C27-G27</f>
        <v>133424343.23999999</v>
      </c>
    </row>
    <row r="28" spans="1:9" ht="15">
      <c r="A28" s="485" t="s">
        <v>546</v>
      </c>
      <c r="C28" s="505">
        <f t="shared" ref="C28:E28" si="3">SUM(C23:C27)</f>
        <v>4878810020</v>
      </c>
      <c r="D28" s="505"/>
      <c r="E28" s="505">
        <f t="shared" si="3"/>
        <v>213482476</v>
      </c>
      <c r="F28" s="505"/>
      <c r="G28" s="505">
        <f t="shared" ref="G28" si="4">SUM(G23:G27)</f>
        <v>51936984.79999999</v>
      </c>
      <c r="H28" s="505"/>
      <c r="I28" s="502">
        <f>+C28+I24-G28</f>
        <v>5040355511.1999998</v>
      </c>
    </row>
    <row r="29" spans="1:9" ht="15">
      <c r="C29" s="505"/>
      <c r="D29" s="505"/>
      <c r="E29" s="505"/>
      <c r="F29" s="505"/>
      <c r="G29" s="498"/>
      <c r="H29" s="498"/>
      <c r="I29" s="506"/>
    </row>
    <row r="30" spans="1:9" ht="15">
      <c r="C30" s="505"/>
      <c r="D30" s="505"/>
      <c r="E30" s="505"/>
      <c r="F30" s="505"/>
      <c r="G30" s="498"/>
      <c r="H30" s="498"/>
      <c r="I30" s="506"/>
    </row>
    <row r="31" spans="1:9" ht="15">
      <c r="A31" s="485" t="s">
        <v>547</v>
      </c>
      <c r="C31" s="505">
        <f t="shared" ref="C31:G31" si="5">+C14-C28</f>
        <v>9062407040</v>
      </c>
      <c r="D31" s="505"/>
      <c r="E31" s="505">
        <f t="shared" si="5"/>
        <v>-213482476</v>
      </c>
      <c r="F31" s="505">
        <f t="shared" si="5"/>
        <v>0</v>
      </c>
      <c r="G31" s="505">
        <f t="shared" si="5"/>
        <v>639655474.20000005</v>
      </c>
      <c r="H31" s="498"/>
      <c r="I31" s="505">
        <f>+I14-I28</f>
        <v>8209269089.8000002</v>
      </c>
    </row>
    <row r="32" spans="1:9">
      <c r="C32" s="492"/>
      <c r="D32" s="492"/>
      <c r="E32" s="492"/>
      <c r="F32" s="492"/>
      <c r="G32" s="487"/>
      <c r="H32" s="487"/>
      <c r="I32" s="492"/>
    </row>
    <row r="33" spans="1:7">
      <c r="A33" s="485" t="s">
        <v>548</v>
      </c>
    </row>
    <row r="38" spans="1:7">
      <c r="G38" s="490"/>
    </row>
  </sheetData>
  <mergeCells count="4">
    <mergeCell ref="A1:G1"/>
    <mergeCell ref="A2:G2"/>
    <mergeCell ref="C6:I6"/>
    <mergeCell ref="C16:I16"/>
  </mergeCells>
  <pageMargins left="0.7" right="0.7" top="0.75" bottom="0.75" header="0.3" footer="0.3"/>
  <pageSetup scale="9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2:H71"/>
  <sheetViews>
    <sheetView zoomScale="80" zoomScaleNormal="80" workbookViewId="0">
      <selection activeCell="B15" sqref="B15"/>
    </sheetView>
  </sheetViews>
  <sheetFormatPr defaultColWidth="7.109375" defaultRowHeight="12.75"/>
  <cols>
    <col min="1" max="1" width="48.21875" style="36" customWidth="1"/>
    <col min="2" max="2" width="18.6640625" style="36" customWidth="1"/>
    <col min="3" max="5" width="11.6640625" style="36" customWidth="1"/>
    <col min="6" max="6" width="10.109375" style="36" customWidth="1"/>
    <col min="7" max="7" width="11.44140625" style="36" customWidth="1"/>
    <col min="8" max="8" width="16.77734375" style="36" customWidth="1"/>
    <col min="9" max="9" width="8.77734375" style="36" bestFit="1" customWidth="1"/>
    <col min="10" max="16" width="25.5546875" style="36" customWidth="1"/>
    <col min="17" max="18" width="25.5546875" style="36" bestFit="1" customWidth="1"/>
    <col min="19" max="19" width="29.21875" style="36" bestFit="1" customWidth="1"/>
    <col min="20" max="27" width="13" style="36" customWidth="1"/>
    <col min="28" max="28" width="13" style="36" bestFit="1" customWidth="1"/>
    <col min="29" max="32" width="13" style="36" customWidth="1"/>
    <col min="33" max="33" width="16.77734375" style="36" bestFit="1" customWidth="1"/>
    <col min="34" max="34" width="8.21875" style="36" customWidth="1"/>
    <col min="35" max="52" width="16.21875" style="36" bestFit="1" customWidth="1"/>
    <col min="53" max="53" width="16.77734375" style="36" bestFit="1" customWidth="1"/>
    <col min="54" max="54" width="7.77734375" style="36" bestFit="1" customWidth="1"/>
    <col min="55" max="55" width="8.21875" style="36" bestFit="1" customWidth="1"/>
    <col min="56" max="56" width="9.88671875" style="36" bestFit="1" customWidth="1"/>
    <col min="57" max="57" width="6.33203125" style="36" customWidth="1"/>
    <col min="58" max="58" width="9.88671875" style="36" bestFit="1" customWidth="1"/>
    <col min="59" max="59" width="6.33203125" style="36" customWidth="1"/>
    <col min="60" max="60" width="9.88671875" style="36" bestFit="1" customWidth="1"/>
    <col min="61" max="62" width="6.33203125" style="36" customWidth="1"/>
    <col min="63" max="63" width="9.88671875" style="36" bestFit="1" customWidth="1"/>
    <col min="64" max="64" width="6.33203125" style="36" customWidth="1"/>
    <col min="65" max="65" width="9.88671875" style="36" bestFit="1" customWidth="1"/>
    <col min="66" max="66" width="6.33203125" style="36" customWidth="1"/>
    <col min="67" max="67" width="9.88671875" style="36" bestFit="1" customWidth="1"/>
    <col min="68" max="68" width="6.33203125" style="36" customWidth="1"/>
    <col min="69" max="69" width="9.88671875" style="36" bestFit="1" customWidth="1"/>
    <col min="70" max="70" width="8.21875" style="36" bestFit="1" customWidth="1"/>
    <col min="71" max="16384" width="7.109375" style="36"/>
  </cols>
  <sheetData>
    <row r="2" spans="1:7" ht="18">
      <c r="A2" s="105" t="s">
        <v>251</v>
      </c>
      <c r="B2" s="40"/>
    </row>
    <row r="3" spans="1:7" ht="15.75">
      <c r="A3" s="93"/>
      <c r="B3" s="28" t="s">
        <v>509</v>
      </c>
    </row>
    <row r="4" spans="1:7" ht="15.75">
      <c r="A4" s="93"/>
      <c r="B4" s="28" t="s">
        <v>220</v>
      </c>
    </row>
    <row r="5" spans="1:7" ht="15.75">
      <c r="A5" s="93" t="s">
        <v>320</v>
      </c>
      <c r="B5" s="94"/>
    </row>
    <row r="6" spans="1:7" ht="15.75">
      <c r="A6" s="93"/>
      <c r="B6" s="94"/>
    </row>
    <row r="7" spans="1:7" ht="15">
      <c r="A7" s="46"/>
      <c r="B7" s="46"/>
    </row>
    <row r="8" spans="1:7" ht="15">
      <c r="A8" s="46"/>
      <c r="B8" s="46"/>
    </row>
    <row r="9" spans="1:7" ht="15">
      <c r="A9" s="95"/>
      <c r="B9" s="95"/>
    </row>
    <row r="10" spans="1:7" ht="15">
      <c r="A10" s="95"/>
      <c r="B10" s="95"/>
    </row>
    <row r="11" spans="1:7" ht="15.75">
      <c r="A11" s="96"/>
      <c r="B11" s="95"/>
    </row>
    <row r="12" spans="1:7" ht="20.25">
      <c r="A12" s="95"/>
      <c r="B12" s="97"/>
    </row>
    <row r="13" spans="1:7" ht="20.25">
      <c r="A13" s="95"/>
      <c r="B13" s="98" t="s">
        <v>253</v>
      </c>
    </row>
    <row r="14" spans="1:7" ht="20.25">
      <c r="A14" s="95"/>
      <c r="B14" s="98"/>
    </row>
    <row r="15" spans="1:7" ht="15.75" thickBot="1">
      <c r="A15" s="107" t="s">
        <v>319</v>
      </c>
      <c r="B15" s="508">
        <v>50813780</v>
      </c>
    </row>
    <row r="16" spans="1:7" ht="18" thickTop="1">
      <c r="A16" s="99"/>
      <c r="B16" s="102"/>
      <c r="G16" s="271"/>
    </row>
    <row r="17" spans="1:8" ht="15">
      <c r="A17" s="101"/>
      <c r="B17" s="95"/>
      <c r="C17" s="39"/>
      <c r="D17" s="39"/>
      <c r="G17" s="271"/>
    </row>
    <row r="18" spans="1:8" ht="19.5" customHeight="1">
      <c r="A18" s="107"/>
      <c r="B18" s="104"/>
      <c r="C18" s="92"/>
      <c r="G18" s="271"/>
    </row>
    <row r="19" spans="1:8">
      <c r="A19" s="39"/>
      <c r="B19" s="65"/>
      <c r="G19" s="271"/>
    </row>
    <row r="20" spans="1:8">
      <c r="G20" s="271"/>
      <c r="H20" s="467"/>
    </row>
    <row r="21" spans="1:8">
      <c r="G21" s="271"/>
      <c r="H21" s="467"/>
    </row>
    <row r="22" spans="1:8">
      <c r="G22" s="271"/>
    </row>
    <row r="30" spans="1:8">
      <c r="B30" s="271"/>
      <c r="C30" s="271"/>
    </row>
    <row r="31" spans="1:8">
      <c r="B31" s="271"/>
    </row>
    <row r="32" spans="1:8">
      <c r="B32" s="271"/>
    </row>
    <row r="33" spans="2:3">
      <c r="B33" s="468"/>
    </row>
    <row r="34" spans="2:3">
      <c r="B34" s="271"/>
      <c r="C34" s="271"/>
    </row>
    <row r="35" spans="2:3">
      <c r="B35" s="271"/>
      <c r="C35" s="271"/>
    </row>
    <row r="36" spans="2:3">
      <c r="B36" s="271"/>
      <c r="C36" s="271"/>
    </row>
    <row r="37" spans="2:3">
      <c r="B37" s="271"/>
      <c r="C37" s="271"/>
    </row>
    <row r="38" spans="2:3">
      <c r="B38" s="271"/>
      <c r="C38" s="271"/>
    </row>
    <row r="39" spans="2:3">
      <c r="B39" s="271"/>
      <c r="C39" s="271"/>
    </row>
    <row r="40" spans="2:3">
      <c r="B40" s="271"/>
      <c r="C40" s="271"/>
    </row>
    <row r="41" spans="2:3">
      <c r="B41" s="271"/>
    </row>
    <row r="42" spans="2:3">
      <c r="B42" s="271"/>
      <c r="C42" s="469"/>
    </row>
    <row r="43" spans="2:3">
      <c r="B43" s="271"/>
    </row>
    <row r="44" spans="2:3">
      <c r="B44" s="271"/>
    </row>
    <row r="45" spans="2:3">
      <c r="B45" s="271"/>
      <c r="C45" s="271"/>
    </row>
    <row r="46" spans="2:3" ht="15">
      <c r="B46" s="470"/>
      <c r="C46" s="470"/>
    </row>
    <row r="47" spans="2:3">
      <c r="B47" s="271"/>
      <c r="C47" s="271"/>
    </row>
    <row r="48" spans="2:3" ht="15">
      <c r="B48" s="470"/>
      <c r="C48" s="470"/>
    </row>
    <row r="49" spans="2:3">
      <c r="B49" s="271"/>
      <c r="C49" s="271"/>
    </row>
    <row r="50" spans="2:3">
      <c r="B50" s="271"/>
    </row>
    <row r="51" spans="2:3">
      <c r="B51" s="271"/>
    </row>
    <row r="52" spans="2:3">
      <c r="B52" s="271"/>
    </row>
    <row r="53" spans="2:3">
      <c r="B53" s="271"/>
    </row>
    <row r="54" spans="2:3">
      <c r="B54" s="271"/>
    </row>
    <row r="55" spans="2:3">
      <c r="B55" s="271"/>
    </row>
    <row r="56" spans="2:3">
      <c r="B56" s="271"/>
    </row>
    <row r="57" spans="2:3">
      <c r="B57" s="271"/>
    </row>
    <row r="58" spans="2:3">
      <c r="B58" s="271"/>
    </row>
    <row r="59" spans="2:3">
      <c r="B59" s="271"/>
    </row>
    <row r="60" spans="2:3">
      <c r="B60" s="271"/>
    </row>
    <row r="61" spans="2:3">
      <c r="B61" s="271"/>
    </row>
    <row r="62" spans="2:3">
      <c r="B62" s="271"/>
    </row>
    <row r="63" spans="2:3">
      <c r="B63" s="271"/>
    </row>
    <row r="64" spans="2:3">
      <c r="B64" s="271"/>
    </row>
    <row r="65" spans="2:2">
      <c r="B65" s="271"/>
    </row>
    <row r="66" spans="2:2">
      <c r="B66" s="271"/>
    </row>
    <row r="67" spans="2:2">
      <c r="B67" s="271"/>
    </row>
    <row r="68" spans="2:2">
      <c r="B68" s="271"/>
    </row>
    <row r="69" spans="2:2">
      <c r="B69" s="271"/>
    </row>
    <row r="70" spans="2:2">
      <c r="B70" s="271"/>
    </row>
    <row r="71" spans="2:2">
      <c r="B71" s="271"/>
    </row>
  </sheetData>
  <pageMargins left="0.25" right="0.25" top="0.5" bottom="0.5" header="0.5" footer="0.5"/>
  <pageSetup orientation="landscape" r:id="rId1"/>
  <headerFooter alignWithMargins="0">
    <oddFooter>&amp;L&amp;Z&amp;F   &amp;A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8"/>
  <sheetViews>
    <sheetView workbookViewId="0">
      <selection activeCell="B18" sqref="B18"/>
    </sheetView>
  </sheetViews>
  <sheetFormatPr defaultRowHeight="15"/>
  <cols>
    <col min="1" max="1" width="24.21875" bestFit="1" customWidth="1"/>
    <col min="2" max="2" width="15.44140625" bestFit="1" customWidth="1"/>
  </cols>
  <sheetData>
    <row r="2" spans="1:2">
      <c r="A2" t="s">
        <v>251</v>
      </c>
    </row>
    <row r="3" spans="1:2">
      <c r="B3" s="572" t="s">
        <v>508</v>
      </c>
    </row>
    <row r="4" spans="1:2">
      <c r="B4" s="572" t="s">
        <v>220</v>
      </c>
    </row>
    <row r="6" spans="1:2">
      <c r="A6" s="573" t="s">
        <v>650</v>
      </c>
      <c r="B6" s="36"/>
    </row>
    <row r="7" spans="1:2">
      <c r="A7" s="99"/>
      <c r="B7" s="36"/>
    </row>
    <row r="8" spans="1:2">
      <c r="A8" s="99" t="s">
        <v>263</v>
      </c>
      <c r="B8" s="115">
        <f>1071357.63+37552</f>
        <v>1108909.6299999999</v>
      </c>
    </row>
    <row r="9" spans="1:2">
      <c r="A9" s="99" t="s">
        <v>45</v>
      </c>
      <c r="B9" s="115">
        <v>605952.43999999994</v>
      </c>
    </row>
    <row r="10" spans="1:2">
      <c r="A10" s="99" t="s">
        <v>264</v>
      </c>
      <c r="B10" s="115">
        <v>161926.96</v>
      </c>
    </row>
    <row r="11" spans="1:2">
      <c r="A11" s="99" t="s">
        <v>651</v>
      </c>
      <c r="B11" s="463">
        <v>21851.08</v>
      </c>
    </row>
    <row r="12" spans="1:2">
      <c r="A12" s="36"/>
      <c r="B12" s="115">
        <f>SUM(B8:B11)</f>
        <v>1898640.1099999999</v>
      </c>
    </row>
    <row r="14" spans="1:2">
      <c r="A14" s="574" t="s">
        <v>654</v>
      </c>
    </row>
    <row r="16" spans="1:2">
      <c r="A16" t="s">
        <v>652</v>
      </c>
      <c r="B16" s="115">
        <v>76550395</v>
      </c>
    </row>
    <row r="17" spans="1:2">
      <c r="A17" t="s">
        <v>653</v>
      </c>
      <c r="B17" s="571">
        <f>+B9</f>
        <v>605952.43999999994</v>
      </c>
    </row>
    <row r="18" spans="1:2">
      <c r="B18" s="546">
        <f>+B16-B17</f>
        <v>75944442.560000002</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8"/>
  <sheetViews>
    <sheetView zoomScale="80" zoomScaleNormal="80" workbookViewId="0">
      <selection activeCell="B29" sqref="B29"/>
    </sheetView>
  </sheetViews>
  <sheetFormatPr defaultColWidth="7.109375" defaultRowHeight="12.75"/>
  <cols>
    <col min="1" max="1" width="51" style="36" bestFit="1" customWidth="1"/>
    <col min="2" max="2" width="18.6640625" style="36" customWidth="1"/>
    <col min="3" max="5" width="11.6640625" style="36" customWidth="1"/>
    <col min="6" max="6" width="10.109375" style="36" customWidth="1"/>
    <col min="7" max="7" width="11.44140625" style="36" customWidth="1"/>
    <col min="8" max="8" width="16.77734375" style="36" customWidth="1"/>
    <col min="9" max="9" width="8.77734375" style="36" bestFit="1" customWidth="1"/>
    <col min="10" max="16" width="25.5546875" style="36" customWidth="1"/>
    <col min="17" max="18" width="25.5546875" style="36" bestFit="1" customWidth="1"/>
    <col min="19" max="19" width="29.21875" style="36" bestFit="1" customWidth="1"/>
    <col min="20" max="27" width="13" style="36" customWidth="1"/>
    <col min="28" max="28" width="13" style="36" bestFit="1" customWidth="1"/>
    <col min="29" max="32" width="13" style="36" customWidth="1"/>
    <col min="33" max="33" width="16.77734375" style="36" bestFit="1" customWidth="1"/>
    <col min="34" max="34" width="8.21875" style="36" customWidth="1"/>
    <col min="35" max="52" width="16.21875" style="36" bestFit="1" customWidth="1"/>
    <col min="53" max="53" width="16.77734375" style="36" bestFit="1" customWidth="1"/>
    <col min="54" max="54" width="7.77734375" style="36" bestFit="1" customWidth="1"/>
    <col min="55" max="55" width="8.21875" style="36" bestFit="1" customWidth="1"/>
    <col min="56" max="56" width="9.88671875" style="36" bestFit="1" customWidth="1"/>
    <col min="57" max="57" width="6.33203125" style="36" customWidth="1"/>
    <col min="58" max="58" width="9.88671875" style="36" bestFit="1" customWidth="1"/>
    <col min="59" max="59" width="6.33203125" style="36" customWidth="1"/>
    <col min="60" max="60" width="9.88671875" style="36" bestFit="1" customWidth="1"/>
    <col min="61" max="62" width="6.33203125" style="36" customWidth="1"/>
    <col min="63" max="63" width="9.88671875" style="36" bestFit="1" customWidth="1"/>
    <col min="64" max="64" width="6.33203125" style="36" customWidth="1"/>
    <col min="65" max="65" width="9.88671875" style="36" bestFit="1" customWidth="1"/>
    <col min="66" max="66" width="6.33203125" style="36" customWidth="1"/>
    <col min="67" max="67" width="9.88671875" style="36" bestFit="1" customWidth="1"/>
    <col min="68" max="68" width="6.33203125" style="36" customWidth="1"/>
    <col min="69" max="69" width="9.88671875" style="36" bestFit="1" customWidth="1"/>
    <col min="70" max="70" width="8.21875" style="36" bestFit="1" customWidth="1"/>
    <col min="71" max="16384" width="7.109375" style="36"/>
  </cols>
  <sheetData>
    <row r="2" spans="1:10" ht="18">
      <c r="A2" s="105" t="s">
        <v>251</v>
      </c>
      <c r="B2" s="40"/>
    </row>
    <row r="3" spans="1:10" ht="15.75">
      <c r="A3" s="93"/>
      <c r="B3" s="28" t="s">
        <v>508</v>
      </c>
    </row>
    <row r="4" spans="1:10" ht="15.75">
      <c r="A4" s="93"/>
      <c r="B4" s="28" t="s">
        <v>220</v>
      </c>
    </row>
    <row r="5" spans="1:10" ht="15.75">
      <c r="A5" s="93" t="s">
        <v>637</v>
      </c>
      <c r="B5" s="94"/>
    </row>
    <row r="6" spans="1:10" ht="15.75">
      <c r="A6" s="93"/>
      <c r="B6" s="94"/>
    </row>
    <row r="7" spans="1:10" ht="20.25">
      <c r="A7" s="95"/>
      <c r="B7" s="97"/>
    </row>
    <row r="8" spans="1:10" ht="20.25">
      <c r="A8" s="95"/>
      <c r="B8" s="98" t="s">
        <v>253</v>
      </c>
    </row>
    <row r="9" spans="1:10" ht="20.25">
      <c r="A9" s="95"/>
      <c r="B9" s="98"/>
    </row>
    <row r="10" spans="1:10" ht="15">
      <c r="A10" s="99" t="s">
        <v>533</v>
      </c>
      <c r="B10" s="115">
        <v>152284375</v>
      </c>
      <c r="J10" s="467"/>
    </row>
    <row r="11" spans="1:10" ht="15">
      <c r="A11" s="99" t="s">
        <v>532</v>
      </c>
      <c r="B11" s="463">
        <v>7317268</v>
      </c>
    </row>
    <row r="12" spans="1:10" ht="15">
      <c r="A12" s="99" t="s">
        <v>511</v>
      </c>
      <c r="B12" s="116">
        <f>+B10-B11</f>
        <v>144967107</v>
      </c>
    </row>
    <row r="13" spans="1:10" ht="17.25">
      <c r="A13" s="99"/>
      <c r="B13" s="102"/>
    </row>
    <row r="14" spans="1:10" ht="15">
      <c r="A14" s="99" t="s">
        <v>512</v>
      </c>
      <c r="B14" s="99"/>
    </row>
    <row r="15" spans="1:10" ht="15">
      <c r="A15" s="99" t="s">
        <v>513</v>
      </c>
      <c r="B15" s="99"/>
    </row>
    <row r="16" spans="1:10" ht="15">
      <c r="A16" s="99" t="s">
        <v>534</v>
      </c>
      <c r="B16" s="115">
        <v>14262849</v>
      </c>
    </row>
    <row r="17" spans="1:2" ht="15">
      <c r="A17" s="99" t="s">
        <v>603</v>
      </c>
      <c r="B17" s="463">
        <v>51604.41</v>
      </c>
    </row>
    <row r="18" spans="1:2" ht="15">
      <c r="A18" s="99" t="s">
        <v>618</v>
      </c>
      <c r="B18" s="116">
        <f>+B16-B17</f>
        <v>14211244.59</v>
      </c>
    </row>
    <row r="19" spans="1:2" ht="15">
      <c r="A19" s="99"/>
      <c r="B19" s="116"/>
    </row>
    <row r="20" spans="1:2" ht="30">
      <c r="A20" s="567" t="s">
        <v>634</v>
      </c>
      <c r="B20" s="115">
        <f>11480109+6466260+5306156</f>
        <v>23252525</v>
      </c>
    </row>
    <row r="21" spans="1:2" ht="15">
      <c r="A21" s="99" t="s">
        <v>510</v>
      </c>
      <c r="B21" s="463">
        <v>2686935</v>
      </c>
    </row>
    <row r="22" spans="1:2" ht="15">
      <c r="A22" s="99" t="s">
        <v>617</v>
      </c>
      <c r="B22" s="116">
        <f>+B20-B21</f>
        <v>20565590</v>
      </c>
    </row>
    <row r="23" spans="1:2" ht="15">
      <c r="A23" s="99"/>
      <c r="B23" s="116"/>
    </row>
    <row r="24" spans="1:2" ht="15" hidden="1">
      <c r="A24" s="99" t="s">
        <v>635</v>
      </c>
      <c r="B24" s="116">
        <v>175362068</v>
      </c>
    </row>
    <row r="25" spans="1:2" ht="15" hidden="1">
      <c r="A25" s="99" t="s">
        <v>510</v>
      </c>
      <c r="B25" s="568"/>
    </row>
    <row r="26" spans="1:2" ht="15" hidden="1">
      <c r="A26" s="99" t="s">
        <v>636</v>
      </c>
      <c r="B26" s="116">
        <f>+B24-B25</f>
        <v>175362068</v>
      </c>
    </row>
    <row r="27" spans="1:2" ht="15">
      <c r="A27" s="99"/>
      <c r="B27" s="116"/>
    </row>
    <row r="28" spans="1:2" ht="15">
      <c r="A28" s="99"/>
      <c r="B28" s="116"/>
    </row>
    <row r="29" spans="1:2" ht="15">
      <c r="A29" s="99" t="s">
        <v>523</v>
      </c>
      <c r="B29" s="115">
        <f>+B11+B17+B21+B25</f>
        <v>10055807.41</v>
      </c>
    </row>
    <row r="30" spans="1:2" ht="15">
      <c r="A30" s="99"/>
      <c r="B30" s="115"/>
    </row>
    <row r="31" spans="1:2" ht="15">
      <c r="A31" s="99"/>
    </row>
    <row r="32" spans="1:2" ht="15">
      <c r="A32" s="99"/>
    </row>
    <row r="33" spans="1:3" ht="15">
      <c r="A33" s="99"/>
    </row>
    <row r="34" spans="1:3" ht="15">
      <c r="A34" s="99"/>
      <c r="B34" s="115"/>
    </row>
    <row r="35" spans="1:3" ht="15">
      <c r="A35" s="99"/>
      <c r="B35" s="115"/>
      <c r="C35" s="271"/>
    </row>
    <row r="36" spans="1:3" ht="15">
      <c r="A36" s="99"/>
      <c r="B36" s="115"/>
    </row>
    <row r="37" spans="1:3" ht="15">
      <c r="A37" s="99"/>
      <c r="B37" s="463"/>
    </row>
    <row r="38" spans="1:3" ht="15">
      <c r="B38" s="115"/>
    </row>
  </sheetData>
  <pageMargins left="0.25" right="0.25" top="0.5" bottom="0.5" header="0.5" footer="0.5"/>
  <pageSetup orientation="portrait" r:id="rId1"/>
  <headerFooter alignWithMargins="0">
    <oddFooter>&amp;L&amp;Z&amp;F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10</vt:i4>
      </vt:variant>
    </vt:vector>
  </HeadingPairs>
  <TitlesOfParts>
    <vt:vector size="26" baseType="lpstr">
      <vt:lpstr>Nonlevelized-IOU</vt:lpstr>
      <vt:lpstr>Reg Assets &amp; Liab</vt:lpstr>
      <vt:lpstr>Attach GG Proj #1- 2012</vt:lpstr>
      <vt:lpstr>Historical Rate TO Support Data</vt:lpstr>
      <vt:lpstr>Project Descriptions</vt:lpstr>
      <vt:lpstr>Net Plant in Service</vt:lpstr>
      <vt:lpstr>Trans Plant In OATT</vt:lpstr>
      <vt:lpstr>EPRI Dues detail</vt:lpstr>
      <vt:lpstr>Merger &amp; Transaction Costs</vt:lpstr>
      <vt:lpstr>Land Held for Future Use</vt:lpstr>
      <vt:lpstr>Sch 1 Rcvble Exp</vt:lpstr>
      <vt:lpstr>Schedule 1 Charges acct 561</vt:lpstr>
      <vt:lpstr>Allocate M&amp;S</vt:lpstr>
      <vt:lpstr>Rev Cred Support</vt:lpstr>
      <vt:lpstr>Partner KW</vt:lpstr>
      <vt:lpstr>Account 561 </vt:lpstr>
      <vt:lpstr>'Allocate M&amp;S'!Print_Area</vt:lpstr>
      <vt:lpstr>'Attach GG Proj #1- 2012'!Print_Area</vt:lpstr>
      <vt:lpstr>'Merger &amp; Transaction Costs'!Print_Area</vt:lpstr>
      <vt:lpstr>'Net Plant in Service'!Print_Area</vt:lpstr>
      <vt:lpstr>'Nonlevelized-IOU'!Print_Area</vt:lpstr>
      <vt:lpstr>'Partner KW'!Print_Area</vt:lpstr>
      <vt:lpstr>'Reg Assets &amp; Liab'!Print_Area</vt:lpstr>
      <vt:lpstr>'Rev Cred Support'!Print_Area</vt:lpstr>
      <vt:lpstr>'Sch 1 Rcvble Exp'!Print_Area</vt:lpstr>
      <vt:lpstr>'Schedule 1 Charges acct 561'!Print_Area</vt:lpstr>
    </vt:vector>
  </TitlesOfParts>
  <Company>Dell Computer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Lilly, Kathy</cp:lastModifiedBy>
  <cp:lastPrinted>2017-04-04T13:44:28Z</cp:lastPrinted>
  <dcterms:created xsi:type="dcterms:W3CDTF">1997-04-03T19:40:56Z</dcterms:created>
  <dcterms:modified xsi:type="dcterms:W3CDTF">2017-05-03T12:32:35Z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