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CAPX2020\MISO TRANSMISSION OWNER FILINGS\Windom\WINDOM 2014 DATA\"/>
    </mc:Choice>
  </mc:AlternateContent>
  <bookViews>
    <workbookView xWindow="0" yWindow="0" windowWidth="19275" windowHeight="8970" tabRatio="944"/>
  </bookViews>
  <sheets>
    <sheet name="ATTACHMENT O" sheetId="11" r:id="rId1"/>
    <sheet name="EIA412 Balance sheet" sheetId="1" r:id="rId2"/>
    <sheet name="EIA412 Income Statement" sheetId="4" r:id="rId3"/>
    <sheet name="EIA412 Electric Plant" sheetId="8" r:id="rId4"/>
    <sheet name="EIA412 Taxes" sheetId="7" r:id="rId5"/>
    <sheet name="EIA412 Op &amp; Maint" sheetId="5" r:id="rId6"/>
    <sheet name="EIA412 Sales for Resale" sheetId="6" r:id="rId7"/>
    <sheet name="EIA412 Purchased Power" sheetId="2" r:id="rId8"/>
    <sheet name="EIA412 Notes" sheetId="3" r:id="rId9"/>
    <sheet name="PEAKS" sheetId="10" r:id="rId10"/>
    <sheet name="ELECTRIC PLANT SUMMARY" sheetId="12" r:id="rId11"/>
    <sheet name="EXPENSE DETAILS" sheetId="13" r:id="rId12"/>
    <sheet name="WAGE SALARY" sheetId="9" r:id="rId13"/>
    <sheet name="TARIFF REVENUE" sheetId="14" r:id="rId14"/>
    <sheet name="Sheet1" sheetId="15" r:id="rId15"/>
  </sheets>
  <definedNames>
    <definedName name="_xlnm.Print_Titles" localSheetId="14">Sheet1!$A:$C,Sheet1!$1:$1</definedName>
    <definedName name="_xlnm.Print_Titles" localSheetId="13">'TARIFF REVENUE'!$A:$F,'TARIFF REVENUE'!$1:$1</definedName>
    <definedName name="QB_COLUMN_1" localSheetId="13" hidden="1">'TARIFF REVENUE'!$G$1</definedName>
    <definedName name="QB_COLUMN_16" localSheetId="13" hidden="1">'TARIFF REVENUE'!$S$1</definedName>
    <definedName name="QB_COLUMN_17" localSheetId="13" hidden="1">'TARIFF REVENUE'!$U$1</definedName>
    <definedName name="QB_COLUMN_19" localSheetId="13" hidden="1">'TARIFF REVENUE'!$W$1</definedName>
    <definedName name="QB_COLUMN_20" localSheetId="13" hidden="1">'TARIFF REVENUE'!$Y$1</definedName>
    <definedName name="QB_COLUMN_28" localSheetId="13" hidden="1">'TARIFF REVENUE'!$AA$1</definedName>
    <definedName name="QB_COLUMN_29" localSheetId="13" hidden="1">'TARIFF REVENUE'!$AC$1</definedName>
    <definedName name="QB_COLUMN_3" localSheetId="13" hidden="1">'TARIFF REVENUE'!$I$1</definedName>
    <definedName name="QB_COLUMN_31" localSheetId="13" hidden="1">'TARIFF REVENUE'!$AE$1</definedName>
    <definedName name="QB_COLUMN_4" localSheetId="13" hidden="1">'TARIFF REVENUE'!$K$1</definedName>
    <definedName name="QB_COLUMN_5" localSheetId="13" hidden="1">'TARIFF REVENUE'!$M$1</definedName>
    <definedName name="QB_COLUMN_7" localSheetId="13" hidden="1">'TARIFF REVENUE'!$O$1</definedName>
    <definedName name="QB_COLUMN_8" localSheetId="13" hidden="1">'TARIFF REVENUE'!$Q$1</definedName>
    <definedName name="QB_DATA_0" localSheetId="13" hidden="1">'TARIFF REVENUE'!$5:$5,'TARIFF REVENUE'!$6:$6,'TARIFF REVENUE'!$7:$7,'TARIFF REVENUE'!$8:$8,'TARIFF REVENUE'!$9:$9,'TARIFF REVENUE'!$10:$10,'TARIFF REVENUE'!$11:$11,'TARIFF REVENUE'!$12:$12,'TARIFF REVENUE'!$13:$13,'TARIFF REVENUE'!$14:$14,'TARIFF REVENUE'!$15:$15,'TARIFF REVENUE'!$16:$16,'TARIFF REVENUE'!$19:$19,'TARIFF REVENUE'!$20:$20,'TARIFF REVENUE'!$21:$21,'TARIFF REVENUE'!$22:$22</definedName>
    <definedName name="QB_DATA_1" localSheetId="13" hidden="1">'TARIFF REVENUE'!$23:$23,'TARIFF REVENUE'!$24:$24,'TARIFF REVENUE'!$25:$25,'TARIFF REVENUE'!$26:$26,'TARIFF REVENUE'!$27:$27,'TARIFF REVENUE'!$28:$28,'TARIFF REVENUE'!$29:$29,'TARIFF REVENUE'!$30:$30,'TARIFF REVENUE'!$33:$33,'TARIFF REVENUE'!$34:$34,'TARIFF REVENUE'!$35:$35,'TARIFF REVENUE'!$36:$36,'TARIFF REVENUE'!$37:$37,'TARIFF REVENUE'!$38:$38,'TARIFF REVENUE'!$39:$39,'TARIFF REVENUE'!$40:$40</definedName>
    <definedName name="QB_DATA_2" localSheetId="13" hidden="1">'TARIFF REVENUE'!$41:$41,'TARIFF REVENUE'!$42:$42,'TARIFF REVENUE'!$43:$43,'TARIFF REVENUE'!$44:$44,'TARIFF REVENUE'!$53:$53,'TARIFF REVENUE'!$54:$54,'TARIFF REVENUE'!$55:$55,'TARIFF REVENUE'!$56:$56,'TARIFF REVENUE'!$57:$57,'TARIFF REVENUE'!$58:$58,'TARIFF REVENUE'!$59:$59,'TARIFF REVENUE'!$60:$60,'TARIFF REVENUE'!$61:$61,'TARIFF REVENUE'!$62:$62,'TARIFF REVENUE'!$63:$63,'TARIFF REVENUE'!$64:$64</definedName>
    <definedName name="QB_FORMULA_0" localSheetId="13" hidden="1">'TARIFF REVENUE'!$AA$17,'TARIFF REVENUE'!$AC$17,'TARIFF REVENUE'!$AE$17,'TARIFF REVENUE'!$AA$31,'TARIFF REVENUE'!$AC$31,'TARIFF REVENUE'!$AE$31,'TARIFF REVENUE'!$AA$45,'TARIFF REVENUE'!$AC$45,'TARIFF REVENUE'!$AE$45,'TARIFF REVENUE'!$AA$46,'TARIFF REVENUE'!$AC$46,'TARIFF REVENUE'!$AE$46,'TARIFF REVENUE'!$AA$47,'TARIFF REVENUE'!$AC$47,'TARIFF REVENUE'!$AE$47,'TARIFF REVENUE'!$AA$65</definedName>
    <definedName name="QB_FORMULA_1" localSheetId="13" hidden="1">'TARIFF REVENUE'!$AC$65,'TARIFF REVENUE'!$AE$65,'TARIFF REVENUE'!$AA$66,'TARIFF REVENUE'!$AC$66,'TARIFF REVENUE'!$AE$66,'TARIFF REVENUE'!$AA$67,'TARIFF REVENUE'!$AC$67,'TARIFF REVENUE'!$AE$67,'TARIFF REVENUE'!$AA$68,'TARIFF REVENUE'!$AC$68,'TARIFF REVENUE'!$AE$68,'TARIFF REVENUE'!$AA$69,'TARIFF REVENUE'!$AC$69,'TARIFF REVENUE'!$AE$69,'TARIFF REVENUE'!$AA$70,'TARIFF REVENUE'!$AC$70</definedName>
    <definedName name="QB_FORMULA_2" localSheetId="13" hidden="1">'TARIFF REVENUE'!$AE$70</definedName>
    <definedName name="QB_ROW_1068030" localSheetId="13" hidden="1">'TARIFF REVENUE'!$D$18</definedName>
    <definedName name="QB_ROW_1068330" localSheetId="13" hidden="1">'TARIFF REVENUE'!$D$31</definedName>
    <definedName name="QB_ROW_1069030" localSheetId="13" hidden="1">'TARIFF REVENUE'!$D$32</definedName>
    <definedName name="QB_ROW_1069330" localSheetId="13" hidden="1">'TARIFF REVENUE'!$D$45</definedName>
    <definedName name="QB_ROW_1071040" localSheetId="13" hidden="1">'TARIFF REVENUE'!$E$51</definedName>
    <definedName name="QB_ROW_1071340" localSheetId="13" hidden="1">'TARIFF REVENUE'!$E$66</definedName>
    <definedName name="QB_ROW_1072050" localSheetId="13" hidden="1">'TARIFF REVENUE'!$F$52</definedName>
    <definedName name="QB_ROW_1072350" localSheetId="13" hidden="1">'TARIFF REVENUE'!$F$65</definedName>
    <definedName name="QB_ROW_25301" localSheetId="13" hidden="1">'TARIFF REVENUE'!$A$70</definedName>
    <definedName name="QB_ROW_415020" localSheetId="13" hidden="1">'TARIFF REVENUE'!$C$49</definedName>
    <definedName name="QB_ROW_415320" localSheetId="13" hidden="1">'TARIFF REVENUE'!$C$68</definedName>
    <definedName name="QB_ROW_530010" localSheetId="13" hidden="1">'TARIFF REVENUE'!$B$48</definedName>
    <definedName name="QB_ROW_530310" localSheetId="13" hidden="1">'TARIFF REVENUE'!$B$69</definedName>
    <definedName name="QB_ROW_805010" localSheetId="13" hidden="1">'TARIFF REVENUE'!$B$2</definedName>
    <definedName name="QB_ROW_805310" localSheetId="13" hidden="1">'TARIFF REVENUE'!$B$47</definedName>
    <definedName name="QB_ROW_840020" localSheetId="13" hidden="1">'TARIFF REVENUE'!$C$3</definedName>
    <definedName name="QB_ROW_840320" localSheetId="13" hidden="1">'TARIFF REVENUE'!$C$46</definedName>
    <definedName name="QB_ROW_845030" localSheetId="13" hidden="1">'TARIFF REVENUE'!$D$4</definedName>
    <definedName name="QB_ROW_845330" localSheetId="13" hidden="1">'TARIFF REVENUE'!$D$17</definedName>
    <definedName name="QB_ROW_974030" localSheetId="13" hidden="1">'TARIFF REVENUE'!$D$50</definedName>
    <definedName name="QB_ROW_974330" localSheetId="13" hidden="1">'TARIFF REVENUE'!$D$67</definedName>
    <definedName name="QBCANSUPPORTUPDATE" localSheetId="13">TRUE</definedName>
    <definedName name="QBCOMPANYFILENAME" localSheetId="13">"H:\QUICKBOOKS\UTILITIES PLUS.QBW"</definedName>
    <definedName name="QBENDDATE" localSheetId="13">20141231</definedName>
    <definedName name="QBHEADERSONSCREEN" localSheetId="13">FALSE</definedName>
    <definedName name="QBMETADATASIZE" localSheetId="13">7466</definedName>
    <definedName name="QBPRESERVECOLOR" localSheetId="13">TRUE</definedName>
    <definedName name="QBPRESERVEFONT" localSheetId="13">TRUE</definedName>
    <definedName name="QBPRESERVEROWHEIGHT" localSheetId="13">TRUE</definedName>
    <definedName name="QBPRESERVESPACE" localSheetId="13">TRUE</definedName>
    <definedName name="QBREPORTCOLAXIS" localSheetId="13">0</definedName>
    <definedName name="QBREPORTCOMPANYID" localSheetId="13">"bf4546971b1f46298ba13004a1d6ad14"</definedName>
    <definedName name="QBREPORTCOMPARECOL_ANNUALBUDGET" localSheetId="13">FALSE</definedName>
    <definedName name="QBREPORTCOMPARECOL_AVGCOGS" localSheetId="13">FALSE</definedName>
    <definedName name="QBREPORTCOMPARECOL_AVGPRICE" localSheetId="13">FALSE</definedName>
    <definedName name="QBREPORTCOMPARECOL_BUDDIFF" localSheetId="13">FALSE</definedName>
    <definedName name="QBREPORTCOMPARECOL_BUDGET" localSheetId="13">FALSE</definedName>
    <definedName name="QBREPORTCOMPARECOL_BUDPCT" localSheetId="13">FALSE</definedName>
    <definedName name="QBREPORTCOMPARECOL_COGS" localSheetId="13">FALSE</definedName>
    <definedName name="QBREPORTCOMPARECOL_EXCLUDEAMOUNT" localSheetId="13">FALSE</definedName>
    <definedName name="QBREPORTCOMPARECOL_EXCLUDECURPERIOD" localSheetId="13">FALSE</definedName>
    <definedName name="QBREPORTCOMPARECOL_FORECAST" localSheetId="13">FALSE</definedName>
    <definedName name="QBREPORTCOMPARECOL_GROSSMARGIN" localSheetId="13">FALSE</definedName>
    <definedName name="QBREPORTCOMPARECOL_GROSSMARGINPCT" localSheetId="13">FALSE</definedName>
    <definedName name="QBREPORTCOMPARECOL_HOURS" localSheetId="13">FALSE</definedName>
    <definedName name="QBREPORTCOMPARECOL_PCTCOL" localSheetId="13">FALSE</definedName>
    <definedName name="QBREPORTCOMPARECOL_PCTEXPENSE" localSheetId="13">FALSE</definedName>
    <definedName name="QBREPORTCOMPARECOL_PCTINCOME" localSheetId="13">FALSE</definedName>
    <definedName name="QBREPORTCOMPARECOL_PCTOFSALES" localSheetId="13">FALSE</definedName>
    <definedName name="QBREPORTCOMPARECOL_PCTROW" localSheetId="13">FALSE</definedName>
    <definedName name="QBREPORTCOMPARECOL_PPDIFF" localSheetId="13">FALSE</definedName>
    <definedName name="QBREPORTCOMPARECOL_PPPCT" localSheetId="13">FALSE</definedName>
    <definedName name="QBREPORTCOMPARECOL_PREVPERIOD" localSheetId="13">FALSE</definedName>
    <definedName name="QBREPORTCOMPARECOL_PREVYEAR" localSheetId="13">FALSE</definedName>
    <definedName name="QBREPORTCOMPARECOL_PYDIFF" localSheetId="13">FALSE</definedName>
    <definedName name="QBREPORTCOMPARECOL_PYPCT" localSheetId="13">FALSE</definedName>
    <definedName name="QBREPORTCOMPARECOL_QTY" localSheetId="13">FALSE</definedName>
    <definedName name="QBREPORTCOMPARECOL_RATE" localSheetId="13">FALSE</definedName>
    <definedName name="QBREPORTCOMPARECOL_TRIPBILLEDMILES" localSheetId="13">FALSE</definedName>
    <definedName name="QBREPORTCOMPARECOL_TRIPBILLINGAMOUNT" localSheetId="13">FALSE</definedName>
    <definedName name="QBREPORTCOMPARECOL_TRIPMILES" localSheetId="13">FALSE</definedName>
    <definedName name="QBREPORTCOMPARECOL_TRIPNOTBILLABLEMILES" localSheetId="13">FALSE</definedName>
    <definedName name="QBREPORTCOMPARECOL_TRIPTAXDEDUCTIBLEAMOUNT" localSheetId="13">FALSE</definedName>
    <definedName name="QBREPORTCOMPARECOL_TRIPUNBILLEDMILES" localSheetId="13">FALSE</definedName>
    <definedName name="QBREPORTCOMPARECOL_YTD" localSheetId="13">FALSE</definedName>
    <definedName name="QBREPORTCOMPARECOL_YTDBUDGET" localSheetId="13">FALSE</definedName>
    <definedName name="QBREPORTCOMPARECOL_YTDPCT" localSheetId="13">FALSE</definedName>
    <definedName name="QBREPORTROWAXIS" localSheetId="13">12</definedName>
    <definedName name="QBREPORTSUBCOLAXIS" localSheetId="13">0</definedName>
    <definedName name="QBREPORTTYPE" localSheetId="13">23</definedName>
    <definedName name="QBROWHEADERS" localSheetId="13">6</definedName>
    <definedName name="QBSTARTDATE" localSheetId="13">20140101</definedName>
  </definedNames>
  <calcPr calcId="152511"/>
</workbook>
</file>

<file path=xl/calcChain.xml><?xml version="1.0" encoding="utf-8"?>
<calcChain xmlns="http://schemas.openxmlformats.org/spreadsheetml/2006/main">
  <c r="A4" i="8" l="1"/>
  <c r="D276" i="11" l="1"/>
  <c r="D275" i="11"/>
  <c r="I274" i="11"/>
  <c r="C274" i="11"/>
  <c r="B274" i="11"/>
  <c r="I22" i="11"/>
  <c r="C8" i="4" l="1"/>
  <c r="F34" i="5"/>
  <c r="H127" i="13"/>
  <c r="H130" i="13" s="1"/>
  <c r="C15" i="5" l="1"/>
  <c r="G9" i="2"/>
  <c r="C75" i="13"/>
  <c r="C115" i="13"/>
  <c r="C112" i="13"/>
  <c r="C110" i="13"/>
  <c r="C94" i="13"/>
  <c r="C106" i="13"/>
  <c r="C105" i="13"/>
  <c r="C41" i="13"/>
  <c r="C44" i="13"/>
  <c r="C50" i="13"/>
  <c r="C38" i="13"/>
  <c r="C51" i="13"/>
  <c r="C92" i="13"/>
  <c r="C60" i="13"/>
  <c r="C57" i="13"/>
  <c r="C59" i="13"/>
  <c r="C58" i="13"/>
  <c r="C70" i="13"/>
  <c r="C66" i="13"/>
  <c r="C69" i="13"/>
  <c r="C67" i="13"/>
  <c r="C96" i="13"/>
  <c r="C87" i="13"/>
  <c r="C102" i="13"/>
  <c r="C85" i="13"/>
  <c r="C99" i="13"/>
  <c r="C101" i="13"/>
  <c r="C86" i="13"/>
  <c r="C104" i="13"/>
  <c r="C107" i="13"/>
  <c r="I27" i="11"/>
  <c r="T5" i="10"/>
  <c r="H578" i="10"/>
  <c r="G578" i="10"/>
  <c r="H577" i="10"/>
  <c r="G577" i="10"/>
  <c r="H576" i="10"/>
  <c r="G576" i="10"/>
  <c r="H575" i="10"/>
  <c r="G575" i="10"/>
  <c r="H574" i="10"/>
  <c r="G574" i="10"/>
  <c r="H573" i="10"/>
  <c r="G573" i="10"/>
  <c r="H572" i="10"/>
  <c r="G572" i="10"/>
  <c r="H571" i="10"/>
  <c r="G571" i="10"/>
  <c r="H570" i="10"/>
  <c r="G570" i="10"/>
  <c r="H569" i="10"/>
  <c r="G569" i="10"/>
  <c r="H568" i="10"/>
  <c r="G568" i="10"/>
  <c r="H567" i="10"/>
  <c r="G567" i="10"/>
  <c r="H566" i="10"/>
  <c r="G566" i="10"/>
  <c r="H565" i="10"/>
  <c r="G565" i="10"/>
  <c r="H564" i="10"/>
  <c r="G564" i="10"/>
  <c r="H563" i="10"/>
  <c r="G563" i="10"/>
  <c r="H562" i="10"/>
  <c r="G562" i="10"/>
  <c r="H561" i="10"/>
  <c r="G561" i="10"/>
  <c r="H560" i="10"/>
  <c r="G560" i="10"/>
  <c r="H559" i="10"/>
  <c r="G559" i="10"/>
  <c r="H558" i="10"/>
  <c r="G558" i="10"/>
  <c r="H557" i="10"/>
  <c r="G557" i="10"/>
  <c r="H556" i="10"/>
  <c r="G556" i="10"/>
  <c r="H555" i="10"/>
  <c r="G555" i="10"/>
  <c r="H554" i="10"/>
  <c r="G554" i="10"/>
  <c r="H553" i="10"/>
  <c r="G553" i="10"/>
  <c r="H552" i="10"/>
  <c r="G552" i="10"/>
  <c r="H551" i="10"/>
  <c r="G551" i="10"/>
  <c r="H550" i="10"/>
  <c r="G550" i="10"/>
  <c r="H549" i="10"/>
  <c r="G549" i="10"/>
  <c r="H548" i="10"/>
  <c r="G548" i="10"/>
  <c r="H547" i="10"/>
  <c r="G547" i="10"/>
  <c r="H546" i="10"/>
  <c r="G546" i="10"/>
  <c r="H545" i="10"/>
  <c r="G545" i="10"/>
  <c r="H544" i="10"/>
  <c r="G544" i="10"/>
  <c r="H543" i="10"/>
  <c r="G543" i="10"/>
  <c r="H542" i="10"/>
  <c r="G542" i="10"/>
  <c r="H541" i="10"/>
  <c r="G541" i="10"/>
  <c r="H540" i="10"/>
  <c r="G540" i="10"/>
  <c r="H539" i="10"/>
  <c r="G539" i="10"/>
  <c r="H538" i="10"/>
  <c r="G538" i="10"/>
  <c r="H537" i="10"/>
  <c r="G537" i="10"/>
  <c r="H536" i="10"/>
  <c r="G536" i="10"/>
  <c r="H535" i="10"/>
  <c r="G535" i="10"/>
  <c r="H534" i="10"/>
  <c r="G534" i="10"/>
  <c r="H533" i="10"/>
  <c r="G533" i="10"/>
  <c r="H532" i="10"/>
  <c r="G532" i="10"/>
  <c r="H531" i="10"/>
  <c r="G531" i="10"/>
  <c r="H530" i="10"/>
  <c r="G530" i="10"/>
  <c r="H529" i="10"/>
  <c r="G529" i="10"/>
  <c r="H528" i="10"/>
  <c r="G528" i="10"/>
  <c r="H527" i="10"/>
  <c r="G527" i="10"/>
  <c r="H526" i="10"/>
  <c r="G526" i="10"/>
  <c r="H525" i="10"/>
  <c r="G525" i="10"/>
  <c r="H524" i="10"/>
  <c r="G524" i="10"/>
  <c r="H523" i="10"/>
  <c r="G523" i="10"/>
  <c r="H522" i="10"/>
  <c r="G522" i="10"/>
  <c r="H521" i="10"/>
  <c r="G521" i="10"/>
  <c r="H520" i="10"/>
  <c r="G520" i="10"/>
  <c r="H519" i="10"/>
  <c r="G519" i="10"/>
  <c r="H518" i="10"/>
  <c r="G518" i="10"/>
  <c r="H517" i="10"/>
  <c r="G517" i="10"/>
  <c r="H516" i="10"/>
  <c r="G516" i="10"/>
  <c r="H515" i="10"/>
  <c r="G515" i="10"/>
  <c r="H514" i="10"/>
  <c r="G514" i="10"/>
  <c r="H513" i="10"/>
  <c r="G513" i="10"/>
  <c r="H512" i="10"/>
  <c r="G512" i="10"/>
  <c r="H511" i="10"/>
  <c r="G511" i="10"/>
  <c r="H510" i="10"/>
  <c r="G510" i="10"/>
  <c r="H509" i="10"/>
  <c r="G509" i="10"/>
  <c r="H508" i="10"/>
  <c r="G508" i="10"/>
  <c r="H507" i="10"/>
  <c r="G507" i="10"/>
  <c r="H506" i="10"/>
  <c r="G506" i="10"/>
  <c r="H505" i="10"/>
  <c r="G505" i="10"/>
  <c r="H504" i="10"/>
  <c r="G504" i="10"/>
  <c r="H503" i="10"/>
  <c r="G503" i="10"/>
  <c r="H502" i="10"/>
  <c r="G502" i="10"/>
  <c r="H501" i="10"/>
  <c r="G501" i="10"/>
  <c r="H500" i="10"/>
  <c r="G500" i="10"/>
  <c r="H499" i="10"/>
  <c r="G499" i="10"/>
  <c r="H498" i="10"/>
  <c r="G498" i="10"/>
  <c r="H497" i="10"/>
  <c r="G497" i="10"/>
  <c r="H496" i="10"/>
  <c r="G496" i="10"/>
  <c r="H495" i="10"/>
  <c r="G495" i="10"/>
  <c r="H494" i="10"/>
  <c r="G494" i="10"/>
  <c r="H493" i="10"/>
  <c r="G493" i="10"/>
  <c r="H492" i="10"/>
  <c r="G492" i="10"/>
  <c r="H491" i="10"/>
  <c r="G491" i="10"/>
  <c r="H490" i="10"/>
  <c r="G490" i="10"/>
  <c r="H489" i="10"/>
  <c r="G489" i="10"/>
  <c r="H488" i="10"/>
  <c r="G488" i="10"/>
  <c r="H487" i="10"/>
  <c r="G487" i="10"/>
  <c r="H486" i="10"/>
  <c r="G486" i="10"/>
  <c r="H485" i="10"/>
  <c r="G485" i="10"/>
  <c r="H484" i="10"/>
  <c r="G484" i="10"/>
  <c r="H483" i="10"/>
  <c r="G483" i="10"/>
  <c r="H482" i="10"/>
  <c r="G482" i="10"/>
  <c r="H481" i="10"/>
  <c r="G481" i="10"/>
  <c r="H480" i="10"/>
  <c r="G480" i="10"/>
  <c r="H479" i="10"/>
  <c r="G479" i="10"/>
  <c r="H478" i="10"/>
  <c r="G478" i="10"/>
  <c r="H477" i="10"/>
  <c r="G477" i="10"/>
  <c r="H476" i="10"/>
  <c r="G476" i="10"/>
  <c r="H475" i="10"/>
  <c r="G475" i="10"/>
  <c r="H474" i="10"/>
  <c r="G474" i="10"/>
  <c r="H473" i="10"/>
  <c r="G473" i="10"/>
  <c r="H472" i="10"/>
  <c r="G472" i="10"/>
  <c r="H471" i="10"/>
  <c r="G471" i="10"/>
  <c r="H470" i="10"/>
  <c r="G470" i="10"/>
  <c r="H469" i="10"/>
  <c r="G469" i="10"/>
  <c r="H468" i="10"/>
  <c r="G468" i="10"/>
  <c r="H467" i="10"/>
  <c r="G467" i="10"/>
  <c r="H466" i="10"/>
  <c r="G466" i="10"/>
  <c r="H465" i="10"/>
  <c r="G465" i="10"/>
  <c r="H464" i="10"/>
  <c r="G464" i="10"/>
  <c r="H463" i="10"/>
  <c r="G463" i="10"/>
  <c r="H462" i="10"/>
  <c r="G462" i="10"/>
  <c r="H461" i="10"/>
  <c r="G461" i="10"/>
  <c r="H460" i="10"/>
  <c r="G460" i="10"/>
  <c r="H459" i="10"/>
  <c r="G459" i="10"/>
  <c r="H458" i="10"/>
  <c r="G458" i="10"/>
  <c r="H457" i="10"/>
  <c r="G457" i="10"/>
  <c r="H456" i="10"/>
  <c r="G456" i="10"/>
  <c r="H455" i="10"/>
  <c r="G455" i="10"/>
  <c r="H454" i="10"/>
  <c r="G454" i="10"/>
  <c r="H453" i="10"/>
  <c r="G453" i="10"/>
  <c r="H452" i="10"/>
  <c r="G452" i="10"/>
  <c r="H451" i="10"/>
  <c r="G451" i="10"/>
  <c r="H450" i="10"/>
  <c r="G450" i="10"/>
  <c r="H449" i="10"/>
  <c r="G449" i="10"/>
  <c r="H448" i="10"/>
  <c r="G448" i="10"/>
  <c r="H447" i="10"/>
  <c r="G447" i="10"/>
  <c r="H446" i="10"/>
  <c r="G446" i="10"/>
  <c r="H445" i="10"/>
  <c r="G445" i="10"/>
  <c r="H444" i="10"/>
  <c r="G444" i="10"/>
  <c r="H443" i="10"/>
  <c r="G443" i="10"/>
  <c r="H442" i="10"/>
  <c r="G442" i="10"/>
  <c r="H441" i="10"/>
  <c r="G441" i="10"/>
  <c r="H440" i="10"/>
  <c r="G440" i="10"/>
  <c r="H439" i="10"/>
  <c r="G439" i="10"/>
  <c r="H438" i="10"/>
  <c r="G438" i="10"/>
  <c r="H437" i="10"/>
  <c r="G437" i="10"/>
  <c r="H436" i="10"/>
  <c r="G436" i="10"/>
  <c r="H435" i="10"/>
  <c r="G435" i="10"/>
  <c r="H434" i="10"/>
  <c r="G434" i="10"/>
  <c r="H433" i="10"/>
  <c r="G433" i="10"/>
  <c r="H432" i="10"/>
  <c r="G432" i="10"/>
  <c r="H431" i="10"/>
  <c r="G431" i="10"/>
  <c r="H430" i="10"/>
  <c r="G430" i="10"/>
  <c r="H429" i="10"/>
  <c r="G429" i="10"/>
  <c r="H428" i="10"/>
  <c r="G428" i="10"/>
  <c r="H427" i="10"/>
  <c r="G427" i="10"/>
  <c r="H426" i="10"/>
  <c r="G426" i="10"/>
  <c r="H425" i="10"/>
  <c r="G425" i="10"/>
  <c r="H424" i="10"/>
  <c r="G424" i="10"/>
  <c r="H423" i="10"/>
  <c r="G423" i="10"/>
  <c r="H422" i="10"/>
  <c r="G422" i="10"/>
  <c r="H421" i="10"/>
  <c r="G421" i="10"/>
  <c r="H420" i="10"/>
  <c r="G420" i="10"/>
  <c r="H419" i="10"/>
  <c r="G419" i="10"/>
  <c r="H418" i="10"/>
  <c r="G418" i="10"/>
  <c r="H417" i="10"/>
  <c r="G417" i="10"/>
  <c r="H416" i="10"/>
  <c r="G416" i="10"/>
  <c r="H415" i="10"/>
  <c r="G415" i="10"/>
  <c r="H414" i="10"/>
  <c r="G414" i="10"/>
  <c r="H413" i="10"/>
  <c r="G413" i="10"/>
  <c r="H412" i="10"/>
  <c r="G412" i="10"/>
  <c r="H411" i="10"/>
  <c r="G411" i="10"/>
  <c r="H410" i="10"/>
  <c r="G410" i="10"/>
  <c r="H409" i="10"/>
  <c r="G409" i="10"/>
  <c r="H408" i="10"/>
  <c r="G408" i="10"/>
  <c r="H407" i="10"/>
  <c r="G407" i="10"/>
  <c r="H406" i="10"/>
  <c r="G406" i="10"/>
  <c r="H405" i="10"/>
  <c r="G405" i="10"/>
  <c r="H404" i="10"/>
  <c r="G404" i="10"/>
  <c r="H403" i="10"/>
  <c r="G403" i="10"/>
  <c r="H402" i="10"/>
  <c r="G402" i="10"/>
  <c r="H401" i="10"/>
  <c r="G401" i="10"/>
  <c r="H400" i="10"/>
  <c r="G400" i="10"/>
  <c r="H399" i="10"/>
  <c r="G399" i="10"/>
  <c r="H398" i="10"/>
  <c r="G398" i="10"/>
  <c r="H397" i="10"/>
  <c r="G397" i="10"/>
  <c r="H396" i="10"/>
  <c r="G396" i="10"/>
  <c r="H395" i="10"/>
  <c r="G395" i="10"/>
  <c r="H394" i="10"/>
  <c r="G394" i="10"/>
  <c r="H393" i="10"/>
  <c r="G393" i="10"/>
  <c r="H392" i="10"/>
  <c r="G392" i="10"/>
  <c r="H391" i="10"/>
  <c r="G391" i="10"/>
  <c r="H390" i="10"/>
  <c r="G390" i="10"/>
  <c r="H389" i="10"/>
  <c r="G389" i="10"/>
  <c r="H388" i="10"/>
  <c r="G388" i="10"/>
  <c r="H387" i="10"/>
  <c r="G387" i="10"/>
  <c r="H386" i="10"/>
  <c r="G386" i="10"/>
  <c r="H385" i="10"/>
  <c r="G385" i="10"/>
  <c r="H384" i="10"/>
  <c r="G384" i="10"/>
  <c r="H383" i="10"/>
  <c r="G383" i="10"/>
  <c r="H382" i="10"/>
  <c r="G382" i="10"/>
  <c r="H381" i="10"/>
  <c r="G381" i="10"/>
  <c r="H380" i="10"/>
  <c r="G380" i="10"/>
  <c r="H379" i="10"/>
  <c r="G379" i="10"/>
  <c r="H378" i="10"/>
  <c r="G378" i="10"/>
  <c r="H377" i="10"/>
  <c r="G377" i="10"/>
  <c r="H376" i="10"/>
  <c r="G376" i="10"/>
  <c r="H375" i="10"/>
  <c r="G375" i="10"/>
  <c r="H374" i="10"/>
  <c r="G374" i="10"/>
  <c r="H373" i="10"/>
  <c r="G373" i="10"/>
  <c r="H372" i="10"/>
  <c r="G372" i="10"/>
  <c r="H371" i="10"/>
  <c r="G371" i="10"/>
  <c r="H370" i="10"/>
  <c r="G370" i="10"/>
  <c r="H369" i="10"/>
  <c r="G369" i="10"/>
  <c r="H368" i="10"/>
  <c r="G368" i="10"/>
  <c r="H367" i="10"/>
  <c r="G367" i="10"/>
  <c r="H366" i="10"/>
  <c r="G366" i="10"/>
  <c r="H365" i="10"/>
  <c r="G365" i="10"/>
  <c r="H364" i="10"/>
  <c r="G364" i="10"/>
  <c r="H363" i="10"/>
  <c r="G363" i="10"/>
  <c r="H362" i="10"/>
  <c r="G362" i="10"/>
  <c r="H361" i="10"/>
  <c r="G361" i="10"/>
  <c r="H360" i="10"/>
  <c r="G360" i="10"/>
  <c r="H359" i="10"/>
  <c r="G359" i="10"/>
  <c r="H358" i="10"/>
  <c r="G358" i="10"/>
  <c r="H357" i="10"/>
  <c r="G357" i="10"/>
  <c r="H356" i="10"/>
  <c r="G356" i="10"/>
  <c r="H355" i="10"/>
  <c r="G355" i="10"/>
  <c r="H354" i="10"/>
  <c r="G354" i="10"/>
  <c r="H353" i="10"/>
  <c r="G353" i="10"/>
  <c r="H352" i="10"/>
  <c r="G352" i="10"/>
  <c r="H351" i="10"/>
  <c r="G351" i="10"/>
  <c r="H350" i="10"/>
  <c r="G350" i="10"/>
  <c r="H349" i="10"/>
  <c r="G349" i="10"/>
  <c r="H348" i="10"/>
  <c r="G348" i="10"/>
  <c r="H347" i="10"/>
  <c r="G347" i="10"/>
  <c r="H346" i="10"/>
  <c r="G346" i="10"/>
  <c r="H345" i="10"/>
  <c r="G345" i="10"/>
  <c r="H344" i="10"/>
  <c r="G344" i="10"/>
  <c r="H343" i="10"/>
  <c r="G343" i="10"/>
  <c r="H342" i="10"/>
  <c r="G342" i="10"/>
  <c r="H341" i="10"/>
  <c r="G341" i="10"/>
  <c r="H340" i="10"/>
  <c r="G340" i="10"/>
  <c r="H339" i="10"/>
  <c r="G339" i="10"/>
  <c r="H338" i="10"/>
  <c r="G338" i="10"/>
  <c r="H337" i="10"/>
  <c r="G337" i="10"/>
  <c r="H336" i="10"/>
  <c r="G336" i="10"/>
  <c r="H335" i="10"/>
  <c r="G335" i="10"/>
  <c r="H334" i="10"/>
  <c r="G334" i="10"/>
  <c r="H333" i="10"/>
  <c r="G333" i="10"/>
  <c r="H332" i="10"/>
  <c r="G332" i="10"/>
  <c r="H331" i="10"/>
  <c r="G331" i="10"/>
  <c r="H330" i="10"/>
  <c r="G330" i="10"/>
  <c r="H329" i="10"/>
  <c r="G329" i="10"/>
  <c r="H328" i="10"/>
  <c r="G328" i="10"/>
  <c r="H327" i="10"/>
  <c r="G327" i="10"/>
  <c r="H326" i="10"/>
  <c r="G326" i="10"/>
  <c r="H325" i="10"/>
  <c r="G325" i="10"/>
  <c r="H324" i="10"/>
  <c r="G324" i="10"/>
  <c r="H323" i="10"/>
  <c r="G323" i="10"/>
  <c r="H322" i="10"/>
  <c r="G322" i="10"/>
  <c r="H321" i="10"/>
  <c r="G321" i="10"/>
  <c r="H320" i="10"/>
  <c r="G320" i="10"/>
  <c r="H319" i="10"/>
  <c r="G319" i="10"/>
  <c r="H318" i="10"/>
  <c r="G318" i="10"/>
  <c r="H317" i="10"/>
  <c r="G317" i="10"/>
  <c r="H316" i="10"/>
  <c r="G316" i="10"/>
  <c r="H315" i="10"/>
  <c r="G315" i="10"/>
  <c r="H314" i="10"/>
  <c r="G314" i="10"/>
  <c r="H313" i="10"/>
  <c r="G313" i="10"/>
  <c r="H312" i="10"/>
  <c r="G312" i="10"/>
  <c r="H311" i="10"/>
  <c r="G311" i="10"/>
  <c r="H310" i="10"/>
  <c r="G310" i="10"/>
  <c r="H309" i="10"/>
  <c r="G309" i="10"/>
  <c r="H308" i="10"/>
  <c r="G308" i="10"/>
  <c r="H307" i="10"/>
  <c r="G307" i="10"/>
  <c r="H306" i="10"/>
  <c r="G306" i="10"/>
  <c r="H305" i="10"/>
  <c r="G305" i="10"/>
  <c r="H304" i="10"/>
  <c r="G304" i="10"/>
  <c r="H303" i="10"/>
  <c r="G303" i="10"/>
  <c r="H302" i="10"/>
  <c r="G302" i="10"/>
  <c r="H301" i="10"/>
  <c r="G301" i="10"/>
  <c r="H300" i="10"/>
  <c r="G300" i="10"/>
  <c r="H299" i="10"/>
  <c r="G299" i="10"/>
  <c r="H298" i="10"/>
  <c r="G298" i="10"/>
  <c r="H297" i="10"/>
  <c r="G297" i="10"/>
  <c r="H296" i="10"/>
  <c r="G296" i="10"/>
  <c r="H295" i="10"/>
  <c r="G295" i="10"/>
  <c r="H294" i="10"/>
  <c r="G294" i="10"/>
  <c r="H293" i="10"/>
  <c r="G293" i="10"/>
  <c r="H292" i="10"/>
  <c r="G292" i="10"/>
  <c r="H291" i="10"/>
  <c r="G291" i="10"/>
  <c r="H290" i="10"/>
  <c r="G290" i="10"/>
  <c r="H289" i="10"/>
  <c r="G289" i="10"/>
  <c r="H288" i="10"/>
  <c r="G288" i="10"/>
  <c r="H287" i="10"/>
  <c r="G287" i="10"/>
  <c r="H286" i="10"/>
  <c r="G286" i="10"/>
  <c r="H285" i="10"/>
  <c r="G285" i="10"/>
  <c r="H284" i="10"/>
  <c r="G284" i="10"/>
  <c r="H283" i="10"/>
  <c r="G283" i="10"/>
  <c r="H282" i="10"/>
  <c r="G282" i="10"/>
  <c r="H281" i="10"/>
  <c r="G281" i="10"/>
  <c r="H280" i="10"/>
  <c r="G280" i="10"/>
  <c r="H279" i="10"/>
  <c r="G279" i="10"/>
  <c r="H278" i="10"/>
  <c r="G278" i="10"/>
  <c r="H277" i="10"/>
  <c r="G277" i="10"/>
  <c r="H276" i="10"/>
  <c r="G276" i="10"/>
  <c r="H275" i="10"/>
  <c r="G275" i="10"/>
  <c r="H274" i="10"/>
  <c r="G274" i="10"/>
  <c r="H273" i="10"/>
  <c r="G273" i="10"/>
  <c r="H272" i="10"/>
  <c r="G272" i="10"/>
  <c r="H271" i="10"/>
  <c r="G271" i="10"/>
  <c r="H270" i="10"/>
  <c r="G270" i="10"/>
  <c r="H269" i="10"/>
  <c r="G269" i="10"/>
  <c r="H268" i="10"/>
  <c r="G268" i="10"/>
  <c r="H267" i="10"/>
  <c r="G267" i="10"/>
  <c r="H266" i="10"/>
  <c r="G266" i="10"/>
  <c r="H265" i="10"/>
  <c r="G265" i="10"/>
  <c r="H264" i="10"/>
  <c r="G264" i="10"/>
  <c r="H263" i="10"/>
  <c r="G263" i="10"/>
  <c r="H262" i="10"/>
  <c r="G262" i="10"/>
  <c r="H261" i="10"/>
  <c r="G261" i="10"/>
  <c r="H260" i="10"/>
  <c r="G260" i="10"/>
  <c r="H259" i="10"/>
  <c r="G259" i="10"/>
  <c r="H258" i="10"/>
  <c r="G258" i="10"/>
  <c r="H257" i="10"/>
  <c r="G257" i="10"/>
  <c r="H256" i="10"/>
  <c r="G256" i="10"/>
  <c r="H255" i="10"/>
  <c r="G255" i="10"/>
  <c r="H254" i="10"/>
  <c r="G254" i="10"/>
  <c r="H253" i="10"/>
  <c r="G253" i="10"/>
  <c r="H252" i="10"/>
  <c r="G252" i="10"/>
  <c r="H251" i="10"/>
  <c r="G251" i="10"/>
  <c r="H250" i="10"/>
  <c r="G250" i="10"/>
  <c r="H249" i="10"/>
  <c r="G249" i="10"/>
  <c r="H248" i="10"/>
  <c r="G248" i="10"/>
  <c r="H247" i="10"/>
  <c r="G247" i="10"/>
  <c r="H246" i="10"/>
  <c r="G246" i="10"/>
  <c r="H245" i="10"/>
  <c r="G245" i="10"/>
  <c r="H244" i="10"/>
  <c r="G244" i="10"/>
  <c r="H243" i="10"/>
  <c r="G243" i="10"/>
  <c r="H242" i="10"/>
  <c r="G242" i="10"/>
  <c r="H241" i="10"/>
  <c r="G241" i="10"/>
  <c r="H240" i="10"/>
  <c r="G240" i="10"/>
  <c r="H239" i="10"/>
  <c r="G239" i="10"/>
  <c r="H238" i="10"/>
  <c r="G238" i="10"/>
  <c r="H237" i="10"/>
  <c r="G237" i="10"/>
  <c r="H236" i="10"/>
  <c r="G236" i="10"/>
  <c r="H235" i="10"/>
  <c r="G235" i="10"/>
  <c r="H234" i="10"/>
  <c r="G234" i="10"/>
  <c r="H233" i="10"/>
  <c r="G233" i="10"/>
  <c r="H232" i="10"/>
  <c r="G232" i="10"/>
  <c r="H231" i="10"/>
  <c r="G231" i="10"/>
  <c r="H230" i="10"/>
  <c r="G230" i="10"/>
  <c r="H229" i="10"/>
  <c r="G229" i="10"/>
  <c r="H228" i="10"/>
  <c r="G228" i="10"/>
  <c r="H227" i="10"/>
  <c r="G227" i="10"/>
  <c r="H226" i="10"/>
  <c r="G226" i="10"/>
  <c r="H225" i="10"/>
  <c r="G225" i="10"/>
  <c r="H224" i="10"/>
  <c r="G224" i="10"/>
  <c r="H223" i="10"/>
  <c r="G223" i="10"/>
  <c r="H222" i="10"/>
  <c r="G222" i="10"/>
  <c r="H221" i="10"/>
  <c r="G221" i="10"/>
  <c r="H220" i="10"/>
  <c r="G220" i="10"/>
  <c r="H219" i="10"/>
  <c r="G219" i="10"/>
  <c r="H218" i="10"/>
  <c r="G218" i="10"/>
  <c r="H217" i="10"/>
  <c r="G217" i="10"/>
  <c r="H216" i="10"/>
  <c r="G216" i="10"/>
  <c r="H215" i="10"/>
  <c r="G215" i="10"/>
  <c r="H214" i="10"/>
  <c r="G214" i="10"/>
  <c r="H213" i="10"/>
  <c r="G213" i="10"/>
  <c r="H212" i="10"/>
  <c r="G212" i="10"/>
  <c r="H211" i="10"/>
  <c r="G211" i="10"/>
  <c r="H210" i="10"/>
  <c r="G210" i="10"/>
  <c r="H209" i="10"/>
  <c r="G209" i="10"/>
  <c r="H208" i="10"/>
  <c r="G208" i="10"/>
  <c r="H207" i="10"/>
  <c r="G207" i="10"/>
  <c r="H206" i="10"/>
  <c r="G206" i="10"/>
  <c r="H205" i="10"/>
  <c r="G205" i="10"/>
  <c r="H204" i="10"/>
  <c r="G204" i="10"/>
  <c r="H203" i="10"/>
  <c r="G203" i="10"/>
  <c r="H202" i="10"/>
  <c r="G202" i="10"/>
  <c r="H201" i="10"/>
  <c r="G201" i="10"/>
  <c r="H200" i="10"/>
  <c r="G200" i="10"/>
  <c r="H199" i="10"/>
  <c r="G199" i="10"/>
  <c r="H198" i="10"/>
  <c r="G198" i="10"/>
  <c r="H197" i="10"/>
  <c r="G197" i="10"/>
  <c r="H196" i="10"/>
  <c r="G196" i="10"/>
  <c r="H195" i="10"/>
  <c r="G195" i="10"/>
  <c r="H194" i="10"/>
  <c r="G194" i="10"/>
  <c r="H193" i="10"/>
  <c r="G193" i="10"/>
  <c r="H192" i="10"/>
  <c r="G192" i="10"/>
  <c r="H191" i="10"/>
  <c r="G191" i="10"/>
  <c r="H190" i="10"/>
  <c r="G190" i="10"/>
  <c r="H189" i="10"/>
  <c r="G189" i="10"/>
  <c r="H188" i="10"/>
  <c r="G188" i="10"/>
  <c r="H187" i="10"/>
  <c r="G187" i="10"/>
  <c r="H186" i="10"/>
  <c r="G186" i="10"/>
  <c r="H185" i="10"/>
  <c r="G185" i="10"/>
  <c r="H184" i="10"/>
  <c r="G184" i="10"/>
  <c r="H183" i="10"/>
  <c r="G183" i="10"/>
  <c r="H182" i="10"/>
  <c r="G182" i="10"/>
  <c r="H181" i="10"/>
  <c r="G181" i="10"/>
  <c r="H180" i="10"/>
  <c r="G180" i="10"/>
  <c r="H179" i="10"/>
  <c r="G179" i="10"/>
  <c r="H178" i="10"/>
  <c r="G178" i="10"/>
  <c r="H177" i="10"/>
  <c r="G177" i="10"/>
  <c r="H176" i="10"/>
  <c r="G176" i="10"/>
  <c r="H175" i="10"/>
  <c r="G175" i="10"/>
  <c r="H174" i="10"/>
  <c r="G174" i="10"/>
  <c r="H173" i="10"/>
  <c r="G173" i="10"/>
  <c r="H172" i="10"/>
  <c r="G172" i="10"/>
  <c r="H171" i="10"/>
  <c r="G171" i="10"/>
  <c r="H170" i="10"/>
  <c r="G170" i="10"/>
  <c r="H169" i="10"/>
  <c r="G169" i="10"/>
  <c r="H168" i="10"/>
  <c r="G168" i="10"/>
  <c r="H167" i="10"/>
  <c r="G167" i="10"/>
  <c r="H166" i="10"/>
  <c r="G166" i="10"/>
  <c r="H165" i="10"/>
  <c r="G165" i="10"/>
  <c r="H164" i="10"/>
  <c r="G164" i="10"/>
  <c r="H163" i="10"/>
  <c r="G163" i="10"/>
  <c r="H162" i="10"/>
  <c r="G162" i="10"/>
  <c r="H161" i="10"/>
  <c r="G161" i="10"/>
  <c r="H160" i="10"/>
  <c r="G160" i="10"/>
  <c r="H159" i="10"/>
  <c r="G159" i="10"/>
  <c r="H158" i="10"/>
  <c r="G158" i="10"/>
  <c r="H157" i="10"/>
  <c r="G157" i="10"/>
  <c r="H156" i="10"/>
  <c r="G156" i="10"/>
  <c r="H155" i="10"/>
  <c r="G155" i="10"/>
  <c r="H154" i="10"/>
  <c r="G154" i="10"/>
  <c r="H153" i="10"/>
  <c r="G153" i="10"/>
  <c r="H152" i="10"/>
  <c r="G152" i="10"/>
  <c r="H151" i="10"/>
  <c r="G151" i="10"/>
  <c r="H150" i="10"/>
  <c r="G150" i="10"/>
  <c r="H149" i="10"/>
  <c r="G149" i="10"/>
  <c r="H148" i="10"/>
  <c r="G148" i="10"/>
  <c r="H147" i="10"/>
  <c r="G147" i="10"/>
  <c r="H146" i="10"/>
  <c r="G146" i="10"/>
  <c r="H145" i="10"/>
  <c r="G145" i="10"/>
  <c r="H144" i="10"/>
  <c r="G144" i="10"/>
  <c r="H143" i="10"/>
  <c r="G143" i="10"/>
  <c r="H142" i="10"/>
  <c r="G142" i="10"/>
  <c r="H141" i="10"/>
  <c r="G141" i="10"/>
  <c r="H140" i="10"/>
  <c r="G140" i="10"/>
  <c r="H139" i="10"/>
  <c r="G139" i="10"/>
  <c r="H138" i="10"/>
  <c r="G138" i="10"/>
  <c r="H137" i="10"/>
  <c r="G137" i="10"/>
  <c r="H136" i="10"/>
  <c r="G136" i="10"/>
  <c r="H135" i="10"/>
  <c r="G135" i="10"/>
  <c r="H134" i="10"/>
  <c r="G134" i="10"/>
  <c r="H133" i="10"/>
  <c r="G133" i="10"/>
  <c r="H132" i="10"/>
  <c r="G132" i="10"/>
  <c r="H131" i="10"/>
  <c r="G131" i="10"/>
  <c r="H130" i="10"/>
  <c r="G130" i="10"/>
  <c r="H129" i="10"/>
  <c r="G129" i="10"/>
  <c r="H128" i="10"/>
  <c r="G128" i="10"/>
  <c r="H127" i="10"/>
  <c r="G127" i="10"/>
  <c r="H126" i="10"/>
  <c r="G126" i="10"/>
  <c r="H125" i="10"/>
  <c r="G125" i="10"/>
  <c r="H124" i="10"/>
  <c r="G124" i="10"/>
  <c r="H123" i="10"/>
  <c r="G123" i="10"/>
  <c r="H122" i="10"/>
  <c r="G122" i="10"/>
  <c r="H121" i="10"/>
  <c r="G121" i="10"/>
  <c r="H120" i="10"/>
  <c r="G120" i="10"/>
  <c r="H119" i="10"/>
  <c r="G119" i="10"/>
  <c r="H118" i="10"/>
  <c r="G118" i="10"/>
  <c r="H117" i="10"/>
  <c r="G117" i="10"/>
  <c r="H116" i="10"/>
  <c r="G116" i="10"/>
  <c r="H115" i="10"/>
  <c r="G115" i="10"/>
  <c r="H114" i="10"/>
  <c r="G114" i="10"/>
  <c r="H113" i="10"/>
  <c r="G113" i="10"/>
  <c r="H112" i="10"/>
  <c r="G112" i="10"/>
  <c r="H111" i="10"/>
  <c r="G111" i="10"/>
  <c r="H110" i="10"/>
  <c r="G110" i="10"/>
  <c r="H109" i="10"/>
  <c r="G109" i="10"/>
  <c r="H108" i="10"/>
  <c r="G108" i="10"/>
  <c r="H107" i="10"/>
  <c r="G107" i="10"/>
  <c r="H106" i="10"/>
  <c r="G106" i="10"/>
  <c r="H105" i="10"/>
  <c r="G105" i="10"/>
  <c r="H104" i="10"/>
  <c r="G104" i="10"/>
  <c r="H103" i="10"/>
  <c r="G103" i="10"/>
  <c r="H102" i="10"/>
  <c r="G102" i="10"/>
  <c r="H101" i="10"/>
  <c r="G101" i="10"/>
  <c r="H100" i="10"/>
  <c r="G100" i="10"/>
  <c r="H99" i="10"/>
  <c r="G99" i="10"/>
  <c r="H98" i="10"/>
  <c r="G98" i="10"/>
  <c r="H97" i="10"/>
  <c r="G97" i="10"/>
  <c r="H96" i="10"/>
  <c r="G96" i="10"/>
  <c r="H95" i="10"/>
  <c r="G95" i="10"/>
  <c r="H94" i="10"/>
  <c r="G94" i="10"/>
  <c r="H93" i="10"/>
  <c r="G93" i="10"/>
  <c r="H92" i="10"/>
  <c r="G92" i="10"/>
  <c r="H91" i="10"/>
  <c r="G91" i="10"/>
  <c r="H90" i="10"/>
  <c r="G90" i="10"/>
  <c r="H89" i="10"/>
  <c r="G89" i="10"/>
  <c r="H88" i="10"/>
  <c r="G88" i="10"/>
  <c r="H87" i="10"/>
  <c r="G87" i="10"/>
  <c r="H86" i="10"/>
  <c r="G86" i="10"/>
  <c r="H85" i="10"/>
  <c r="G85" i="10"/>
  <c r="H84" i="10"/>
  <c r="G84" i="10"/>
  <c r="H83" i="10"/>
  <c r="G83" i="10"/>
  <c r="H82" i="10"/>
  <c r="G82" i="10"/>
  <c r="H81" i="10"/>
  <c r="G81" i="10"/>
  <c r="H80" i="10"/>
  <c r="G80" i="10"/>
  <c r="H79" i="10"/>
  <c r="G79" i="10"/>
  <c r="H78" i="10"/>
  <c r="G78" i="10"/>
  <c r="H77" i="10"/>
  <c r="G77" i="10"/>
  <c r="H76" i="10"/>
  <c r="G76" i="10"/>
  <c r="H75" i="10"/>
  <c r="G75" i="10"/>
  <c r="H74" i="10"/>
  <c r="G74" i="10"/>
  <c r="H73" i="10"/>
  <c r="G73" i="10"/>
  <c r="H72" i="10"/>
  <c r="G72" i="10"/>
  <c r="H71" i="10"/>
  <c r="G71" i="10"/>
  <c r="H70" i="10"/>
  <c r="G70" i="10"/>
  <c r="H69" i="10"/>
  <c r="G69" i="10"/>
  <c r="H68" i="10"/>
  <c r="G68" i="10"/>
  <c r="H67" i="10"/>
  <c r="G67" i="10"/>
  <c r="H66" i="10"/>
  <c r="G66" i="10"/>
  <c r="H65" i="10"/>
  <c r="G65" i="10"/>
  <c r="H64" i="10"/>
  <c r="G64" i="10"/>
  <c r="H63" i="10"/>
  <c r="G63" i="10"/>
  <c r="H62" i="10"/>
  <c r="G62" i="10"/>
  <c r="H61" i="10"/>
  <c r="G61" i="10"/>
  <c r="H60" i="10"/>
  <c r="G60" i="10"/>
  <c r="H59" i="10"/>
  <c r="G59" i="10"/>
  <c r="H58" i="10"/>
  <c r="G58" i="10"/>
  <c r="H57" i="10"/>
  <c r="G57" i="10"/>
  <c r="H56" i="10"/>
  <c r="G56" i="10"/>
  <c r="H55" i="10"/>
  <c r="G55" i="10"/>
  <c r="H54" i="10"/>
  <c r="G54" i="10"/>
  <c r="H53" i="10"/>
  <c r="G53" i="10"/>
  <c r="H52" i="10"/>
  <c r="G52" i="10"/>
  <c r="H51" i="10"/>
  <c r="G51" i="10"/>
  <c r="H50" i="10"/>
  <c r="G50" i="10"/>
  <c r="H49" i="10"/>
  <c r="G49" i="10"/>
  <c r="H48" i="10"/>
  <c r="G48" i="10"/>
  <c r="H47" i="10"/>
  <c r="G47" i="10"/>
  <c r="H46" i="10"/>
  <c r="G46" i="10"/>
  <c r="H45" i="10"/>
  <c r="G45" i="10"/>
  <c r="H44" i="10"/>
  <c r="G44" i="10"/>
  <c r="H43" i="10"/>
  <c r="G43" i="10"/>
  <c r="H42" i="10"/>
  <c r="G42" i="10"/>
  <c r="H41" i="10"/>
  <c r="G41" i="10"/>
  <c r="H40" i="10"/>
  <c r="G40" i="10"/>
  <c r="H39" i="10"/>
  <c r="G39" i="10"/>
  <c r="H38" i="10"/>
  <c r="G38" i="10"/>
  <c r="H37" i="10"/>
  <c r="G37" i="10"/>
  <c r="H36" i="10"/>
  <c r="G36" i="10"/>
  <c r="H35" i="10"/>
  <c r="G35" i="10"/>
  <c r="H34" i="10"/>
  <c r="G34" i="10"/>
  <c r="H33" i="10"/>
  <c r="G33" i="10"/>
  <c r="H32" i="10"/>
  <c r="G32" i="10"/>
  <c r="H31" i="10"/>
  <c r="G31" i="10"/>
  <c r="H30" i="10"/>
  <c r="G30" i="10"/>
  <c r="H29" i="10"/>
  <c r="G29" i="10"/>
  <c r="H28" i="10"/>
  <c r="G28" i="10"/>
  <c r="H27" i="10"/>
  <c r="G27" i="10"/>
  <c r="H26" i="10"/>
  <c r="G26" i="10"/>
  <c r="H25" i="10"/>
  <c r="G25" i="10"/>
  <c r="H24" i="10"/>
  <c r="G24" i="10"/>
  <c r="H23" i="10"/>
  <c r="G23" i="10"/>
  <c r="H22" i="10"/>
  <c r="G22" i="10"/>
  <c r="H21" i="10"/>
  <c r="G21" i="10"/>
  <c r="H20" i="10"/>
  <c r="G20" i="10"/>
  <c r="H19" i="10"/>
  <c r="G19" i="10"/>
  <c r="H18" i="10"/>
  <c r="G18" i="10"/>
  <c r="H17" i="10"/>
  <c r="G17" i="10"/>
  <c r="H16" i="10"/>
  <c r="G16" i="10"/>
  <c r="H15" i="10"/>
  <c r="G15" i="10"/>
  <c r="H14" i="10"/>
  <c r="G14" i="10"/>
  <c r="H13" i="10"/>
  <c r="G13" i="10"/>
  <c r="H12" i="10"/>
  <c r="G12" i="10"/>
  <c r="H11" i="10"/>
  <c r="G11" i="10"/>
  <c r="H10" i="10"/>
  <c r="G10" i="10"/>
  <c r="H9" i="10"/>
  <c r="G9" i="10"/>
  <c r="H8" i="10"/>
  <c r="G8" i="10"/>
  <c r="H7" i="10"/>
  <c r="G7" i="10"/>
  <c r="H6" i="10"/>
  <c r="G6" i="10"/>
  <c r="H5" i="10"/>
  <c r="G5" i="10"/>
  <c r="U4" i="10"/>
  <c r="T4" i="10"/>
  <c r="S4" i="10"/>
  <c r="R4" i="10"/>
  <c r="H4" i="10"/>
  <c r="G4" i="10"/>
  <c r="H3" i="10"/>
  <c r="G3" i="10"/>
  <c r="D249" i="11" l="1"/>
  <c r="D162" i="11"/>
  <c r="D161" i="11"/>
  <c r="D94" i="11"/>
  <c r="D93" i="11"/>
  <c r="D92" i="11"/>
  <c r="D91" i="11"/>
  <c r="D86" i="11"/>
  <c r="D85" i="11"/>
  <c r="D84" i="11"/>
  <c r="D83" i="11"/>
  <c r="F11" i="1"/>
  <c r="L360" i="12"/>
  <c r="L359" i="12"/>
  <c r="L358" i="12"/>
  <c r="L357" i="12"/>
  <c r="L356" i="12"/>
  <c r="L333" i="12"/>
  <c r="L330" i="12"/>
  <c r="L329" i="12"/>
  <c r="I19" i="8"/>
  <c r="I18" i="8"/>
  <c r="I17" i="8"/>
  <c r="I15" i="8"/>
  <c r="J19" i="8"/>
  <c r="J18" i="8"/>
  <c r="J17" i="8"/>
  <c r="J15" i="8"/>
  <c r="E17" i="8"/>
  <c r="E14" i="8"/>
  <c r="E19" i="8"/>
  <c r="E18" i="8"/>
  <c r="D18" i="8"/>
  <c r="D19" i="8"/>
  <c r="D17" i="8"/>
  <c r="D14" i="8"/>
  <c r="K306" i="12"/>
  <c r="K50" i="12"/>
  <c r="H325" i="12" l="1"/>
  <c r="H359" i="12" s="1"/>
  <c r="H324" i="12"/>
  <c r="H358" i="12" s="1"/>
  <c r="H323" i="12"/>
  <c r="H357" i="12" s="1"/>
  <c r="H322" i="12"/>
  <c r="H356" i="12" s="1"/>
  <c r="H360" i="12" s="1"/>
  <c r="G304" i="12"/>
  <c r="G303" i="12"/>
  <c r="G302" i="12"/>
  <c r="G301" i="12"/>
  <c r="G300" i="12"/>
  <c r="G299" i="12"/>
  <c r="G296" i="12"/>
  <c r="G295" i="12"/>
  <c r="G294" i="12"/>
  <c r="G293" i="12"/>
  <c r="G292" i="12"/>
  <c r="G291" i="12"/>
  <c r="G290" i="12"/>
  <c r="G289" i="12"/>
  <c r="G288" i="12"/>
  <c r="G287" i="12"/>
  <c r="G286" i="12"/>
  <c r="G285" i="12"/>
  <c r="G284" i="12"/>
  <c r="G283" i="12"/>
  <c r="G282" i="12"/>
  <c r="G281" i="12"/>
  <c r="G280" i="12"/>
  <c r="G279" i="12"/>
  <c r="G278" i="12"/>
  <c r="G277" i="12"/>
  <c r="G276" i="12"/>
  <c r="G275" i="12"/>
  <c r="G274" i="12"/>
  <c r="G273" i="12"/>
  <c r="G272" i="12"/>
  <c r="G271" i="12"/>
  <c r="G270" i="12"/>
  <c r="G269" i="12"/>
  <c r="G268" i="12"/>
  <c r="G267" i="12"/>
  <c r="G264" i="12"/>
  <c r="G262" i="12"/>
  <c r="G261" i="12"/>
  <c r="G260" i="12"/>
  <c r="G259" i="12"/>
  <c r="G258" i="12"/>
  <c r="G257" i="12"/>
  <c r="G256" i="12"/>
  <c r="G255" i="12"/>
  <c r="G254" i="12"/>
  <c r="G253" i="12"/>
  <c r="G252" i="12"/>
  <c r="G251" i="12"/>
  <c r="G250" i="12"/>
  <c r="G247" i="12"/>
  <c r="G246" i="12"/>
  <c r="G245" i="12"/>
  <c r="G244" i="12"/>
  <c r="G243" i="12"/>
  <c r="G242" i="12"/>
  <c r="G241" i="12"/>
  <c r="G240" i="12"/>
  <c r="G239" i="12"/>
  <c r="G238" i="12"/>
  <c r="G237" i="12"/>
  <c r="G236" i="12"/>
  <c r="G235" i="12"/>
  <c r="G234" i="12"/>
  <c r="G233" i="12"/>
  <c r="G232" i="12"/>
  <c r="G231" i="12"/>
  <c r="G230" i="12"/>
  <c r="G229" i="12"/>
  <c r="G228" i="12"/>
  <c r="G227" i="12"/>
  <c r="G226" i="12"/>
  <c r="G225" i="12"/>
  <c r="G224" i="12"/>
  <c r="G223" i="12"/>
  <c r="G222" i="12"/>
  <c r="G221" i="12"/>
  <c r="G220" i="12"/>
  <c r="G219" i="12"/>
  <c r="G218" i="12"/>
  <c r="G217" i="12"/>
  <c r="G216" i="12"/>
  <c r="G215" i="12"/>
  <c r="G214" i="12"/>
  <c r="G213" i="12"/>
  <c r="G212" i="12"/>
  <c r="G211" i="12"/>
  <c r="G210" i="12"/>
  <c r="G209" i="12"/>
  <c r="G208" i="12"/>
  <c r="G207" i="12"/>
  <c r="G206" i="12"/>
  <c r="G205" i="12"/>
  <c r="G204" i="12"/>
  <c r="G203" i="12"/>
  <c r="G202" i="12"/>
  <c r="G201" i="12"/>
  <c r="G200" i="12"/>
  <c r="G199" i="12"/>
  <c r="G198" i="12"/>
  <c r="G197" i="12"/>
  <c r="G196" i="12"/>
  <c r="G195" i="12"/>
  <c r="G194" i="12"/>
  <c r="G193" i="12"/>
  <c r="G192" i="12"/>
  <c r="G191" i="12"/>
  <c r="G190" i="12"/>
  <c r="G189" i="12"/>
  <c r="G188" i="12"/>
  <c r="G187" i="12"/>
  <c r="G186" i="12"/>
  <c r="G185" i="12"/>
  <c r="G184" i="12"/>
  <c r="G183" i="12"/>
  <c r="G182" i="12"/>
  <c r="G181" i="12"/>
  <c r="G180" i="12"/>
  <c r="G179" i="12"/>
  <c r="G178" i="12"/>
  <c r="G177" i="12"/>
  <c r="G176" i="12"/>
  <c r="G175" i="12"/>
  <c r="G174" i="12"/>
  <c r="G173" i="12"/>
  <c r="G172" i="12"/>
  <c r="G171" i="12"/>
  <c r="G170" i="12"/>
  <c r="G169" i="12"/>
  <c r="G168" i="12"/>
  <c r="G167" i="12"/>
  <c r="G166" i="12"/>
  <c r="G165" i="12"/>
  <c r="G164" i="12"/>
  <c r="G163" i="12"/>
  <c r="G162" i="12"/>
  <c r="G161" i="12"/>
  <c r="G160" i="12"/>
  <c r="G159" i="12"/>
  <c r="G158" i="12"/>
  <c r="G157" i="12"/>
  <c r="G156" i="12"/>
  <c r="G155" i="12"/>
  <c r="G154" i="12"/>
  <c r="G153" i="12"/>
  <c r="G152" i="12"/>
  <c r="G151" i="12"/>
  <c r="G150" i="12"/>
  <c r="G149" i="12"/>
  <c r="G148" i="12"/>
  <c r="G147" i="12"/>
  <c r="G144" i="12"/>
  <c r="G143" i="12"/>
  <c r="G142" i="12"/>
  <c r="G141" i="12"/>
  <c r="G140" i="12"/>
  <c r="G139" i="12"/>
  <c r="G138" i="12"/>
  <c r="G137" i="12"/>
  <c r="G136" i="12"/>
  <c r="G135" i="12"/>
  <c r="G134" i="12"/>
  <c r="G133" i="12"/>
  <c r="G132" i="12"/>
  <c r="G131" i="12"/>
  <c r="G130" i="12"/>
  <c r="G129" i="12"/>
  <c r="G128" i="12"/>
  <c r="G127" i="12"/>
  <c r="G126" i="12"/>
  <c r="G125" i="12"/>
  <c r="G124" i="12"/>
  <c r="G123" i="12"/>
  <c r="G122" i="12"/>
  <c r="G121" i="12"/>
  <c r="G120" i="12"/>
  <c r="G119" i="12"/>
  <c r="G118" i="12"/>
  <c r="G117" i="12"/>
  <c r="G116" i="12"/>
  <c r="G115" i="12"/>
  <c r="G114" i="12"/>
  <c r="G113" i="12"/>
  <c r="G112" i="12"/>
  <c r="G111" i="12"/>
  <c r="G110" i="12"/>
  <c r="G109" i="12"/>
  <c r="G108" i="12"/>
  <c r="G107" i="12"/>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18" i="12"/>
  <c r="G17" i="12"/>
  <c r="G16" i="12"/>
  <c r="G15" i="12"/>
  <c r="L341" i="12"/>
  <c r="K341" i="12"/>
  <c r="H341" i="12"/>
  <c r="N341" i="12" s="1"/>
  <c r="L340" i="12"/>
  <c r="K340" i="12"/>
  <c r="H340" i="12"/>
  <c r="L339" i="12"/>
  <c r="K339" i="12"/>
  <c r="H339" i="12"/>
  <c r="N339" i="12" s="1"/>
  <c r="L338" i="12"/>
  <c r="K338" i="12"/>
  <c r="H338" i="12"/>
  <c r="N338" i="12" s="1"/>
  <c r="L318" i="12"/>
  <c r="K318" i="12"/>
  <c r="H318" i="12"/>
  <c r="L317" i="12"/>
  <c r="K317" i="12"/>
  <c r="H317" i="12"/>
  <c r="L316" i="12"/>
  <c r="K316" i="12"/>
  <c r="H316" i="12"/>
  <c r="N316" i="12" s="1"/>
  <c r="L315" i="12"/>
  <c r="K315" i="12"/>
  <c r="H315" i="12"/>
  <c r="N315" i="12" s="1"/>
  <c r="O306" i="12"/>
  <c r="P241" i="12"/>
  <c r="P206" i="12"/>
  <c r="P139" i="12"/>
  <c r="P306" i="12" s="1"/>
  <c r="P54" i="12"/>
  <c r="P52" i="12"/>
  <c r="L319" i="12" l="1"/>
  <c r="L342" i="12"/>
  <c r="N340" i="12"/>
  <c r="N342" i="12"/>
  <c r="K319" i="12"/>
  <c r="K342" i="12"/>
  <c r="N317" i="12"/>
  <c r="N318" i="12"/>
  <c r="H326" i="12"/>
  <c r="H319" i="12"/>
  <c r="H342" i="12"/>
  <c r="AE70" i="14"/>
  <c r="AC70" i="14"/>
  <c r="AA70" i="14"/>
  <c r="AE69" i="14"/>
  <c r="AC69" i="14"/>
  <c r="AA69" i="14"/>
  <c r="AE68" i="14"/>
  <c r="AC68" i="14"/>
  <c r="AA68" i="14"/>
  <c r="AE67" i="14"/>
  <c r="AC67" i="14"/>
  <c r="AA67" i="14"/>
  <c r="AE66" i="14"/>
  <c r="AC66" i="14"/>
  <c r="AA66" i="14"/>
  <c r="AE65" i="14"/>
  <c r="AC65" i="14"/>
  <c r="AA65" i="14"/>
  <c r="AE47" i="14"/>
  <c r="AC47" i="14"/>
  <c r="AA47" i="14"/>
  <c r="AE46" i="14"/>
  <c r="AC46" i="14"/>
  <c r="AA46" i="14"/>
  <c r="AE45" i="14"/>
  <c r="AC45" i="14"/>
  <c r="AA45" i="14"/>
  <c r="AE31" i="14"/>
  <c r="AC31" i="14"/>
  <c r="AA31" i="14"/>
  <c r="AE17" i="14"/>
  <c r="AC17" i="14"/>
  <c r="AA17" i="14"/>
  <c r="N319" i="12" l="1"/>
  <c r="C19" i="4"/>
  <c r="C18" i="4"/>
  <c r="F47" i="1"/>
  <c r="F41" i="1"/>
  <c r="C44" i="1"/>
  <c r="C39" i="1"/>
  <c r="C38" i="1"/>
  <c r="C36" i="1"/>
  <c r="I265" i="11" l="1"/>
  <c r="I264" i="11"/>
  <c r="F15" i="1" l="1"/>
  <c r="D121" i="13" l="1"/>
  <c r="H106" i="13" l="1"/>
  <c r="C116" i="13" l="1"/>
  <c r="M115" i="13"/>
  <c r="H138" i="11" l="1"/>
  <c r="H205" i="11" s="1"/>
  <c r="H72" i="11"/>
  <c r="D99" i="11"/>
  <c r="I34" i="11"/>
  <c r="M38" i="9"/>
  <c r="L38" i="9"/>
  <c r="K38" i="9"/>
  <c r="J38" i="9"/>
  <c r="I38" i="9"/>
  <c r="M37" i="9"/>
  <c r="L37" i="9"/>
  <c r="K37" i="9"/>
  <c r="J37" i="9"/>
  <c r="I37" i="9"/>
  <c r="M36" i="9"/>
  <c r="L36" i="9"/>
  <c r="K36" i="9"/>
  <c r="J36" i="9"/>
  <c r="I36" i="9"/>
  <c r="M35" i="9"/>
  <c r="L35" i="9"/>
  <c r="K35" i="9"/>
  <c r="J35" i="9"/>
  <c r="I35" i="9"/>
  <c r="M34" i="9"/>
  <c r="L34" i="9"/>
  <c r="K34" i="9"/>
  <c r="J34" i="9"/>
  <c r="I34" i="9"/>
  <c r="J28" i="9"/>
  <c r="J26" i="9"/>
  <c r="J22" i="9"/>
  <c r="M19" i="9"/>
  <c r="L19" i="9"/>
  <c r="K19" i="9"/>
  <c r="J19" i="9"/>
  <c r="I19" i="9"/>
  <c r="H9" i="2"/>
  <c r="L29" i="9"/>
  <c r="L33" i="9"/>
  <c r="M32" i="9"/>
  <c r="J31" i="9"/>
  <c r="K30" i="9"/>
  <c r="M28" i="9"/>
  <c r="J27" i="9"/>
  <c r="K26" i="9"/>
  <c r="L25" i="9"/>
  <c r="M24" i="9"/>
  <c r="J23" i="9"/>
  <c r="K22" i="9"/>
  <c r="L21" i="9"/>
  <c r="M20" i="9"/>
  <c r="P121" i="13"/>
  <c r="Q121" i="13" s="1"/>
  <c r="P120" i="13"/>
  <c r="Q120" i="13" s="1"/>
  <c r="M109" i="13"/>
  <c r="Q109" i="13" s="1"/>
  <c r="K110" i="13"/>
  <c r="Q110" i="13" s="1"/>
  <c r="I107" i="13"/>
  <c r="Q107" i="13" s="1"/>
  <c r="Q106" i="13"/>
  <c r="M102" i="13"/>
  <c r="Q102" i="13" s="1"/>
  <c r="I101" i="13"/>
  <c r="Q101" i="13" s="1"/>
  <c r="M100" i="13"/>
  <c r="Q100" i="13" s="1"/>
  <c r="M96" i="13"/>
  <c r="Q96" i="13" s="1"/>
  <c r="M95" i="13"/>
  <c r="Q95" i="13" s="1"/>
  <c r="I84" i="13"/>
  <c r="Q84" i="13" s="1"/>
  <c r="M70" i="13"/>
  <c r="Q70" i="13" s="1"/>
  <c r="C72" i="13"/>
  <c r="M58" i="13"/>
  <c r="Q58" i="13" s="1"/>
  <c r="C62" i="13"/>
  <c r="M49" i="13"/>
  <c r="Q49" i="13" s="1"/>
  <c r="I44" i="13"/>
  <c r="Q44" i="13" s="1"/>
  <c r="I43" i="13"/>
  <c r="M40" i="13"/>
  <c r="Q40" i="13" s="1"/>
  <c r="I39" i="13"/>
  <c r="Q39" i="13" s="1"/>
  <c r="C35" i="13"/>
  <c r="Q115" i="13"/>
  <c r="Q53" i="13"/>
  <c r="Q34" i="13"/>
  <c r="Q33" i="13"/>
  <c r="Q32" i="13"/>
  <c r="Q31" i="13"/>
  <c r="Q30" i="13"/>
  <c r="Q29" i="13"/>
  <c r="Q28" i="13"/>
  <c r="Q27" i="13"/>
  <c r="Q19" i="13"/>
  <c r="O75" i="13"/>
  <c r="N123" i="13"/>
  <c r="Q123" i="13" s="1"/>
  <c r="M114" i="13"/>
  <c r="Q114" i="13" s="1"/>
  <c r="M113" i="13"/>
  <c r="Q113" i="13" s="1"/>
  <c r="M112" i="13"/>
  <c r="Q112" i="13" s="1"/>
  <c r="M111" i="13"/>
  <c r="Q111" i="13" s="1"/>
  <c r="I108" i="13"/>
  <c r="Q108" i="13" s="1"/>
  <c r="J105" i="13"/>
  <c r="Q105" i="13" s="1"/>
  <c r="M104" i="13"/>
  <c r="Q104" i="13" s="1"/>
  <c r="L103" i="13"/>
  <c r="Q103" i="13" s="1"/>
  <c r="M99" i="13"/>
  <c r="Q99" i="13" s="1"/>
  <c r="M98" i="13"/>
  <c r="Q98" i="13" s="1"/>
  <c r="I97" i="13"/>
  <c r="Q97" i="13" s="1"/>
  <c r="M94" i="13"/>
  <c r="Q94" i="13" s="1"/>
  <c r="M93" i="13"/>
  <c r="Q93" i="13" s="1"/>
  <c r="M92" i="13"/>
  <c r="Q92" i="13" s="1"/>
  <c r="I91" i="13"/>
  <c r="Q91" i="13" s="1"/>
  <c r="I90" i="13"/>
  <c r="Q90" i="13" s="1"/>
  <c r="I89" i="13"/>
  <c r="Q89" i="13" s="1"/>
  <c r="M88" i="13"/>
  <c r="Q88" i="13" s="1"/>
  <c r="M87" i="13"/>
  <c r="Q87" i="13" s="1"/>
  <c r="M86" i="13"/>
  <c r="Q86" i="13" s="1"/>
  <c r="M85" i="13"/>
  <c r="Q85" i="13" s="1"/>
  <c r="I83" i="13"/>
  <c r="Q83" i="13" s="1"/>
  <c r="M82" i="13"/>
  <c r="Q82" i="13" s="1"/>
  <c r="M81" i="13"/>
  <c r="Q81" i="13" s="1"/>
  <c r="M76" i="13"/>
  <c r="M69" i="13"/>
  <c r="Q69" i="13" s="1"/>
  <c r="M68" i="13"/>
  <c r="Q68" i="13" s="1"/>
  <c r="M67" i="13"/>
  <c r="Q67" i="13" s="1"/>
  <c r="M66" i="13"/>
  <c r="Q66" i="13" s="1"/>
  <c r="M65" i="13"/>
  <c r="Q65" i="13" s="1"/>
  <c r="M60" i="13"/>
  <c r="Q60" i="13" s="1"/>
  <c r="M59" i="13"/>
  <c r="Q59" i="13" s="1"/>
  <c r="M51" i="13"/>
  <c r="Q51" i="13" s="1"/>
  <c r="M50" i="13"/>
  <c r="Q50" i="13" s="1"/>
  <c r="M48" i="13"/>
  <c r="Q48" i="13" s="1"/>
  <c r="M47" i="13"/>
  <c r="Q47" i="13" s="1"/>
  <c r="M46" i="13"/>
  <c r="Q46" i="13" s="1"/>
  <c r="I45" i="13"/>
  <c r="H42" i="13"/>
  <c r="Q42" i="13" s="1"/>
  <c r="G41" i="13"/>
  <c r="E18" i="5" s="1"/>
  <c r="E19" i="5" s="1"/>
  <c r="I38" i="13"/>
  <c r="Q38" i="13" s="1"/>
  <c r="N26" i="13"/>
  <c r="Q26" i="13" s="1"/>
  <c r="N25" i="13"/>
  <c r="Q25" i="13" s="1"/>
  <c r="G14" i="8"/>
  <c r="F48" i="1"/>
  <c r="C49" i="1"/>
  <c r="C26" i="4"/>
  <c r="E107" i="1"/>
  <c r="E107" i="4"/>
  <c r="E110" i="8"/>
  <c r="E107" i="7"/>
  <c r="E107" i="5"/>
  <c r="E107" i="6"/>
  <c r="E107" i="2"/>
  <c r="E107" i="3"/>
  <c r="E107" i="9"/>
  <c r="D119" i="11"/>
  <c r="M224" i="11"/>
  <c r="M226" i="11" s="1"/>
  <c r="M231" i="11"/>
  <c r="G248" i="11"/>
  <c r="I253" i="11" s="1"/>
  <c r="I150" i="11"/>
  <c r="I151" i="11"/>
  <c r="I157" i="11"/>
  <c r="G249" i="11"/>
  <c r="D103" i="11"/>
  <c r="D178" i="11"/>
  <c r="D182" i="11" s="1"/>
  <c r="D186" i="11" s="1"/>
  <c r="D112" i="11"/>
  <c r="I259" i="11"/>
  <c r="D211" i="11"/>
  <c r="D209" i="11"/>
  <c r="I208" i="11"/>
  <c r="D208" i="11"/>
  <c r="B208" i="11"/>
  <c r="F173" i="11"/>
  <c r="F169" i="11"/>
  <c r="B163" i="11"/>
  <c r="B161" i="11"/>
  <c r="F155" i="11"/>
  <c r="F153" i="11"/>
  <c r="F154" i="11" s="1"/>
  <c r="D144" i="11"/>
  <c r="D142" i="11"/>
  <c r="I141" i="11"/>
  <c r="D141" i="11"/>
  <c r="B141" i="11"/>
  <c r="F92" i="11"/>
  <c r="F114" i="11" s="1"/>
  <c r="F110" i="11"/>
  <c r="B95" i="11"/>
  <c r="B103" i="11" s="1"/>
  <c r="B94" i="11"/>
  <c r="B102" i="11" s="1"/>
  <c r="B93" i="11"/>
  <c r="B101" i="11" s="1"/>
  <c r="B92" i="11"/>
  <c r="B100" i="11" s="1"/>
  <c r="B91" i="11"/>
  <c r="B99" i="11" s="1"/>
  <c r="F95" i="11"/>
  <c r="F94" i="11"/>
  <c r="G93" i="11"/>
  <c r="F93" i="11"/>
  <c r="G91" i="11"/>
  <c r="F91" i="11"/>
  <c r="D78" i="11"/>
  <c r="D76" i="11"/>
  <c r="I75" i="11"/>
  <c r="D75" i="11"/>
  <c r="B75" i="11"/>
  <c r="I46" i="11"/>
  <c r="I45" i="11"/>
  <c r="D14" i="11"/>
  <c r="F15" i="11"/>
  <c r="E41" i="7"/>
  <c r="F15" i="5"/>
  <c r="A3" i="7"/>
  <c r="C30" i="7"/>
  <c r="C24" i="7"/>
  <c r="C15" i="7"/>
  <c r="F12" i="5"/>
  <c r="F10" i="5"/>
  <c r="F9" i="5"/>
  <c r="D15" i="8"/>
  <c r="D20" i="8" s="1"/>
  <c r="D25" i="8" s="1"/>
  <c r="E15" i="8"/>
  <c r="G9" i="8"/>
  <c r="A1" i="3"/>
  <c r="A3" i="3"/>
  <c r="A1" i="8"/>
  <c r="A1" i="2"/>
  <c r="H42" i="6"/>
  <c r="H43" i="6"/>
  <c r="A1" i="6"/>
  <c r="A1" i="7"/>
  <c r="A1" i="4"/>
  <c r="A1" i="5"/>
  <c r="F57" i="1"/>
  <c r="F19" i="1"/>
  <c r="F32" i="1" s="1"/>
  <c r="F36" i="1"/>
  <c r="C28" i="1"/>
  <c r="C33" i="1" s="1"/>
  <c r="C57" i="1"/>
  <c r="F15" i="8"/>
  <c r="F20" i="8" s="1"/>
  <c r="F25" i="8" s="1"/>
  <c r="F28" i="8" s="1"/>
  <c r="H37" i="6"/>
  <c r="H36" i="6"/>
  <c r="H22" i="2"/>
  <c r="H20" i="2"/>
  <c r="H17" i="2"/>
  <c r="H43" i="2"/>
  <c r="H42" i="2"/>
  <c r="H41" i="2"/>
  <c r="H40" i="2"/>
  <c r="H39" i="2"/>
  <c r="H38" i="2"/>
  <c r="H37" i="2"/>
  <c r="H36" i="2"/>
  <c r="H35" i="2"/>
  <c r="H34" i="2"/>
  <c r="H33" i="2"/>
  <c r="H32" i="2"/>
  <c r="H31" i="2"/>
  <c r="H30" i="2"/>
  <c r="H29" i="2"/>
  <c r="H28" i="2"/>
  <c r="H27" i="2"/>
  <c r="H26" i="2"/>
  <c r="H25" i="2"/>
  <c r="H24" i="2"/>
  <c r="H23" i="2"/>
  <c r="H21" i="2"/>
  <c r="H19" i="2"/>
  <c r="H18" i="2"/>
  <c r="H16" i="2"/>
  <c r="H15" i="2"/>
  <c r="H14" i="2"/>
  <c r="H13" i="2"/>
  <c r="H12" i="2"/>
  <c r="H11" i="2"/>
  <c r="H10" i="2"/>
  <c r="G24" i="8"/>
  <c r="G23" i="8"/>
  <c r="G22" i="8"/>
  <c r="G12" i="8"/>
  <c r="G13" i="8"/>
  <c r="G11" i="8"/>
  <c r="G27" i="8"/>
  <c r="A3" i="4"/>
  <c r="A3" i="5"/>
  <c r="A3" i="2"/>
  <c r="F44" i="2"/>
  <c r="E44" i="2"/>
  <c r="D44" i="2"/>
  <c r="A3" i="6"/>
  <c r="E44" i="6"/>
  <c r="F44" i="6"/>
  <c r="G44" i="6"/>
  <c r="H11" i="6"/>
  <c r="H12" i="6"/>
  <c r="H13" i="6"/>
  <c r="H14" i="6"/>
  <c r="H16" i="6"/>
  <c r="H17" i="6"/>
  <c r="H18" i="6"/>
  <c r="H19" i="6"/>
  <c r="H21" i="6"/>
  <c r="H22" i="6"/>
  <c r="H23" i="6"/>
  <c r="H25" i="6"/>
  <c r="H26" i="6"/>
  <c r="H27" i="6"/>
  <c r="H28" i="6"/>
  <c r="H29" i="6"/>
  <c r="H30" i="6"/>
  <c r="H31" i="6"/>
  <c r="H32" i="6"/>
  <c r="H33" i="6"/>
  <c r="H34" i="6"/>
  <c r="H40" i="6"/>
  <c r="H15" i="6"/>
  <c r="H20" i="6"/>
  <c r="H24" i="6"/>
  <c r="H35" i="6"/>
  <c r="H38" i="6"/>
  <c r="H39" i="6"/>
  <c r="H41" i="6"/>
  <c r="H9" i="6"/>
  <c r="H10" i="6"/>
  <c r="D44" i="6"/>
  <c r="Q45" i="13"/>
  <c r="E21" i="5"/>
  <c r="C78" i="13"/>
  <c r="I215" i="11"/>
  <c r="D100" i="11"/>
  <c r="D102" i="11"/>
  <c r="Q116" i="13" l="1"/>
  <c r="G44" i="2"/>
  <c r="E20" i="8"/>
  <c r="E25" i="8" s="1"/>
  <c r="E28" i="8" s="1"/>
  <c r="G17" i="8"/>
  <c r="D101" i="11"/>
  <c r="D168" i="11"/>
  <c r="G19" i="8"/>
  <c r="J20" i="8"/>
  <c r="C11" i="4" s="1"/>
  <c r="Q41" i="13"/>
  <c r="H44" i="6"/>
  <c r="C28" i="13"/>
  <c r="M57" i="13"/>
  <c r="Q57" i="13" s="1"/>
  <c r="Q62" i="13" s="1"/>
  <c r="L22" i="9"/>
  <c r="J20" i="9"/>
  <c r="J24" i="9"/>
  <c r="L28" i="9"/>
  <c r="G15" i="8"/>
  <c r="N126" i="13"/>
  <c r="C10" i="7" s="1"/>
  <c r="C12" i="7" s="1"/>
  <c r="C13" i="4" s="1"/>
  <c r="C31" i="7"/>
  <c r="C39" i="9"/>
  <c r="M232" i="11"/>
  <c r="L20" i="9"/>
  <c r="L24" i="9"/>
  <c r="K33" i="9"/>
  <c r="H44" i="2"/>
  <c r="C16" i="5" s="1"/>
  <c r="F16" i="5" s="1"/>
  <c r="I21" i="9"/>
  <c r="M21" i="9"/>
  <c r="K23" i="9"/>
  <c r="I25" i="9"/>
  <c r="M25" i="9"/>
  <c r="L26" i="9"/>
  <c r="K27" i="9"/>
  <c r="I29" i="9"/>
  <c r="M29" i="9"/>
  <c r="L30" i="9"/>
  <c r="K31" i="9"/>
  <c r="J32" i="9"/>
  <c r="I33" i="9"/>
  <c r="M33" i="9"/>
  <c r="P126" i="13"/>
  <c r="K20" i="9"/>
  <c r="J21" i="9"/>
  <c r="I22" i="9"/>
  <c r="M22" i="9"/>
  <c r="L23" i="9"/>
  <c r="K24" i="9"/>
  <c r="J25" i="9"/>
  <c r="I26" i="9"/>
  <c r="M26" i="9"/>
  <c r="L27" i="9"/>
  <c r="K28" i="9"/>
  <c r="J29" i="9"/>
  <c r="I30" i="9"/>
  <c r="M30" i="9"/>
  <c r="L31" i="9"/>
  <c r="K32" i="9"/>
  <c r="J33" i="9"/>
  <c r="C54" i="13"/>
  <c r="D116" i="13" s="1"/>
  <c r="K21" i="9"/>
  <c r="I23" i="9"/>
  <c r="M23" i="9"/>
  <c r="K25" i="9"/>
  <c r="I27" i="9"/>
  <c r="M27" i="9"/>
  <c r="K29" i="9"/>
  <c r="J30" i="9"/>
  <c r="I31" i="9"/>
  <c r="M31" i="9"/>
  <c r="L32" i="9"/>
  <c r="I20" i="9"/>
  <c r="I24" i="9"/>
  <c r="I28" i="9"/>
  <c r="I32" i="9"/>
  <c r="D96" i="11"/>
  <c r="I268" i="11"/>
  <c r="D15" i="11" s="1"/>
  <c r="G18" i="8"/>
  <c r="I218" i="11"/>
  <c r="I220" i="11" s="1"/>
  <c r="I20" i="8"/>
  <c r="C14" i="1" s="1"/>
  <c r="D164" i="11"/>
  <c r="D88" i="11"/>
  <c r="D239" i="11" s="1"/>
  <c r="D242" i="11" s="1"/>
  <c r="G240" i="11" s="1"/>
  <c r="D104" i="11"/>
  <c r="D28" i="8"/>
  <c r="D174" i="11"/>
  <c r="Q72" i="13"/>
  <c r="Q75" i="13"/>
  <c r="Q78" i="13" s="1"/>
  <c r="O126" i="13"/>
  <c r="M52" i="13"/>
  <c r="Q43" i="13"/>
  <c r="E23" i="5"/>
  <c r="C20" i="13"/>
  <c r="C21" i="13" l="1"/>
  <c r="E11" i="9" s="1"/>
  <c r="D35" i="13"/>
  <c r="C19" i="5"/>
  <c r="C31" i="5" s="1"/>
  <c r="G28" i="8"/>
  <c r="I28" i="8" s="1"/>
  <c r="G20" i="8"/>
  <c r="G25" i="8"/>
  <c r="C18" i="7"/>
  <c r="L39" i="9"/>
  <c r="C9" i="9" s="1"/>
  <c r="D235" i="11" s="1"/>
  <c r="G235" i="11" s="1"/>
  <c r="M39" i="9"/>
  <c r="C10" i="9" s="1"/>
  <c r="I39" i="9"/>
  <c r="C6" i="9" s="1"/>
  <c r="G20" i="13" s="1"/>
  <c r="C126" i="13"/>
  <c r="J39" i="9"/>
  <c r="C7" i="9" s="1"/>
  <c r="K39" i="9"/>
  <c r="C8" i="9" s="1"/>
  <c r="G84" i="11"/>
  <c r="G92" i="11" s="1"/>
  <c r="E233" i="11"/>
  <c r="G14" i="11"/>
  <c r="G15" i="11" s="1"/>
  <c r="I15" i="11" s="1"/>
  <c r="I228" i="11"/>
  <c r="D175" i="11"/>
  <c r="Q52" i="13"/>
  <c r="Q54" i="13" s="1"/>
  <c r="E29" i="5"/>
  <c r="E31" i="5" s="1"/>
  <c r="C10" i="4" s="1"/>
  <c r="L18" i="13"/>
  <c r="L24" i="13"/>
  <c r="J17" i="13"/>
  <c r="L35" i="13"/>
  <c r="J35" i="13"/>
  <c r="L17" i="13"/>
  <c r="J24" i="13"/>
  <c r="J18" i="13"/>
  <c r="G24" i="13" l="1"/>
  <c r="F58" i="1"/>
  <c r="C10" i="1"/>
  <c r="C15" i="1" s="1"/>
  <c r="C21" i="1" s="1"/>
  <c r="C58" i="1" s="1"/>
  <c r="K20" i="13"/>
  <c r="K35" i="13" s="1"/>
  <c r="G18" i="13"/>
  <c r="G17" i="13"/>
  <c r="G35" i="13"/>
  <c r="D232" i="11"/>
  <c r="G232" i="11" s="1"/>
  <c r="N39" i="9"/>
  <c r="C11" i="9"/>
  <c r="D6" i="9" s="1"/>
  <c r="I84" i="11"/>
  <c r="D234" i="11"/>
  <c r="G234" i="11" s="1"/>
  <c r="I20" i="13"/>
  <c r="D233" i="11"/>
  <c r="H20" i="13"/>
  <c r="G16" i="11"/>
  <c r="I16" i="11" s="1"/>
  <c r="G17" i="11"/>
  <c r="I17" i="11" s="1"/>
  <c r="I14" i="11"/>
  <c r="M20" i="13"/>
  <c r="M24" i="13" s="1"/>
  <c r="G114" i="11"/>
  <c r="I92" i="11"/>
  <c r="L126" i="13"/>
  <c r="J126" i="13"/>
  <c r="D25" i="5" s="1"/>
  <c r="F25" i="5" s="1"/>
  <c r="K17" i="13" l="1"/>
  <c r="F60" i="1"/>
  <c r="D250" i="11"/>
  <c r="E248" i="11" s="1"/>
  <c r="C42" i="7"/>
  <c r="E42" i="7" s="1"/>
  <c r="E45" i="7" s="1"/>
  <c r="E50" i="7" s="1"/>
  <c r="G29" i="8"/>
  <c r="K24" i="13"/>
  <c r="K18" i="13"/>
  <c r="G126" i="13"/>
  <c r="D18" i="5" s="1"/>
  <c r="D236" i="11"/>
  <c r="D10" i="9"/>
  <c r="D8" i="9"/>
  <c r="M18" i="13"/>
  <c r="M35" i="13"/>
  <c r="F11" i="9"/>
  <c r="D9" i="9"/>
  <c r="D7" i="9"/>
  <c r="G233" i="11"/>
  <c r="G236" i="11" s="1"/>
  <c r="I100" i="11"/>
  <c r="Q20" i="13"/>
  <c r="R20" i="13" s="1"/>
  <c r="I18" i="13"/>
  <c r="I35" i="13"/>
  <c r="I24" i="13"/>
  <c r="I17" i="13"/>
  <c r="H18" i="13"/>
  <c r="H17" i="13"/>
  <c r="H24" i="13"/>
  <c r="H35" i="13"/>
  <c r="I18" i="11"/>
  <c r="M17" i="13"/>
  <c r="I114" i="11"/>
  <c r="G161" i="11"/>
  <c r="I161" i="11" s="1"/>
  <c r="K126" i="13" l="1"/>
  <c r="D27" i="5" s="1"/>
  <c r="F27" i="5" s="1"/>
  <c r="E249" i="11"/>
  <c r="I249" i="11" s="1"/>
  <c r="I248" i="11"/>
  <c r="Q24" i="13"/>
  <c r="I236" i="11"/>
  <c r="G153" i="11" s="1"/>
  <c r="I153" i="11" s="1"/>
  <c r="Q18" i="13"/>
  <c r="Q17" i="13"/>
  <c r="Q35" i="13"/>
  <c r="R35" i="13" s="1"/>
  <c r="S35" i="13" s="1"/>
  <c r="M126" i="13"/>
  <c r="I126" i="13"/>
  <c r="D23" i="5" s="1"/>
  <c r="F23" i="5" s="1"/>
  <c r="H126" i="13"/>
  <c r="H128" i="13" s="1"/>
  <c r="D21" i="5" s="1"/>
  <c r="F21" i="5" s="1"/>
  <c r="D149" i="11" s="1"/>
  <c r="I223" i="11" s="1"/>
  <c r="F18" i="5"/>
  <c r="D19" i="5"/>
  <c r="R126" i="13" l="1"/>
  <c r="D29" i="5" s="1"/>
  <c r="F29" i="5" s="1"/>
  <c r="D152" i="11" s="1"/>
  <c r="D158" i="11" s="1"/>
  <c r="D117" i="11" s="1"/>
  <c r="D120" i="11" s="1"/>
  <c r="D122" i="11" s="1"/>
  <c r="I250" i="11"/>
  <c r="D179" i="11" s="1"/>
  <c r="E250" i="11"/>
  <c r="G86" i="11"/>
  <c r="G94" i="11" s="1"/>
  <c r="I94" i="11" s="1"/>
  <c r="I240" i="11"/>
  <c r="K240" i="11" s="1"/>
  <c r="G156" i="11" s="1"/>
  <c r="I156" i="11" s="1"/>
  <c r="G152" i="11"/>
  <c r="G162" i="11" s="1"/>
  <c r="G168" i="11" s="1"/>
  <c r="G169" i="11" s="1"/>
  <c r="I169" i="11" s="1"/>
  <c r="G154" i="11"/>
  <c r="I154" i="11" s="1"/>
  <c r="Q126" i="13"/>
  <c r="F19" i="5"/>
  <c r="I225" i="11"/>
  <c r="I227" i="11" s="1"/>
  <c r="I229" i="11" s="1"/>
  <c r="Q127" i="13" l="1"/>
  <c r="Q128" i="13" s="1"/>
  <c r="D31" i="5"/>
  <c r="C9" i="4" s="1"/>
  <c r="C14" i="4" s="1"/>
  <c r="C15" i="4" s="1"/>
  <c r="C17" i="4" s="1"/>
  <c r="C22" i="4" s="1"/>
  <c r="C27" i="4" s="1"/>
  <c r="C30" i="4" s="1"/>
  <c r="E30" i="4" s="1"/>
  <c r="F31" i="5"/>
  <c r="F36" i="5" s="1"/>
  <c r="D189" i="11"/>
  <c r="D185" i="11" s="1"/>
  <c r="D187" i="11" s="1"/>
  <c r="D192" i="11" s="1"/>
  <c r="D201" i="11" s="1"/>
  <c r="I86" i="11"/>
  <c r="I102" i="11" s="1"/>
  <c r="I152" i="11"/>
  <c r="I162" i="11"/>
  <c r="I168" i="11"/>
  <c r="G87" i="11"/>
  <c r="G95" i="11" s="1"/>
  <c r="I95" i="11" s="1"/>
  <c r="I96" i="11" s="1"/>
  <c r="G163" i="11"/>
  <c r="I163" i="11" s="1"/>
  <c r="G118" i="11"/>
  <c r="I118" i="11" s="1"/>
  <c r="G149" i="11"/>
  <c r="I164" i="11" l="1"/>
  <c r="I87" i="11"/>
  <c r="I103" i="11" s="1"/>
  <c r="I104" i="11" s="1"/>
  <c r="G104" i="11" s="1"/>
  <c r="G108" i="11" s="1"/>
  <c r="I108" i="11" s="1"/>
  <c r="I149" i="11"/>
  <c r="G155" i="11"/>
  <c r="I155" i="11" s="1"/>
  <c r="I88" i="11" l="1"/>
  <c r="G88" i="11" s="1"/>
  <c r="G171" i="11" s="1"/>
  <c r="G173" i="11" s="1"/>
  <c r="G174" i="11" s="1"/>
  <c r="I174" i="11" s="1"/>
  <c r="G109" i="11"/>
  <c r="I109" i="11" s="1"/>
  <c r="G186" i="11"/>
  <c r="I186" i="11" s="1"/>
  <c r="I158" i="11"/>
  <c r="I117" i="11" s="1"/>
  <c r="I171" i="11" l="1"/>
  <c r="G119" i="11"/>
  <c r="I119" i="11" s="1"/>
  <c r="I120" i="11" s="1"/>
  <c r="I173" i="11"/>
  <c r="G111" i="11"/>
  <c r="I111" i="11" s="1"/>
  <c r="G110" i="11"/>
  <c r="I110" i="11" s="1"/>
  <c r="I112" i="11" l="1"/>
  <c r="I122" i="11" s="1"/>
  <c r="I189" i="11" s="1"/>
  <c r="I185" i="11" s="1"/>
  <c r="I187" i="11" s="1"/>
  <c r="I175" i="11"/>
  <c r="I192" i="11" l="1"/>
  <c r="I201" i="11" s="1"/>
  <c r="I11" i="11" s="1"/>
  <c r="I24" i="11" l="1"/>
  <c r="D36" i="11" s="1"/>
  <c r="D42" i="11" l="1"/>
  <c r="D41" i="11"/>
  <c r="D40" i="11"/>
  <c r="I42" i="11"/>
  <c r="I40" i="11"/>
  <c r="D37" i="11"/>
  <c r="I41" i="11"/>
</calcChain>
</file>

<file path=xl/comments1.xml><?xml version="1.0" encoding="utf-8"?>
<comments xmlns="http://schemas.openxmlformats.org/spreadsheetml/2006/main">
  <authors>
    <author>Larry Blaine</author>
  </authors>
  <commentList>
    <comment ref="H127" authorId="0" shapeId="0">
      <text>
        <r>
          <rPr>
            <b/>
            <sz val="9"/>
            <color indexed="81"/>
            <rFont val="Tahoma"/>
            <family val="2"/>
          </rPr>
          <t>Larry Blaine:</t>
        </r>
        <r>
          <rPr>
            <sz val="9"/>
            <color indexed="81"/>
            <rFont val="Tahoma"/>
            <family val="2"/>
          </rPr>
          <t xml:space="preserve">
CMMPA FEE FOR ATTACHMENT O PREPARATION AND MONTHLY PROCESSING OF REVENUE DISTRIBUTION; AMOUNT CODED TO CONTRA-REVENUE BY WINDOM S/B EXPENSE
</t>
        </r>
      </text>
    </comment>
  </commentList>
</comments>
</file>

<file path=xl/sharedStrings.xml><?xml version="1.0" encoding="utf-8"?>
<sst xmlns="http://schemas.openxmlformats.org/spreadsheetml/2006/main" count="4228" uniqueCount="1830">
  <si>
    <t>X</t>
  </si>
  <si>
    <t>Note 2 - Line 11 includes:</t>
  </si>
  <si>
    <t>EIA-412</t>
  </si>
  <si>
    <t>Line</t>
  </si>
  <si>
    <t>No.</t>
  </si>
  <si>
    <t>ASSETS and OTHER DEBITS</t>
  </si>
  <si>
    <t>AMOUNT</t>
  </si>
  <si>
    <t>No</t>
  </si>
  <si>
    <t>LIABILITIES and OTHER CREDITS</t>
  </si>
  <si>
    <t>(Dollars)</t>
  </si>
  <si>
    <t>Electric Plant &amp; Adjustments</t>
  </si>
  <si>
    <t>(101-106,114,116)</t>
  </si>
  <si>
    <t xml:space="preserve">Construction Work In Progress (107) </t>
  </si>
  <si>
    <t>(Less) Accumulated Provision for</t>
  </si>
  <si>
    <t xml:space="preserve">Depreciation, Amortization and </t>
  </si>
  <si>
    <t>Depletion (108,111,115)</t>
  </si>
  <si>
    <t>Nuclear Fuel (120.1-120.4, 120.6)</t>
  </si>
  <si>
    <t>Amortization of Nuclear Fuel</t>
  </si>
  <si>
    <t>Assemblies (120.5)</t>
  </si>
  <si>
    <t>Net Electric Plant including Nuclear</t>
  </si>
  <si>
    <t>OTHER PROPERTY &amp; INVESTMENTS</t>
  </si>
  <si>
    <t>ELECTRIC PLANT</t>
  </si>
  <si>
    <t>Non-Electric Plant Property (121)</t>
  </si>
  <si>
    <t>Depreciation and Amortization (122)</t>
  </si>
  <si>
    <t>Investment in Associated Enterprises</t>
  </si>
  <si>
    <t>(123-123.1)</t>
  </si>
  <si>
    <t>CURRENT &amp; ACCRUED ASSETS</t>
  </si>
  <si>
    <t>Cash, Working Funds &amp; Investments</t>
  </si>
  <si>
    <t>(131-136)</t>
  </si>
  <si>
    <t>Notes &amp; Other Receivables</t>
  </si>
  <si>
    <t>(141, 143, 145, 146, 172)</t>
  </si>
  <si>
    <t>Uncollectible Accounts (144)</t>
  </si>
  <si>
    <t>Fuel Stock &amp; Expenses Undistributed</t>
  </si>
  <si>
    <t>(151-152)</t>
  </si>
  <si>
    <t>Plant Materials &amp; Operating Supplies (154)</t>
  </si>
  <si>
    <t>Other Supplies &amp; Misc (153, 155-163)</t>
  </si>
  <si>
    <t>Prepayments (165)</t>
  </si>
  <si>
    <t xml:space="preserve">Accrued revenues (173) </t>
  </si>
  <si>
    <t>Misc Current &amp; Accrued Assets (171, 174)</t>
  </si>
  <si>
    <t>Unamortized Debt Expense (181)</t>
  </si>
  <si>
    <t>Extraordinary Property Losses, Study Costs,</t>
  </si>
  <si>
    <t>and Charges (182.1, 182.2, 182.3, 183)</t>
  </si>
  <si>
    <t xml:space="preserve">Miscellaneous Debt, Research and </t>
  </si>
  <si>
    <t>Development Expenses &amp; Unamortized</t>
  </si>
  <si>
    <t>Losses (184-191)</t>
  </si>
  <si>
    <t>DEFERRED DEBITS</t>
  </si>
  <si>
    <t>Investment of Municipality (208)</t>
  </si>
  <si>
    <t>Miscellaneous Capital (211, 219, 219.1)</t>
  </si>
  <si>
    <t>Retained Earnings</t>
  </si>
  <si>
    <t>(215, 215.1, 216)</t>
  </si>
  <si>
    <t>LONG TERM DEBT</t>
  </si>
  <si>
    <t>Advances from Municipality and Other</t>
  </si>
  <si>
    <t>Long Term Debt (223, 224)</t>
  </si>
  <si>
    <t xml:space="preserve">Unamortized Premium on Long Term </t>
  </si>
  <si>
    <t>Debt (225)</t>
  </si>
  <si>
    <t>(Less) Unamortized Discount on Long</t>
  </si>
  <si>
    <t>Term Debt (226)</t>
  </si>
  <si>
    <t>OTHER NONCURRENT LIABILITIES</t>
  </si>
  <si>
    <t>Accumulated Operating Provisions (228.1-.4)</t>
  </si>
  <si>
    <t>Accumulated Provisions for Rate Refunds</t>
  </si>
  <si>
    <t>CURRENT AND ACCRUED LIABILITIES</t>
  </si>
  <si>
    <t>Notes Payable (231)</t>
  </si>
  <si>
    <t>Accounts Payable (232)</t>
  </si>
  <si>
    <t>Associated Enterprises (233, 234)</t>
  </si>
  <si>
    <t>Notes and Accounts Payable to</t>
  </si>
  <si>
    <t>Customer Deposits (235)</t>
  </si>
  <si>
    <t>Accrued taxes (236)</t>
  </si>
  <si>
    <t>Accrued Interest payable (237)</t>
  </si>
  <si>
    <t>Misc Curr &amp; Accr Liabilities (239-245)</t>
  </si>
  <si>
    <t>TOTAL LIABILITIES &amp; OTHER CREDITS</t>
  </si>
  <si>
    <t>Total Deferred Credits</t>
  </si>
  <si>
    <t xml:space="preserve">Unamortized gain on Reacquired Debt </t>
  </si>
  <si>
    <t>DEFERRED CREDITS</t>
  </si>
  <si>
    <t>Customer Advances for Construction</t>
  </si>
  <si>
    <t>(252)</t>
  </si>
  <si>
    <t xml:space="preserve">Other Deferred Credits </t>
  </si>
  <si>
    <t>(253, 256, 281-283)</t>
  </si>
  <si>
    <t>(257)</t>
  </si>
  <si>
    <t>Electric Operating Revenues (400)</t>
  </si>
  <si>
    <t>Amount</t>
  </si>
  <si>
    <t>Operation Expenses (401)</t>
  </si>
  <si>
    <t>Maintenance Expenses (402)</t>
  </si>
  <si>
    <t>Depreciation Expenses (403)</t>
  </si>
  <si>
    <t>Amortization of Electric Plant, Property Losses, and Regulatory Study Costs (404-407)</t>
  </si>
  <si>
    <t>Taxes and Tax Equivalents (408.1, 409.1)</t>
  </si>
  <si>
    <t>Income from Electric Plant Leased to Others (412, 413)</t>
  </si>
  <si>
    <t>Allowance for Other Funds Used During Construction (419.1)</t>
  </si>
  <si>
    <t>Taxes Applicable to Other Income and Deductions (408.2, 409.2)</t>
  </si>
  <si>
    <t>Income Deductions from Interest on Long Term Debt (427)</t>
  </si>
  <si>
    <t>Extraordinary Items (434)</t>
  </si>
  <si>
    <t>Extraordinary Deductions (435)</t>
  </si>
  <si>
    <t xml:space="preserve">Beginning </t>
  </si>
  <si>
    <t>Balance</t>
  </si>
  <si>
    <t>Additions</t>
  </si>
  <si>
    <t>Retirements</t>
  </si>
  <si>
    <t>Transfers</t>
  </si>
  <si>
    <t>Ending</t>
  </si>
  <si>
    <t>Intangible Plant (301-303)</t>
  </si>
  <si>
    <t>Steam Production (310-316)</t>
  </si>
  <si>
    <t>Nuclear Production (320-325)</t>
  </si>
  <si>
    <t>Hydraulic Production (330-336)</t>
  </si>
  <si>
    <t>Transmission Plant (350-359)</t>
  </si>
  <si>
    <t>Distribution Plant (360-373)</t>
  </si>
  <si>
    <t>General Plant (389-399)</t>
  </si>
  <si>
    <t xml:space="preserve">Line </t>
  </si>
  <si>
    <t>Taxes other than Income Taxes, Operating Income</t>
  </si>
  <si>
    <t>Fuel Cost</t>
  </si>
  <si>
    <t>Operation</t>
  </si>
  <si>
    <t>Maintenance</t>
  </si>
  <si>
    <t>Total</t>
  </si>
  <si>
    <t>Steam Power Generation</t>
  </si>
  <si>
    <t>(500-507, 510-514) Fuel Cost (501)</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</si>
  <si>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</si>
  <si>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</si>
  <si>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</si>
  <si>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</si>
  <si>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</si>
  <si>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</si>
  <si>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</si>
  <si>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</si>
  <si>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</si>
  <si>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</si>
  <si>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</si>
  <si>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</si>
  <si>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</si>
  <si>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</si>
  <si>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</si>
  <si>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</si>
  <si>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</si>
  <si>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</si>
  <si>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</si>
  <si>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</si>
  <si>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</si>
  <si>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</si>
  <si>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xxxxxxxxxxxxxx</t>
  </si>
  <si>
    <t>Sales Made To:</t>
  </si>
  <si>
    <t>Type</t>
  </si>
  <si>
    <t>Code</t>
  </si>
  <si>
    <t xml:space="preserve">Electricity </t>
  </si>
  <si>
    <t>Sold</t>
  </si>
  <si>
    <t>(MWH)</t>
  </si>
  <si>
    <t>Annual</t>
  </si>
  <si>
    <t>Max Demand</t>
  </si>
  <si>
    <t>(MW)</t>
  </si>
  <si>
    <t>Demand</t>
  </si>
  <si>
    <t>Charges</t>
  </si>
  <si>
    <t>($)</t>
  </si>
  <si>
    <t>Energy,</t>
  </si>
  <si>
    <t xml:space="preserve">Other </t>
  </si>
  <si>
    <t>Charges ($)</t>
  </si>
  <si>
    <t xml:space="preserve">Total </t>
  </si>
  <si>
    <t>Rev Sttlmt</t>
  </si>
  <si>
    <t>Purchases From</t>
  </si>
  <si>
    <t>Purchased</t>
  </si>
  <si>
    <t xml:space="preserve"> </t>
  </si>
  <si>
    <t>Net Electric Plant (sum lines 1-2 less 3)</t>
  </si>
  <si>
    <t>Fuel (sum lines 4-5 less line 6)</t>
  </si>
  <si>
    <t>11a</t>
  </si>
  <si>
    <t>11b</t>
  </si>
  <si>
    <t>11c</t>
  </si>
  <si>
    <t>11d</t>
  </si>
  <si>
    <t>Investments &amp; Special Funds (124-129) (sum line 11a-d)</t>
  </si>
  <si>
    <t xml:space="preserve">Construction Funds - See Note 2 </t>
  </si>
  <si>
    <t>Discretionary Reserves - See Note 3</t>
  </si>
  <si>
    <t>Other Restricted Investments - See Note 4</t>
  </si>
  <si>
    <t>Note 1 - includes debt service reserve funds, P&amp;I and sinking fund deposits</t>
  </si>
  <si>
    <t>Note 2 - funds from bond proceeds</t>
  </si>
  <si>
    <t>Note 3 - includes rate stabilization funds and O&amp;M and R&amp;R reserves</t>
  </si>
  <si>
    <t>Note 4 - includes any remaining restricted funds unavailable for operations or debt service, such as decommissioning funds</t>
  </si>
  <si>
    <t>Total Other Property and Investments       (sum lines 8, 10, 11 less 9)</t>
  </si>
  <si>
    <t>Total Current &amp; Accrued Assets                      ( sum lines 13-15, 17-22 less line 16)</t>
  </si>
  <si>
    <t>TOTAL ASSETS &amp; OTHER DEBITS             (sum of lines 7, 12, 23, 27)</t>
  </si>
  <si>
    <t>Total Deferred Debits (sum  line 24-26)</t>
  </si>
  <si>
    <t>TOTAL PROPRIETARY CAPITAL            (sum lines 29-31)</t>
  </si>
  <si>
    <t>33a</t>
  </si>
  <si>
    <t>33b</t>
  </si>
  <si>
    <t>33c</t>
  </si>
  <si>
    <t>33d</t>
  </si>
  <si>
    <t>Project</t>
  </si>
  <si>
    <t>Third Lien</t>
  </si>
  <si>
    <t>Subordinate Lien</t>
  </si>
  <si>
    <t>Senior Lien</t>
  </si>
  <si>
    <t>Bonds (221, 222) (sum lins 33a-d, include</t>
  </si>
  <si>
    <t>current portion)</t>
  </si>
  <si>
    <t>Total Long Term Debt (sum line 33-35 less 36)</t>
  </si>
  <si>
    <t>Total Other Non Current Liabilities (sum 38-39)</t>
  </si>
  <si>
    <t>Total Current &amp; Accrued Liabilities             (sum line 41-47)</t>
  </si>
  <si>
    <t>Schedule 2 - ELECTRIC BALANCE SHEET</t>
  </si>
  <si>
    <t>Schedule 3 - ELECTRIC INCOME STATEMENT</t>
  </si>
  <si>
    <t>Nuclear Power Generation (517-525, 528-532) Fule Cost (518)</t>
  </si>
  <si>
    <t>Schedule 6 - SALES OF ELECTRICITY FOR RESALE (Acct 447)</t>
  </si>
  <si>
    <t>Notes:</t>
  </si>
  <si>
    <t>Schedule 8 - PURCHASES OF ELECTRICITY FOR RESALE (Acct 555)</t>
  </si>
  <si>
    <t>Schedule 7 - ELECTRIC OPERATION AND MAINTENANCE EXPENSES (Dollars)</t>
  </si>
  <si>
    <t>Total Production Plant (sum lines 2-5)</t>
  </si>
  <si>
    <t>Construction Work in Progress Electric (107)</t>
  </si>
  <si>
    <t>Total Electric Plant &amp; Adjustments      (sum lines 14, 15)</t>
  </si>
  <si>
    <t>Electric Plant &amp; Adjustments                (sum lines 10-13)</t>
  </si>
  <si>
    <t>Total Electric Plant In Service              (sum lines 1, 6-9)</t>
  </si>
  <si>
    <t>Electric Plant Leased to Others (104)</t>
  </si>
  <si>
    <t>Electric Plant Held for Future Use (105)</t>
  </si>
  <si>
    <t>Electric Plant Miscellaneous (102,103,106,114,116)</t>
  </si>
  <si>
    <t xml:space="preserve">    TOTAL ELECTRIC OPERATING EXPENSES (sum lines 2-6)</t>
  </si>
  <si>
    <t xml:space="preserve">        NET ELECTRIC OPERATING INCOME (line 1 less line 7)</t>
  </si>
  <si>
    <t xml:space="preserve">    Electric Operating Income (sum lines 8, 9)</t>
  </si>
  <si>
    <t>Other Electric Income (explain significant amounts in a footnote) (415, 417, 418, 419, 421, 421.1)</t>
  </si>
  <si>
    <t>Other Electric Deductions (explain significant amounts in a footnote) (416, 417, 421.2)</t>
  </si>
  <si>
    <t>Other Income Deductions (explain significant amounts in a footnote) (428-431)</t>
  </si>
  <si>
    <t xml:space="preserve">    Total Income Deductions (sum line 16-18)</t>
  </si>
  <si>
    <t xml:space="preserve">    Electric Income (sumlines 10, 11, 13 less lines 12, 14)</t>
  </si>
  <si>
    <t xml:space="preserve">        Income Before Extraordinary Items (line 15 less line 19)</t>
  </si>
  <si>
    <t xml:space="preserve">        NET INCOME (sum lines 20, 21 less line 22)</t>
  </si>
  <si>
    <t>General Fund Transfers (excl. Taxes and Tax Equivalents listed above)</t>
  </si>
  <si>
    <t>Senior Lien Debt Service - See Note 1</t>
  </si>
  <si>
    <t>Subordinate Lien Debt Service - See Note 1</t>
  </si>
  <si>
    <t>Third Lien Debt Service - See Note 1</t>
  </si>
  <si>
    <t>Project Debt Service - See Note 1</t>
  </si>
  <si>
    <t>Note 1 - required deposits to the P&amp;I fund during the fiscal year without regard to interest earnings on debt service;</t>
  </si>
  <si>
    <t>include interest expense for CP and short-term notes where appropriate.</t>
  </si>
  <si>
    <t>Specify: Combustion Turbines</t>
  </si>
  <si>
    <t>Aggregate Debt Service</t>
  </si>
  <si>
    <t>Debt Service Deposits &amp; Reserves - See Note 1</t>
  </si>
  <si>
    <t>PROPRIETARY CAPITAL</t>
  </si>
  <si>
    <t>ACCUM DEPR</t>
  </si>
  <si>
    <t>Allowance for Borrowed Funds Used During Construction (432)</t>
  </si>
  <si>
    <t>Income Taxes, Operating Income (409.1)</t>
  </si>
  <si>
    <t xml:space="preserve">    Taxes and Tax Equivalents (sum of lines 1,2)</t>
  </si>
  <si>
    <t>Taxes Other than Income Taxes, other Income and Deductions (408.2)</t>
  </si>
  <si>
    <t>Income Taxes, Other Income and Deductions (409.2)</t>
  </si>
  <si>
    <t xml:space="preserve">    Taxes Applicable to Other Income and Deductions (sum of lines 4,5)</t>
  </si>
  <si>
    <t>Transfers from Retained Earnings (State and Local)</t>
  </si>
  <si>
    <t>Other Transfers from Retained Earnings</t>
  </si>
  <si>
    <t xml:space="preserve">    Total Taxes and Transfers (sum of lines 3,6-8)</t>
  </si>
  <si>
    <t>CONTRIBUTIONS OF SERVICES AND MATERIALS TO STATE AND LOCAL GOVERNMENTS</t>
  </si>
  <si>
    <t>Free or Below-Cost Electric Service</t>
  </si>
  <si>
    <t>Use of Electric Department Employees</t>
  </si>
  <si>
    <t>Use of Electric Department Vehicles and Other Equipment</t>
  </si>
  <si>
    <t>Materials and Supplies</t>
  </si>
  <si>
    <t xml:space="preserve">    Total Contributions Provided (sum of lines 10-13)</t>
  </si>
  <si>
    <t>CONTRIBUTIONS OF SERVICE AND MATERIALS FROM STATE AND LOCAL GOVERNMENTS</t>
  </si>
  <si>
    <t>Free or Below-Cost Services</t>
  </si>
  <si>
    <t>Use of State or Local Employees (Not on Payroll of Reporting Entity)</t>
  </si>
  <si>
    <t>Use of State or Local Vehicles and Other Equipment</t>
  </si>
  <si>
    <t xml:space="preserve">    Total Contributions Received (sum of lines 15-18)</t>
  </si>
  <si>
    <t xml:space="preserve">    Net Contributions and Services to Municipality or Other Government Units                                          (line 14, less line 19)</t>
  </si>
  <si>
    <t>SUBJECT PAYMENTS TO MUNICIPALITY OR OTHER GOVERNMENT UNITS</t>
  </si>
  <si>
    <t>SCHEDULE 5. TAXES, TAX EQUIVALENTS, CONTRIBUTIONS, AND SERVICES DURING YEAR</t>
  </si>
  <si>
    <t>FP,OT</t>
  </si>
  <si>
    <t>Customer Accounts ReceIvable (142)</t>
  </si>
  <si>
    <t>Windom</t>
  </si>
  <si>
    <t>Cottonwood County property taxes are assessed as follows:</t>
  </si>
  <si>
    <t>Tax Capacity</t>
  </si>
  <si>
    <t>The percentage applied for Cottonwood County is 150.31858% of the "tax capacity" or:</t>
  </si>
  <si>
    <t>For commercial property, the "tax capacity" is first calculated as follows:</t>
  </si>
  <si>
    <t>and 2% of any assessed gross plant value above $150,000</t>
  </si>
  <si>
    <t xml:space="preserve">1.5% of the first $150,000 of gross plant </t>
  </si>
  <si>
    <t>Windom Gross Plant</t>
  </si>
  <si>
    <t>Tax Capacity Rate</t>
  </si>
  <si>
    <t xml:space="preserve"> When applied to Windom's gross book value, the Tax Capacity would be (2006):</t>
  </si>
  <si>
    <t>The City of Windom does not make this calculation every year.  The City instead settled on a fixed amount entered into</t>
  </si>
  <si>
    <t>reasonable proxy for the property taxes.</t>
  </si>
  <si>
    <t>The property tax assessment is a percentage applied for Cottonwood County is 150.31858% of the "tax capacity" or:</t>
  </si>
  <si>
    <t xml:space="preserve">the budget each year that approximates the property tax liability.  The transfer payment of amount of $250,000 is a </t>
  </si>
  <si>
    <t xml:space="preserve">Salary and Wages </t>
  </si>
  <si>
    <t>Source Document</t>
  </si>
  <si>
    <t>Production</t>
  </si>
  <si>
    <t>Transmission</t>
  </si>
  <si>
    <t>Distribution</t>
  </si>
  <si>
    <t>Other (non A&amp;G)</t>
  </si>
  <si>
    <t xml:space="preserve">A&amp;G </t>
  </si>
  <si>
    <t>Must equal or explain why it doesn't</t>
  </si>
  <si>
    <t>Employees (Do not include names)</t>
  </si>
  <si>
    <t>Wages (including YR-End Accrual)</t>
  </si>
  <si>
    <t>% Spent on Production</t>
  </si>
  <si>
    <t>% Spent on Transmission</t>
  </si>
  <si>
    <t>% Spent on Distribution</t>
  </si>
  <si>
    <t>% Spent on Other (non A&amp;G)</t>
  </si>
  <si>
    <t>% Spent on A&amp;G</t>
  </si>
  <si>
    <t>A&amp;G</t>
  </si>
  <si>
    <t>CITY OF WINDOM</t>
  </si>
  <si>
    <t>ATTACHMENT O WORKPAPER</t>
  </si>
  <si>
    <t>WAGE/SALARY ALLOCATOR</t>
  </si>
  <si>
    <t>Attachment O</t>
  </si>
  <si>
    <t>Page 1 of 5</t>
  </si>
  <si>
    <t xml:space="preserve">Formula Rate - Non-Levelized </t>
  </si>
  <si>
    <t xml:space="preserve">   Rate Formula Template</t>
  </si>
  <si>
    <t>Allocated</t>
  </si>
  <si>
    <t xml:space="preserve">REVENUE CREDITS </t>
  </si>
  <si>
    <t>(Note T)</t>
  </si>
  <si>
    <t>Allocator</t>
  </si>
  <si>
    <t xml:space="preserve">  Account No. 454</t>
  </si>
  <si>
    <t>(page 4, line 30)</t>
  </si>
  <si>
    <t>TP</t>
  </si>
  <si>
    <t>(page 4, line 33)</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</si>
  <si>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</si>
  <si>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</si>
  <si>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</si>
  <si>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</si>
  <si>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</si>
  <si>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</si>
  <si>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</si>
  <si>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</si>
  <si>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</si>
  <si>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</si>
  <si>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</si>
  <si>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</si>
  <si>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</si>
  <si>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</si>
  <si>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</si>
  <si>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12 CP or Contract Demands from service over one year provided by ISO at a discount (enter negative)</t>
  </si>
  <si>
    <t>Divisor (sum lines 8-14)</t>
  </si>
  <si>
    <t>Annual Cost ($/kW/Yr)</t>
  </si>
  <si>
    <t>(line 7/ line 15)</t>
  </si>
  <si>
    <t>Network &amp; P-to-P Rate ($/kW/Mo) (line 11/ 12)</t>
  </si>
  <si>
    <t>Peak Rate</t>
  </si>
  <si>
    <t>Off-Peak Rate</t>
  </si>
  <si>
    <t>Point-To-Point Rate ($/kW/Wk)</t>
  </si>
  <si>
    <t>(line 16 / 52; line 16/ 52)</t>
  </si>
  <si>
    <t>Point-To-Point Rate ($/kW/Day)</t>
  </si>
  <si>
    <t xml:space="preserve"> Capped at weekly rate</t>
  </si>
  <si>
    <t>Point-To-Point Rate ($/MWh)</t>
  </si>
  <si>
    <t xml:space="preserve"> Capped at weekly</t>
  </si>
  <si>
    <t xml:space="preserve"> times 1,000)</t>
  </si>
  <si>
    <t xml:space="preserve"> and daily rates</t>
  </si>
  <si>
    <t>FERC Annual Charge($/MWh)</t>
  </si>
  <si>
    <t xml:space="preserve">          (Note E)</t>
  </si>
  <si>
    <t>Short Term</t>
  </si>
  <si>
    <t>Long Term</t>
  </si>
  <si>
    <t>Page 2 of 5</t>
  </si>
  <si>
    <t>(1)</t>
  </si>
  <si>
    <t>(2)</t>
  </si>
  <si>
    <t>(3)</t>
  </si>
  <si>
    <t>(4)</t>
  </si>
  <si>
    <t>(5)</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</si>
  <si>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</si>
  <si>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</si>
  <si>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</si>
  <si>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</si>
  <si>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</si>
  <si>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</si>
  <si>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</si>
  <si>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</si>
  <si>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</si>
  <si>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</si>
  <si>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</si>
  <si>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</si>
  <si>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TOTAL GROSS PLANT (sum lines 1-5)</t>
  </si>
  <si>
    <t>GP=</t>
  </si>
  <si>
    <t>TOTAL ACCUM. DEPRECIATION (sum lines 7-11)</t>
  </si>
  <si>
    <t>NET PLANT IN SERVICE</t>
  </si>
  <si>
    <t xml:space="preserve"> (line 1- line 7)</t>
  </si>
  <si>
    <t xml:space="preserve"> (line 2- line 8)</t>
  </si>
  <si>
    <t xml:space="preserve"> (line 3 - line 9)</t>
  </si>
  <si>
    <t xml:space="preserve"> (line 4 - line 10)</t>
  </si>
  <si>
    <t xml:space="preserve"> (line 5 - line 11)</t>
  </si>
  <si>
    <t>TOTAL NET PLANT (sum lines 13-17)</t>
  </si>
  <si>
    <t>NP=</t>
  </si>
  <si>
    <t>ADJUSTMENTS TO RATE BASE       (Note F)</t>
  </si>
  <si>
    <t xml:space="preserve">  Account No. 281 (enter negative) </t>
  </si>
  <si>
    <t>zero</t>
  </si>
  <si>
    <t xml:space="preserve">  Account No. 282 (enter negative)</t>
  </si>
  <si>
    <t>NP</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</si>
  <si>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</si>
  <si>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</si>
  <si>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</si>
  <si>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</si>
  <si>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</si>
  <si>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</si>
  <si>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(Note H)</t>
  </si>
  <si>
    <t xml:space="preserve">  CWC</t>
  </si>
  <si>
    <t xml:space="preserve">  Materials &amp; Supplies</t>
  </si>
  <si>
    <t xml:space="preserve"> (Note G)</t>
  </si>
  <si>
    <t>TE</t>
  </si>
  <si>
    <t xml:space="preserve">  Prepayments</t>
  </si>
  <si>
    <r>
      <t>I</t>
    </r>
    <r>
      <rPr>
        <sz val="12"/>
        <rFont val="Arial"/>
        <family val="2"/>
      </rPr>
      <t>I.20.b</t>
    </r>
  </si>
  <si>
    <t>GP</t>
  </si>
  <si>
    <t>TOTAL WORKING CAPITAL (sum lines 26 - 28)</t>
  </si>
  <si>
    <t>RATE BASE  (sum lines 18, 24, 25, and 29)</t>
  </si>
  <si>
    <t>Page 3 of 5</t>
  </si>
  <si>
    <t xml:space="preserve">  Transmission </t>
  </si>
  <si>
    <t xml:space="preserve">     Less Account 565</t>
  </si>
  <si>
    <t xml:space="preserve">  A&amp;G</t>
  </si>
  <si>
    <t xml:space="preserve">     Less FERC Annual Fees</t>
  </si>
  <si>
    <t xml:space="preserve">     Less EPRI &amp; Reg. Comm. Exp. &amp; Non-safety Ad(Note I)</t>
  </si>
  <si>
    <t>5a</t>
  </si>
  <si>
    <t xml:space="preserve">     Plus Transmission Related Reg. Comm. Exp. (Note I)</t>
  </si>
  <si>
    <t xml:space="preserve">  Transmission Lease Payments</t>
  </si>
  <si>
    <t>TOTAL DEPRECIATION (Sum lines 9 - 11)</t>
  </si>
  <si>
    <t>TAXES OTHER THAN INCOME TAXES  (Note J)</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</si>
  <si>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</si>
  <si>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</si>
  <si>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</si>
  <si>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</si>
  <si>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</si>
  <si>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</si>
  <si>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</si>
  <si>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</si>
  <si>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</si>
  <si>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</si>
  <si>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</si>
  <si>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(Note K)</t>
  </si>
  <si>
    <t xml:space="preserve">     T=1 - {[(1 - SIT) * (1 - FIT)] / (1 - SIT * FIT * p)} =</t>
  </si>
  <si>
    <t xml:space="preserve">     CIT=(T/1-T) * (1-(WCLTD/R)) =</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</si>
  <si>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</si>
  <si>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</si>
  <si>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</si>
  <si>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</si>
  <si>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</si>
  <si>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</si>
  <si>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</si>
  <si>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 xml:space="preserve">RETURN </t>
  </si>
  <si>
    <t xml:space="preserve">  [ Rate Base (page 2, line 30) * Rate of Return (page 4, line 24)]</t>
  </si>
  <si>
    <t>REV. REQUIREMENT  (sum lines 8, 12,20,27,28)</t>
  </si>
  <si>
    <t>Page 4 of 5</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</si>
  <si>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</si>
  <si>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</si>
  <si>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</si>
  <si>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</si>
  <si>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</si>
  <si>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</si>
  <si>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</si>
  <si>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</si>
  <si>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</si>
  <si>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</si>
  <si>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</si>
  <si>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</si>
  <si>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</si>
  <si>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</si>
  <si>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</si>
  <si>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</si>
  <si>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t>
  </si>
  <si>
    <t>Allocation</t>
  </si>
  <si>
    <t>W&amp;S Allocator</t>
  </si>
  <si>
    <t xml:space="preserve">  Other</t>
  </si>
  <si>
    <t>($ / Allocation)</t>
  </si>
  <si>
    <t xml:space="preserve">  Total (sum lines 12-15)</t>
  </si>
  <si>
    <t>=</t>
  </si>
  <si>
    <t xml:space="preserve">  =</t>
  </si>
  <si>
    <t>COMMON PLANT ALLOCATOR  (CE)   (Note O)</t>
  </si>
  <si>
    <t>% Electric</t>
  </si>
  <si>
    <t>Labor Ratio</t>
  </si>
  <si>
    <t xml:space="preserve">  Electric</t>
  </si>
  <si>
    <t>(line 17 / line 20)</t>
  </si>
  <si>
    <t>(line 16)</t>
  </si>
  <si>
    <t xml:space="preserve">  Gas</t>
  </si>
  <si>
    <t>*</t>
  </si>
  <si>
    <t xml:space="preserve">  Water</t>
  </si>
  <si>
    <t xml:space="preserve">  Total  (sum lines 17-19)</t>
  </si>
  <si>
    <t>RETURN (R)</t>
  </si>
  <si>
    <t xml:space="preserve">              Long Term Interest  </t>
  </si>
  <si>
    <t>Cost</t>
  </si>
  <si>
    <t>%</t>
  </si>
  <si>
    <t>(Note P)</t>
  </si>
  <si>
    <t>Weighted</t>
  </si>
  <si>
    <t xml:space="preserve">  Long Term Debt</t>
  </si>
  <si>
    <t>=WCLTD</t>
  </si>
  <si>
    <t xml:space="preserve">  Proprietary Capital</t>
  </si>
  <si>
    <t>Total  (sum lines 22, 23)</t>
  </si>
  <si>
    <t>=R</t>
  </si>
  <si>
    <t xml:space="preserve">                               Proprietary Capital Cost Rate =</t>
  </si>
  <si>
    <t xml:space="preserve">                TIER =</t>
  </si>
  <si>
    <t>REVENUE CREDITS</t>
  </si>
  <si>
    <t>Load</t>
  </si>
  <si>
    <t>ACCOUNT 447 (SALES FOR RESALE)</t>
  </si>
  <si>
    <t xml:space="preserve">  a. Bundled Non-RQ Sales for Resale</t>
  </si>
  <si>
    <t>(Note Q)</t>
  </si>
  <si>
    <t xml:space="preserve">  b. Bundled Sales for Resale included in Divisor on page 1 </t>
  </si>
  <si>
    <t xml:space="preserve">  Total of (a)-(b)</t>
  </si>
  <si>
    <t>ACCOUNT 454 (RENT FROM ELECTRIC PROPERTY)    (Note R)</t>
  </si>
  <si>
    <t xml:space="preserve">  a. Transmission charges for all transmission transactions </t>
  </si>
  <si>
    <t xml:space="preserve">  b. Transmission charges for all transmission transactions included in Divisor on page 1</t>
  </si>
  <si>
    <t>Page 5 of 5</t>
  </si>
  <si>
    <t>General Note:  References to pages in this formulary rate are indicated as:  (page#, line#, col.#)</t>
  </si>
  <si>
    <t>Note</t>
  </si>
  <si>
    <t>Letter</t>
  </si>
  <si>
    <t>A</t>
  </si>
  <si>
    <t>B</t>
  </si>
  <si>
    <t>C</t>
  </si>
  <si>
    <t>D</t>
  </si>
  <si>
    <t>E</t>
  </si>
  <si>
    <t>F</t>
  </si>
  <si>
    <t>G</t>
  </si>
  <si>
    <t>Transmission related only.</t>
  </si>
  <si>
    <t>H</t>
  </si>
  <si>
    <t>I</t>
  </si>
  <si>
    <t>J</t>
  </si>
  <si>
    <t>K</t>
  </si>
  <si>
    <t>FIT =</t>
  </si>
  <si>
    <t>SIT=</t>
  </si>
  <si>
    <t xml:space="preserve">  (State Income Tax Rate or Composite SIT)</t>
  </si>
  <si>
    <t>p =</t>
  </si>
  <si>
    <t xml:space="preserve">  (percent of federal income tax deductible for state purposes)</t>
  </si>
  <si>
    <t>L</t>
  </si>
  <si>
    <t>M</t>
  </si>
  <si>
    <t>N</t>
  </si>
  <si>
    <t>O</t>
  </si>
  <si>
    <t>Enter dollar amounts</t>
  </si>
  <si>
    <t>P</t>
  </si>
  <si>
    <t>Q</t>
  </si>
  <si>
    <t>R</t>
  </si>
  <si>
    <t>Includes income related only to transmission facilities, such as pole attachments, rentals and special use.</t>
  </si>
  <si>
    <t>S</t>
  </si>
  <si>
    <t>T</t>
  </si>
  <si>
    <t>U</t>
  </si>
  <si>
    <t>Date</t>
  </si>
  <si>
    <t>Depreciation</t>
  </si>
  <si>
    <t>General Ledger Detail</t>
  </si>
  <si>
    <t>Account Number</t>
  </si>
  <si>
    <t>Account Description</t>
  </si>
  <si>
    <t>Salaries &amp; Wages</t>
  </si>
  <si>
    <t>62-182-4010</t>
  </si>
  <si>
    <t>Electric Regular Salaries</t>
  </si>
  <si>
    <t>62-182-4011</t>
  </si>
  <si>
    <t>Electric Salaries part Time</t>
  </si>
  <si>
    <t>62-182-4012</t>
  </si>
  <si>
    <t>Electric Overtime</t>
  </si>
  <si>
    <t>Supplies &amp; Maintenance Costs</t>
  </si>
  <si>
    <t>Utilities</t>
  </si>
  <si>
    <t>Insurance</t>
  </si>
  <si>
    <t>62-182-4015</t>
  </si>
  <si>
    <t>Electric Hospitalization</t>
  </si>
  <si>
    <t>62-182-4016</t>
  </si>
  <si>
    <t>Electric Life Insurance</t>
  </si>
  <si>
    <t>62-182-4018</t>
  </si>
  <si>
    <t>62-182-4120</t>
  </si>
  <si>
    <t>Electric truck maintenance</t>
  </si>
  <si>
    <t>62-182-4199</t>
  </si>
  <si>
    <t>Electric misc maint motorize</t>
  </si>
  <si>
    <t>62-182-4211</t>
  </si>
  <si>
    <t>Electric office equip maint</t>
  </si>
  <si>
    <t>62-182-4410</t>
  </si>
  <si>
    <t>Electric janitorial supplies</t>
  </si>
  <si>
    <t>62-182-4411</t>
  </si>
  <si>
    <t>Electric plumbing maint</t>
  </si>
  <si>
    <t>62-182-4412</t>
  </si>
  <si>
    <t>Electric electrical maint.</t>
  </si>
  <si>
    <t>62-182-4415</t>
  </si>
  <si>
    <t>Electric grounds maint</t>
  </si>
  <si>
    <t>62-182-4499</t>
  </si>
  <si>
    <t>Electric misc maint bldgs</t>
  </si>
  <si>
    <t>62-182-4510</t>
  </si>
  <si>
    <t>Electric heat utility</t>
  </si>
  <si>
    <t>62-182-4512</t>
  </si>
  <si>
    <t>Electric water utility</t>
  </si>
  <si>
    <t>62-182-4513</t>
  </si>
  <si>
    <t>Electric sanitary sewer</t>
  </si>
  <si>
    <t>550</t>
  </si>
  <si>
    <t>560</t>
  </si>
  <si>
    <t>62-182-4610</t>
  </si>
  <si>
    <t>Electric Fire &amp; EC Insurance</t>
  </si>
  <si>
    <t>62-182-4611</t>
  </si>
  <si>
    <t>Electric Workman's Comp Insurance</t>
  </si>
  <si>
    <t>62-182-4613</t>
  </si>
  <si>
    <t>Electric Boiler/ Machiner Insurance</t>
  </si>
  <si>
    <t>62-182-4612</t>
  </si>
  <si>
    <t>Electric General Liability Insurance</t>
  </si>
  <si>
    <t>62-182-4615</t>
  </si>
  <si>
    <t>Electric Vehicle Insurance</t>
  </si>
  <si>
    <t>62-182-4619</t>
  </si>
  <si>
    <t>Electric Misc Insurance</t>
  </si>
  <si>
    <t>Other Operating Expenses</t>
  </si>
  <si>
    <t>62-182-4660</t>
  </si>
  <si>
    <t>Electric Postage</t>
  </si>
  <si>
    <t>62-182-4661</t>
  </si>
  <si>
    <t>Electric Telephone/Telegraph</t>
  </si>
  <si>
    <t>62-182-4662</t>
  </si>
  <si>
    <t>Electric Dispatching</t>
  </si>
  <si>
    <t>62-182-4663</t>
  </si>
  <si>
    <t>Electric Radio Maint</t>
  </si>
  <si>
    <t>62-182-4710</t>
  </si>
  <si>
    <t>Electric Mileage</t>
  </si>
  <si>
    <t>62-182-4711</t>
  </si>
  <si>
    <t>Electric Conference Registration</t>
  </si>
  <si>
    <t>62-182-4712</t>
  </si>
  <si>
    <t>Electric Hotels/Meals</t>
  </si>
  <si>
    <t>62-182-4810</t>
  </si>
  <si>
    <t>Electric Office Supplies</t>
  </si>
  <si>
    <t>62-182-4811</t>
  </si>
  <si>
    <t>Electric Chemicals</t>
  </si>
  <si>
    <t>62-182-4812</t>
  </si>
  <si>
    <t>Electric Motor Fuels</t>
  </si>
  <si>
    <t>62-182-4816</t>
  </si>
  <si>
    <t>Electric Small Tools</t>
  </si>
  <si>
    <t>62-182-4817</t>
  </si>
  <si>
    <t>Electric Refuse Disposal</t>
  </si>
  <si>
    <t>62-182-4818</t>
  </si>
  <si>
    <t xml:space="preserve">Electric Printing </t>
  </si>
  <si>
    <t>62-182-4820</t>
  </si>
  <si>
    <t>Electric Dues</t>
  </si>
  <si>
    <t>62-182-4821</t>
  </si>
  <si>
    <t>Electric Promotion</t>
  </si>
  <si>
    <t>62-182-4824</t>
  </si>
  <si>
    <t>Electric Mapping</t>
  </si>
  <si>
    <t>62-182-4825</t>
  </si>
  <si>
    <t>Electric Auditing</t>
  </si>
  <si>
    <t>62-182-4826</t>
  </si>
  <si>
    <t>Electric Data Processing</t>
  </si>
  <si>
    <t>62-182-4827</t>
  </si>
  <si>
    <t>Electric Uniforms</t>
  </si>
  <si>
    <t>62-182-4829</t>
  </si>
  <si>
    <t>Electric Lab Testing</t>
  </si>
  <si>
    <t>62-182-4830</t>
  </si>
  <si>
    <t>Electric Freight</t>
  </si>
  <si>
    <t>62-182-4831</t>
  </si>
  <si>
    <t>Electric WADC Promotions</t>
  </si>
  <si>
    <t>62-182-4834</t>
  </si>
  <si>
    <t>Electric Legal Fees</t>
  </si>
  <si>
    <t>62-182-4845</t>
  </si>
  <si>
    <t>Electric Accounts Charged</t>
  </si>
  <si>
    <t>62-182-4847</t>
  </si>
  <si>
    <t>Electric Engineering Dues</t>
  </si>
  <si>
    <t>62-182-4899</t>
  </si>
  <si>
    <t>Electric Other supplies</t>
  </si>
  <si>
    <t>62-182-4993</t>
  </si>
  <si>
    <t>Electric Energy Conservation</t>
  </si>
  <si>
    <t>62-182-4994</t>
  </si>
  <si>
    <t>Electric Contributions</t>
  </si>
  <si>
    <t>62-182-4996</t>
  </si>
  <si>
    <t>Electric Taxes</t>
  </si>
  <si>
    <t>62-182-4998</t>
  </si>
  <si>
    <t>Electric Refunds</t>
  </si>
  <si>
    <t>62-182-4999</t>
  </si>
  <si>
    <t>Electric Misc</t>
  </si>
  <si>
    <t>UTILITIES PLUS/WAPA</t>
  </si>
  <si>
    <t>LESS ATTACHMENT GG ADJUSTMENT (Attachment GG, page 2, line 3, column 10)  Note W</t>
  </si>
  <si>
    <t>included in Attachment GG)</t>
  </si>
  <si>
    <t>REV. REQUIREMENT TO BE COLLECTED UNDER ATTACHMENT O</t>
  </si>
  <si>
    <t>(line 29-line 30)</t>
  </si>
  <si>
    <t>1a</t>
  </si>
  <si>
    <t xml:space="preserve">     Less LSE Expenses included in Transmission O&amp;M Accounts (Note V)</t>
  </si>
  <si>
    <t>TOTAL O&amp;M (sum lines 1, 3, 5a, 6, 7 less 1a,2, 4, 5)</t>
  </si>
  <si>
    <t>DEPR</t>
  </si>
  <si>
    <t>Utilizing EIA 412 Form Data</t>
  </si>
  <si>
    <t>(line 16/260; line 16/365)</t>
  </si>
  <si>
    <t>(line 16/4160; line 16/8760</t>
  </si>
  <si>
    <t>EIA 412</t>
  </si>
  <si>
    <t>Reference</t>
  </si>
  <si>
    <t>IV.6.e</t>
  </si>
  <si>
    <t>IV.7.e</t>
  </si>
  <si>
    <t>IV.8.e</t>
  </si>
  <si>
    <t>IV.12.e     (Note G)</t>
  </si>
  <si>
    <t>VII.8.d</t>
  </si>
  <si>
    <t>VII.13.d</t>
  </si>
  <si>
    <t>(Revenue Requirement for facilities included on page 2, line 2, and also</t>
  </si>
  <si>
    <t>Please fill out info requested in the box below</t>
  </si>
  <si>
    <t>Acct 561 included in Line 7?</t>
  </si>
  <si>
    <t>Acct 561.BA for Schedule 24</t>
  </si>
  <si>
    <t>Acct 561 available for Schedule 1</t>
  </si>
  <si>
    <t>Revenue Credits for Sched 1/Acct 561</t>
  </si>
  <si>
    <t>transactions &lt;1 yr</t>
  </si>
  <si>
    <t>non-firm</t>
  </si>
  <si>
    <t>transactions w/ load not in divisor</t>
  </si>
  <si>
    <t>total Revenue Credits</t>
  </si>
  <si>
    <t>Net Schedule 1 Expenses (Acct 561 minus Credits)</t>
  </si>
  <si>
    <t>Schedule 1 Recoverable Expenses</t>
  </si>
  <si>
    <t>Included transmission expenses (line 6 less line 7)</t>
  </si>
  <si>
    <t>III.16.b + III.17.b (Note U)</t>
  </si>
  <si>
    <t>II.33.b + II.34.b</t>
  </si>
  <si>
    <t>II.32.b</t>
  </si>
  <si>
    <t>Line 31 supported by notes in Form 412 or detailed Schedule</t>
  </si>
  <si>
    <t>Line 32 supported by notes in Form 412 or detailed Schedule</t>
  </si>
  <si>
    <t>Removes dollar amount of transmission expenses included in the OATT ancillary services rates, including Account Nos. 561.1, 561.2, 561.3, and 561.BA.</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</si>
  <si>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</si>
  <si>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Line 29 must equal zero since all short-term power sales must be unbundled and the transmission component reflected in Account No. 456.1 and all other uses are to be included in the divisor.</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</si>
  <si>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</si>
  <si>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V</t>
  </si>
  <si>
    <t>W</t>
  </si>
  <si>
    <t>WS5:  Windom Schedule 5 -  EXPENSE DETAILS</t>
  </si>
  <si>
    <t>62-182-4019</t>
  </si>
  <si>
    <t>Electric Vacation</t>
  </si>
  <si>
    <t>62-182-4022</t>
  </si>
  <si>
    <t>Electric Sick Leave</t>
  </si>
  <si>
    <t>62-182-4013</t>
  </si>
  <si>
    <t>Electric Pensions-PERA</t>
  </si>
  <si>
    <t>62-182-4014</t>
  </si>
  <si>
    <t>62-182-4017</t>
  </si>
  <si>
    <t>Electric Pensions-FICA</t>
  </si>
  <si>
    <t>Electric Medicare Insurance</t>
  </si>
  <si>
    <t>to payroll taxes</t>
  </si>
  <si>
    <t>Electric ins/VEBA</t>
  </si>
  <si>
    <t>62-182-4217</t>
  </si>
  <si>
    <t>Electric Generation Maintenance</t>
  </si>
  <si>
    <t>62-182-4218</t>
  </si>
  <si>
    <t>Electric substation Maintenance</t>
  </si>
  <si>
    <t>62-182-4222</t>
  </si>
  <si>
    <t>Electric Distribution System Maintenance</t>
  </si>
  <si>
    <t>62-182-4299</t>
  </si>
  <si>
    <t>Electric Misc other Maintenance</t>
  </si>
  <si>
    <t>62-182-4413</t>
  </si>
  <si>
    <t>Electric Heating/AC Maintenance</t>
  </si>
  <si>
    <t>62-182-4414</t>
  </si>
  <si>
    <t>Electric Structures maintenance</t>
  </si>
  <si>
    <t>62-182-4851</t>
  </si>
  <si>
    <t>Customer Accounts</t>
  </si>
  <si>
    <t>Customer Service</t>
  </si>
  <si>
    <t>Sales</t>
  </si>
  <si>
    <t>Assignment to Operating Departments/Other</t>
  </si>
  <si>
    <t>Taxes</t>
  </si>
  <si>
    <t>62-282-3474</t>
  </si>
  <si>
    <t>Electric Interest Income</t>
  </si>
  <si>
    <t>62-182-4997</t>
  </si>
  <si>
    <t>Electric Transfers to General Fund (in lieu of taxes)</t>
  </si>
  <si>
    <t>TOTAL</t>
  </si>
  <si>
    <t>Other Electric Income</t>
  </si>
  <si>
    <t>NOT A PAYROLL TAX PER SE</t>
  </si>
  <si>
    <t>fringe benefits/not compensation</t>
  </si>
  <si>
    <t>GROSS REVENUE REQUIREMENT  (page 3, line 31)</t>
  </si>
  <si>
    <t xml:space="preserve">  Account No. 456.1</t>
  </si>
  <si>
    <t>ACCOUNT 456.1  (OTHER ELECTRIC REVENUES)</t>
  </si>
  <si>
    <t>Allocation of Fringe Benefits</t>
  </si>
  <si>
    <t>Other</t>
  </si>
  <si>
    <t>CA</t>
  </si>
  <si>
    <t>Entity</t>
  </si>
  <si>
    <t>Year</t>
  </si>
  <si>
    <t>Month</t>
  </si>
  <si>
    <t>HE</t>
  </si>
  <si>
    <t>Transmission mwh</t>
  </si>
  <si>
    <t>Control Area mwh</t>
  </si>
  <si>
    <t>% of Control Area</t>
  </si>
  <si>
    <t>NSP</t>
  </si>
  <si>
    <t>blue</t>
  </si>
  <si>
    <t>del</t>
  </si>
  <si>
    <t>fair</t>
  </si>
  <si>
    <t>gfalls</t>
  </si>
  <si>
    <t>glen</t>
  </si>
  <si>
    <t>jane</t>
  </si>
  <si>
    <t>kass</t>
  </si>
  <si>
    <t>ken</t>
  </si>
  <si>
    <t>ITC</t>
  </si>
  <si>
    <t>mlake</t>
  </si>
  <si>
    <t>sleep</t>
  </si>
  <si>
    <t>spring</t>
  </si>
  <si>
    <t>win</t>
  </si>
  <si>
    <t>GROSS PLANT IN SERVICE (Note AA)</t>
  </si>
  <si>
    <t>IV.9.e &amp; IV.1.e</t>
  </si>
  <si>
    <t>ACCUMULATED DEPRECIATION (Note AA)</t>
  </si>
  <si>
    <t>O&amp;M (Note BB)</t>
  </si>
  <si>
    <t xml:space="preserve">       where WCLTD=(page 4, line 22) and R= (page 4, line 24)</t>
  </si>
  <si>
    <t>30a</t>
  </si>
  <si>
    <t>LESS ATTACHMENT MM ADJUSTMENT [Attachment MM, page 2, line 3, column 10]  (Note Y)</t>
  </si>
  <si>
    <t>[Revenue Requirement for facilities included on page 2, line 2, and also included</t>
  </si>
  <si>
    <t>in Attachment MM]</t>
  </si>
  <si>
    <t>32b</t>
  </si>
  <si>
    <t xml:space="preserve">   Total of a-b-c-d</t>
  </si>
  <si>
    <t>32a</t>
  </si>
  <si>
    <t>From Reference III.17.b include only the amount from Accounts 428, 429, and 430.</t>
  </si>
  <si>
    <t>Account Nos. 561.4 and 561.8 consist of RTO expenses billed to load-serving entities and are not included in Transmission Owner revenue requirements.</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</si>
  <si>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</si>
  <si>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</si>
  <si>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</si>
  <si>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</si>
  <si>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</si>
  <si>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</si>
  <si>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Total Allocations</t>
  </si>
  <si>
    <t>62-182-4221</t>
  </si>
  <si>
    <t>Electric Service Line Maint</t>
  </si>
  <si>
    <t>WINDOM MUNICIPAL UTILITY</t>
  </si>
  <si>
    <t>62-182-4511</t>
  </si>
  <si>
    <t>Electric Electricity Utility</t>
  </si>
  <si>
    <t>62-182-4986</t>
  </si>
  <si>
    <t>Electric Credit Card Processing</t>
  </si>
  <si>
    <t>GENERAL</t>
  </si>
  <si>
    <t>TRANSMISSION</t>
  </si>
  <si>
    <t>DISTRIBUTION</t>
  </si>
  <si>
    <t>EXPENSES TO BE DEDUCTED ON PAGE 3 LINE 4 OF THE ATTACHMENT O.</t>
  </si>
  <si>
    <t>THERE ARE NO CMMPA ASSETS REPRESENTED IN THE BOOKS AND RECORDS OF WINDOM,</t>
  </si>
  <si>
    <t>THERE ARE NO CMMPA EXPENSES REFLECTED ANYWHERE IN THE BOOKS AND RECORDS OF WINDOM.</t>
  </si>
  <si>
    <t>CMMPA DOES INVOICE WINDOM FOR A PREPARATION FEE FOR THEIR ATTACHMENT O.  THAT FEE IS REPORTED AS A</t>
  </si>
  <si>
    <t>TRANSMISSION EXPENSE BY WINDOM AND A NEGATIVE TRANSMISSION EXPENSE BY CMMPA.</t>
  </si>
  <si>
    <t>WINDOM HAS NO RECB OR OTHER "COST SHARED" PROJECTS' COSTS REFLECTED IN ITS ATTACHMENT O.</t>
  </si>
  <si>
    <t>WINDOM IS CHARGED THEIR APPROPRIATE SHARE OF SCHEDULE 10 TRANSMISSION ADMIN CHARGES BY CMMPA AS A</t>
  </si>
  <si>
    <t>COMPONENT OF THEIR TRANSMISSION COSTS.  IT IS INCLUDED IN WINDOM'S PURCHASED POWER COSTS ON THEIR FINANCIAL</t>
  </si>
  <si>
    <t>STATEMENTS.  SINCE THIS COST IS NOT INCLUDED IN A&amp;G ON WINDOM'S BOOKS, IT WOULD BE INAPPROPRIATE FOR SCHEDULE 10</t>
  </si>
  <si>
    <t>mwh Load SCADA</t>
  </si>
  <si>
    <t>mwh Gen SCADA</t>
  </si>
  <si>
    <t>mwh Load MDMA</t>
  </si>
  <si>
    <t>mwh Gen MDMA</t>
  </si>
  <si>
    <t>BE</t>
  </si>
  <si>
    <t>DEL</t>
  </si>
  <si>
    <t>Attachment O-EIA Non-Levelized Generic</t>
  </si>
  <si>
    <t>DEPRECIATION AND AMORTIZATION EXPENSE (Note AA)</t>
  </si>
  <si>
    <t>New Account #</t>
  </si>
  <si>
    <t>New
Account Description</t>
  </si>
  <si>
    <t>604-49550-101</t>
  </si>
  <si>
    <t>604-49550-102</t>
  </si>
  <si>
    <t>604-49550-103</t>
  </si>
  <si>
    <t>Full-Time Employees - Regular</t>
  </si>
  <si>
    <t>Part-Time Employees</t>
  </si>
  <si>
    <t>Full-Time Employees - Overtime</t>
  </si>
  <si>
    <t>604-49550-112</t>
  </si>
  <si>
    <t>Vacation Pay</t>
  </si>
  <si>
    <t>604-49550-121</t>
  </si>
  <si>
    <t>PERA Contributions</t>
  </si>
  <si>
    <t>604-49550-122</t>
  </si>
  <si>
    <t>FICA Contributions</t>
  </si>
  <si>
    <t>604-49550-125</t>
  </si>
  <si>
    <t>Medicare Contributions</t>
  </si>
  <si>
    <t>604-49550-131</t>
  </si>
  <si>
    <t>Employer Paid Insurance - Health</t>
  </si>
  <si>
    <t>604-49550-133</t>
  </si>
  <si>
    <t>Employer Paid Insurance - Life</t>
  </si>
  <si>
    <t>604-49550-135</t>
  </si>
  <si>
    <t>Veba Contributions</t>
  </si>
  <si>
    <t>604-49550-200</t>
  </si>
  <si>
    <t>Office Supplies</t>
  </si>
  <si>
    <t>604-49550-322</t>
  </si>
  <si>
    <t>Postage</t>
  </si>
  <si>
    <t>604-49550-321</t>
  </si>
  <si>
    <t>Telephone</t>
  </si>
  <si>
    <t>604-49550-323</t>
  </si>
  <si>
    <t>Radio Units</t>
  </si>
  <si>
    <t>604-49550-325</t>
  </si>
  <si>
    <t>Dispatching</t>
  </si>
  <si>
    <t>604-49550-331</t>
  </si>
  <si>
    <t>Travel Expense</t>
  </si>
  <si>
    <t>604-49550-308</t>
  </si>
  <si>
    <t>Training &amp; Registrations</t>
  </si>
  <si>
    <t>604-49550-384</t>
  </si>
  <si>
    <t>Refuse Disposal</t>
  </si>
  <si>
    <t>604-49550-301</t>
  </si>
  <si>
    <t>Auditing &amp; Consulting Services</t>
  </si>
  <si>
    <t>604-49550-212</t>
  </si>
  <si>
    <t>Motor Fuels</t>
  </si>
  <si>
    <t>604-49550-381</t>
  </si>
  <si>
    <t>Electric Utility</t>
  </si>
  <si>
    <t>604-49550-382</t>
  </si>
  <si>
    <t>Water Utility</t>
  </si>
  <si>
    <t>604-49550-383</t>
  </si>
  <si>
    <t>Gas Utility</t>
  </si>
  <si>
    <t>604-49550-385</t>
  </si>
  <si>
    <t>Sewer Utility</t>
  </si>
  <si>
    <t>604-49550-361</t>
  </si>
  <si>
    <t>Insurance - General Liability</t>
  </si>
  <si>
    <t>604-49550-362</t>
  </si>
  <si>
    <t>Insurance - Property</t>
  </si>
  <si>
    <t>604-49550-363</t>
  </si>
  <si>
    <t>Insurance - Automotive</t>
  </si>
  <si>
    <t>604-49550-364</t>
  </si>
  <si>
    <t>Insurance - Worker's Compensation</t>
  </si>
  <si>
    <t>604-49550-365</t>
  </si>
  <si>
    <t>Insurance - Misc</t>
  </si>
  <si>
    <t>604-49550-340</t>
  </si>
  <si>
    <t>Advertising</t>
  </si>
  <si>
    <t>604-49550-326</t>
  </si>
  <si>
    <t>Data Processing</t>
  </si>
  <si>
    <t>604-49550-333</t>
  </si>
  <si>
    <t>Freight and Express</t>
  </si>
  <si>
    <t>604-49550-491</t>
  </si>
  <si>
    <t>Payments to Other Organizations</t>
  </si>
  <si>
    <t>604-49550-450</t>
  </si>
  <si>
    <t>Conservation</t>
  </si>
  <si>
    <t>604-49550-218</t>
  </si>
  <si>
    <t>Uniforms</t>
  </si>
  <si>
    <t>604-49550-241</t>
  </si>
  <si>
    <t>Small Tools</t>
  </si>
  <si>
    <t>604-49550-211</t>
  </si>
  <si>
    <t>Cleaning Supplies</t>
  </si>
  <si>
    <t>604-49550-303</t>
  </si>
  <si>
    <t>Engineering and Surveying Fees</t>
  </si>
  <si>
    <t>604-49550-304</t>
  </si>
  <si>
    <t>Legal Fees</t>
  </si>
  <si>
    <t>604-49550-310</t>
  </si>
  <si>
    <t>Lab Testing</t>
  </si>
  <si>
    <t>604-49550-433</t>
  </si>
  <si>
    <t>Dues &amp; Subscriptions</t>
  </si>
  <si>
    <t>604-49960-720</t>
  </si>
  <si>
    <t>604-49970-420</t>
  </si>
  <si>
    <t>604-49550-406</t>
  </si>
  <si>
    <t>Repairs &amp; Maint - Grounds</t>
  </si>
  <si>
    <t>604-49550-408</t>
  </si>
  <si>
    <t>Repairs &amp; Maint - Distribution System</t>
  </si>
  <si>
    <t>604-49550-405</t>
  </si>
  <si>
    <t>Repairs &amp; Maint - Vehicle</t>
  </si>
  <si>
    <t>604-49550-402</t>
  </si>
  <si>
    <t>Repairs &amp; Maint - Structures</t>
  </si>
  <si>
    <t>604-49550-404</t>
  </si>
  <si>
    <t>Repairs &amp; Maint - M&amp;E</t>
  </si>
  <si>
    <t>604-49550-409</t>
  </si>
  <si>
    <t>Repairs &amp; Maint - Utilities</t>
  </si>
  <si>
    <t>604-49550-432</t>
  </si>
  <si>
    <t>Uncollectible</t>
  </si>
  <si>
    <t>604-49550-460</t>
  </si>
  <si>
    <t>Miscellaneous Taxes</t>
  </si>
  <si>
    <t>604-49550-480</t>
  </si>
  <si>
    <t>Other Miscellaneous</t>
  </si>
  <si>
    <t>604-49550-217</t>
  </si>
  <si>
    <t>Other Operating Supplies</t>
  </si>
  <si>
    <t>604-49550-463</t>
  </si>
  <si>
    <t>Obsolete Inventory</t>
  </si>
  <si>
    <t>604-36210</t>
  </si>
  <si>
    <t>Interest Earnings</t>
  </si>
  <si>
    <t>Capitalized Labor</t>
  </si>
  <si>
    <t>604-49550-150</t>
  </si>
  <si>
    <t>Loss on Obsolete Inventory</t>
  </si>
  <si>
    <t>Transmission Fees</t>
  </si>
  <si>
    <t>604-49550-441</t>
  </si>
  <si>
    <t>Comments/subtotals to audit</t>
  </si>
  <si>
    <t xml:space="preserve">Expense Details
Net Wage Expense
</t>
  </si>
  <si>
    <t>Electric Investment Income/(Loss)</t>
  </si>
  <si>
    <t>Tax Book, Sort by  Location &gt; Group</t>
  </si>
  <si>
    <t>Service</t>
  </si>
  <si>
    <t>Current</t>
  </si>
  <si>
    <t>Adjustments to Attachment O</t>
  </si>
  <si>
    <t>Asset ID</t>
  </si>
  <si>
    <t>Description</t>
  </si>
  <si>
    <t>Category</t>
  </si>
  <si>
    <t>Accum.</t>
  </si>
  <si>
    <t>Accum Depr</t>
  </si>
  <si>
    <t>NBV</t>
  </si>
  <si>
    <t>604 ELECTRIC &gt; 16100 LAND</t>
  </si>
  <si>
    <t>LAND</t>
  </si>
  <si>
    <t>LAND - RICHARD NELSON</t>
  </si>
  <si>
    <t>EASEMENT</t>
  </si>
  <si>
    <t>LOT @ 1320 MILLER - CARL BJORKLUND</t>
  </si>
  <si>
    <t>604 ELECTRIC &gt; 16100 LAND Total:</t>
  </si>
  <si>
    <t>604 ELECTRIC &gt; 16200 BUILDING</t>
  </si>
  <si>
    <t>ADDITIONS</t>
  </si>
  <si>
    <t>BUILDING</t>
  </si>
  <si>
    <t>ENGINEERING</t>
  </si>
  <si>
    <t>NEW BUILDING</t>
  </si>
  <si>
    <t>ADDITION</t>
  </si>
  <si>
    <t>PUBLIC WORKS B</t>
  </si>
  <si>
    <t>STEEL BUILDING</t>
  </si>
  <si>
    <t>BLACKTOPPING</t>
  </si>
  <si>
    <t>COSTS, STEEL BUILDING</t>
  </si>
  <si>
    <t>POWER HOUSE</t>
  </si>
  <si>
    <t>LANDSCAPING</t>
  </si>
  <si>
    <t>SIDEWALK</t>
  </si>
  <si>
    <t>NEW SWITCH GEAR</t>
  </si>
  <si>
    <t>ELECTRIC WATER</t>
  </si>
  <si>
    <t>SH OF ASPHALT PAVING</t>
  </si>
  <si>
    <t>WALL DESK</t>
  </si>
  <si>
    <t>GARAGE</t>
  </si>
  <si>
    <t>GARAGE ADD.</t>
  </si>
  <si>
    <t>DOWN PAYMENT BUILDING</t>
  </si>
  <si>
    <t>ROOF INSULATION</t>
  </si>
  <si>
    <t>FLOOR - STORAGE SHED</t>
  </si>
  <si>
    <t>HEATING SYSTEM-POWERHOUSE</t>
  </si>
  <si>
    <t>2003 SUB STATION</t>
  </si>
  <si>
    <t>FENCE @ 1320 MILLER - STORAGE LOT</t>
  </si>
  <si>
    <t>NEW PARKING LOT</t>
  </si>
  <si>
    <t>POWER PLANT IMPROVEMENT</t>
  </si>
  <si>
    <t>POWERHOUSE WINDOWS</t>
  </si>
  <si>
    <t>604 ELECTRIC &gt; 16200 BUILDING Total:</t>
  </si>
  <si>
    <t>604 ELECTRIC &gt; 16300 IMPROVEMENTS</t>
  </si>
  <si>
    <t>69KV TRANSMISSION LINE</t>
  </si>
  <si>
    <t>LINES</t>
  </si>
  <si>
    <t>ALTERNATE 69KV TRANSMISSION</t>
  </si>
  <si>
    <t>S CENTRAL</t>
  </si>
  <si>
    <t>DIST SYSTEM</t>
  </si>
  <si>
    <t>NEW SUB STATION</t>
  </si>
  <si>
    <t>NEW SUB SYSTEM</t>
  </si>
  <si>
    <t>LAND MGMT SYSTEM</t>
  </si>
  <si>
    <t>17 TRANSFORMER</t>
  </si>
  <si>
    <t>60 &amp; 71 CONSTRUCTION</t>
  </si>
  <si>
    <t>LOAD MGMT</t>
  </si>
  <si>
    <t>TRANSFORMER</t>
  </si>
  <si>
    <t>TRANSFORMERS</t>
  </si>
  <si>
    <t>GE TRANSFORMER</t>
  </si>
  <si>
    <t>6 - 25KVA TRANSFORMERS</t>
  </si>
  <si>
    <t>75 KVA TRANSFORMER</t>
  </si>
  <si>
    <t>5 - 50KVA TRANSFORMERS</t>
  </si>
  <si>
    <t>6 - 37KVA TRANSFORMERS</t>
  </si>
  <si>
    <t>300 KVA TRANSFORMERS</t>
  </si>
  <si>
    <t>300 KVA TRANSFORMER</t>
  </si>
  <si>
    <t>150 KVA TRANSFORMER</t>
  </si>
  <si>
    <t>MASTER STATION UPGRADE</t>
  </si>
  <si>
    <t>NEW CONSTRUCTION</t>
  </si>
  <si>
    <t>MATERIALS</t>
  </si>
  <si>
    <t>WIRE</t>
  </si>
  <si>
    <t>WORK TENT</t>
  </si>
  <si>
    <t>WIRE - SHELTER</t>
  </si>
  <si>
    <t>WIRING - CATHOLIC CHURCH</t>
  </si>
  <si>
    <t>GE TRANSFORMER SUBSTATION</t>
  </si>
  <si>
    <t>SUBSTATION IMPROVEMENTS</t>
  </si>
  <si>
    <t>GENERATION PROJECT</t>
  </si>
  <si>
    <t>99 GENERATION PROJECT</t>
  </si>
  <si>
    <t>2003 DISTRIBUTION SYS IMPROV</t>
  </si>
  <si>
    <t>2004 DISTRIBUTION SYS IMPROV</t>
  </si>
  <si>
    <t>2005 DISTRIBUTION SYS IMPROV</t>
  </si>
  <si>
    <t>2006 DISTRIBUTION SYS IMPROV</t>
  </si>
  <si>
    <t>2007 DISTRIBUTION SYSTEM</t>
  </si>
  <si>
    <t>4TH AVENUE IMPROVEMENT COSTS</t>
  </si>
  <si>
    <t>2008 DISTRIBUTION SYSTEM ADDITIONS</t>
  </si>
  <si>
    <t>2009 DISTRIBUTION SYSTEM ADDITIONS</t>
  </si>
  <si>
    <t>2010 DISTRIBUTION SYSTEM</t>
  </si>
  <si>
    <t>NEW POLE</t>
  </si>
  <si>
    <t>2011 DISTRIBUTION SYSTEM ADDITIONS</t>
  </si>
  <si>
    <t>2012 DISTRIBUTION SYSTEM ADDITIONS</t>
  </si>
  <si>
    <t>2013  DISTRIBUTION SYSTEM ADDITIONS</t>
  </si>
  <si>
    <t>604 ELECTRIC &gt; 16300 IMPROVEMENTS Total:</t>
  </si>
  <si>
    <t>604 ELECTRIC &gt; 16400 M&amp;E</t>
  </si>
  <si>
    <t>E SWTICH GEAR</t>
  </si>
  <si>
    <t>MATERIAL FOR S</t>
  </si>
  <si>
    <t>1 1/2 T CHAIN</t>
  </si>
  <si>
    <t>WJ 8-79 CHA PH</t>
  </si>
  <si>
    <t>M &amp; M BRUS</t>
  </si>
  <si>
    <t>TRAILER W/HYDR</t>
  </si>
  <si>
    <t>METERS</t>
  </si>
  <si>
    <t>CONSTRUCTION</t>
  </si>
  <si>
    <t>SAFETY CABINET</t>
  </si>
  <si>
    <t>STANDBY GENERATOR</t>
  </si>
  <si>
    <t>STANLEY IMPACT</t>
  </si>
  <si>
    <t>RAYTEK EQUIPMENT</t>
  </si>
  <si>
    <t>TESTING EQUIPMENT</t>
  </si>
  <si>
    <t>WASHER</t>
  </si>
  <si>
    <t>RACHET TOOL</t>
  </si>
  <si>
    <t>SH OF SIGNS</t>
  </si>
  <si>
    <t>120V METER</t>
  </si>
  <si>
    <t>DETECTOR - POWER</t>
  </si>
  <si>
    <t>96 METERS</t>
  </si>
  <si>
    <t>3 - 120V METERS</t>
  </si>
  <si>
    <t>HOIST</t>
  </si>
  <si>
    <t>HOT STICK</t>
  </si>
  <si>
    <t>CRIMPING</t>
  </si>
  <si>
    <t>ELECTRIC TOOLS</t>
  </si>
  <si>
    <t>2 METERS</t>
  </si>
  <si>
    <t>HOOKS</t>
  </si>
  <si>
    <t>SUBSTATION</t>
  </si>
  <si>
    <t>GE SUBSTATION</t>
  </si>
  <si>
    <t>DRILL</t>
  </si>
  <si>
    <t>EQUIPMENT</t>
  </si>
  <si>
    <t>FAULT LOCATOR</t>
  </si>
  <si>
    <t>STROBE</t>
  </si>
  <si>
    <t>HAMMER KIT</t>
  </si>
  <si>
    <t>SCALE</t>
  </si>
  <si>
    <t>ELECTRIC CHIPPER</t>
  </si>
  <si>
    <t>CRIMPER</t>
  </si>
  <si>
    <t>STORAGE RACK</t>
  </si>
  <si>
    <t>CABINET FIREPROOF</t>
  </si>
  <si>
    <t>1 TON NYLON HOIST</t>
  </si>
  <si>
    <t>LOCATOR</t>
  </si>
  <si>
    <t>LINE BLOCK &amp; HOOK</t>
  </si>
  <si>
    <t>PVC HEATER</t>
  </si>
  <si>
    <t>BORING &amp; LOCATING TOOLS</t>
  </si>
  <si>
    <t>GE TRANSFORMER IMPROVEMENT</t>
  </si>
  <si>
    <t>METER TESTING EQUIPMENT</t>
  </si>
  <si>
    <t>6' RATCHET CUTTER</t>
  </si>
  <si>
    <t>BORING TOOL</t>
  </si>
  <si>
    <t>ROOT SENSOR</t>
  </si>
  <si>
    <t>BORING TOOLS</t>
  </si>
  <si>
    <t>75 KW GENERATOR</t>
  </si>
  <si>
    <t>CABLE FAULT TESTER</t>
  </si>
  <si>
    <t>3 - TERMINAL CRIMPERS</t>
  </si>
  <si>
    <t>SUBSTATION EQUIPMENT</t>
  </si>
  <si>
    <t>RAM UNIT F/HYD PUMP</t>
  </si>
  <si>
    <t>LOAD RECEIVERS</t>
  </si>
  <si>
    <t>CIRCUIT SEEKER</t>
  </si>
  <si>
    <t>CRIMPING &amp; DIE SET</t>
  </si>
  <si>
    <t>OVERHEAD PRIMARY METER</t>
  </si>
  <si>
    <t>95 DEMAND METER</t>
  </si>
  <si>
    <t>PIPE &amp; CABLE LOCATER</t>
  </si>
  <si>
    <t>2 ALPHA METERS</t>
  </si>
  <si>
    <t>TOOLS</t>
  </si>
  <si>
    <t>SWITCH BACKHOE TO NEW UNIT</t>
  </si>
  <si>
    <t>TOOLS (DITCH WITCH)</t>
  </si>
  <si>
    <t>WELL SITE PARK METERS</t>
  </si>
  <si>
    <t>VACUUM EXCAVATION SYSTEM</t>
  </si>
  <si>
    <t>8 METERS</t>
  </si>
  <si>
    <t>6 METERS</t>
  </si>
  <si>
    <t>MOWER &amp; GAS TRIMMER</t>
  </si>
  <si>
    <t>HAND HELD METER READERS</t>
  </si>
  <si>
    <t>BURNDY PATMD 6-8-14V TOOL</t>
  </si>
  <si>
    <t>METERS - LCD PLY 7/1</t>
  </si>
  <si>
    <t>LAND 3PH METER</t>
  </si>
  <si>
    <t>96 LCD PLY 71 SG CK</t>
  </si>
  <si>
    <t>EKSTROM EKD-4J CURRENT LIMITER</t>
  </si>
  <si>
    <t>1 METER AND INSTALLATION</t>
  </si>
  <si>
    <t>12 ELS FORM 9S DEMAND METERS</t>
  </si>
  <si>
    <t>120 RESIDENTIAL METERS</t>
  </si>
  <si>
    <t>BOMAG BT 6014 TAMPER W/EXT PLATE</t>
  </si>
  <si>
    <t>165 DEMAND METERS</t>
  </si>
  <si>
    <t>120 LCD PLY 7/1 SG CC</t>
  </si>
  <si>
    <t>STANLEY CSO 6620 CHAIN SAW</t>
  </si>
  <si>
    <t>6 DISCONNECTS</t>
  </si>
  <si>
    <t>24 CL METERS</t>
  </si>
  <si>
    <t>8 XTS 2500 MHZ RADIOS</t>
  </si>
  <si>
    <t>BOBCAT SKID STEER</t>
  </si>
  <si>
    <t>NESHAP RICE GENERATOR CONVERTERS</t>
  </si>
  <si>
    <t>604 ELECTRIC &gt; 16400 M&amp;E Total:</t>
  </si>
  <si>
    <t>604 ELECTRIC &gt; 16420 OFFICE EQ</t>
  </si>
  <si>
    <t>FILES, CABINET</t>
  </si>
  <si>
    <t>FILE CABINETS</t>
  </si>
  <si>
    <t>FILE 3-DRAWER</t>
  </si>
  <si>
    <t>SHELVING</t>
  </si>
  <si>
    <t>CALCULATOR</t>
  </si>
  <si>
    <t>MONITOR 17" COLOR</t>
  </si>
  <si>
    <t>MICROWAVE</t>
  </si>
  <si>
    <t>SERVER FOR SOFTWARE</t>
  </si>
  <si>
    <t>SAVIN COPIER 80200</t>
  </si>
  <si>
    <t>2 DELL OPTPLEX 790</t>
  </si>
  <si>
    <t>NEW PHONE SYSTEM</t>
  </si>
  <si>
    <t>COMPUTERS/MONITORS</t>
  </si>
  <si>
    <t>PROGRAMMING/OPTIMIZE 8 RADIOS</t>
  </si>
  <si>
    <t>SCANTRONS (1/3 OF TOTAL)</t>
  </si>
  <si>
    <t>TYLER TECHNOLOGIES FINANCE SYSTEM</t>
  </si>
  <si>
    <t>604 ELECTRIC &gt; 16420 OFFICE EQ Total:</t>
  </si>
  <si>
    <t>604 ELECTRIC &gt; 16440 VEHICLES</t>
  </si>
  <si>
    <t>FIBERGLASS UPPER</t>
  </si>
  <si>
    <t>SHARE NEW TRAILER</t>
  </si>
  <si>
    <t>TRAILER - DITCH</t>
  </si>
  <si>
    <t>DITCH WITCH</t>
  </si>
  <si>
    <t>BACKHOE ATTACHMENTS</t>
  </si>
  <si>
    <t>TRAILER</t>
  </si>
  <si>
    <t>WIRE TRAILER</t>
  </si>
  <si>
    <t>DIGGER DERRICK - VERSALIF</t>
  </si>
  <si>
    <t>560 CASE ATTACHMENT</t>
  </si>
  <si>
    <t>97 FORD 350 1/2 SHARE CAB</t>
  </si>
  <si>
    <t>TRUCK</t>
  </si>
  <si>
    <t>FORK LIFT ATTACHMENT</t>
  </si>
  <si>
    <t>98 4X4 PICKUP</t>
  </si>
  <si>
    <t>TRUCK 35- 97</t>
  </si>
  <si>
    <t>TOOL BOXES</t>
  </si>
  <si>
    <t>763 BOBCAT</t>
  </si>
  <si>
    <t>UTILITY TRAILER 7314 - MODEL</t>
  </si>
  <si>
    <t>99 FORD F350</t>
  </si>
  <si>
    <t>BOX-HOIST F350 FORD</t>
  </si>
  <si>
    <t>TRAILER REDI-HAUL</t>
  </si>
  <si>
    <t>SNOWBLOWER 1/4 SHARE</t>
  </si>
  <si>
    <t>PEDESTRIAN TRENCHER</t>
  </si>
  <si>
    <t>FORD F350</t>
  </si>
  <si>
    <t>2009 FORD F-150</t>
  </si>
  <si>
    <t>2010 INTERNATIONAL 4400</t>
  </si>
  <si>
    <t>DW MODEL 1820 TRENCHER</t>
  </si>
  <si>
    <t>2012 FORD F550 SERIES S-E</t>
  </si>
  <si>
    <t>2013 FORD F SERIES</t>
  </si>
  <si>
    <t>BUCKET TRUCK</t>
  </si>
  <si>
    <t>604 ELECTRIC &gt; 16440 VEHICLES Total:</t>
  </si>
  <si>
    <t>604 ELECTRIC &gt; 16460 FURNITURE &amp; FI</t>
  </si>
  <si>
    <t>CITY HALL REMODELING</t>
  </si>
  <si>
    <t>COUNCIL CHAMBERS</t>
  </si>
  <si>
    <t>4 DRAWER LATERAL</t>
  </si>
  <si>
    <t>SHOP DESK</t>
  </si>
  <si>
    <t>TABLES - LUNCH ROOM</t>
  </si>
  <si>
    <t>CHAIR</t>
  </si>
  <si>
    <t>604 ELECTRIC &gt; 16460 FURNITURE &amp; FI Total:</t>
  </si>
  <si>
    <t>604 ELECTRIC Total:</t>
  </si>
  <si>
    <t>BY CATEGORY FOR ATTACHMENT O:</t>
  </si>
  <si>
    <t>COST</t>
  </si>
  <si>
    <t>ACCUM</t>
  </si>
  <si>
    <t>PRODUCTION</t>
  </si>
  <si>
    <t>accum per book</t>
  </si>
  <si>
    <t xml:space="preserve">  c.  Transmission charges from Schedules associated with Attachment GG (Note X)</t>
  </si>
  <si>
    <t xml:space="preserve">  d.  Transmission charges from Schedules associated with Attachment MM (Note Z)</t>
  </si>
  <si>
    <t>Num</t>
  </si>
  <si>
    <t>Name</t>
  </si>
  <si>
    <t>Memo</t>
  </si>
  <si>
    <t>Account</t>
  </si>
  <si>
    <t>Class</t>
  </si>
  <si>
    <t>Clr</t>
  </si>
  <si>
    <t>Split</t>
  </si>
  <si>
    <t>Debit</t>
  </si>
  <si>
    <t>Credit</t>
  </si>
  <si>
    <t>456.1 MISO TO REVENUE</t>
  </si>
  <si>
    <t>MISO TO REV-WINDOM</t>
  </si>
  <si>
    <t>MISO TO REV ALLOC-WINDOM SCH 7</t>
  </si>
  <si>
    <t>Credit Memo</t>
  </si>
  <si>
    <t>MISO T.O. REVENUE SCHED 7-WINDOM</t>
  </si>
  <si>
    <t>142 ACCOUNTS RECEIVABLE</t>
  </si>
  <si>
    <t>Total MISO TO REV ALLOC-WINDOM SCH 7</t>
  </si>
  <si>
    <t>MISO TO REV ALLOC-WINDOM SCH 8</t>
  </si>
  <si>
    <t>MISO T.O. REVENUE SCHED 8-WINDOM</t>
  </si>
  <si>
    <t>Total MISO TO REV ALLOC-WINDOM SCH 8</t>
  </si>
  <si>
    <t>MISO TO REV ALLOC-WINDOM SCH 9</t>
  </si>
  <si>
    <t>MISO T.O. REVENUE SCHED 9-WINDOM</t>
  </si>
  <si>
    <t>Total MISO TO REV ALLOC-WINDOM SCH 9</t>
  </si>
  <si>
    <t>Total MISO TO REV-WINDOM</t>
  </si>
  <si>
    <t>Total 456.1 MISO TO REVENUE</t>
  </si>
  <si>
    <t>DEPARTMENT EXPENSES</t>
  </si>
  <si>
    <t>TRANSMISSION FERC 560-579</t>
  </si>
  <si>
    <t>566 OPER SUPPLIES &amp; EXP-TRANS</t>
  </si>
  <si>
    <t>922 TRANS EXP TRANSFERRED-TRANS</t>
  </si>
  <si>
    <t>TRANS OUT-MISO TO FEE-MEM-TRANS</t>
  </si>
  <si>
    <t>MISO T.O. ADMIN FEE-WINDOM</t>
  </si>
  <si>
    <t>Total TRANS OUT-MISO TO FEE-MEM-TRANS</t>
  </si>
  <si>
    <t>Total 922 TRANS EXP TRANSFERRED-TRANS</t>
  </si>
  <si>
    <t>Total 566 OPER SUPPLIES &amp; EXP-TRANS</t>
  </si>
  <si>
    <t>Total TRANSMISSION FERC 560-579</t>
  </si>
  <si>
    <t>Total DEPARTMENT EXPENSES</t>
  </si>
  <si>
    <t>ITEMS RECLASSED FROM REVENUE</t>
  </si>
  <si>
    <t>For the 12 months ended 12/31/14</t>
  </si>
  <si>
    <t>HENCE NO CMMPA ASSETS ARE REPRESENTED IN THE ACCOMPANYING ATTACHMENT O USING 2014 AUDITED INFORMATION.</t>
  </si>
  <si>
    <t>WINDOM HAS NO 2014 GFA LOAD OR REVENUE INCLUDED IN THEIR ATTACHMENT O FOR 2014 DATA.</t>
  </si>
  <si>
    <t>Windom 2014 Audited Financial Statement Detail</t>
  </si>
  <si>
    <t>4333</t>
  </si>
  <si>
    <t>4365</t>
  </si>
  <si>
    <t>4397</t>
  </si>
  <si>
    <t>4450</t>
  </si>
  <si>
    <t>4483</t>
  </si>
  <si>
    <t>4518</t>
  </si>
  <si>
    <t>4551</t>
  </si>
  <si>
    <t>4584</t>
  </si>
  <si>
    <t>4618</t>
  </si>
  <si>
    <t>4649</t>
  </si>
  <si>
    <t>4685</t>
  </si>
  <si>
    <t>4718</t>
  </si>
  <si>
    <t>Book Value Report</t>
  </si>
  <si>
    <t>For the Tax Year Ending 12/31/2014</t>
  </si>
  <si>
    <t>02/09/2016</t>
  </si>
  <si>
    <t>Page 1 of 19</t>
  </si>
  <si>
    <t>Tax book, Sort by  Location &gt; Group</t>
  </si>
  <si>
    <t>Beg.</t>
  </si>
  <si>
    <t>End.</t>
  </si>
  <si>
    <t>+Bonus</t>
  </si>
  <si>
    <t>Net Book</t>
  </si>
  <si>
    <t>+179</t>
  </si>
  <si>
    <t>Value</t>
  </si>
  <si>
    <t>100001</t>
  </si>
  <si>
    <t>06/30/1941</t>
  </si>
  <si>
    <t>100002</t>
  </si>
  <si>
    <t>03/20/1998</t>
  </si>
  <si>
    <t>100003</t>
  </si>
  <si>
    <t>10/19/2004</t>
  </si>
  <si>
    <t>100004</t>
  </si>
  <si>
    <t>01/25/2006</t>
  </si>
  <si>
    <t>100005</t>
  </si>
  <si>
    <t>12/10/2003</t>
  </si>
  <si>
    <t>100006</t>
  </si>
  <si>
    <t>06/30/1936</t>
  </si>
  <si>
    <t>100008</t>
  </si>
  <si>
    <t>10/15/1953</t>
  </si>
  <si>
    <t>100009</t>
  </si>
  <si>
    <t>05/15/1979</t>
  </si>
  <si>
    <t>100010</t>
  </si>
  <si>
    <t>05/15/1986</t>
  </si>
  <si>
    <t>100012</t>
  </si>
  <si>
    <t>09/15/1986</t>
  </si>
  <si>
    <t>100014</t>
  </si>
  <si>
    <t>02/15/1990</t>
  </si>
  <si>
    <t>100015</t>
  </si>
  <si>
    <t>03/15/1990</t>
  </si>
  <si>
    <t>100016</t>
  </si>
  <si>
    <t>06/15/1990</t>
  </si>
  <si>
    <t>100017</t>
  </si>
  <si>
    <t>12/15/1990</t>
  </si>
  <si>
    <t>100018</t>
  </si>
  <si>
    <t>09/17/1997</t>
  </si>
  <si>
    <t>100019</t>
  </si>
  <si>
    <t>04/22/1998</t>
  </si>
  <si>
    <t>100020</t>
  </si>
  <si>
    <t>02/14/2001</t>
  </si>
  <si>
    <t>100021</t>
  </si>
  <si>
    <t>07/19/2006</t>
  </si>
  <si>
    <t>100022</t>
  </si>
  <si>
    <t>07/18/2007</t>
  </si>
  <si>
    <t>100023</t>
  </si>
  <si>
    <t>11/14/2012</t>
  </si>
  <si>
    <t>100024</t>
  </si>
  <si>
    <t>06/30/1939</t>
  </si>
  <si>
    <t>100025</t>
  </si>
  <si>
    <t>11/15/1953</t>
  </si>
  <si>
    <t>100026</t>
  </si>
  <si>
    <t>04/15/1973</t>
  </si>
  <si>
    <t>100027</t>
  </si>
  <si>
    <t>09/15/1978</t>
  </si>
  <si>
    <t>100028</t>
  </si>
  <si>
    <t>06/30/1979</t>
  </si>
  <si>
    <t>100029</t>
  </si>
  <si>
    <t>06/30/1980</t>
  </si>
  <si>
    <t>100030</t>
  </si>
  <si>
    <t>09/22/1994</t>
  </si>
  <si>
    <t>100031</t>
  </si>
  <si>
    <t>11/22/1995</t>
  </si>
  <si>
    <t>100032</t>
  </si>
  <si>
    <t>12/18/1997</t>
  </si>
  <si>
    <t>100033</t>
  </si>
  <si>
    <t>07/07/1998</t>
  </si>
  <si>
    <t>100034</t>
  </si>
  <si>
    <t>07/22/1998</t>
  </si>
  <si>
    <t>100035</t>
  </si>
  <si>
    <t>02/01/2013</t>
  </si>
  <si>
    <t>100036</t>
  </si>
  <si>
    <t>06/30/2001</t>
  </si>
  <si>
    <t>100037</t>
  </si>
  <si>
    <t>100038</t>
  </si>
  <si>
    <t>100039</t>
  </si>
  <si>
    <t>05/15/2002</t>
  </si>
  <si>
    <t>100040</t>
  </si>
  <si>
    <t>06/30/1970</t>
  </si>
  <si>
    <t>100041</t>
  </si>
  <si>
    <t>06/30/1971</t>
  </si>
  <si>
    <t>100042</t>
  </si>
  <si>
    <t>06/30/1973</t>
  </si>
  <si>
    <t>100043</t>
  </si>
  <si>
    <t>06/30/1974</t>
  </si>
  <si>
    <t>100044</t>
  </si>
  <si>
    <t>11/15/1975</t>
  </si>
  <si>
    <t>100045</t>
  </si>
  <si>
    <t>06/30/1975</t>
  </si>
  <si>
    <t>100046</t>
  </si>
  <si>
    <t>06/30/1976</t>
  </si>
  <si>
    <t>100047</t>
  </si>
  <si>
    <t>06/30/1977</t>
  </si>
  <si>
    <t>100048</t>
  </si>
  <si>
    <t>06/30/1978</t>
  </si>
  <si>
    <t>100049</t>
  </si>
  <si>
    <t>100050</t>
  </si>
  <si>
    <t>100051</t>
  </si>
  <si>
    <t>05/15/1980</t>
  </si>
  <si>
    <t>100052</t>
  </si>
  <si>
    <t>06/30/1981</t>
  </si>
  <si>
    <t>100053</t>
  </si>
  <si>
    <t>06/30/1982</t>
  </si>
  <si>
    <t>100054</t>
  </si>
  <si>
    <t>06/30/1983</t>
  </si>
  <si>
    <t>100055</t>
  </si>
  <si>
    <t>06/30/1984</t>
  </si>
  <si>
    <t>100056</t>
  </si>
  <si>
    <t>06/30/1985</t>
  </si>
  <si>
    <t>100057</t>
  </si>
  <si>
    <t>100058</t>
  </si>
  <si>
    <t>06/30/1986</t>
  </si>
  <si>
    <t>100059</t>
  </si>
  <si>
    <t>100060</t>
  </si>
  <si>
    <t>100061</t>
  </si>
  <si>
    <t>06/30/1987</t>
  </si>
  <si>
    <t>100063</t>
  </si>
  <si>
    <t>100064</t>
  </si>
  <si>
    <t>01/01/1988</t>
  </si>
  <si>
    <t>100065</t>
  </si>
  <si>
    <t>06/30/1988</t>
  </si>
  <si>
    <t>100066</t>
  </si>
  <si>
    <t>100067</t>
  </si>
  <si>
    <t>06/30/1989</t>
  </si>
  <si>
    <t>100068</t>
  </si>
  <si>
    <t>06/30/1990</t>
  </si>
  <si>
    <t>100069</t>
  </si>
  <si>
    <t>100070</t>
  </si>
  <si>
    <t>100071</t>
  </si>
  <si>
    <t>06/30/1991</t>
  </si>
  <si>
    <t>100072</t>
  </si>
  <si>
    <t>09/30/1991</t>
  </si>
  <si>
    <t>100073</t>
  </si>
  <si>
    <t>06/15/1991</t>
  </si>
  <si>
    <t>100074</t>
  </si>
  <si>
    <t>06/17/1992</t>
  </si>
  <si>
    <t>100075</t>
  </si>
  <si>
    <t>09/30/1992</t>
  </si>
  <si>
    <t>100076</t>
  </si>
  <si>
    <t>12/31/1993</t>
  </si>
  <si>
    <t>100077</t>
  </si>
  <si>
    <t>12/31/1994</t>
  </si>
  <si>
    <t>100078</t>
  </si>
  <si>
    <t>06/30/1995</t>
  </si>
  <si>
    <t>100079</t>
  </si>
  <si>
    <t>03/20/1996</t>
  </si>
  <si>
    <t>100080</t>
  </si>
  <si>
    <t>06/30/1996</t>
  </si>
  <si>
    <t>100081</t>
  </si>
  <si>
    <t>06/30/1997</t>
  </si>
  <si>
    <t>100082</t>
  </si>
  <si>
    <t>01/22/1998</t>
  </si>
  <si>
    <t>100083</t>
  </si>
  <si>
    <t>100084</t>
  </si>
  <si>
    <t>09/16/1998</t>
  </si>
  <si>
    <t>100085</t>
  </si>
  <si>
    <t>100086</t>
  </si>
  <si>
    <t>11/18/1998</t>
  </si>
  <si>
    <t>100087</t>
  </si>
  <si>
    <t>100088</t>
  </si>
  <si>
    <t>100089</t>
  </si>
  <si>
    <t>12/16/1998</t>
  </si>
  <si>
    <t>100090</t>
  </si>
  <si>
    <t>06/30/1998</t>
  </si>
  <si>
    <t>100091</t>
  </si>
  <si>
    <t>06/30/1999</t>
  </si>
  <si>
    <t>100092</t>
  </si>
  <si>
    <t>06/30/2000</t>
  </si>
  <si>
    <t>100093</t>
  </si>
  <si>
    <t>100094</t>
  </si>
  <si>
    <t>06/30/2002</t>
  </si>
  <si>
    <t>100095</t>
  </si>
  <si>
    <t>11/19/2003</t>
  </si>
  <si>
    <t>100096</t>
  </si>
  <si>
    <t>06/30/2004</t>
  </si>
  <si>
    <t>100097</t>
  </si>
  <si>
    <t>06/30/2005</t>
  </si>
  <si>
    <t>100098</t>
  </si>
  <si>
    <t>06/30/2006</t>
  </si>
  <si>
    <t>100099</t>
  </si>
  <si>
    <t>06/30/2007</t>
  </si>
  <si>
    <t>100100</t>
  </si>
  <si>
    <t>06/30/2008</t>
  </si>
  <si>
    <t>100101</t>
  </si>
  <si>
    <t>06/30/2009</t>
  </si>
  <si>
    <t>100102</t>
  </si>
  <si>
    <t>06/30/2010</t>
  </si>
  <si>
    <t>100103</t>
  </si>
  <si>
    <t>06/30/2011</t>
  </si>
  <si>
    <t>100104</t>
  </si>
  <si>
    <t>06/30/2012</t>
  </si>
  <si>
    <t>100105</t>
  </si>
  <si>
    <t>06/30/1965</t>
  </si>
  <si>
    <t>100106</t>
  </si>
  <si>
    <t>06/30/1972</t>
  </si>
  <si>
    <t>100107</t>
  </si>
  <si>
    <t>08/18/2010</t>
  </si>
  <si>
    <t>100108</t>
  </si>
  <si>
    <t>07/15/1991</t>
  </si>
  <si>
    <t>100109</t>
  </si>
  <si>
    <t>03/19/1991</t>
  </si>
  <si>
    <t>100110</t>
  </si>
  <si>
    <t>06/30/1993</t>
  </si>
  <si>
    <t>100111</t>
  </si>
  <si>
    <t>100112</t>
  </si>
  <si>
    <t>05/31/1995</t>
  </si>
  <si>
    <t>100113</t>
  </si>
  <si>
    <t>07/17/1996</t>
  </si>
  <si>
    <t>100114</t>
  </si>
  <si>
    <t>10/16/1996</t>
  </si>
  <si>
    <t>100115</t>
  </si>
  <si>
    <t>05/21/1997</t>
  </si>
  <si>
    <t>100116</t>
  </si>
  <si>
    <t>06/18/1997</t>
  </si>
  <si>
    <t>100117</t>
  </si>
  <si>
    <t>08/20/1997</t>
  </si>
  <si>
    <t>100118</t>
  </si>
  <si>
    <t>100119</t>
  </si>
  <si>
    <t>100120</t>
  </si>
  <si>
    <t>100121</t>
  </si>
  <si>
    <t>11/19/1997</t>
  </si>
  <si>
    <t>100122</t>
  </si>
  <si>
    <t>12/17/1997</t>
  </si>
  <si>
    <t>100123</t>
  </si>
  <si>
    <t>09/25/1998</t>
  </si>
  <si>
    <t>100124</t>
  </si>
  <si>
    <t>03/10/1999</t>
  </si>
  <si>
    <t>100125</t>
  </si>
  <si>
    <t>12/21/1999</t>
  </si>
  <si>
    <t>100126</t>
  </si>
  <si>
    <t>100127</t>
  </si>
  <si>
    <t>08/15/2007</t>
  </si>
  <si>
    <t>100128</t>
  </si>
  <si>
    <t>07/01/2013</t>
  </si>
  <si>
    <t>100303</t>
  </si>
  <si>
    <t>2014  DISTRIBUTION SYSTEM ADDITIONS</t>
  </si>
  <si>
    <t>07/01/2014</t>
  </si>
  <si>
    <t>100131</t>
  </si>
  <si>
    <t>02/15/1973</t>
  </si>
  <si>
    <t>100132</t>
  </si>
  <si>
    <t>09/15/1979</t>
  </si>
  <si>
    <t>100133</t>
  </si>
  <si>
    <t>12/15/1985</t>
  </si>
  <si>
    <t>100134</t>
  </si>
  <si>
    <t>01/15/1987</t>
  </si>
  <si>
    <t>100136</t>
  </si>
  <si>
    <t>10/15/1987</t>
  </si>
  <si>
    <t>100137</t>
  </si>
  <si>
    <t>04/15/1989</t>
  </si>
  <si>
    <t>100138</t>
  </si>
  <si>
    <t>10/15/1989</t>
  </si>
  <si>
    <t>100140</t>
  </si>
  <si>
    <t>100141</t>
  </si>
  <si>
    <t>10/31/1991</t>
  </si>
  <si>
    <t>100142</t>
  </si>
  <si>
    <t>100143</t>
  </si>
  <si>
    <t>11/20/1991</t>
  </si>
  <si>
    <t>100144</t>
  </si>
  <si>
    <t>100145</t>
  </si>
  <si>
    <t>100147</t>
  </si>
  <si>
    <t>01/20/1993</t>
  </si>
  <si>
    <t>100149</t>
  </si>
  <si>
    <t>03/16/1994</t>
  </si>
  <si>
    <t>100152</t>
  </si>
  <si>
    <t>08/16/1995</t>
  </si>
  <si>
    <t>100153</t>
  </si>
  <si>
    <t>10/18/1995</t>
  </si>
  <si>
    <t>100154</t>
  </si>
  <si>
    <t>01/17/1996</t>
  </si>
  <si>
    <t>100155</t>
  </si>
  <si>
    <t>05/22/1996</t>
  </si>
  <si>
    <t>100156</t>
  </si>
  <si>
    <t>09/18/1996</t>
  </si>
  <si>
    <t>100157</t>
  </si>
  <si>
    <t>03/19/1997</t>
  </si>
  <si>
    <t>100158</t>
  </si>
  <si>
    <t>04/16/1997</t>
  </si>
  <si>
    <t>100159</t>
  </si>
  <si>
    <t>100160</t>
  </si>
  <si>
    <t>100161</t>
  </si>
  <si>
    <t>06/17/1997</t>
  </si>
  <si>
    <t>100162</t>
  </si>
  <si>
    <t>02/18/1998</t>
  </si>
  <si>
    <t>100163</t>
  </si>
  <si>
    <t>03/18/1998</t>
  </si>
  <si>
    <t>100165</t>
  </si>
  <si>
    <t>05/20/1998</t>
  </si>
  <si>
    <t>100167</t>
  </si>
  <si>
    <t>100168</t>
  </si>
  <si>
    <t>100169</t>
  </si>
  <si>
    <t>04/21/1999</t>
  </si>
  <si>
    <t>100170</t>
  </si>
  <si>
    <t>05/09/2001</t>
  </si>
  <si>
    <t>100171</t>
  </si>
  <si>
    <t>11/14/2001</t>
  </si>
  <si>
    <t>100172</t>
  </si>
  <si>
    <t>09/18/2002</t>
  </si>
  <si>
    <t>100173</t>
  </si>
  <si>
    <t>01/31/2003</t>
  </si>
  <si>
    <t>100174</t>
  </si>
  <si>
    <t>03/17/2004</t>
  </si>
  <si>
    <t>100175</t>
  </si>
  <si>
    <t>100176</t>
  </si>
  <si>
    <t>08/04/2004</t>
  </si>
  <si>
    <t>100177</t>
  </si>
  <si>
    <t>03/16/2005</t>
  </si>
  <si>
    <t>100178</t>
  </si>
  <si>
    <t>06/20/2006</t>
  </si>
  <si>
    <t>100179</t>
  </si>
  <si>
    <t>08/21/2007</t>
  </si>
  <si>
    <t>100180</t>
  </si>
  <si>
    <t>FAULT TRACKER, 15 KV LOAD BREAK POL</t>
  </si>
  <si>
    <t>10/22/2008</t>
  </si>
  <si>
    <t>100181</t>
  </si>
  <si>
    <t>04/14/2009</t>
  </si>
  <si>
    <t>100182</t>
  </si>
  <si>
    <t>BURN PAT MD 614V BATT ACTUATED TOOL</t>
  </si>
  <si>
    <t>100183</t>
  </si>
  <si>
    <t>DITCH WITCH MODEL 980 5 FP FAULT PR</t>
  </si>
  <si>
    <t>12/09/2010</t>
  </si>
  <si>
    <t>100184</t>
  </si>
  <si>
    <t>03/08/2011</t>
  </si>
  <si>
    <t>100190</t>
  </si>
  <si>
    <t>100191</t>
  </si>
  <si>
    <t>100192</t>
  </si>
  <si>
    <t>100193</t>
  </si>
  <si>
    <t>100194</t>
  </si>
  <si>
    <t>100195</t>
  </si>
  <si>
    <t>02/20/1991</t>
  </si>
  <si>
    <t>100196</t>
  </si>
  <si>
    <t>04/17/1991</t>
  </si>
  <si>
    <t>100197</t>
  </si>
  <si>
    <t>08/21/1991</t>
  </si>
  <si>
    <t>100198</t>
  </si>
  <si>
    <t>12/18/1991</t>
  </si>
  <si>
    <t>100200</t>
  </si>
  <si>
    <t>06/30/1992</t>
  </si>
  <si>
    <t>100201</t>
  </si>
  <si>
    <t>05/19/1993</t>
  </si>
  <si>
    <t>100202</t>
  </si>
  <si>
    <t>09/30/1994</t>
  </si>
  <si>
    <t>100203</t>
  </si>
  <si>
    <t>100204</t>
  </si>
  <si>
    <t>100205</t>
  </si>
  <si>
    <t>100206</t>
  </si>
  <si>
    <t>100207</t>
  </si>
  <si>
    <t>100208</t>
  </si>
  <si>
    <t>100209</t>
  </si>
  <si>
    <t>100210</t>
  </si>
  <si>
    <t>10/16/2002</t>
  </si>
  <si>
    <t>100211</t>
  </si>
  <si>
    <t>06/18/2003</t>
  </si>
  <si>
    <t>100212</t>
  </si>
  <si>
    <t>100213</t>
  </si>
  <si>
    <t>01/19/2006</t>
  </si>
  <si>
    <t>100214</t>
  </si>
  <si>
    <t>02/22/2006</t>
  </si>
  <si>
    <t>100215</t>
  </si>
  <si>
    <t>09/13/2006</t>
  </si>
  <si>
    <t>100216</t>
  </si>
  <si>
    <t>12/28/2007</t>
  </si>
  <si>
    <t>100217</t>
  </si>
  <si>
    <t>03/14/2007</t>
  </si>
  <si>
    <t>100218</t>
  </si>
  <si>
    <t>09/12/2007</t>
  </si>
  <si>
    <t>100219</t>
  </si>
  <si>
    <t>12/27/2007</t>
  </si>
  <si>
    <t>100220</t>
  </si>
  <si>
    <t>04/16/2008</t>
  </si>
  <si>
    <t>100221</t>
  </si>
  <si>
    <t>100222</t>
  </si>
  <si>
    <t>06/16/2008</t>
  </si>
  <si>
    <t>100223</t>
  </si>
  <si>
    <t>05/21/2008</t>
  </si>
  <si>
    <t>100224</t>
  </si>
  <si>
    <t>02/18/2009</t>
  </si>
  <si>
    <t>100225</t>
  </si>
  <si>
    <t>07/21/2010</t>
  </si>
  <si>
    <t>100226</t>
  </si>
  <si>
    <t>02/16/2011</t>
  </si>
  <si>
    <t>100227</t>
  </si>
  <si>
    <t>11/16/2011</t>
  </si>
  <si>
    <t>100228</t>
  </si>
  <si>
    <t>04/18/2012</t>
  </si>
  <si>
    <t>100229</t>
  </si>
  <si>
    <t>12/15/1954</t>
  </si>
  <si>
    <t>100232</t>
  </si>
  <si>
    <t>12/31/1991</t>
  </si>
  <si>
    <t>100233</t>
  </si>
  <si>
    <t>100234</t>
  </si>
  <si>
    <t>11/24/1993</t>
  </si>
  <si>
    <t>100235</t>
  </si>
  <si>
    <t>06/30/1994</t>
  </si>
  <si>
    <t>100236</t>
  </si>
  <si>
    <t>100237</t>
  </si>
  <si>
    <t>100238</t>
  </si>
  <si>
    <t>100239</t>
  </si>
  <si>
    <t>08/22/2001</t>
  </si>
  <si>
    <t>100240</t>
  </si>
  <si>
    <t>11/20/2002</t>
  </si>
  <si>
    <t>100241</t>
  </si>
  <si>
    <t>100242</t>
  </si>
  <si>
    <t>05/16/2012</t>
  </si>
  <si>
    <t>100243</t>
  </si>
  <si>
    <t>12/01/2013</t>
  </si>
  <si>
    <t>100244</t>
  </si>
  <si>
    <t>03/01/2013</t>
  </si>
  <si>
    <t>100301</t>
  </si>
  <si>
    <t>NESHAP RICE USE TAX PAID</t>
  </si>
  <si>
    <t>01/01/2014</t>
  </si>
  <si>
    <t>100302</t>
  </si>
  <si>
    <t>DIESEL ENGINE EMISSION CONTROLS</t>
  </si>
  <si>
    <t>01/31/2014</t>
  </si>
  <si>
    <t>100304</t>
  </si>
  <si>
    <t>RESIDENTIAL METERS RADIO READ</t>
  </si>
  <si>
    <t>11/01/2014</t>
  </si>
  <si>
    <t>100246</t>
  </si>
  <si>
    <t>03/15/1975</t>
  </si>
  <si>
    <t>100247</t>
  </si>
  <si>
    <t>02/17/1993</t>
  </si>
  <si>
    <t>100248</t>
  </si>
  <si>
    <t>12/21/1994</t>
  </si>
  <si>
    <t>100249</t>
  </si>
  <si>
    <t>02/22/1995</t>
  </si>
  <si>
    <t>100251</t>
  </si>
  <si>
    <t>07/16/1997</t>
  </si>
  <si>
    <t>100252</t>
  </si>
  <si>
    <t>100253</t>
  </si>
  <si>
    <t>07/28/2004</t>
  </si>
  <si>
    <t>100254</t>
  </si>
  <si>
    <t>02/15/2006</t>
  </si>
  <si>
    <t>100255</t>
  </si>
  <si>
    <t>05/17/2011</t>
  </si>
  <si>
    <t>100256</t>
  </si>
  <si>
    <t>10/10/2011</t>
  </si>
  <si>
    <t>100257</t>
  </si>
  <si>
    <t>03/21/2012</t>
  </si>
  <si>
    <t>100258</t>
  </si>
  <si>
    <t>08/19/2012</t>
  </si>
  <si>
    <t>100259</t>
  </si>
  <si>
    <t>12/15/2012</t>
  </si>
  <si>
    <t>100260</t>
  </si>
  <si>
    <t>06/01/2013</t>
  </si>
  <si>
    <t>100245</t>
  </si>
  <si>
    <t>09/01/2013</t>
  </si>
  <si>
    <t>100262</t>
  </si>
  <si>
    <t>06/06/1991</t>
  </si>
  <si>
    <t>100263</t>
  </si>
  <si>
    <t>11/02/1995</t>
  </si>
  <si>
    <t>100264</t>
  </si>
  <si>
    <t>03/25/1996</t>
  </si>
  <si>
    <t>100265</t>
  </si>
  <si>
    <t>100266</t>
  </si>
  <si>
    <t>04/09/1996</t>
  </si>
  <si>
    <t>100267</t>
  </si>
  <si>
    <t>11/20/1996</t>
  </si>
  <si>
    <t>100268</t>
  </si>
  <si>
    <t>CASE TRENCHER</t>
  </si>
  <si>
    <t>12/23/1996</t>
  </si>
  <si>
    <t>100269</t>
  </si>
  <si>
    <t>02/10/1997</t>
  </si>
  <si>
    <t>100270</t>
  </si>
  <si>
    <t>100271</t>
  </si>
  <si>
    <t>11/26/1997</t>
  </si>
  <si>
    <t>100272</t>
  </si>
  <si>
    <t>100273</t>
  </si>
  <si>
    <t>02/19/1998</t>
  </si>
  <si>
    <t>100274</t>
  </si>
  <si>
    <t>100275</t>
  </si>
  <si>
    <t>100276</t>
  </si>
  <si>
    <t>06/17/1998</t>
  </si>
  <si>
    <t>100278</t>
  </si>
  <si>
    <t>04/14/1999</t>
  </si>
  <si>
    <t>100279</t>
  </si>
  <si>
    <t>05/07/1999</t>
  </si>
  <si>
    <t>100280</t>
  </si>
  <si>
    <t>02/17/1999</t>
  </si>
  <si>
    <t>100281</t>
  </si>
  <si>
    <t>08/10/2000</t>
  </si>
  <si>
    <t>100284</t>
  </si>
  <si>
    <t>02/18/2004</t>
  </si>
  <si>
    <t>100285</t>
  </si>
  <si>
    <t>04/21/2004</t>
  </si>
  <si>
    <t>100286</t>
  </si>
  <si>
    <t>06/16/2009</t>
  </si>
  <si>
    <t>100287</t>
  </si>
  <si>
    <t>12/07/2009</t>
  </si>
  <si>
    <t>100288</t>
  </si>
  <si>
    <t>TEREX UTIL TC55 AERIAL TRUCK (TRADE</t>
  </si>
  <si>
    <t>05/19/2010</t>
  </si>
  <si>
    <t>100289</t>
  </si>
  <si>
    <t>06/20/2012</t>
  </si>
  <si>
    <t>100290</t>
  </si>
  <si>
    <t>10/08/2012</t>
  </si>
  <si>
    <t>100291</t>
  </si>
  <si>
    <t>12/18/2012</t>
  </si>
  <si>
    <t>100292</t>
  </si>
  <si>
    <t>05/01/2013</t>
  </si>
  <si>
    <t>100300</t>
  </si>
  <si>
    <t>2011 NISSAN AF50 FORKLIFT</t>
  </si>
  <si>
    <t>04/30/2014</t>
  </si>
  <si>
    <t>100293</t>
  </si>
  <si>
    <t>06/15/1986</t>
  </si>
  <si>
    <t>100295</t>
  </si>
  <si>
    <t>06/15/1989</t>
  </si>
  <si>
    <t>100296</t>
  </si>
  <si>
    <t>05/23/1991</t>
  </si>
  <si>
    <t>100297</t>
  </si>
  <si>
    <t>10/20/1993</t>
  </si>
  <si>
    <t>100298</t>
  </si>
  <si>
    <t>05/17/1995</t>
  </si>
  <si>
    <t>100299</t>
  </si>
  <si>
    <t>DEPRECIATION</t>
  </si>
  <si>
    <t xml:space="preserve">   TOTAL</t>
  </si>
  <si>
    <t>BY CATEGORY FOR EIA412 (BOOK)</t>
  </si>
  <si>
    <t>ADDITIONS BY CATEGORY FOR EIA412</t>
  </si>
  <si>
    <t>RETIREMENTS BY CATEGORY FOR EIA412</t>
  </si>
  <si>
    <t>BY CATEGORY FOR EIA 412 (2013)</t>
  </si>
  <si>
    <t>PROOF:</t>
  </si>
  <si>
    <t>2014 Asset Dispositions</t>
  </si>
  <si>
    <t>Page 1</t>
  </si>
  <si>
    <t>Disposal</t>
  </si>
  <si>
    <t>Sec. 179</t>
  </si>
  <si>
    <t>ITC Taken</t>
  </si>
  <si>
    <t>+Current</t>
  </si>
  <si>
    <t>Sale Price</t>
  </si>
  <si>
    <t>100007</t>
  </si>
  <si>
    <t>12/15/1950</t>
  </si>
  <si>
    <t>.00</t>
  </si>
  <si>
    <t>100013</t>
  </si>
  <si>
    <t>100011</t>
  </si>
  <si>
    <t>07/15/1986</t>
  </si>
  <si>
    <t>100062</t>
  </si>
  <si>
    <t>100230</t>
  </si>
  <si>
    <t>10/15/1960</t>
  </si>
  <si>
    <t>100129</t>
  </si>
  <si>
    <t>08/15/1964</t>
  </si>
  <si>
    <t>100130</t>
  </si>
  <si>
    <t>10/15/1967</t>
  </si>
  <si>
    <t>100185</t>
  </si>
  <si>
    <t>100186</t>
  </si>
  <si>
    <t>100187</t>
  </si>
  <si>
    <t>100188</t>
  </si>
  <si>
    <t>100189</t>
  </si>
  <si>
    <t>100231</t>
  </si>
  <si>
    <t>100135</t>
  </si>
  <si>
    <t>05/15/1987</t>
  </si>
  <si>
    <t>100139</t>
  </si>
  <si>
    <t>100199</t>
  </si>
  <si>
    <t>100146</t>
  </si>
  <si>
    <t>11/18/1992</t>
  </si>
  <si>
    <t>100148</t>
  </si>
  <si>
    <t>01/14/1994</t>
  </si>
  <si>
    <t>100150</t>
  </si>
  <si>
    <t>05/18/1995</t>
  </si>
  <si>
    <t>100151</t>
  </si>
  <si>
    <t>100164</t>
  </si>
  <si>
    <t>100166</t>
  </si>
  <si>
    <t>08/19/1998</t>
  </si>
  <si>
    <t>100250</t>
  </si>
  <si>
    <t>02/21/1996</t>
  </si>
  <si>
    <t>100261</t>
  </si>
  <si>
    <t>09/15/1981</t>
  </si>
  <si>
    <t>100277</t>
  </si>
  <si>
    <t>100282</t>
  </si>
  <si>
    <t>01/16/2002</t>
  </si>
  <si>
    <t>100283</t>
  </si>
  <si>
    <t>01/22/2003</t>
  </si>
  <si>
    <t>100294</t>
  </si>
  <si>
    <t>RETIREMENTS BY CATEGORY FOR EIA412 (details beginning at A372)</t>
  </si>
  <si>
    <t>WINDOM</t>
  </si>
  <si>
    <t>License Fees</t>
  </si>
  <si>
    <t>604-49550-444</t>
  </si>
  <si>
    <t>5 (Finance Director)</t>
  </si>
  <si>
    <t>10 (Intern)</t>
  </si>
  <si>
    <t>59 (City Administrator)</t>
  </si>
  <si>
    <t>65 (Finance)</t>
  </si>
  <si>
    <t>67 (Admin)</t>
  </si>
  <si>
    <t>69 (Admin)</t>
  </si>
  <si>
    <t>72 (Admin)</t>
  </si>
  <si>
    <t>100 (Line Foreman)</t>
  </si>
  <si>
    <t>110 (Lineman)</t>
  </si>
  <si>
    <t>103 (Superintendent)</t>
  </si>
  <si>
    <t>115 (Superintendent)</t>
  </si>
  <si>
    <t>191 (Lineman)</t>
  </si>
  <si>
    <t>195 (Lineman)</t>
  </si>
  <si>
    <t>375 (Mechanic)</t>
  </si>
  <si>
    <t>415 (Electric Admin)</t>
  </si>
  <si>
    <t>Interest Income                   $39,087</t>
  </si>
  <si>
    <t>Gain on sale of Fixed Assets $1,900</t>
  </si>
  <si>
    <t>PER CMMPA BOOKS</t>
  </si>
  <si>
    <t>604-37473</t>
  </si>
  <si>
    <t>TOTAL T.O. FEES</t>
  </si>
  <si>
    <t>6a</t>
  </si>
  <si>
    <t>Adjustments to Net Revenue Requirement (Note CC)</t>
  </si>
  <si>
    <t>6b</t>
  </si>
  <si>
    <t>Interest on Adjustments (Note DD)</t>
  </si>
  <si>
    <t>6c</t>
  </si>
  <si>
    <t>Total Adjustment (line 6a + line 6b)</t>
  </si>
  <si>
    <t xml:space="preserve"> (line 1 minus line 6 plus Line 6c)</t>
  </si>
  <si>
    <t>References to data from EIA Form 412 are indicated as:   x.y.z  (section, line, column)</t>
  </si>
  <si>
    <t>To the extent the page references to EIA Form 412 are missing, the entity will include a "Notes" section in the EIA 412 to provide this data.</t>
  </si>
  <si>
    <t xml:space="preserve">                            </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</si>
  <si>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</si>
  <si>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</si>
  <si>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</si>
  <si>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The FERC's annual charges for the year assessed the Transmission Owner for service under this tariff, if any.</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</si>
  <si>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</si>
  <si>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</si>
  <si>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</si>
  <si>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</si>
  <si>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</si>
  <si>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Inputs Required:</t>
  </si>
  <si>
    <t>Removes transmission plant determined  to be state-jurisdictional by Commission order according to the seven-factor test (until EIA 412 balances are adjusted to reflect application of seven-factor test).</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</si>
  <si>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</si>
  <si>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</si>
  <si>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</si>
  <si>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</si>
  <si>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</si>
  <si>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</si>
  <si>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CC</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</si>
  <si>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</si>
  <si>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</si>
  <si>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DD</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</si>
  <si>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</si>
  <si>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</si>
  <si>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NOTE FOR LINE 5:  Combustion Turbine</t>
  </si>
  <si>
    <t>Schedule 4</t>
  </si>
  <si>
    <t>Other Production (340-346)</t>
  </si>
  <si>
    <t>coded to revenue in error</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</si>
</sst>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0.00000"/>
    <numFmt numFmtId="168" formatCode="#,##0.000"/>
    <numFmt numFmtId="169" formatCode="&quot;$&quot;#,##0.000"/>
    <numFmt numFmtId="170" formatCode="0.0000"/>
    <numFmt numFmtId="171" formatCode="#,##0.00000"/>
    <numFmt numFmtId="172" formatCode="0.000%"/>
    <numFmt numFmtId="173" formatCode="#,##0.0000"/>
    <numFmt numFmtId="174" formatCode="&quot;$&quot;#,##0"/>
    <numFmt numFmtId="175" formatCode="0.00000%"/>
    <numFmt numFmtId="176" formatCode="mm/dd/yyyy"/>
    <numFmt numFmtId="177" formatCode="#,##0.00;\-#,##0.00"/>
    <numFmt numFmtId="178" formatCode="m/d/yyyy;@"/>
  </numFmts>
  <fonts count="85">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2"/>
      <name val="Arial"/>
      <family val="2"/>
    </font>
    <font>
      <b/>
      <sz val="11"/>
      <name val="Arial"/>
      <family val="2"/>
    </font>
    <font>
      <sz val="10"/>
      <color indexed="12"/>
      <name val="Arial"/>
      <family val="2"/>
    </font>
    <font>
      <sz val="12"/>
      <color indexed="12"/>
      <name val="Arial"/>
      <family val="2"/>
    </font>
    <font>
      <sz val="10"/>
      <color indexed="12"/>
      <name val="Arial"/>
      <family val="2"/>
    </font>
    <font>
      <sz val="10"/>
      <name val="Arial"/>
      <family val="2"/>
    </font>
    <font>
      <b/>
      <u/>
      <sz val="10"/>
      <name val="Arial"/>
      <family val="2"/>
    </font>
    <font>
      <b/>
      <sz val="10"/>
      <color indexed="12"/>
      <name val="Arial"/>
      <family val="2"/>
    </font>
    <font>
      <b/>
      <sz val="10"/>
      <name val="Arial"/>
      <family val="2"/>
    </font>
    <font>
      <b/>
      <sz val="10"/>
      <color indexed="12"/>
      <name val="Arial"/>
      <family val="2"/>
    </font>
    <font>
      <b/>
      <sz val="12"/>
      <color indexed="10"/>
      <name val="Arial"/>
      <family val="2"/>
    </font>
    <font>
      <b/>
      <sz val="8"/>
      <color indexed="12"/>
      <name val="Arial"/>
      <family val="2"/>
    </font>
    <font>
      <b/>
      <sz val="8"/>
      <name val="Arial"/>
      <family val="2"/>
    </font>
    <font>
      <b/>
      <sz val="12"/>
      <name val="Arial"/>
      <family val="2"/>
    </font>
    <font>
      <sz val="12"/>
      <name val="Arial MT"/>
    </font>
    <font>
      <sz val="12"/>
      <color indexed="17"/>
      <name val="Arial MT"/>
    </font>
    <font>
      <sz val="12"/>
      <color indexed="10"/>
      <name val="Arial"/>
      <family val="2"/>
    </font>
    <font>
      <sz val="11"/>
      <name val="Arial"/>
      <family val="2"/>
    </font>
    <font>
      <sz val="12"/>
      <color indexed="17"/>
      <name val="Arial"/>
      <family val="2"/>
    </font>
    <font>
      <strike/>
      <sz val="12"/>
      <name val="Arial"/>
      <family val="2"/>
    </font>
    <font>
      <b/>
      <sz val="12"/>
      <color indexed="17"/>
      <name val="Arial MT"/>
    </font>
    <font>
      <sz val="12"/>
      <name val="Times New Roman"/>
      <family val="1"/>
    </font>
    <font>
      <sz val="16"/>
      <name val="Arial MT"/>
    </font>
    <font>
      <sz val="14"/>
      <name val="Times New Roman"/>
      <family val="1"/>
    </font>
    <font>
      <sz val="10"/>
      <name val="Arial MT"/>
    </font>
    <font>
      <sz val="14"/>
      <name val="Arial MT"/>
    </font>
    <font>
      <sz val="11"/>
      <color indexed="62"/>
      <name val="Calibri"/>
      <family val="2"/>
    </font>
    <font>
      <sz val="8"/>
      <name val="Arial"/>
      <family val="2"/>
    </font>
    <font>
      <b/>
      <sz val="10"/>
      <color indexed="17"/>
      <name val="Helv"/>
    </font>
    <font>
      <b/>
      <sz val="10"/>
      <color indexed="12"/>
      <name val="Helv"/>
    </font>
    <font>
      <i/>
      <sz val="10"/>
      <name val="Arial"/>
      <family val="2"/>
    </font>
    <font>
      <sz val="12"/>
      <name val="Arial"/>
      <family val="2"/>
    </font>
    <font>
      <b/>
      <sz val="12"/>
      <color indexed="48"/>
      <name val="Times New Roman"/>
      <family val="1"/>
    </font>
    <font>
      <sz val="12"/>
      <color indexed="17"/>
      <name val="Times New Roman"/>
      <family val="1"/>
    </font>
    <font>
      <u/>
      <sz val="12"/>
      <color indexed="17"/>
      <name val="Times New Roman"/>
      <family val="1"/>
    </font>
    <font>
      <sz val="12"/>
      <color indexed="10"/>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1"/>
      <name val="Tahoma"/>
      <family val="2"/>
    </font>
    <font>
      <b/>
      <sz val="9"/>
      <color indexed="81"/>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1"/>
      <color theme="1"/>
      <name val="Calibri"/>
      <family val="2"/>
      <scheme val="minor"/>
    </font>
    <font>
      <b/>
      <sz val="10"/>
      <color theme="1"/>
      <name val="Arial"/>
      <family val="2"/>
    </font>
    <font>
      <sz val="10"/>
      <color rgb="FFFF0000"/>
      <name val="Arial"/>
      <family val="2"/>
    </font>
    <font>
      <sz val="10"/>
      <name val="Helv"/>
    </font>
    <font>
      <u/>
      <sz val="10"/>
      <color indexed="12"/>
      <name val="Helv"/>
    </font>
    <font>
      <sz val="10"/>
      <color rgb="FF000000"/>
      <name val="Arial"/>
      <family val="2"/>
    </font>
    <font>
      <b/>
      <sz val="11"/>
      <color theme="1"/>
      <name val="Calibri"/>
      <family val="2"/>
    </font>
    <font>
      <sz val="8"/>
      <color rgb="FF000000"/>
      <name val="Arial"/>
      <family val="2"/>
    </font>
    <font>
      <b/>
      <sz val="8"/>
      <color rgb="FF000000"/>
      <name val="Arial"/>
      <family val="2"/>
    </font>
    <font>
      <sz val="10"/>
      <name val="Arial"/>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FFFF99"/>
        <bgColor indexed="64"/>
      </patternFill>
    </fill>
  </fills>
  <borders count="6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ck">
        <color indexed="64"/>
      </top>
      <bottom style="thick">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top style="thick">
        <color indexed="64"/>
      </top>
      <bottom/>
      <diagonal/>
    </border>
    <border>
      <left style="thin">
        <color indexed="64"/>
      </left>
      <right/>
      <top style="thin">
        <color indexed="64"/>
      </top>
      <bottom/>
      <diagonal/>
    </border>
    <border>
      <left style="thin">
        <color indexed="64"/>
      </left>
      <right/>
      <top/>
      <bottom/>
      <diagonal/>
    </border>
    <border>
      <left/>
      <right/>
      <top/>
      <bottom style="double">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ck">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double">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indexed="64"/>
      </top>
      <bottom style="medium">
        <color indexed="64"/>
      </bottom>
      <diagonal/>
    </border>
  </borders>
  <cellStyleXfs count="173">
    <xf numFmtId="0" fontId="0" fillId="0" borderId="0"/>
    <xf numFmtId="0" fontId="60" fillId="26" borderId="0" applyNumberFormat="0" applyBorder="0" applyAlignment="0" applyProtection="0"/>
    <xf numFmtId="0" fontId="42" fillId="2" borderId="0" applyNumberFormat="0" applyBorder="0" applyAlignment="0" applyProtection="0"/>
    <xf numFmtId="0" fontId="60" fillId="27" borderId="0" applyNumberFormat="0" applyBorder="0" applyAlignment="0" applyProtection="0"/>
    <xf numFmtId="0" fontId="42" fillId="3" borderId="0" applyNumberFormat="0" applyBorder="0" applyAlignment="0" applyProtection="0"/>
    <xf numFmtId="0" fontId="60" fillId="28" borderId="0" applyNumberFormat="0" applyBorder="0" applyAlignment="0" applyProtection="0"/>
    <xf numFmtId="0" fontId="42" fillId="4" borderId="0" applyNumberFormat="0" applyBorder="0" applyAlignment="0" applyProtection="0"/>
    <xf numFmtId="0" fontId="60" fillId="29" borderId="0" applyNumberFormat="0" applyBorder="0" applyAlignment="0" applyProtection="0"/>
    <xf numFmtId="0" fontId="42" fillId="5" borderId="0" applyNumberFormat="0" applyBorder="0" applyAlignment="0" applyProtection="0"/>
    <xf numFmtId="0" fontId="60" fillId="30" borderId="0" applyNumberFormat="0" applyBorder="0" applyAlignment="0" applyProtection="0"/>
    <xf numFmtId="0" fontId="42" fillId="6" borderId="0" applyNumberFormat="0" applyBorder="0" applyAlignment="0" applyProtection="0"/>
    <xf numFmtId="0" fontId="60" fillId="31" borderId="0" applyNumberFormat="0" applyBorder="0" applyAlignment="0" applyProtection="0"/>
    <xf numFmtId="0" fontId="42" fillId="7" borderId="0" applyNumberFormat="0" applyBorder="0" applyAlignment="0" applyProtection="0"/>
    <xf numFmtId="0" fontId="60" fillId="32" borderId="0" applyNumberFormat="0" applyBorder="0" applyAlignment="0" applyProtection="0"/>
    <xf numFmtId="0" fontId="42" fillId="8" borderId="0" applyNumberFormat="0" applyBorder="0" applyAlignment="0" applyProtection="0"/>
    <xf numFmtId="0" fontId="60" fillId="33" borderId="0" applyNumberFormat="0" applyBorder="0" applyAlignment="0" applyProtection="0"/>
    <xf numFmtId="0" fontId="42" fillId="9" borderId="0" applyNumberFormat="0" applyBorder="0" applyAlignment="0" applyProtection="0"/>
    <xf numFmtId="0" fontId="60" fillId="34" borderId="0" applyNumberFormat="0" applyBorder="0" applyAlignment="0" applyProtection="0"/>
    <xf numFmtId="0" fontId="42" fillId="10" borderId="0" applyNumberFormat="0" applyBorder="0" applyAlignment="0" applyProtection="0"/>
    <xf numFmtId="0" fontId="60" fillId="35" borderId="0" applyNumberFormat="0" applyBorder="0" applyAlignment="0" applyProtection="0"/>
    <xf numFmtId="0" fontId="42" fillId="5" borderId="0" applyNumberFormat="0" applyBorder="0" applyAlignment="0" applyProtection="0"/>
    <xf numFmtId="0" fontId="60" fillId="36" borderId="0" applyNumberFormat="0" applyBorder="0" applyAlignment="0" applyProtection="0"/>
    <xf numFmtId="0" fontId="42" fillId="8" borderId="0" applyNumberFormat="0" applyBorder="0" applyAlignment="0" applyProtection="0"/>
    <xf numFmtId="0" fontId="60" fillId="37" borderId="0" applyNumberFormat="0" applyBorder="0" applyAlignment="0" applyProtection="0"/>
    <xf numFmtId="0" fontId="42" fillId="11" borderId="0" applyNumberFormat="0" applyBorder="0" applyAlignment="0" applyProtection="0"/>
    <xf numFmtId="0" fontId="61" fillId="38" borderId="0" applyNumberFormat="0" applyBorder="0" applyAlignment="0" applyProtection="0"/>
    <xf numFmtId="0" fontId="43" fillId="12" borderId="0" applyNumberFormat="0" applyBorder="0" applyAlignment="0" applyProtection="0"/>
    <xf numFmtId="0" fontId="61" fillId="39" borderId="0" applyNumberFormat="0" applyBorder="0" applyAlignment="0" applyProtection="0"/>
    <xf numFmtId="0" fontId="43" fillId="9" borderId="0" applyNumberFormat="0" applyBorder="0" applyAlignment="0" applyProtection="0"/>
    <xf numFmtId="0" fontId="61" fillId="40" borderId="0" applyNumberFormat="0" applyBorder="0" applyAlignment="0" applyProtection="0"/>
    <xf numFmtId="0" fontId="43" fillId="10" borderId="0" applyNumberFormat="0" applyBorder="0" applyAlignment="0" applyProtection="0"/>
    <xf numFmtId="0" fontId="61" fillId="41" borderId="0" applyNumberFormat="0" applyBorder="0" applyAlignment="0" applyProtection="0"/>
    <xf numFmtId="0" fontId="43" fillId="13" borderId="0" applyNumberFormat="0" applyBorder="0" applyAlignment="0" applyProtection="0"/>
    <xf numFmtId="0" fontId="61" fillId="42" borderId="0" applyNumberFormat="0" applyBorder="0" applyAlignment="0" applyProtection="0"/>
    <xf numFmtId="0" fontId="43" fillId="14" borderId="0" applyNumberFormat="0" applyBorder="0" applyAlignment="0" applyProtection="0"/>
    <xf numFmtId="0" fontId="61" fillId="43" borderId="0" applyNumberFormat="0" applyBorder="0" applyAlignment="0" applyProtection="0"/>
    <xf numFmtId="0" fontId="43" fillId="15" borderId="0" applyNumberFormat="0" applyBorder="0" applyAlignment="0" applyProtection="0"/>
    <xf numFmtId="0" fontId="61" fillId="44" borderId="0" applyNumberFormat="0" applyBorder="0" applyAlignment="0" applyProtection="0"/>
    <xf numFmtId="0" fontId="43" fillId="16" borderId="0" applyNumberFormat="0" applyBorder="0" applyAlignment="0" applyProtection="0"/>
    <xf numFmtId="0" fontId="61" fillId="45" borderId="0" applyNumberFormat="0" applyBorder="0" applyAlignment="0" applyProtection="0"/>
    <xf numFmtId="0" fontId="43" fillId="17" borderId="0" applyNumberFormat="0" applyBorder="0" applyAlignment="0" applyProtection="0"/>
    <xf numFmtId="0" fontId="61" fillId="46" borderId="0" applyNumberFormat="0" applyBorder="0" applyAlignment="0" applyProtection="0"/>
    <xf numFmtId="0" fontId="43" fillId="18" borderId="0" applyNumberFormat="0" applyBorder="0" applyAlignment="0" applyProtection="0"/>
    <xf numFmtId="0" fontId="61" fillId="47" borderId="0" applyNumberFormat="0" applyBorder="0" applyAlignment="0" applyProtection="0"/>
    <xf numFmtId="0" fontId="43" fillId="13" borderId="0" applyNumberFormat="0" applyBorder="0" applyAlignment="0" applyProtection="0"/>
    <xf numFmtId="0" fontId="61" fillId="48" borderId="0" applyNumberFormat="0" applyBorder="0" applyAlignment="0" applyProtection="0"/>
    <xf numFmtId="0" fontId="43" fillId="14" borderId="0" applyNumberFormat="0" applyBorder="0" applyAlignment="0" applyProtection="0"/>
    <xf numFmtId="0" fontId="61" fillId="49" borderId="0" applyNumberFormat="0" applyBorder="0" applyAlignment="0" applyProtection="0"/>
    <xf numFmtId="0" fontId="43" fillId="19" borderId="0" applyNumberFormat="0" applyBorder="0" applyAlignment="0" applyProtection="0"/>
    <xf numFmtId="0" fontId="62" fillId="50" borderId="0" applyNumberFormat="0" applyBorder="0" applyAlignment="0" applyProtection="0"/>
    <xf numFmtId="0" fontId="44" fillId="3" borderId="0" applyNumberFormat="0" applyBorder="0" applyAlignment="0" applyProtection="0"/>
    <xf numFmtId="0" fontId="63" fillId="51" borderId="46" applyNumberFormat="0" applyAlignment="0" applyProtection="0"/>
    <xf numFmtId="0" fontId="45" fillId="20" borderId="1" applyNumberFormat="0" applyAlignment="0" applyProtection="0"/>
    <xf numFmtId="0" fontId="64" fillId="52" borderId="47" applyNumberFormat="0" applyAlignment="0" applyProtection="0"/>
    <xf numFmtId="0" fontId="46" fillId="21" borderId="2" applyNumberFormat="0" applyAlignment="0" applyProtection="0"/>
    <xf numFmtId="43" fontId="3" fillId="0" borderId="0" applyFont="0" applyFill="0" applyBorder="0" applyAlignment="0" applyProtection="0"/>
    <xf numFmtId="43" fontId="4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3" fillId="0" borderId="0" applyFont="0" applyFill="0" applyBorder="0" applyAlignment="0" applyProtection="0"/>
    <xf numFmtId="44" fontId="10" fillId="0" borderId="0" applyFont="0" applyFill="0" applyBorder="0" applyAlignment="0" applyProtection="0"/>
    <xf numFmtId="44" fontId="41" fillId="0" borderId="0" applyFont="0" applyFill="0" applyBorder="0" applyAlignment="0" applyProtection="0"/>
    <xf numFmtId="44" fontId="10" fillId="0" borderId="0" applyFont="0" applyFill="0" applyBorder="0" applyAlignment="0" applyProtection="0"/>
    <xf numFmtId="0" fontId="65" fillId="0" borderId="0" applyNumberFormat="0" applyFill="0" applyBorder="0" applyAlignment="0" applyProtection="0"/>
    <xf numFmtId="0" fontId="47" fillId="0" borderId="0" applyNumberFormat="0" applyFill="0" applyBorder="0" applyAlignment="0" applyProtection="0"/>
    <xf numFmtId="0" fontId="66" fillId="53" borderId="0" applyNumberFormat="0" applyBorder="0" applyAlignment="0" applyProtection="0"/>
    <xf numFmtId="0" fontId="48" fillId="4" borderId="0" applyNumberFormat="0" applyBorder="0" applyAlignment="0" applyProtection="0"/>
    <xf numFmtId="0" fontId="67" fillId="0" borderId="48" applyNumberFormat="0" applyFill="0" applyAlignment="0" applyProtection="0"/>
    <xf numFmtId="0" fontId="49" fillId="0" borderId="3" applyNumberFormat="0" applyFill="0" applyAlignment="0" applyProtection="0"/>
    <xf numFmtId="0" fontId="68" fillId="0" borderId="49" applyNumberFormat="0" applyFill="0" applyAlignment="0" applyProtection="0"/>
    <xf numFmtId="0" fontId="50" fillId="0" borderId="4" applyNumberFormat="0" applyFill="0" applyAlignment="0" applyProtection="0"/>
    <xf numFmtId="0" fontId="69" fillId="0" borderId="50" applyNumberFormat="0" applyFill="0" applyAlignment="0" applyProtection="0"/>
    <xf numFmtId="0" fontId="51" fillId="0" borderId="5" applyNumberFormat="0" applyFill="0" applyAlignment="0" applyProtection="0"/>
    <xf numFmtId="0" fontId="69" fillId="0" borderId="0" applyNumberFormat="0" applyFill="0" applyBorder="0" applyAlignment="0" applyProtection="0"/>
    <xf numFmtId="0" fontId="51" fillId="0" borderId="0" applyNumberFormat="0" applyFill="0" applyBorder="0" applyAlignment="0" applyProtection="0"/>
    <xf numFmtId="0" fontId="70" fillId="54" borderId="46" applyNumberFormat="0" applyAlignment="0" applyProtection="0"/>
    <xf numFmtId="0" fontId="31" fillId="7" borderId="1" applyNumberFormat="0" applyAlignment="0" applyProtection="0"/>
    <xf numFmtId="0" fontId="71" fillId="0" borderId="51" applyNumberFormat="0" applyFill="0" applyAlignment="0" applyProtection="0"/>
    <xf numFmtId="0" fontId="52" fillId="0" borderId="6" applyNumberFormat="0" applyFill="0" applyAlignment="0" applyProtection="0"/>
    <xf numFmtId="0" fontId="72" fillId="55" borderId="0" applyNumberFormat="0" applyBorder="0" applyAlignment="0" applyProtection="0"/>
    <xf numFmtId="0" fontId="53" fillId="22" borderId="0" applyNumberFormat="0" applyBorder="0" applyAlignment="0" applyProtection="0"/>
    <xf numFmtId="0" fontId="10" fillId="0" borderId="0"/>
    <xf numFmtId="166" fontId="19" fillId="0" borderId="0" applyProtection="0"/>
    <xf numFmtId="0" fontId="60" fillId="0" borderId="0"/>
    <xf numFmtId="0" fontId="60" fillId="56" borderId="52" applyNumberFormat="0" applyFont="0" applyAlignment="0" applyProtection="0"/>
    <xf numFmtId="0" fontId="42" fillId="23" borderId="7" applyNumberFormat="0" applyFont="0" applyAlignment="0" applyProtection="0"/>
    <xf numFmtId="0" fontId="73" fillId="51" borderId="53" applyNumberFormat="0" applyAlignment="0" applyProtection="0"/>
    <xf numFmtId="0" fontId="54" fillId="20" borderId="8" applyNumberFormat="0" applyAlignment="0" applyProtection="0"/>
    <xf numFmtId="9" fontId="3" fillId="0" borderId="0" applyFont="0" applyFill="0" applyBorder="0" applyAlignment="0" applyProtection="0"/>
    <xf numFmtId="9" fontId="10" fillId="0" borderId="0" applyFont="0" applyFill="0" applyBorder="0" applyAlignment="0" applyProtection="0"/>
    <xf numFmtId="9" fontId="41" fillId="0" borderId="0" applyFont="0" applyFill="0" applyBorder="0" applyAlignment="0" applyProtection="0"/>
    <xf numFmtId="9" fontId="10" fillId="0" borderId="0" applyFont="0" applyFill="0" applyBorder="0" applyAlignment="0" applyProtection="0"/>
    <xf numFmtId="0" fontId="74" fillId="0" borderId="0" applyNumberFormat="0" applyFill="0" applyBorder="0" applyAlignment="0" applyProtection="0"/>
    <xf numFmtId="0" fontId="55" fillId="0" borderId="0" applyNumberFormat="0" applyFill="0" applyBorder="0" applyAlignment="0" applyProtection="0"/>
    <xf numFmtId="0" fontId="76" fillId="0" borderId="54" applyNumberFormat="0" applyFill="0" applyAlignment="0" applyProtection="0"/>
    <xf numFmtId="0" fontId="56" fillId="0" borderId="9" applyNumberFormat="0" applyFill="0" applyAlignment="0" applyProtection="0"/>
    <xf numFmtId="0" fontId="77" fillId="0" borderId="0" applyNumberFormat="0" applyFill="0" applyBorder="0" applyAlignment="0" applyProtection="0"/>
    <xf numFmtId="0" fontId="57" fillId="0" borderId="0" applyNumberFormat="0" applyFill="0" applyBorder="0" applyAlignment="0" applyProtection="0"/>
    <xf numFmtId="0" fontId="78" fillId="0" borderId="0"/>
    <xf numFmtId="0" fontId="79" fillId="0" borderId="0" applyNumberFormat="0" applyFill="0" applyBorder="0" applyAlignment="0" applyProtection="0">
      <alignment vertical="top"/>
      <protection locked="0"/>
    </xf>
    <xf numFmtId="43" fontId="41" fillId="0" borderId="0" applyFont="0" applyFill="0" applyBorder="0" applyAlignment="0" applyProtection="0"/>
    <xf numFmtId="44"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 fillId="0" borderId="0"/>
    <xf numFmtId="43" fontId="2" fillId="0" borderId="0" applyFont="0" applyFill="0" applyBorder="0" applyAlignment="0" applyProtection="0"/>
    <xf numFmtId="0" fontId="80" fillId="0" borderId="0"/>
    <xf numFmtId="0" fontId="80"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84" fillId="0" borderId="0" applyFont="0" applyFill="0" applyBorder="0" applyAlignment="0" applyProtection="0"/>
    <xf numFmtId="44" fontId="84" fillId="0" borderId="0" applyFont="0" applyFill="0" applyBorder="0" applyAlignment="0" applyProtection="0"/>
  </cellStyleXfs>
  <cellXfs count="669">
    <xf numFmtId="0" fontId="0" fillId="0" borderId="0" xfId="0"/>
    <xf numFmtId="0" fontId="0" fillId="0" borderId="0" xfId="0" applyAlignment="1">
      <alignment horizontal="center"/>
    </xf>
    <xf numFmtId="0" fontId="0" fillId="0" borderId="10" xfId="0" applyBorder="1" applyAlignment="1">
      <alignment horizontal="center"/>
    </xf>
    <xf numFmtId="0" fontId="0" fillId="0" borderId="10" xfId="0" applyBorder="1"/>
    <xf numFmtId="0" fontId="0" fillId="0" borderId="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4" xfId="0" applyFill="1" applyBorder="1"/>
    <xf numFmtId="0" fontId="0" fillId="0" borderId="15" xfId="0" applyBorder="1" applyAlignment="1">
      <alignment horizontal="center"/>
    </xf>
    <xf numFmtId="0" fontId="0" fillId="0" borderId="0" xfId="0" applyFill="1" applyBorder="1" applyAlignment="1">
      <alignment horizontal="center"/>
    </xf>
    <xf numFmtId="0" fontId="0" fillId="0" borderId="15" xfId="0" applyFill="1" applyBorder="1" applyAlignment="1">
      <alignment horizontal="center"/>
    </xf>
    <xf numFmtId="37" fontId="0" fillId="0" borderId="0" xfId="0" applyNumberFormat="1"/>
    <xf numFmtId="0" fontId="5" fillId="0" borderId="0" xfId="0" applyFont="1" applyAlignment="1">
      <alignment horizontal="center"/>
    </xf>
    <xf numFmtId="0" fontId="4" fillId="0" borderId="12" xfId="0" applyFont="1" applyBorder="1"/>
    <xf numFmtId="0" fontId="0" fillId="0" borderId="10" xfId="0" applyFill="1" applyBorder="1" applyAlignment="1">
      <alignment horizontal="center"/>
    </xf>
    <xf numFmtId="0" fontId="4" fillId="0" borderId="14" xfId="0" applyFont="1" applyFill="1" applyBorder="1"/>
    <xf numFmtId="0" fontId="4" fillId="0" borderId="13" xfId="0" applyFont="1" applyBorder="1"/>
    <xf numFmtId="0" fontId="4" fillId="0" borderId="14" xfId="0" applyFont="1" applyBorder="1"/>
    <xf numFmtId="43" fontId="0" fillId="0" borderId="16" xfId="55" applyFont="1" applyBorder="1"/>
    <xf numFmtId="37" fontId="0" fillId="0" borderId="12" xfId="55" applyNumberFormat="1" applyFont="1" applyBorder="1"/>
    <xf numFmtId="37" fontId="0" fillId="0" borderId="13" xfId="55" applyNumberFormat="1" applyFont="1" applyBorder="1"/>
    <xf numFmtId="37" fontId="0" fillId="0" borderId="14" xfId="55" applyNumberFormat="1" applyFont="1" applyBorder="1"/>
    <xf numFmtId="37" fontId="4" fillId="0" borderId="14" xfId="55" applyNumberFormat="1" applyFont="1" applyBorder="1"/>
    <xf numFmtId="37" fontId="4" fillId="0" borderId="13" xfId="55" applyNumberFormat="1" applyFont="1" applyBorder="1"/>
    <xf numFmtId="0" fontId="4" fillId="0" borderId="17" xfId="0" applyFont="1" applyBorder="1"/>
    <xf numFmtId="37" fontId="4" fillId="0" borderId="17" xfId="55" applyNumberFormat="1" applyFont="1" applyBorder="1"/>
    <xf numFmtId="37" fontId="0" fillId="0" borderId="0" xfId="55" applyNumberFormat="1" applyFont="1" applyBorder="1"/>
    <xf numFmtId="43" fontId="0" fillId="0" borderId="0" xfId="55" applyFont="1" applyBorder="1"/>
    <xf numFmtId="37" fontId="0" fillId="0" borderId="0" xfId="0" applyNumberFormat="1" applyBorder="1"/>
    <xf numFmtId="0" fontId="0" fillId="0" borderId="12" xfId="0" applyFill="1" applyBorder="1"/>
    <xf numFmtId="0" fontId="0" fillId="0" borderId="13" xfId="0" applyFill="1" applyBorder="1"/>
    <xf numFmtId="0" fontId="0" fillId="0" borderId="13" xfId="0" quotePrefix="1" applyBorder="1"/>
    <xf numFmtId="0" fontId="0" fillId="0" borderId="18" xfId="0" applyBorder="1" applyAlignment="1">
      <alignment horizontal="center"/>
    </xf>
    <xf numFmtId="0" fontId="0" fillId="0" borderId="19" xfId="0" applyBorder="1" applyAlignment="1">
      <alignment horizontal="center"/>
    </xf>
    <xf numFmtId="0" fontId="0" fillId="0" borderId="18" xfId="0" applyBorder="1"/>
    <xf numFmtId="14" fontId="5" fillId="0" borderId="0" xfId="0" applyNumberFormat="1" applyFont="1" applyAlignment="1">
      <alignment horizontal="center"/>
    </xf>
    <xf numFmtId="0" fontId="0" fillId="0" borderId="1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4" xfId="0" applyFill="1" applyBorder="1" applyAlignment="1">
      <alignment horizontal="center"/>
    </xf>
    <xf numFmtId="0" fontId="0" fillId="0" borderId="12" xfId="0" applyFill="1" applyBorder="1" applyAlignment="1">
      <alignment horizontal="center"/>
    </xf>
    <xf numFmtId="0" fontId="0" fillId="0" borderId="17" xfId="0" applyBorder="1" applyAlignment="1">
      <alignment horizontal="center"/>
    </xf>
    <xf numFmtId="0" fontId="0" fillId="0" borderId="20" xfId="0" applyBorder="1" applyAlignment="1">
      <alignment horizontal="center"/>
    </xf>
    <xf numFmtId="0" fontId="0" fillId="0" borderId="0" xfId="0" applyAlignment="1">
      <alignment horizontal="left"/>
    </xf>
    <xf numFmtId="0" fontId="5" fillId="0" borderId="0" xfId="0" applyFont="1" applyAlignment="1">
      <alignment horizontal="left"/>
    </xf>
    <xf numFmtId="14" fontId="5" fillId="0" borderId="0" xfId="0" applyNumberFormat="1" applyFont="1" applyAlignment="1">
      <alignment horizontal="left"/>
    </xf>
    <xf numFmtId="0" fontId="6" fillId="0" borderId="0" xfId="0" applyFont="1" applyBorder="1" applyAlignment="1">
      <alignment horizontal="left"/>
    </xf>
    <xf numFmtId="37" fontId="0" fillId="0" borderId="10" xfId="0" applyNumberFormat="1" applyBorder="1"/>
    <xf numFmtId="0" fontId="0" fillId="0" borderId="21" xfId="0" applyBorder="1"/>
    <xf numFmtId="0" fontId="0" fillId="0" borderId="19" xfId="0" applyBorder="1"/>
    <xf numFmtId="0" fontId="0" fillId="0" borderId="21" xfId="0" applyBorder="1" applyAlignment="1">
      <alignment horizontal="center"/>
    </xf>
    <xf numFmtId="37" fontId="0" fillId="0" borderId="18" xfId="0" applyNumberFormat="1" applyBorder="1"/>
    <xf numFmtId="37" fontId="0" fillId="0" borderId="19" xfId="0" applyNumberFormat="1" applyBorder="1"/>
    <xf numFmtId="0" fontId="0" fillId="0" borderId="22" xfId="0" applyBorder="1"/>
    <xf numFmtId="0" fontId="4" fillId="0" borderId="22" xfId="0" applyFont="1" applyBorder="1"/>
    <xf numFmtId="37" fontId="0" fillId="0" borderId="22" xfId="0" applyNumberFormat="1" applyBorder="1"/>
    <xf numFmtId="0" fontId="4" fillId="0" borderId="19" xfId="0" applyFont="1" applyBorder="1"/>
    <xf numFmtId="0" fontId="0" fillId="0" borderId="22" xfId="0" applyBorder="1" applyAlignment="1">
      <alignment horizontal="center"/>
    </xf>
    <xf numFmtId="37" fontId="0" fillId="0" borderId="14" xfId="0" applyNumberFormat="1" applyBorder="1"/>
    <xf numFmtId="37" fontId="4" fillId="0" borderId="14" xfId="0" applyNumberFormat="1" applyFont="1" applyBorder="1"/>
    <xf numFmtId="0" fontId="0" fillId="0" borderId="18" xfId="0" applyFill="1" applyBorder="1"/>
    <xf numFmtId="0" fontId="0" fillId="0" borderId="22" xfId="0" applyFill="1" applyBorder="1"/>
    <xf numFmtId="37" fontId="0" fillId="0" borderId="22" xfId="0" applyNumberFormat="1" applyBorder="1" applyAlignment="1">
      <alignment horizontal="right"/>
    </xf>
    <xf numFmtId="37" fontId="4" fillId="0" borderId="22" xfId="0" applyNumberFormat="1" applyFont="1" applyBorder="1"/>
    <xf numFmtId="37" fontId="4" fillId="0" borderId="19" xfId="0" applyNumberFormat="1" applyFont="1" applyBorder="1"/>
    <xf numFmtId="0" fontId="0" fillId="0" borderId="0" xfId="0" applyFill="1" applyBorder="1"/>
    <xf numFmtId="0" fontId="0" fillId="0" borderId="10" xfId="0" applyFill="1" applyBorder="1"/>
    <xf numFmtId="0" fontId="0" fillId="0" borderId="15" xfId="0" applyFill="1" applyBorder="1"/>
    <xf numFmtId="37" fontId="0" fillId="0" borderId="23" xfId="0" applyNumberFormat="1" applyBorder="1"/>
    <xf numFmtId="37" fontId="0" fillId="0" borderId="24" xfId="0" applyNumberFormat="1" applyBorder="1"/>
    <xf numFmtId="1" fontId="0" fillId="0" borderId="0" xfId="0" applyNumberFormat="1"/>
    <xf numFmtId="41" fontId="0" fillId="0" borderId="0" xfId="55" applyNumberFormat="1" applyFont="1"/>
    <xf numFmtId="39" fontId="0" fillId="0" borderId="0" xfId="0" applyNumberFormat="1" applyBorder="1"/>
    <xf numFmtId="41" fontId="0" fillId="0" borderId="0" xfId="0" applyNumberFormat="1"/>
    <xf numFmtId="37" fontId="0" fillId="0" borderId="22" xfId="0" applyNumberFormat="1" applyFill="1" applyBorder="1"/>
    <xf numFmtId="0" fontId="0" fillId="0" borderId="0" xfId="0" applyFill="1" applyAlignment="1">
      <alignment horizontal="left"/>
    </xf>
    <xf numFmtId="0" fontId="0" fillId="0" borderId="21" xfId="0" applyFill="1" applyBorder="1" applyAlignment="1">
      <alignment horizontal="center"/>
    </xf>
    <xf numFmtId="0" fontId="0" fillId="0" borderId="19" xfId="0" applyFill="1" applyBorder="1" applyAlignment="1">
      <alignment horizontal="center"/>
    </xf>
    <xf numFmtId="37" fontId="0" fillId="0" borderId="19" xfId="0" applyNumberFormat="1" applyFill="1" applyBorder="1"/>
    <xf numFmtId="37" fontId="0" fillId="0" borderId="0" xfId="0" applyNumberFormat="1" applyFill="1"/>
    <xf numFmtId="0" fontId="0" fillId="0" borderId="0" xfId="0" applyFill="1"/>
    <xf numFmtId="37" fontId="7" fillId="0" borderId="19" xfId="0" applyNumberFormat="1" applyFont="1" applyFill="1" applyBorder="1"/>
    <xf numFmtId="37" fontId="7" fillId="0" borderId="22" xfId="0" applyNumberFormat="1" applyFont="1" applyFill="1" applyBorder="1"/>
    <xf numFmtId="0" fontId="4" fillId="0" borderId="0" xfId="0" applyFont="1"/>
    <xf numFmtId="37" fontId="0" fillId="0" borderId="14" xfId="0" applyNumberFormat="1" applyFill="1" applyBorder="1"/>
    <xf numFmtId="164" fontId="0" fillId="0" borderId="0" xfId="59" applyNumberFormat="1" applyFont="1"/>
    <xf numFmtId="37" fontId="9" fillId="0" borderId="13" xfId="55" applyNumberFormat="1" applyFont="1" applyBorder="1"/>
    <xf numFmtId="37" fontId="9" fillId="0" borderId="14" xfId="55" applyNumberFormat="1" applyFont="1" applyBorder="1"/>
    <xf numFmtId="0" fontId="0" fillId="0" borderId="15" xfId="0" quotePrefix="1" applyBorder="1" applyAlignment="1">
      <alignment horizontal="center"/>
    </xf>
    <xf numFmtId="0" fontId="0" fillId="0" borderId="14" xfId="0" applyBorder="1" applyAlignment="1">
      <alignment wrapText="1"/>
    </xf>
    <xf numFmtId="37" fontId="3" fillId="0" borderId="14" xfId="55" applyNumberFormat="1" applyFont="1" applyBorder="1"/>
    <xf numFmtId="0" fontId="10" fillId="0" borderId="0" xfId="0" applyFont="1" applyFill="1" applyBorder="1"/>
    <xf numFmtId="0" fontId="4" fillId="0" borderId="14" xfId="0" applyFont="1" applyBorder="1" applyAlignment="1">
      <alignment wrapText="1"/>
    </xf>
    <xf numFmtId="0" fontId="4" fillId="0" borderId="17" xfId="0" applyFont="1" applyBorder="1" applyAlignment="1">
      <alignment wrapText="1"/>
    </xf>
    <xf numFmtId="0" fontId="0" fillId="0" borderId="16" xfId="0" applyFill="1" applyBorder="1"/>
    <xf numFmtId="37" fontId="0" fillId="0" borderId="16" xfId="55" applyNumberFormat="1" applyFont="1" applyBorder="1"/>
    <xf numFmtId="0" fontId="4" fillId="0" borderId="25" xfId="0" applyFont="1" applyBorder="1" applyAlignment="1">
      <alignment horizontal="center"/>
    </xf>
    <xf numFmtId="0" fontId="4" fillId="0" borderId="16" xfId="0" applyFont="1" applyFill="1" applyBorder="1" applyAlignment="1">
      <alignment wrapText="1"/>
    </xf>
    <xf numFmtId="0" fontId="4" fillId="0" borderId="25" xfId="0" applyFont="1" applyFill="1" applyBorder="1" applyAlignment="1">
      <alignment horizontal="center"/>
    </xf>
    <xf numFmtId="37" fontId="3" fillId="0" borderId="13" xfId="55" applyNumberFormat="1" applyFont="1" applyBorder="1"/>
    <xf numFmtId="0" fontId="0" fillId="0" borderId="26" xfId="0" applyBorder="1" applyAlignment="1">
      <alignment horizontal="center"/>
    </xf>
    <xf numFmtId="0" fontId="4" fillId="0" borderId="12" xfId="0" applyFont="1" applyFill="1" applyBorder="1"/>
    <xf numFmtId="0" fontId="4" fillId="0" borderId="16" xfId="0" applyFont="1" applyBorder="1" applyAlignment="1">
      <alignment wrapText="1"/>
    </xf>
    <xf numFmtId="0" fontId="4" fillId="0" borderId="12" xfId="0" applyFont="1" applyBorder="1" applyAlignment="1">
      <alignment wrapText="1"/>
    </xf>
    <xf numFmtId="37" fontId="9" fillId="0" borderId="27" xfId="0" applyNumberFormat="1" applyFont="1" applyBorder="1"/>
    <xf numFmtId="37" fontId="9" fillId="0" borderId="19" xfId="0" applyNumberFormat="1" applyFont="1" applyBorder="1"/>
    <xf numFmtId="37" fontId="9" fillId="0" borderId="28" xfId="0" applyNumberFormat="1" applyFont="1" applyBorder="1"/>
    <xf numFmtId="37" fontId="9" fillId="0" borderId="29" xfId="0" applyNumberFormat="1" applyFont="1" applyBorder="1"/>
    <xf numFmtId="37" fontId="9" fillId="0" borderId="22" xfId="0" applyNumberFormat="1" applyFont="1" applyBorder="1"/>
    <xf numFmtId="37" fontId="9" fillId="0" borderId="21" xfId="0" applyNumberFormat="1" applyFont="1" applyBorder="1"/>
    <xf numFmtId="0" fontId="0" fillId="0" borderId="10" xfId="0" applyBorder="1" applyAlignment="1">
      <alignment wrapText="1"/>
    </xf>
    <xf numFmtId="0" fontId="0" fillId="0" borderId="30" xfId="0" applyFill="1" applyBorder="1"/>
    <xf numFmtId="37" fontId="9" fillId="24" borderId="14" xfId="0" applyNumberFormat="1" applyFont="1" applyFill="1" applyBorder="1"/>
    <xf numFmtId="37" fontId="9" fillId="0" borderId="14" xfId="0" applyNumberFormat="1" applyFont="1" applyFill="1" applyBorder="1"/>
    <xf numFmtId="0" fontId="9" fillId="0" borderId="14" xfId="0" applyFont="1" applyBorder="1"/>
    <xf numFmtId="0" fontId="9" fillId="0" borderId="14" xfId="0" applyFont="1" applyBorder="1" applyAlignment="1">
      <alignment horizontal="center"/>
    </xf>
    <xf numFmtId="0" fontId="0" fillId="0" borderId="31" xfId="0" applyBorder="1"/>
    <xf numFmtId="164" fontId="0" fillId="0" borderId="31" xfId="59" applyNumberFormat="1" applyFont="1" applyBorder="1"/>
    <xf numFmtId="0" fontId="11" fillId="0" borderId="0" xfId="0" applyFont="1"/>
    <xf numFmtId="0" fontId="9" fillId="0" borderId="12" xfId="0" applyFont="1" applyFill="1" applyBorder="1"/>
    <xf numFmtId="0" fontId="9" fillId="0" borderId="12" xfId="0" applyFont="1" applyFill="1" applyBorder="1" applyAlignment="1">
      <alignment horizontal="center"/>
    </xf>
    <xf numFmtId="37" fontId="9" fillId="0" borderId="14" xfId="0" applyNumberFormat="1" applyFont="1" applyBorder="1"/>
    <xf numFmtId="0" fontId="9" fillId="0" borderId="14" xfId="0" applyFont="1" applyFill="1" applyBorder="1" applyAlignment="1">
      <alignment horizontal="center"/>
    </xf>
    <xf numFmtId="37" fontId="12" fillId="0" borderId="14" xfId="0" applyNumberFormat="1" applyFont="1" applyBorder="1"/>
    <xf numFmtId="37" fontId="13" fillId="0" borderId="14" xfId="0" applyNumberFormat="1" applyFont="1" applyBorder="1"/>
    <xf numFmtId="37" fontId="14" fillId="0" borderId="14" xfId="0" applyNumberFormat="1" applyFont="1" applyBorder="1"/>
    <xf numFmtId="37" fontId="9" fillId="0" borderId="19" xfId="0" applyNumberFormat="1" applyFont="1" applyFill="1" applyBorder="1"/>
    <xf numFmtId="0" fontId="0" fillId="0" borderId="19" xfId="0" applyBorder="1" applyAlignment="1">
      <alignment wrapText="1"/>
    </xf>
    <xf numFmtId="165" fontId="0" fillId="0" borderId="0" xfId="55" applyNumberFormat="1" applyFont="1"/>
    <xf numFmtId="37" fontId="4" fillId="0" borderId="19" xfId="0" applyNumberFormat="1" applyFont="1" applyBorder="1" applyAlignment="1">
      <alignment horizontal="right"/>
    </xf>
    <xf numFmtId="0" fontId="0" fillId="0" borderId="16" xfId="0" applyBorder="1"/>
    <xf numFmtId="164" fontId="9" fillId="0" borderId="16" xfId="59" applyNumberFormat="1" applyFont="1" applyBorder="1"/>
    <xf numFmtId="164" fontId="0" fillId="0" borderId="12" xfId="0" applyNumberFormat="1" applyBorder="1"/>
    <xf numFmtId="164" fontId="0" fillId="0" borderId="13" xfId="0" applyNumberFormat="1" applyBorder="1"/>
    <xf numFmtId="0" fontId="0" fillId="0" borderId="32" xfId="0" applyBorder="1"/>
    <xf numFmtId="0" fontId="0" fillId="0" borderId="33" xfId="0" applyBorder="1"/>
    <xf numFmtId="0" fontId="0" fillId="0" borderId="13" xfId="0" applyBorder="1" applyAlignment="1">
      <alignment wrapText="1" readingOrder="1"/>
    </xf>
    <xf numFmtId="14" fontId="5" fillId="0" borderId="0" xfId="0" applyNumberFormat="1" applyFont="1" applyAlignment="1"/>
    <xf numFmtId="0" fontId="5" fillId="0" borderId="0" xfId="0" applyFont="1" applyAlignment="1"/>
    <xf numFmtId="37" fontId="4" fillId="0" borderId="13" xfId="55" applyNumberFormat="1" applyFont="1" applyFill="1" applyBorder="1"/>
    <xf numFmtId="37" fontId="9" fillId="0" borderId="14" xfId="55" applyNumberFormat="1" applyFont="1" applyFill="1" applyBorder="1"/>
    <xf numFmtId="37" fontId="9" fillId="0" borderId="13" xfId="55" applyNumberFormat="1" applyFont="1" applyFill="1" applyBorder="1"/>
    <xf numFmtId="37" fontId="4" fillId="0" borderId="14" xfId="55" applyNumberFormat="1" applyFont="1" applyFill="1" applyBorder="1"/>
    <xf numFmtId="37" fontId="4" fillId="0" borderId="14" xfId="0" applyNumberFormat="1" applyFont="1" applyFill="1" applyBorder="1"/>
    <xf numFmtId="164" fontId="3" fillId="0" borderId="14" xfId="59" applyNumberFormat="1" applyFill="1" applyBorder="1" applyAlignment="1">
      <alignment vertical="center"/>
    </xf>
    <xf numFmtId="37" fontId="4" fillId="0" borderId="22" xfId="0" applyNumberFormat="1" applyFont="1" applyBorder="1" applyAlignment="1">
      <alignment horizontal="right"/>
    </xf>
    <xf numFmtId="37" fontId="3" fillId="0" borderId="19" xfId="0" applyNumberFormat="1" applyFont="1" applyFill="1" applyBorder="1"/>
    <xf numFmtId="44" fontId="0" fillId="0" borderId="0" xfId="59" applyFont="1"/>
    <xf numFmtId="0" fontId="11" fillId="0" borderId="0" xfId="0" applyFont="1" applyAlignment="1">
      <alignment horizontal="center"/>
    </xf>
    <xf numFmtId="10" fontId="0" fillId="0" borderId="0" xfId="88" applyNumberFormat="1" applyFont="1"/>
    <xf numFmtId="164" fontId="0" fillId="0" borderId="0" xfId="0" applyNumberFormat="1"/>
    <xf numFmtId="175" fontId="0" fillId="0" borderId="0" xfId="88" applyNumberFormat="1" applyFont="1"/>
    <xf numFmtId="0" fontId="0" fillId="0" borderId="34" xfId="0" applyBorder="1"/>
    <xf numFmtId="164" fontId="4" fillId="0" borderId="0" xfId="59" applyNumberFormat="1" applyFont="1"/>
    <xf numFmtId="0" fontId="0" fillId="0" borderId="0" xfId="0" applyAlignment="1">
      <alignment vertical="center"/>
    </xf>
    <xf numFmtId="3" fontId="5" fillId="0" borderId="35" xfId="0" applyNumberFormat="1" applyFont="1" applyBorder="1" applyAlignment="1"/>
    <xf numFmtId="0" fontId="0" fillId="0" borderId="0" xfId="0" applyNumberFormat="1" applyFill="1" applyAlignment="1">
      <alignment horizontal="center"/>
    </xf>
    <xf numFmtId="0" fontId="0" fillId="0" borderId="0" xfId="0" applyAlignment="1"/>
    <xf numFmtId="0" fontId="19" fillId="0" borderId="0" xfId="0" applyNumberFormat="1" applyFont="1"/>
    <xf numFmtId="0" fontId="19" fillId="0" borderId="0" xfId="0" applyFont="1" applyAlignment="1"/>
    <xf numFmtId="0" fontId="5" fillId="0" borderId="0" xfId="0" applyNumberFormat="1" applyFont="1" applyAlignment="1"/>
    <xf numFmtId="0" fontId="5" fillId="0" borderId="0" xfId="0" applyNumberFormat="1" applyFont="1"/>
    <xf numFmtId="0" fontId="5" fillId="0" borderId="0" xfId="0" applyNumberFormat="1" applyFont="1" applyAlignment="1">
      <alignment horizontal="left"/>
    </xf>
    <xf numFmtId="0" fontId="5" fillId="0" borderId="0" xfId="0" applyNumberFormat="1" applyFont="1" applyAlignment="1">
      <alignment horizontal="center"/>
    </xf>
    <xf numFmtId="0" fontId="5" fillId="25" borderId="0" xfId="0" applyNumberFormat="1" applyFont="1" applyFill="1"/>
    <xf numFmtId="3" fontId="5" fillId="0" borderId="0" xfId="0" applyNumberFormat="1" applyFont="1" applyAlignment="1"/>
    <xf numFmtId="0" fontId="0" fillId="0" borderId="0" xfId="0" applyNumberFormat="1" applyAlignment="1">
      <alignment horizontal="center"/>
    </xf>
    <xf numFmtId="49" fontId="5" fillId="25" borderId="0" xfId="0" applyNumberFormat="1" applyFont="1" applyFill="1"/>
    <xf numFmtId="49" fontId="5" fillId="0" borderId="0" xfId="0" applyNumberFormat="1" applyFont="1"/>
    <xf numFmtId="0" fontId="19" fillId="0" borderId="0" xfId="0" applyFont="1" applyFill="1" applyAlignment="1"/>
    <xf numFmtId="0" fontId="0" fillId="0" borderId="20" xfId="0" applyNumberFormat="1" applyBorder="1" applyAlignment="1">
      <alignment horizontal="center"/>
    </xf>
    <xf numFmtId="0" fontId="5" fillId="0" borderId="20" xfId="0" applyNumberFormat="1" applyFont="1" applyBorder="1" applyAlignment="1">
      <alignment horizontal="center"/>
    </xf>
    <xf numFmtId="3" fontId="5" fillId="0" borderId="0" xfId="0" applyNumberFormat="1" applyFont="1"/>
    <xf numFmtId="42" fontId="5" fillId="0" borderId="0" xfId="0" applyNumberFormat="1" applyFont="1"/>
    <xf numFmtId="0" fontId="5" fillId="0" borderId="10" xfId="0" applyFont="1" applyBorder="1" applyAlignment="1"/>
    <xf numFmtId="0" fontId="5" fillId="0" borderId="20" xfId="0" applyNumberFormat="1" applyFont="1" applyBorder="1" applyAlignment="1">
      <alignment horizontal="centerContinuous"/>
    </xf>
    <xf numFmtId="167" fontId="5" fillId="0" borderId="0" xfId="0" applyNumberFormat="1" applyFont="1" applyAlignment="1"/>
    <xf numFmtId="0" fontId="0" fillId="0" borderId="0" xfId="0" applyFill="1" applyBorder="1" applyAlignment="1"/>
    <xf numFmtId="0" fontId="19" fillId="0" borderId="0" xfId="0" applyFont="1" applyFill="1" applyBorder="1" applyAlignment="1"/>
    <xf numFmtId="0" fontId="19" fillId="0" borderId="0" xfId="0" applyNumberFormat="1" applyFont="1" applyFill="1" applyBorder="1"/>
    <xf numFmtId="3" fontId="5" fillId="25" borderId="0" xfId="0" applyNumberFormat="1" applyFont="1" applyFill="1"/>
    <xf numFmtId="0" fontId="20" fillId="0" borderId="0" xfId="0" applyNumberFormat="1" applyFont="1" applyFill="1" applyBorder="1"/>
    <xf numFmtId="3" fontId="5" fillId="0" borderId="20" xfId="0" applyNumberFormat="1" applyFont="1" applyBorder="1" applyAlignment="1"/>
    <xf numFmtId="3" fontId="5" fillId="0" borderId="0" xfId="0" applyNumberFormat="1" applyFont="1" applyAlignment="1">
      <alignment horizontal="fill"/>
    </xf>
    <xf numFmtId="42" fontId="5" fillId="0" borderId="34" xfId="0" applyNumberFormat="1" applyFont="1" applyBorder="1" applyAlignment="1">
      <alignment horizontal="right"/>
    </xf>
    <xf numFmtId="0" fontId="21" fillId="0" borderId="0" xfId="0" applyNumberFormat="1" applyFont="1"/>
    <xf numFmtId="0" fontId="20" fillId="0" borderId="0" xfId="0" applyFont="1" applyFill="1" applyBorder="1" applyAlignment="1"/>
    <xf numFmtId="3" fontId="5" fillId="0" borderId="0" xfId="0" applyNumberFormat="1" applyFont="1" applyFill="1" applyBorder="1"/>
    <xf numFmtId="3" fontId="5" fillId="25" borderId="0" xfId="0" applyNumberFormat="1" applyFont="1" applyFill="1" applyBorder="1"/>
    <xf numFmtId="3" fontId="5" fillId="25" borderId="20" xfId="0" applyNumberFormat="1" applyFont="1" applyFill="1" applyBorder="1"/>
    <xf numFmtId="168" fontId="5" fillId="0" borderId="0" xfId="0" applyNumberFormat="1" applyFont="1"/>
    <xf numFmtId="168" fontId="5" fillId="0" borderId="0" xfId="0" applyNumberFormat="1" applyFont="1" applyAlignment="1">
      <alignment horizontal="center"/>
    </xf>
    <xf numFmtId="169" fontId="5" fillId="0" borderId="0" xfId="0" applyNumberFormat="1" applyFont="1" applyAlignment="1"/>
    <xf numFmtId="169" fontId="5" fillId="25" borderId="0" xfId="0" applyNumberFormat="1" applyFont="1" applyFill="1" applyProtection="1">
      <protection locked="0"/>
    </xf>
    <xf numFmtId="169" fontId="5" fillId="0" borderId="0" xfId="0" applyNumberFormat="1" applyFont="1" applyProtection="1">
      <protection locked="0"/>
    </xf>
    <xf numFmtId="0" fontId="5" fillId="0" borderId="0" xfId="0" applyNumberFormat="1" applyFont="1" applyProtection="1">
      <protection locked="0"/>
    </xf>
    <xf numFmtId="170" fontId="5" fillId="0" borderId="0" xfId="0" applyNumberFormat="1" applyFont="1"/>
    <xf numFmtId="0" fontId="19" fillId="0" borderId="0" xfId="0" applyNumberFormat="1" applyFont="1" applyAlignment="1"/>
    <xf numFmtId="0" fontId="19" fillId="0" borderId="0" xfId="0" applyNumberFormat="1" applyFont="1" applyFill="1" applyBorder="1" applyAlignment="1"/>
    <xf numFmtId="3" fontId="19" fillId="0" borderId="0" xfId="0" applyNumberFormat="1" applyFont="1" applyAlignment="1"/>
    <xf numFmtId="3" fontId="19" fillId="0" borderId="0" xfId="0" applyNumberFormat="1" applyFont="1" applyFill="1" applyBorder="1" applyAlignment="1"/>
    <xf numFmtId="49" fontId="5" fillId="0" borderId="0" xfId="0" applyNumberFormat="1" applyFont="1" applyAlignment="1">
      <alignment horizontal="left"/>
    </xf>
    <xf numFmtId="49" fontId="5" fillId="0" borderId="0" xfId="0" applyNumberFormat="1" applyFont="1" applyAlignment="1">
      <alignment horizontal="center"/>
    </xf>
    <xf numFmtId="0" fontId="19" fillId="0" borderId="0" xfId="0" applyNumberFormat="1" applyFont="1" applyFill="1" applyBorder="1" applyAlignment="1">
      <alignment horizontal="center"/>
    </xf>
    <xf numFmtId="3" fontId="18" fillId="0" borderId="0" xfId="0" applyNumberFormat="1" applyFont="1" applyAlignment="1">
      <alignment horizontal="center"/>
    </xf>
    <xf numFmtId="0" fontId="18" fillId="0" borderId="0" xfId="0" applyNumberFormat="1" applyFont="1" applyAlignment="1">
      <alignment horizontal="center"/>
    </xf>
    <xf numFmtId="0" fontId="18" fillId="0" borderId="0" xfId="0" applyFont="1" applyAlignment="1">
      <alignment horizontal="center"/>
    </xf>
    <xf numFmtId="3" fontId="18" fillId="0" borderId="0" xfId="0" applyNumberFormat="1" applyFont="1" applyAlignment="1"/>
    <xf numFmtId="0" fontId="22" fillId="0" borderId="0" xfId="0" applyNumberFormat="1" applyFont="1" applyAlignment="1">
      <alignment horizontal="center"/>
    </xf>
    <xf numFmtId="0" fontId="18" fillId="0" borderId="0" xfId="0" applyNumberFormat="1" applyFont="1" applyAlignment="1"/>
    <xf numFmtId="3" fontId="5" fillId="25" borderId="0" xfId="0" applyNumberFormat="1" applyFont="1" applyFill="1" applyBorder="1" applyAlignment="1"/>
    <xf numFmtId="171" fontId="5" fillId="0" borderId="0" xfId="0" applyNumberFormat="1" applyFont="1" applyAlignment="1"/>
    <xf numFmtId="3" fontId="5" fillId="25" borderId="20" xfId="0" applyNumberFormat="1" applyFont="1" applyFill="1" applyBorder="1" applyAlignment="1"/>
    <xf numFmtId="172" fontId="5" fillId="0" borderId="0" xfId="0" applyNumberFormat="1" applyFont="1" applyAlignment="1">
      <alignment horizontal="center"/>
    </xf>
    <xf numFmtId="3" fontId="5" fillId="25" borderId="0" xfId="0" applyNumberFormat="1" applyFont="1" applyFill="1" applyAlignment="1"/>
    <xf numFmtId="0" fontId="19" fillId="0" borderId="0" xfId="0" applyNumberFormat="1" applyFont="1" applyFill="1" applyBorder="1" applyAlignment="1">
      <alignment horizontal="fill"/>
    </xf>
    <xf numFmtId="3" fontId="19" fillId="0" borderId="0" xfId="0" applyNumberFormat="1" applyFont="1" applyFill="1" applyBorder="1" applyAlignment="1">
      <alignment horizontal="fill"/>
    </xf>
    <xf numFmtId="171" fontId="5" fillId="0" borderId="0" xfId="0" applyNumberFormat="1" applyFont="1" applyAlignment="1">
      <alignment horizontal="right"/>
    </xf>
    <xf numFmtId="172" fontId="19" fillId="0" borderId="0" xfId="0" applyNumberFormat="1" applyFont="1" applyFill="1" applyBorder="1" applyAlignment="1">
      <alignment horizontal="center"/>
    </xf>
    <xf numFmtId="3" fontId="19" fillId="0" borderId="0" xfId="0" applyNumberFormat="1" applyFont="1" applyFill="1" applyBorder="1" applyAlignment="1">
      <alignment horizontal="center"/>
    </xf>
    <xf numFmtId="0" fontId="19" fillId="0" borderId="0" xfId="0" applyNumberFormat="1" applyFont="1" applyFill="1" applyBorder="1" applyAlignment="1">
      <alignment horizontal="left"/>
    </xf>
    <xf numFmtId="0" fontId="23" fillId="0" borderId="0" xfId="0" applyFont="1" applyAlignment="1"/>
    <xf numFmtId="0" fontId="0" fillId="0" borderId="20" xfId="0" applyBorder="1" applyAlignment="1"/>
    <xf numFmtId="3" fontId="5" fillId="0" borderId="34" xfId="0" applyNumberFormat="1" applyFont="1" applyBorder="1" applyAlignment="1"/>
    <xf numFmtId="0" fontId="0" fillId="0" borderId="0" xfId="0" applyNumberFormat="1"/>
    <xf numFmtId="0" fontId="0" fillId="0" borderId="0" xfId="0" applyNumberFormat="1" applyFill="1" applyBorder="1"/>
    <xf numFmtId="0" fontId="5" fillId="0" borderId="0" xfId="0" applyNumberFormat="1" applyFont="1" applyFill="1" applyBorder="1" applyAlignment="1">
      <alignment horizontal="center"/>
    </xf>
    <xf numFmtId="3" fontId="19" fillId="0" borderId="0" xfId="0" applyNumberFormat="1" applyFont="1" applyFill="1" applyBorder="1" applyAlignment="1">
      <alignment horizontal="left"/>
    </xf>
    <xf numFmtId="167" fontId="5" fillId="0" borderId="0" xfId="0" applyNumberFormat="1" applyFont="1" applyAlignment="1">
      <alignment horizontal="right"/>
    </xf>
    <xf numFmtId="10" fontId="5" fillId="0" borderId="0" xfId="0" applyNumberFormat="1" applyFont="1" applyAlignment="1">
      <alignment horizontal="left"/>
    </xf>
    <xf numFmtId="167" fontId="5" fillId="0" borderId="0" xfId="0" applyNumberFormat="1" applyFont="1" applyAlignment="1">
      <alignment horizontal="center"/>
    </xf>
    <xf numFmtId="172" fontId="5" fillId="0" borderId="0" xfId="0" applyNumberFormat="1" applyFont="1" applyAlignment="1">
      <alignment horizontal="left"/>
    </xf>
    <xf numFmtId="10" fontId="5" fillId="0" borderId="0" xfId="0" applyNumberFormat="1" applyFont="1" applyFill="1" applyAlignment="1">
      <alignment horizontal="right"/>
    </xf>
    <xf numFmtId="170" fontId="5" fillId="0" borderId="0" xfId="0" applyNumberFormat="1" applyFont="1" applyFill="1" applyAlignment="1">
      <alignment horizontal="right"/>
    </xf>
    <xf numFmtId="3" fontId="5" fillId="0" borderId="0" xfId="0" applyNumberFormat="1" applyFont="1" applyFill="1" applyAlignment="1">
      <alignment horizontal="right"/>
    </xf>
    <xf numFmtId="173" fontId="5" fillId="0" borderId="0" xfId="0" applyNumberFormat="1" applyFont="1" applyAlignment="1"/>
    <xf numFmtId="0" fontId="25" fillId="0" borderId="0" xfId="0" applyNumberFormat="1" applyFont="1" applyFill="1" applyBorder="1"/>
    <xf numFmtId="0" fontId="5" fillId="0" borderId="20" xfId="0" applyNumberFormat="1" applyFont="1" applyBorder="1"/>
    <xf numFmtId="3" fontId="5" fillId="0" borderId="0" xfId="0" applyNumberFormat="1" applyFont="1" applyAlignment="1">
      <alignment horizontal="center"/>
    </xf>
    <xf numFmtId="49" fontId="5" fillId="0" borderId="0" xfId="0" applyNumberFormat="1" applyFont="1" applyAlignment="1"/>
    <xf numFmtId="171" fontId="5" fillId="0" borderId="0" xfId="0" applyNumberFormat="1" applyFont="1"/>
    <xf numFmtId="167" fontId="5" fillId="0" borderId="0" xfId="0" applyNumberFormat="1" applyFont="1"/>
    <xf numFmtId="3" fontId="5" fillId="0" borderId="20" xfId="0" applyNumberFormat="1" applyFont="1" applyBorder="1" applyAlignment="1">
      <alignment horizontal="center"/>
    </xf>
    <xf numFmtId="4" fontId="5" fillId="0" borderId="0" xfId="0" applyNumberFormat="1" applyFont="1" applyAlignment="1"/>
    <xf numFmtId="3" fontId="5" fillId="0" borderId="0" xfId="0" applyNumberFormat="1" applyFont="1" applyBorder="1" applyAlignment="1">
      <alignment horizontal="center"/>
    </xf>
    <xf numFmtId="0" fontId="5" fillId="0" borderId="20" xfId="0" applyNumberFormat="1" applyFont="1" applyBorder="1" applyAlignment="1"/>
    <xf numFmtId="174" fontId="5" fillId="25" borderId="0" xfId="0" applyNumberFormat="1" applyFont="1" applyFill="1" applyAlignment="1"/>
    <xf numFmtId="9" fontId="5" fillId="0" borderId="0" xfId="0" applyNumberFormat="1" applyFont="1" applyAlignment="1"/>
    <xf numFmtId="170" fontId="5" fillId="0" borderId="0" xfId="0" applyNumberFormat="1" applyFont="1" applyAlignment="1"/>
    <xf numFmtId="10" fontId="5" fillId="0" borderId="0" xfId="0" applyNumberFormat="1" applyFont="1" applyAlignment="1"/>
    <xf numFmtId="3" fontId="5" fillId="0" borderId="0" xfId="0" quotePrefix="1" applyNumberFormat="1" applyFont="1" applyAlignment="1"/>
    <xf numFmtId="10" fontId="5" fillId="0" borderId="0" xfId="88" applyNumberFormat="1" applyFont="1" applyAlignment="1"/>
    <xf numFmtId="170" fontId="5" fillId="0" borderId="20" xfId="0" applyNumberFormat="1" applyFont="1" applyBorder="1" applyAlignment="1"/>
    <xf numFmtId="10" fontId="5" fillId="25" borderId="0" xfId="0" applyNumberFormat="1" applyFont="1" applyFill="1" applyAlignment="1"/>
    <xf numFmtId="3" fontId="5" fillId="0" borderId="0" xfId="0" applyNumberFormat="1" applyFont="1" applyFill="1" applyBorder="1" applyAlignment="1">
      <alignment horizontal="center"/>
    </xf>
    <xf numFmtId="0" fontId="5" fillId="0" borderId="0" xfId="0" applyNumberFormat="1" applyFont="1" applyFill="1" applyBorder="1" applyAlignment="1"/>
    <xf numFmtId="0" fontId="21" fillId="0" borderId="0" xfId="0" applyFont="1" applyAlignment="1"/>
    <xf numFmtId="0" fontId="0" fillId="0" borderId="0" xfId="0" applyFill="1" applyAlignment="1" applyProtection="1"/>
    <xf numFmtId="3" fontId="0" fillId="25" borderId="0" xfId="0" applyNumberFormat="1" applyFill="1" applyAlignment="1"/>
    <xf numFmtId="0" fontId="5" fillId="0" borderId="20" xfId="0" applyFont="1" applyBorder="1" applyAlignment="1"/>
    <xf numFmtId="3" fontId="0" fillId="25" borderId="20" xfId="0" applyNumberFormat="1" applyFill="1" applyBorder="1" applyAlignment="1"/>
    <xf numFmtId="174" fontId="5" fillId="0" borderId="0" xfId="0" applyNumberFormat="1" applyFont="1" applyFill="1" applyBorder="1" applyProtection="1"/>
    <xf numFmtId="169" fontId="5" fillId="0" borderId="0" xfId="0" applyNumberFormat="1" applyFont="1"/>
    <xf numFmtId="174" fontId="5" fillId="25" borderId="0" xfId="0" applyNumberFormat="1" applyFont="1" applyFill="1" applyBorder="1" applyProtection="1"/>
    <xf numFmtId="3" fontId="23" fillId="0" borderId="0" xfId="0" applyNumberFormat="1" applyFont="1" applyFill="1" applyBorder="1" applyAlignment="1">
      <alignment horizontal="left"/>
    </xf>
    <xf numFmtId="174" fontId="5" fillId="25" borderId="0" xfId="0" applyNumberFormat="1" applyFont="1" applyFill="1" applyBorder="1" applyAlignment="1" applyProtection="1">
      <protection locked="0"/>
    </xf>
    <xf numFmtId="174" fontId="5" fillId="25" borderId="20" xfId="0" applyNumberFormat="1" applyFont="1" applyFill="1" applyBorder="1" applyAlignment="1" applyProtection="1">
      <protection locked="0"/>
    </xf>
    <xf numFmtId="166" fontId="5" fillId="0" borderId="0" xfId="0" applyNumberFormat="1" applyFont="1" applyAlignment="1"/>
    <xf numFmtId="174" fontId="5" fillId="0" borderId="0" xfId="0" applyNumberFormat="1" applyFont="1" applyFill="1" applyBorder="1" applyAlignment="1" applyProtection="1"/>
    <xf numFmtId="0" fontId="26" fillId="0" borderId="0" xfId="0" applyNumberFormat="1" applyFont="1" applyFill="1" applyBorder="1" applyAlignment="1">
      <alignment horizontal="center"/>
    </xf>
    <xf numFmtId="0" fontId="27" fillId="0" borderId="0" xfId="0" applyNumberFormat="1" applyFont="1"/>
    <xf numFmtId="0" fontId="28" fillId="0" borderId="0" xfId="0" applyNumberFormat="1" applyFont="1" applyFill="1" applyBorder="1" applyAlignment="1">
      <alignment horizontal="center"/>
    </xf>
    <xf numFmtId="0" fontId="19" fillId="0" borderId="0" xfId="0" quotePrefix="1" applyNumberFormat="1" applyFont="1" applyFill="1" applyBorder="1"/>
    <xf numFmtId="0" fontId="23" fillId="0" borderId="0" xfId="0" applyNumberFormat="1" applyFont="1" applyFill="1" applyBorder="1" applyAlignment="1">
      <alignment horizontal="left"/>
    </xf>
    <xf numFmtId="0" fontId="29" fillId="0" borderId="0" xfId="0" applyNumberFormat="1" applyFont="1" applyFill="1" applyBorder="1"/>
    <xf numFmtId="0" fontId="29" fillId="0" borderId="0" xfId="0" applyFont="1" applyFill="1" applyBorder="1" applyAlignment="1"/>
    <xf numFmtId="3" fontId="28" fillId="0" borderId="0" xfId="0" applyNumberFormat="1" applyFont="1" applyFill="1" applyBorder="1" applyAlignment="1">
      <alignment horizontal="center"/>
    </xf>
    <xf numFmtId="0" fontId="30" fillId="0" borderId="0" xfId="0" applyNumberFormat="1" applyFont="1"/>
    <xf numFmtId="0" fontId="30" fillId="0" borderId="0" xfId="0" applyNumberFormat="1" applyFont="1" applyAlignment="1">
      <alignment horizontal="center"/>
    </xf>
    <xf numFmtId="0" fontId="29" fillId="0" borderId="0" xfId="0" applyNumberFormat="1" applyFont="1"/>
    <xf numFmtId="0" fontId="29" fillId="0" borderId="0" xfId="0" applyFont="1" applyAlignment="1"/>
    <xf numFmtId="0" fontId="18" fillId="0" borderId="0" xfId="0" applyFont="1" applyBorder="1" applyAlignment="1">
      <alignment horizontal="left" vertical="center"/>
    </xf>
    <xf numFmtId="164" fontId="0" fillId="0" borderId="0" xfId="59" applyNumberFormat="1" applyFont="1" applyAlignment="1">
      <alignment vertical="center"/>
    </xf>
    <xf numFmtId="0" fontId="33" fillId="0" borderId="0" xfId="0" applyFont="1"/>
    <xf numFmtId="0" fontId="34" fillId="0" borderId="0" xfId="0" applyFont="1"/>
    <xf numFmtId="0" fontId="0" fillId="0" borderId="0" xfId="0" applyBorder="1" applyAlignment="1">
      <alignment vertical="center"/>
    </xf>
    <xf numFmtId="164" fontId="0" fillId="0" borderId="0" xfId="59" applyNumberFormat="1" applyFont="1" applyBorder="1" applyAlignment="1">
      <alignment vertical="center"/>
    </xf>
    <xf numFmtId="164" fontId="0" fillId="0" borderId="0" xfId="0" applyNumberFormat="1" applyBorder="1" applyAlignment="1">
      <alignment vertical="center"/>
    </xf>
    <xf numFmtId="44" fontId="0" fillId="0" borderId="0" xfId="0" applyNumberFormat="1" applyAlignment="1">
      <alignment vertical="center"/>
    </xf>
    <xf numFmtId="3" fontId="5" fillId="0" borderId="0" xfId="0" applyNumberFormat="1" applyFont="1" applyBorder="1" applyAlignment="1"/>
    <xf numFmtId="3" fontId="5" fillId="0" borderId="15" xfId="0" applyNumberFormat="1" applyFont="1" applyBorder="1" applyAlignment="1"/>
    <xf numFmtId="0" fontId="0" fillId="0" borderId="0" xfId="0" applyFill="1" applyAlignment="1"/>
    <xf numFmtId="0" fontId="5" fillId="0" borderId="0" xfId="0" applyNumberFormat="1" applyFont="1" applyFill="1" applyAlignment="1"/>
    <xf numFmtId="0" fontId="24" fillId="0" borderId="0" xfId="0" applyFont="1" applyFill="1" applyAlignment="1"/>
    <xf numFmtId="3" fontId="5" fillId="0" borderId="0" xfId="0" applyNumberFormat="1" applyFont="1" applyFill="1" applyAlignment="1"/>
    <xf numFmtId="171" fontId="5" fillId="0" borderId="0" xfId="0" applyNumberFormat="1" applyFont="1" applyFill="1" applyAlignment="1"/>
    <xf numFmtId="0" fontId="5" fillId="0" borderId="0" xfId="0" applyNumberFormat="1" applyFont="1" applyFill="1"/>
    <xf numFmtId="3" fontId="19" fillId="0" borderId="0" xfId="0" applyNumberFormat="1" applyFont="1" applyFill="1" applyAlignment="1"/>
    <xf numFmtId="0" fontId="5" fillId="0" borderId="0" xfId="0" applyFont="1" applyFill="1" applyAlignment="1"/>
    <xf numFmtId="37" fontId="4" fillId="0" borderId="12" xfId="0" applyNumberFormat="1" applyFont="1" applyFill="1" applyBorder="1"/>
    <xf numFmtId="0" fontId="26" fillId="0" borderId="0" xfId="0" applyFont="1" applyAlignment="1"/>
    <xf numFmtId="0" fontId="26" fillId="0" borderId="0" xfId="0" applyNumberFormat="1" applyFont="1" applyAlignment="1"/>
    <xf numFmtId="0" fontId="26" fillId="0" borderId="0" xfId="0" applyNumberFormat="1" applyFont="1"/>
    <xf numFmtId="170" fontId="26" fillId="0" borderId="0" xfId="0" applyNumberFormat="1" applyFont="1"/>
    <xf numFmtId="0" fontId="26" fillId="0" borderId="0" xfId="0" applyNumberFormat="1" applyFont="1" applyAlignment="1">
      <alignment horizontal="right"/>
    </xf>
    <xf numFmtId="0" fontId="36" fillId="0" borderId="0" xfId="0" applyFont="1" applyAlignment="1"/>
    <xf numFmtId="0" fontId="26" fillId="0" borderId="0" xfId="0" applyNumberFormat="1" applyFont="1" applyAlignment="1" applyProtection="1">
      <protection locked="0"/>
    </xf>
    <xf numFmtId="0" fontId="37" fillId="0" borderId="0" xfId="0" applyFont="1" applyAlignment="1"/>
    <xf numFmtId="0" fontId="26" fillId="0" borderId="0" xfId="0" applyNumberFormat="1" applyFont="1" applyBorder="1"/>
    <xf numFmtId="3" fontId="38" fillId="0" borderId="0" xfId="0" applyNumberFormat="1" applyFont="1" applyAlignment="1">
      <alignment horizontal="left"/>
    </xf>
    <xf numFmtId="0" fontId="40" fillId="0" borderId="0" xfId="0" applyFont="1" applyAlignment="1"/>
    <xf numFmtId="0" fontId="40" fillId="0" borderId="0" xfId="0" applyNumberFormat="1" applyFont="1" applyAlignment="1" applyProtection="1">
      <protection locked="0"/>
    </xf>
    <xf numFmtId="0" fontId="40" fillId="0" borderId="0" xfId="0" applyNumberFormat="1" applyFont="1"/>
    <xf numFmtId="0" fontId="40" fillId="0" borderId="0" xfId="0" applyNumberFormat="1" applyFont="1" applyAlignment="1"/>
    <xf numFmtId="0" fontId="5" fillId="0" borderId="0" xfId="0" applyNumberFormat="1" applyFont="1" applyBorder="1" applyAlignment="1"/>
    <xf numFmtId="0" fontId="5" fillId="0" borderId="0" xfId="0" applyNumberFormat="1" applyFont="1" applyBorder="1"/>
    <xf numFmtId="0" fontId="26" fillId="0" borderId="0" xfId="0" applyNumberFormat="1" applyFont="1" applyAlignment="1" applyProtection="1">
      <alignment horizontal="center"/>
      <protection locked="0"/>
    </xf>
    <xf numFmtId="0" fontId="26" fillId="0" borderId="0" xfId="0" applyNumberFormat="1" applyFont="1" applyAlignment="1" applyProtection="1">
      <alignment vertical="top" wrapText="1"/>
      <protection locked="0"/>
    </xf>
    <xf numFmtId="0" fontId="26" fillId="0" borderId="0" xfId="0" applyFont="1" applyAlignment="1">
      <alignment horizontal="center" vertical="top" wrapText="1"/>
    </xf>
    <xf numFmtId="0" fontId="40" fillId="0" borderId="0" xfId="0" applyFont="1" applyAlignment="1">
      <alignment horizontal="center" vertical="top" wrapText="1"/>
    </xf>
    <xf numFmtId="0" fontId="40" fillId="0" borderId="0" xfId="0" applyNumberFormat="1" applyFont="1" applyAlignment="1" applyProtection="1">
      <alignment vertical="top" wrapText="1"/>
      <protection locked="0"/>
    </xf>
    <xf numFmtId="0" fontId="40" fillId="0" borderId="0" xfId="0" applyNumberFormat="1" applyFont="1" applyAlignment="1" applyProtection="1">
      <alignment horizontal="center"/>
      <protection locked="0"/>
    </xf>
    <xf numFmtId="37" fontId="0" fillId="0" borderId="0" xfId="0" applyNumberFormat="1" applyAlignment="1">
      <alignment vertical="center"/>
    </xf>
    <xf numFmtId="164" fontId="0" fillId="0" borderId="0" xfId="0" applyNumberFormat="1" applyAlignment="1">
      <alignment vertical="center"/>
    </xf>
    <xf numFmtId="165" fontId="0" fillId="0" borderId="0" xfId="0" applyNumberFormat="1"/>
    <xf numFmtId="3" fontId="0" fillId="0" borderId="0" xfId="0" applyNumberFormat="1"/>
    <xf numFmtId="39" fontId="10" fillId="0" borderId="0" xfId="0" applyNumberFormat="1" applyFont="1"/>
    <xf numFmtId="37" fontId="10" fillId="0" borderId="0" xfId="0" applyNumberFormat="1" applyFont="1"/>
    <xf numFmtId="0" fontId="10" fillId="0" borderId="0" xfId="0" applyFont="1" applyAlignment="1">
      <alignment vertical="center"/>
    </xf>
    <xf numFmtId="0" fontId="10" fillId="0" borderId="0" xfId="0" applyFont="1" applyAlignment="1">
      <alignment horizontal="center" vertical="center"/>
    </xf>
    <xf numFmtId="164" fontId="10" fillId="0" borderId="0" xfId="0" applyNumberFormat="1" applyFont="1" applyAlignment="1">
      <alignment vertical="center"/>
    </xf>
    <xf numFmtId="0" fontId="10" fillId="0" borderId="0" xfId="0" applyFont="1" applyAlignment="1">
      <alignment horizontal="center" vertical="center" wrapText="1"/>
    </xf>
    <xf numFmtId="0" fontId="5" fillId="58" borderId="0" xfId="0" applyNumberFormat="1" applyFont="1" applyFill="1"/>
    <xf numFmtId="0" fontId="19" fillId="58" borderId="0" xfId="0" applyNumberFormat="1" applyFont="1" applyFill="1"/>
    <xf numFmtId="37" fontId="0" fillId="0" borderId="18" xfId="0" applyNumberFormat="1" applyFill="1" applyBorder="1"/>
    <xf numFmtId="0" fontId="26" fillId="0" borderId="21" xfId="0" applyFont="1" applyBorder="1" applyAlignment="1"/>
    <xf numFmtId="0" fontId="26" fillId="0" borderId="45" xfId="0" applyFont="1" applyBorder="1" applyAlignment="1"/>
    <xf numFmtId="166" fontId="19" fillId="0" borderId="0" xfId="82" applyAlignment="1"/>
    <xf numFmtId="0" fontId="26" fillId="0" borderId="0" xfId="82" applyNumberFormat="1" applyFont="1" applyAlignment="1" applyProtection="1">
      <alignment horizontal="center"/>
      <protection locked="0"/>
    </xf>
    <xf numFmtId="166" fontId="26" fillId="0" borderId="0" xfId="82" applyFont="1" applyAlignment="1"/>
    <xf numFmtId="0" fontId="26" fillId="0" borderId="0" xfId="82" applyNumberFormat="1" applyFont="1" applyAlignment="1"/>
    <xf numFmtId="0" fontId="26" fillId="25" borderId="20" xfId="82" applyNumberFormat="1" applyFont="1" applyFill="1" applyBorder="1" applyAlignment="1"/>
    <xf numFmtId="3" fontId="26" fillId="0" borderId="0" xfId="0" applyNumberFormat="1" applyFont="1" applyBorder="1" applyAlignment="1"/>
    <xf numFmtId="174" fontId="26" fillId="0" borderId="33" xfId="0" applyNumberFormat="1" applyFont="1" applyBorder="1" applyAlignment="1"/>
    <xf numFmtId="3" fontId="38" fillId="0" borderId="0" xfId="0" applyNumberFormat="1" applyFont="1" applyBorder="1" applyAlignment="1"/>
    <xf numFmtId="0" fontId="26" fillId="0" borderId="0" xfId="0" applyNumberFormat="1" applyFont="1" applyBorder="1" applyAlignment="1"/>
    <xf numFmtId="0" fontId="26" fillId="0" borderId="18" xfId="0" applyFont="1" applyBorder="1" applyAlignment="1"/>
    <xf numFmtId="174" fontId="26" fillId="25" borderId="11" xfId="0" applyNumberFormat="1" applyFont="1" applyFill="1" applyBorder="1" applyAlignment="1"/>
    <xf numFmtId="0" fontId="38" fillId="0" borderId="0" xfId="0" applyFont="1" applyBorder="1" applyAlignment="1"/>
    <xf numFmtId="0" fontId="26" fillId="0" borderId="0" xfId="0" applyFont="1" applyBorder="1" applyAlignment="1"/>
    <xf numFmtId="0" fontId="26" fillId="0" borderId="33" xfId="0" applyNumberFormat="1" applyFont="1" applyBorder="1" applyAlignment="1">
      <alignment horizontal="center"/>
    </xf>
    <xf numFmtId="0" fontId="39" fillId="0" borderId="0" xfId="0" applyFont="1" applyBorder="1"/>
    <xf numFmtId="0" fontId="26" fillId="0" borderId="0" xfId="0" applyNumberFormat="1" applyFont="1" applyBorder="1" applyAlignment="1">
      <alignment horizontal="center"/>
    </xf>
    <xf numFmtId="0" fontId="26" fillId="0" borderId="18" xfId="0" applyNumberFormat="1" applyFont="1" applyBorder="1" applyAlignment="1">
      <alignment horizontal="center"/>
    </xf>
    <xf numFmtId="174" fontId="26" fillId="25" borderId="33" xfId="0" applyNumberFormat="1" applyFont="1" applyFill="1" applyBorder="1" applyAlignment="1"/>
    <xf numFmtId="0" fontId="38" fillId="0" borderId="0" xfId="0" applyFont="1" applyBorder="1"/>
    <xf numFmtId="174" fontId="26" fillId="0" borderId="33" xfId="0" applyNumberFormat="1" applyFont="1" applyFill="1" applyBorder="1" applyAlignment="1"/>
    <xf numFmtId="174" fontId="26" fillId="0" borderId="11" xfId="0" applyNumberFormat="1" applyFont="1" applyBorder="1" applyAlignment="1"/>
    <xf numFmtId="0" fontId="38" fillId="0" borderId="10" xfId="0" applyFont="1" applyBorder="1" applyAlignment="1"/>
    <xf numFmtId="0" fontId="26" fillId="0" borderId="10" xfId="0" applyFont="1" applyBorder="1" applyAlignment="1"/>
    <xf numFmtId="0" fontId="26" fillId="0" borderId="19" xfId="0" applyFont="1" applyBorder="1" applyAlignment="1"/>
    <xf numFmtId="0" fontId="26" fillId="0" borderId="32" xfId="82" applyNumberFormat="1" applyFont="1" applyBorder="1" applyAlignment="1"/>
    <xf numFmtId="0" fontId="26" fillId="0" borderId="45" xfId="82" applyNumberFormat="1" applyFont="1" applyBorder="1" applyAlignment="1"/>
    <xf numFmtId="0" fontId="26" fillId="0" borderId="0" xfId="0" applyNumberFormat="1" applyFont="1" applyAlignment="1" applyProtection="1">
      <alignment horizontal="center" vertical="top" wrapText="1"/>
      <protection locked="0"/>
    </xf>
    <xf numFmtId="0" fontId="26" fillId="0" borderId="0" xfId="0" applyFont="1" applyFill="1" applyAlignment="1">
      <alignment horizontal="center" vertical="top" wrapText="1"/>
    </xf>
    <xf numFmtId="3" fontId="5" fillId="58" borderId="0" xfId="0" applyNumberFormat="1" applyFont="1" applyFill="1" applyAlignment="1"/>
    <xf numFmtId="0" fontId="10" fillId="0" borderId="0" xfId="0" applyFont="1"/>
    <xf numFmtId="165" fontId="10" fillId="0" borderId="0" xfId="56" applyNumberFormat="1" applyFont="1" applyFill="1"/>
    <xf numFmtId="0" fontId="0" fillId="0" borderId="0" xfId="0"/>
    <xf numFmtId="0" fontId="0" fillId="0" borderId="0" xfId="0" applyAlignment="1">
      <alignment vertical="center"/>
    </xf>
    <xf numFmtId="0" fontId="0" fillId="0" borderId="0" xfId="0" applyAlignment="1"/>
    <xf numFmtId="0" fontId="0" fillId="0" borderId="14" xfId="0" applyBorder="1" applyAlignment="1">
      <alignment horizontal="center"/>
    </xf>
    <xf numFmtId="0" fontId="0" fillId="0" borderId="0" xfId="0" applyAlignment="1">
      <alignment horizontal="center" vertical="center"/>
    </xf>
    <xf numFmtId="0" fontId="75" fillId="0" borderId="14" xfId="0" applyFont="1" applyBorder="1" applyAlignment="1">
      <alignment horizontal="center"/>
    </xf>
    <xf numFmtId="0" fontId="75" fillId="0" borderId="56" xfId="0" applyFont="1" applyBorder="1" applyAlignment="1">
      <alignment horizontal="center" vertical="center" wrapText="1"/>
    </xf>
    <xf numFmtId="0" fontId="75" fillId="0" borderId="55" xfId="0" applyFont="1" applyBorder="1" applyAlignment="1">
      <alignment horizontal="center" vertical="center" wrapText="1"/>
    </xf>
    <xf numFmtId="0" fontId="0" fillId="0" borderId="56" xfId="0" applyBorder="1" applyAlignment="1">
      <alignment horizontal="center" wrapText="1"/>
    </xf>
    <xf numFmtId="14" fontId="0" fillId="0" borderId="55" xfId="0" applyNumberFormat="1" applyBorder="1" applyAlignment="1">
      <alignment horizontal="center" wrapText="1"/>
    </xf>
    <xf numFmtId="0" fontId="0" fillId="0" borderId="55" xfId="0" applyNumberFormat="1" applyBorder="1" applyAlignment="1">
      <alignment horizontal="center" wrapText="1"/>
    </xf>
    <xf numFmtId="0" fontId="0" fillId="0" borderId="55" xfId="0" applyBorder="1" applyAlignment="1">
      <alignment horizontal="center" wrapText="1"/>
    </xf>
    <xf numFmtId="10" fontId="0" fillId="0" borderId="55" xfId="0" applyNumberFormat="1" applyBorder="1" applyAlignment="1">
      <alignment horizontal="center" wrapText="1"/>
    </xf>
    <xf numFmtId="0" fontId="0" fillId="0" borderId="0" xfId="0"/>
    <xf numFmtId="0" fontId="0" fillId="0" borderId="0" xfId="0" applyNumberFormat="1"/>
    <xf numFmtId="0" fontId="0" fillId="0" borderId="0" xfId="0" applyAlignment="1"/>
    <xf numFmtId="0" fontId="19" fillId="0" borderId="0" xfId="0" applyNumberFormat="1" applyFont="1"/>
    <xf numFmtId="0" fontId="19" fillId="0" borderId="0" xfId="0" applyFont="1" applyAlignment="1"/>
    <xf numFmtId="0" fontId="5" fillId="0" borderId="0" xfId="0" applyNumberFormat="1" applyFont="1" applyAlignment="1"/>
    <xf numFmtId="0" fontId="5" fillId="0" borderId="0" xfId="0" applyNumberFormat="1" applyFont="1"/>
    <xf numFmtId="0" fontId="5" fillId="0" borderId="0" xfId="0" applyNumberFormat="1" applyFont="1" applyAlignment="1">
      <alignment horizontal="center"/>
    </xf>
    <xf numFmtId="0" fontId="5" fillId="25" borderId="0" xfId="0" applyNumberFormat="1" applyFont="1" applyFill="1"/>
    <xf numFmtId="3" fontId="5" fillId="0" borderId="0" xfId="0" applyNumberFormat="1" applyFont="1" applyAlignment="1"/>
    <xf numFmtId="0" fontId="0" fillId="0" borderId="0" xfId="0" applyNumberFormat="1" applyAlignment="1">
      <alignment horizontal="center"/>
    </xf>
    <xf numFmtId="49" fontId="5" fillId="25" borderId="0" xfId="0" applyNumberFormat="1" applyFont="1" applyFill="1"/>
    <xf numFmtId="3" fontId="5" fillId="0" borderId="0" xfId="0" applyNumberFormat="1" applyFont="1"/>
    <xf numFmtId="42" fontId="5" fillId="0" borderId="0" xfId="0" applyNumberFormat="1" applyFont="1"/>
    <xf numFmtId="167" fontId="5" fillId="0" borderId="0" xfId="0" applyNumberFormat="1" applyFont="1" applyAlignment="1"/>
    <xf numFmtId="0" fontId="0" fillId="0" borderId="0" xfId="0" applyFill="1" applyBorder="1" applyAlignment="1"/>
    <xf numFmtId="0" fontId="19" fillId="0" borderId="0" xfId="0" applyFont="1" applyFill="1" applyBorder="1" applyAlignment="1"/>
    <xf numFmtId="0" fontId="19" fillId="0" borderId="0" xfId="0" applyNumberFormat="1" applyFont="1" applyFill="1" applyBorder="1"/>
    <xf numFmtId="3" fontId="5" fillId="0" borderId="0" xfId="0" applyNumberFormat="1" applyFont="1" applyAlignment="1">
      <alignment horizontal="fill"/>
    </xf>
    <xf numFmtId="0" fontId="5" fillId="0" borderId="0" xfId="0" applyFont="1" applyAlignment="1"/>
    <xf numFmtId="168" fontId="5" fillId="0" borderId="0" xfId="0" applyNumberFormat="1" applyFont="1"/>
    <xf numFmtId="0" fontId="19" fillId="0" borderId="0" xfId="0" applyNumberFormat="1" applyFont="1" applyFill="1" applyBorder="1" applyAlignment="1"/>
    <xf numFmtId="3" fontId="19" fillId="0" borderId="0" xfId="0" applyNumberFormat="1" applyFont="1" applyAlignment="1"/>
    <xf numFmtId="3" fontId="19" fillId="0" borderId="0" xfId="0" applyNumberFormat="1" applyFont="1" applyFill="1" applyBorder="1" applyAlignment="1"/>
    <xf numFmtId="49" fontId="5" fillId="0" borderId="0" xfId="0" applyNumberFormat="1" applyFont="1" applyAlignment="1">
      <alignment horizontal="left"/>
    </xf>
    <xf numFmtId="0" fontId="19" fillId="0" borderId="0" xfId="0" applyNumberFormat="1" applyFont="1" applyFill="1" applyBorder="1" applyAlignment="1">
      <alignment horizontal="center"/>
    </xf>
    <xf numFmtId="171" fontId="5" fillId="0" borderId="0" xfId="0" applyNumberFormat="1" applyFont="1" applyAlignment="1"/>
    <xf numFmtId="0" fontId="0" fillId="0" borderId="0" xfId="0" applyNumberFormat="1" applyFill="1" applyAlignment="1">
      <alignment horizontal="center"/>
    </xf>
    <xf numFmtId="0" fontId="5" fillId="0" borderId="0" xfId="0" applyFont="1" applyFill="1" applyAlignment="1"/>
    <xf numFmtId="3" fontId="26" fillId="0" borderId="0" xfId="0" applyNumberFormat="1" applyFont="1" applyBorder="1" applyAlignment="1"/>
    <xf numFmtId="0" fontId="5" fillId="0" borderId="0" xfId="0" applyFont="1"/>
    <xf numFmtId="42" fontId="5" fillId="0" borderId="0" xfId="0" applyNumberFormat="1" applyFont="1" applyBorder="1" applyAlignment="1">
      <alignment horizontal="right"/>
    </xf>
    <xf numFmtId="0" fontId="5" fillId="0" borderId="0" xfId="81" applyNumberFormat="1" applyFont="1" applyAlignment="1"/>
    <xf numFmtId="0" fontId="4" fillId="0" borderId="0" xfId="0" applyFont="1" applyFill="1" applyAlignment="1">
      <alignment vertical="center"/>
    </xf>
    <xf numFmtId="164" fontId="3" fillId="0" borderId="0" xfId="59" applyNumberFormat="1" applyFill="1" applyAlignment="1">
      <alignment vertical="center"/>
    </xf>
    <xf numFmtId="0" fontId="0" fillId="0" borderId="0" xfId="0" applyFill="1" applyAlignment="1">
      <alignment vertical="center"/>
    </xf>
    <xf numFmtId="0" fontId="4" fillId="0" borderId="14" xfId="0" applyFont="1" applyFill="1" applyBorder="1" applyAlignment="1">
      <alignment horizontal="left" vertical="center" indent="1"/>
    </xf>
    <xf numFmtId="0" fontId="0" fillId="0" borderId="14" xfId="0" applyFill="1" applyBorder="1" applyAlignment="1">
      <alignment horizontal="left" vertical="center" indent="2"/>
    </xf>
    <xf numFmtId="10" fontId="41" fillId="0" borderId="0" xfId="88" applyNumberFormat="1" applyFont="1" applyFill="1" applyAlignment="1">
      <alignment vertical="center"/>
    </xf>
    <xf numFmtId="0" fontId="0" fillId="0" borderId="14" xfId="0" applyFill="1" applyBorder="1" applyAlignment="1">
      <alignment horizontal="left" vertical="center" wrapText="1" indent="2"/>
    </xf>
    <xf numFmtId="0" fontId="0" fillId="0" borderId="16" xfId="0" applyFill="1" applyBorder="1" applyAlignment="1">
      <alignment vertical="center"/>
    </xf>
    <xf numFmtId="0" fontId="0" fillId="0" borderId="12" xfId="0" applyFill="1" applyBorder="1" applyAlignment="1">
      <alignment vertical="center"/>
    </xf>
    <xf numFmtId="0" fontId="10" fillId="0" borderId="14" xfId="0" applyFont="1" applyFill="1" applyBorder="1" applyAlignment="1">
      <alignment horizontal="left" vertical="center" indent="2"/>
    </xf>
    <xf numFmtId="164" fontId="10" fillId="0" borderId="14" xfId="59" applyNumberFormat="1" applyFont="1" applyFill="1" applyBorder="1" applyAlignment="1">
      <alignment vertical="center"/>
    </xf>
    <xf numFmtId="0" fontId="4" fillId="0" borderId="14" xfId="0" applyFont="1" applyFill="1" applyBorder="1" applyAlignment="1">
      <alignment horizontal="left" vertical="center" indent="2"/>
    </xf>
    <xf numFmtId="164" fontId="4" fillId="0" borderId="14" xfId="59" applyNumberFormat="1" applyFont="1" applyFill="1" applyBorder="1" applyAlignment="1">
      <alignment vertical="center"/>
    </xf>
    <xf numFmtId="0" fontId="0" fillId="0" borderId="0" xfId="0" applyFill="1" applyAlignment="1">
      <alignment horizontal="center" vertical="center" wrapText="1"/>
    </xf>
    <xf numFmtId="44" fontId="0" fillId="0" borderId="0" xfId="0" applyNumberFormat="1" applyFill="1" applyAlignment="1">
      <alignment vertical="center"/>
    </xf>
    <xf numFmtId="0" fontId="11" fillId="0" borderId="0" xfId="0" applyFont="1" applyFill="1" applyAlignment="1">
      <alignment horizontal="center" vertical="center"/>
    </xf>
    <xf numFmtId="164" fontId="41" fillId="0" borderId="0" xfId="59" applyNumberFormat="1" applyFont="1" applyFill="1" applyAlignment="1">
      <alignment vertical="center"/>
    </xf>
    <xf numFmtId="44" fontId="41" fillId="0" borderId="0" xfId="59" applyFont="1" applyFill="1" applyAlignment="1">
      <alignment vertical="center"/>
    </xf>
    <xf numFmtId="0" fontId="10" fillId="0" borderId="0" xfId="0" applyFont="1" applyFill="1" applyAlignment="1">
      <alignment vertical="center"/>
    </xf>
    <xf numFmtId="0" fontId="15" fillId="0" borderId="0" xfId="0" applyFont="1" applyFill="1" applyAlignment="1">
      <alignment horizontal="left" vertical="center" indent="1"/>
    </xf>
    <xf numFmtId="0" fontId="4" fillId="0" borderId="36" xfId="0" applyFont="1" applyFill="1" applyBorder="1" applyAlignment="1">
      <alignment horizontal="center" vertical="center"/>
    </xf>
    <xf numFmtId="164" fontId="4" fillId="0" borderId="37" xfId="59" applyNumberFormat="1" applyFont="1" applyFill="1" applyBorder="1" applyAlignment="1">
      <alignment vertical="center"/>
    </xf>
    <xf numFmtId="0" fontId="16" fillId="0" borderId="37" xfId="0" applyFont="1" applyFill="1" applyBorder="1" applyAlignment="1">
      <alignment horizontal="center" vertical="center"/>
    </xf>
    <xf numFmtId="0" fontId="17" fillId="0" borderId="37" xfId="0" applyFont="1" applyFill="1" applyBorder="1" applyAlignment="1">
      <alignment horizontal="center" vertical="center"/>
    </xf>
    <xf numFmtId="0" fontId="17" fillId="0" borderId="38" xfId="0" applyFont="1" applyFill="1" applyBorder="1" applyAlignment="1">
      <alignment horizontal="center" vertical="center"/>
    </xf>
    <xf numFmtId="0" fontId="0" fillId="0" borderId="39" xfId="0" applyFill="1" applyBorder="1" applyAlignment="1">
      <alignment horizontal="center" vertical="center"/>
    </xf>
    <xf numFmtId="10" fontId="41" fillId="0" borderId="14" xfId="88" applyNumberFormat="1" applyFont="1" applyFill="1" applyBorder="1" applyAlignment="1">
      <alignment vertical="center"/>
    </xf>
    <xf numFmtId="44" fontId="41" fillId="0" borderId="14" xfId="59" applyFont="1" applyFill="1" applyBorder="1" applyAlignment="1">
      <alignment vertical="center"/>
    </xf>
    <xf numFmtId="44" fontId="41" fillId="0" borderId="40" xfId="59" applyFont="1" applyFill="1" applyBorder="1" applyAlignment="1">
      <alignment vertical="center"/>
    </xf>
    <xf numFmtId="0" fontId="0" fillId="0" borderId="41" xfId="0" applyFill="1" applyBorder="1" applyAlignment="1">
      <alignment horizontal="center" vertical="center"/>
    </xf>
    <xf numFmtId="164" fontId="3" fillId="0" borderId="42" xfId="59" applyNumberFormat="1" applyFill="1" applyBorder="1" applyAlignment="1">
      <alignment vertical="center"/>
    </xf>
    <xf numFmtId="10" fontId="41" fillId="0" borderId="42" xfId="88" applyNumberFormat="1" applyFont="1" applyFill="1" applyBorder="1" applyAlignment="1">
      <alignment vertical="center"/>
    </xf>
    <xf numFmtId="0" fontId="18" fillId="0" borderId="43" xfId="0" applyFont="1" applyFill="1" applyBorder="1" applyAlignment="1">
      <alignment horizontal="center" vertical="center"/>
    </xf>
    <xf numFmtId="164" fontId="4" fillId="0" borderId="17" xfId="59" applyNumberFormat="1" applyFont="1" applyFill="1" applyBorder="1" applyAlignment="1">
      <alignment vertical="center"/>
    </xf>
    <xf numFmtId="10" fontId="41" fillId="0" borderId="17" xfId="88" applyNumberFormat="1" applyFont="1" applyFill="1" applyBorder="1" applyAlignment="1">
      <alignment vertical="center"/>
    </xf>
    <xf numFmtId="44" fontId="4" fillId="0" borderId="17" xfId="59" applyFont="1" applyFill="1" applyBorder="1" applyAlignment="1">
      <alignment vertical="center"/>
    </xf>
    <xf numFmtId="44" fontId="4" fillId="0" borderId="44" xfId="59" applyFont="1" applyFill="1" applyBorder="1" applyAlignment="1">
      <alignment vertical="center"/>
    </xf>
    <xf numFmtId="43" fontId="0" fillId="0" borderId="0" xfId="0" applyNumberFormat="1" applyFill="1" applyAlignment="1">
      <alignment vertical="center"/>
    </xf>
    <xf numFmtId="37" fontId="0" fillId="0" borderId="0" xfId="0" applyNumberFormat="1" applyFill="1" applyAlignment="1">
      <alignment vertical="center"/>
    </xf>
    <xf numFmtId="0" fontId="4" fillId="57" borderId="0" xfId="0" applyFont="1" applyFill="1" applyBorder="1" applyAlignment="1">
      <alignment horizontal="center" vertical="center"/>
    </xf>
    <xf numFmtId="164" fontId="0" fillId="57" borderId="0" xfId="59" applyNumberFormat="1" applyFont="1" applyFill="1" applyBorder="1" applyAlignment="1">
      <alignment vertical="center"/>
    </xf>
    <xf numFmtId="0" fontId="0" fillId="57" borderId="0" xfId="0" applyFill="1" applyBorder="1" applyAlignment="1">
      <alignment vertical="center"/>
    </xf>
    <xf numFmtId="0" fontId="4" fillId="57" borderId="0" xfId="0" applyFont="1" applyFill="1" applyBorder="1" applyAlignment="1">
      <alignment vertical="center"/>
    </xf>
    <xf numFmtId="164" fontId="4" fillId="57" borderId="0" xfId="59" applyNumberFormat="1" applyFont="1" applyFill="1" applyBorder="1" applyAlignment="1">
      <alignment vertical="center"/>
    </xf>
    <xf numFmtId="0" fontId="0" fillId="57" borderId="0" xfId="0" applyFill="1" applyBorder="1" applyAlignment="1">
      <alignment horizontal="left" vertical="center"/>
    </xf>
    <xf numFmtId="164" fontId="0" fillId="57" borderId="0" xfId="59" applyNumberFormat="1" applyFont="1" applyFill="1" applyBorder="1" applyAlignment="1">
      <alignment horizontal="left" vertical="center"/>
    </xf>
    <xf numFmtId="0" fontId="10" fillId="57" borderId="0" xfId="0" applyFont="1" applyFill="1" applyBorder="1" applyAlignment="1">
      <alignment vertical="center"/>
    </xf>
    <xf numFmtId="164" fontId="10" fillId="57" borderId="0" xfId="59" applyNumberFormat="1" applyFont="1" applyFill="1" applyBorder="1" applyAlignment="1">
      <alignment horizontal="left" vertical="center"/>
    </xf>
    <xf numFmtId="164" fontId="0" fillId="57" borderId="0" xfId="0" applyNumberFormat="1" applyFill="1" applyBorder="1" applyAlignment="1">
      <alignment vertical="center"/>
    </xf>
    <xf numFmtId="0" fontId="35" fillId="57" borderId="0" xfId="0" applyFont="1" applyFill="1" applyBorder="1" applyAlignment="1">
      <alignment vertical="center"/>
    </xf>
    <xf numFmtId="44" fontId="0" fillId="57" borderId="0" xfId="59" applyFont="1" applyFill="1" applyBorder="1" applyAlignment="1">
      <alignment vertical="center"/>
    </xf>
    <xf numFmtId="164" fontId="10" fillId="57" borderId="0" xfId="59" applyNumberFormat="1" applyFont="1" applyFill="1" applyBorder="1" applyAlignment="1">
      <alignment vertical="center"/>
    </xf>
    <xf numFmtId="0" fontId="10" fillId="57" borderId="0" xfId="0" applyFont="1" applyFill="1" applyBorder="1" applyAlignment="1">
      <alignment horizontal="left" vertical="center"/>
    </xf>
    <xf numFmtId="0" fontId="0" fillId="57" borderId="0" xfId="0" quotePrefix="1" applyFill="1" applyBorder="1" applyAlignment="1">
      <alignment vertical="center"/>
    </xf>
    <xf numFmtId="0" fontId="0" fillId="57" borderId="0" xfId="0" quotePrefix="1" applyFill="1" applyBorder="1" applyAlignment="1">
      <alignment horizontal="left" vertical="center"/>
    </xf>
    <xf numFmtId="44" fontId="10" fillId="57" borderId="0" xfId="59" applyFont="1" applyFill="1" applyBorder="1" applyAlignment="1">
      <alignment vertical="center"/>
    </xf>
    <xf numFmtId="0" fontId="10" fillId="57" borderId="0" xfId="0" quotePrefix="1" applyFont="1" applyFill="1" applyBorder="1" applyAlignment="1">
      <alignment vertical="center"/>
    </xf>
    <xf numFmtId="164" fontId="41" fillId="57" borderId="0" xfId="59" applyNumberFormat="1" applyFont="1" applyFill="1" applyBorder="1" applyAlignment="1">
      <alignment vertical="center"/>
    </xf>
    <xf numFmtId="0" fontId="10" fillId="0" borderId="0" xfId="0" applyFont="1" applyFill="1" applyAlignment="1">
      <alignment horizontal="center" vertical="center"/>
    </xf>
    <xf numFmtId="0" fontId="10" fillId="0" borderId="0" xfId="0" applyFont="1" applyFill="1" applyAlignment="1">
      <alignment vertical="center" wrapText="1"/>
    </xf>
    <xf numFmtId="0" fontId="3" fillId="0" borderId="0" xfId="0" applyFont="1" applyAlignment="1">
      <alignment vertical="center"/>
    </xf>
    <xf numFmtId="0" fontId="4" fillId="0" borderId="0" xfId="0" applyFont="1" applyAlignment="1">
      <alignment vertical="center"/>
    </xf>
    <xf numFmtId="164" fontId="4" fillId="57" borderId="0" xfId="59" applyNumberFormat="1" applyFont="1" applyFill="1" applyBorder="1" applyAlignment="1">
      <alignment vertical="center" wrapText="1"/>
    </xf>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43" fontId="3" fillId="0" borderId="0" xfId="127" applyFont="1"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80" fillId="0" borderId="0" xfId="128" applyFill="1"/>
    <xf numFmtId="0" fontId="0" fillId="0" borderId="0" xfId="0" quotePrefix="1" applyAlignment="1">
      <alignment vertical="center"/>
    </xf>
    <xf numFmtId="14" fontId="0" fillId="0" borderId="0" xfId="0" applyNumberFormat="1" applyFill="1"/>
    <xf numFmtId="43" fontId="0" fillId="0" borderId="0" xfId="55" applyFont="1"/>
    <xf numFmtId="43" fontId="0" fillId="0" borderId="0" xfId="55" applyFont="1" applyFill="1"/>
    <xf numFmtId="0" fontId="75" fillId="0" borderId="0" xfId="0" applyFont="1" applyFill="1"/>
    <xf numFmtId="43" fontId="0" fillId="0" borderId="0" xfId="0" applyNumberFormat="1" applyFill="1"/>
    <xf numFmtId="43" fontId="0" fillId="0" borderId="0" xfId="0" applyNumberFormat="1"/>
    <xf numFmtId="0" fontId="3" fillId="0" borderId="0" xfId="0" applyFont="1" applyAlignment="1">
      <alignment horizontal="left"/>
    </xf>
    <xf numFmtId="0" fontId="3" fillId="0" borderId="0" xfId="0" applyFont="1"/>
    <xf numFmtId="165" fontId="10" fillId="0" borderId="0" xfId="55" applyNumberFormat="1" applyFont="1" applyBorder="1"/>
    <xf numFmtId="49" fontId="0" fillId="0" borderId="0" xfId="0" applyNumberFormat="1" applyAlignment="1">
      <alignment horizontal="center"/>
    </xf>
    <xf numFmtId="49" fontId="83" fillId="0" borderId="57" xfId="0" applyNumberFormat="1" applyFont="1" applyBorder="1" applyAlignment="1">
      <alignment horizontal="center"/>
    </xf>
    <xf numFmtId="49" fontId="83" fillId="0" borderId="0" xfId="0" applyNumberFormat="1" applyFont="1"/>
    <xf numFmtId="176" fontId="83" fillId="0" borderId="0" xfId="0" applyNumberFormat="1" applyFont="1"/>
    <xf numFmtId="177" fontId="83" fillId="0" borderId="0" xfId="0" applyNumberFormat="1" applyFont="1"/>
    <xf numFmtId="49" fontId="82" fillId="0" borderId="0" xfId="0" applyNumberFormat="1" applyFont="1"/>
    <xf numFmtId="176" fontId="82" fillId="0" borderId="0" xfId="0" applyNumberFormat="1" applyFont="1"/>
    <xf numFmtId="49" fontId="82" fillId="0" borderId="0" xfId="0" applyNumberFormat="1" applyFont="1" applyAlignment="1">
      <alignment horizontal="centerContinuous"/>
    </xf>
    <xf numFmtId="177" fontId="82" fillId="0" borderId="0" xfId="0" applyNumberFormat="1" applyFont="1"/>
    <xf numFmtId="177" fontId="82" fillId="0" borderId="20" xfId="0" applyNumberFormat="1" applyFont="1" applyBorder="1"/>
    <xf numFmtId="177" fontId="82" fillId="0" borderId="0" xfId="0" applyNumberFormat="1" applyFont="1" applyBorder="1"/>
    <xf numFmtId="177" fontId="82" fillId="0" borderId="58" xfId="0" applyNumberFormat="1" applyFont="1" applyBorder="1"/>
    <xf numFmtId="177" fontId="82" fillId="0" borderId="59" xfId="0" applyNumberFormat="1" applyFont="1" applyBorder="1"/>
    <xf numFmtId="177" fontId="83" fillId="0" borderId="60" xfId="0" applyNumberFormat="1" applyFont="1" applyBorder="1"/>
    <xf numFmtId="0" fontId="83" fillId="0" borderId="0" xfId="0" applyFont="1"/>
    <xf numFmtId="0" fontId="3" fillId="0" borderId="0" xfId="0" applyFont="1" applyBorder="1" applyAlignment="1">
      <alignment vertical="center"/>
    </xf>
    <xf numFmtId="37" fontId="7" fillId="57" borderId="19" xfId="0" applyNumberFormat="1" applyFont="1" applyFill="1" applyBorder="1"/>
    <xf numFmtId="37" fontId="9" fillId="57" borderId="14" xfId="0" applyNumberFormat="1" applyFont="1" applyFill="1" applyBorder="1"/>
    <xf numFmtId="37" fontId="13" fillId="57" borderId="14" xfId="0" applyNumberFormat="1" applyFont="1" applyFill="1" applyBorder="1"/>
    <xf numFmtId="0" fontId="0" fillId="57" borderId="0" xfId="0" applyFill="1"/>
    <xf numFmtId="37" fontId="12" fillId="57" borderId="14" xfId="0" applyNumberFormat="1" applyFont="1" applyFill="1" applyBorder="1"/>
    <xf numFmtId="37" fontId="4" fillId="57" borderId="14" xfId="0" applyNumberFormat="1" applyFont="1" applyFill="1" applyBorder="1"/>
    <xf numFmtId="0" fontId="5" fillId="0" borderId="0" xfId="0" applyNumberFormat="1" applyFont="1" applyAlignment="1"/>
    <xf numFmtId="0" fontId="5" fillId="0" borderId="0" xfId="0" applyNumberFormat="1" applyFont="1" applyAlignment="1">
      <alignment horizontal="right"/>
    </xf>
    <xf numFmtId="49" fontId="0" fillId="0" borderId="0" xfId="0" applyNumberFormat="1"/>
    <xf numFmtId="0" fontId="80" fillId="0" borderId="0" xfId="0" applyNumberFormat="1" applyFont="1"/>
    <xf numFmtId="0" fontId="80" fillId="0" borderId="0" xfId="0" applyNumberFormat="1" applyFont="1" applyAlignment="1">
      <alignment horizontal="right"/>
    </xf>
    <xf numFmtId="43" fontId="80" fillId="0" borderId="0" xfId="55" applyFont="1"/>
    <xf numFmtId="0" fontId="82" fillId="0" borderId="0" xfId="0" applyNumberFormat="1" applyFont="1"/>
    <xf numFmtId="43" fontId="82" fillId="0" borderId="0" xfId="55" applyFont="1" applyAlignment="1">
      <alignment horizontal="right"/>
    </xf>
    <xf numFmtId="0" fontId="82" fillId="0" borderId="0" xfId="0" applyNumberFormat="1" applyFont="1" applyAlignment="1">
      <alignment horizontal="right"/>
    </xf>
    <xf numFmtId="0" fontId="81" fillId="0" borderId="0" xfId="0" applyFont="1" applyFill="1"/>
    <xf numFmtId="43" fontId="0" fillId="0" borderId="0" xfId="55" applyFont="1" applyAlignment="1">
      <alignment horizontal="center"/>
    </xf>
    <xf numFmtId="44" fontId="0" fillId="0" borderId="0" xfId="0" applyNumberFormat="1"/>
    <xf numFmtId="0" fontId="0" fillId="0" borderId="0" xfId="0" applyFont="1" applyFill="1"/>
    <xf numFmtId="0" fontId="0" fillId="0" borderId="0" xfId="0" applyFont="1"/>
    <xf numFmtId="178" fontId="82" fillId="0" borderId="0" xfId="0" applyNumberFormat="1" applyFont="1"/>
    <xf numFmtId="178" fontId="0" fillId="0" borderId="0" xfId="0" applyNumberFormat="1"/>
    <xf numFmtId="178" fontId="82" fillId="57" borderId="0" xfId="0" applyNumberFormat="1" applyFont="1" applyFill="1"/>
    <xf numFmtId="14" fontId="0" fillId="0" borderId="0" xfId="0" applyNumberFormat="1"/>
    <xf numFmtId="43" fontId="82" fillId="0" borderId="0" xfId="0" applyNumberFormat="1" applyFont="1"/>
    <xf numFmtId="49" fontId="3" fillId="0" borderId="0" xfId="0" applyNumberFormat="1" applyFont="1" applyAlignment="1">
      <alignment horizontal="center"/>
    </xf>
    <xf numFmtId="43" fontId="3" fillId="0" borderId="0" xfId="55" applyFont="1"/>
    <xf numFmtId="0" fontId="3" fillId="0" borderId="0" xfId="0" applyFont="1" applyAlignment="1">
      <alignment horizontal="center"/>
    </xf>
    <xf numFmtId="43" fontId="0" fillId="57" borderId="0" xfId="0" applyNumberFormat="1" applyFill="1"/>
    <xf numFmtId="0" fontId="75" fillId="57" borderId="55" xfId="0" applyFont="1" applyFill="1" applyBorder="1" applyAlignment="1">
      <alignment horizontal="center" vertical="center" wrapText="1"/>
    </xf>
    <xf numFmtId="0" fontId="0" fillId="57" borderId="55" xfId="0" applyFill="1" applyBorder="1" applyAlignment="1">
      <alignment horizontal="center" wrapText="1"/>
    </xf>
    <xf numFmtId="0" fontId="0" fillId="0" borderId="56" xfId="0" applyBorder="1" applyAlignment="1">
      <alignment horizontal="center"/>
    </xf>
    <xf numFmtId="14" fontId="0" fillId="0" borderId="55" xfId="0" applyNumberFormat="1" applyBorder="1" applyAlignment="1">
      <alignment horizontal="center"/>
    </xf>
    <xf numFmtId="0" fontId="0" fillId="0" borderId="55" xfId="0" applyBorder="1" applyAlignment="1">
      <alignment horizontal="center"/>
    </xf>
    <xf numFmtId="0" fontId="0" fillId="57" borderId="55" xfId="0" applyFill="1" applyBorder="1" applyAlignment="1">
      <alignment horizontal="center"/>
    </xf>
    <xf numFmtId="4" fontId="0" fillId="0" borderId="55" xfId="0" applyNumberFormat="1" applyBorder="1" applyAlignment="1">
      <alignment horizontal="center"/>
    </xf>
    <xf numFmtId="0" fontId="0" fillId="0" borderId="61" xfId="0" applyBorder="1" applyAlignment="1">
      <alignment horizontal="center"/>
    </xf>
    <xf numFmtId="14" fontId="0" fillId="0" borderId="62" xfId="0" applyNumberFormat="1" applyBorder="1" applyAlignment="1">
      <alignment horizontal="center"/>
    </xf>
    <xf numFmtId="0" fontId="0" fillId="0" borderId="62" xfId="0" applyNumberFormat="1" applyBorder="1" applyAlignment="1">
      <alignment horizontal="center" wrapText="1"/>
    </xf>
    <xf numFmtId="0" fontId="0" fillId="0" borderId="62" xfId="0" applyBorder="1" applyAlignment="1">
      <alignment horizontal="center"/>
    </xf>
    <xf numFmtId="0" fontId="0" fillId="57" borderId="62" xfId="0" applyFill="1" applyBorder="1" applyAlignment="1">
      <alignment horizontal="center"/>
    </xf>
    <xf numFmtId="4" fontId="0" fillId="0" borderId="62" xfId="0" applyNumberFormat="1" applyBorder="1" applyAlignment="1">
      <alignment horizontal="center"/>
    </xf>
    <xf numFmtId="14" fontId="0" fillId="0" borderId="14" xfId="0" applyNumberFormat="1" applyBorder="1" applyAlignment="1">
      <alignment horizontal="center"/>
    </xf>
    <xf numFmtId="0" fontId="0" fillId="0" borderId="14" xfId="0" applyNumberFormat="1" applyBorder="1" applyAlignment="1">
      <alignment horizontal="center" wrapText="1"/>
    </xf>
    <xf numFmtId="0" fontId="0" fillId="57" borderId="14" xfId="0" applyFill="1" applyBorder="1" applyAlignment="1">
      <alignment horizontal="center"/>
    </xf>
    <xf numFmtId="4" fontId="0" fillId="0" borderId="14" xfId="0" applyNumberFormat="1" applyBorder="1" applyAlignment="1">
      <alignment horizontal="center"/>
    </xf>
    <xf numFmtId="0" fontId="0" fillId="0" borderId="14" xfId="0" applyBorder="1" applyAlignment="1">
      <alignment horizontal="center" wrapText="1"/>
    </xf>
    <xf numFmtId="14" fontId="0" fillId="0" borderId="14" xfId="0" applyNumberFormat="1" applyBorder="1" applyAlignment="1">
      <alignment horizontal="center" wrapText="1"/>
    </xf>
    <xf numFmtId="0" fontId="0" fillId="57" borderId="14" xfId="0" applyFill="1" applyBorder="1" applyAlignment="1">
      <alignment horizontal="center" wrapText="1"/>
    </xf>
    <xf numFmtId="10" fontId="0" fillId="0" borderId="14" xfId="0" applyNumberFormat="1" applyBorder="1" applyAlignment="1">
      <alignment horizontal="center" wrapText="1"/>
    </xf>
    <xf numFmtId="164" fontId="3" fillId="57" borderId="0" xfId="59" applyNumberFormat="1" applyFont="1" applyFill="1" applyBorder="1" applyAlignment="1">
      <alignment vertical="center"/>
    </xf>
    <xf numFmtId="0" fontId="3" fillId="0" borderId="0" xfId="0" quotePrefix="1" applyFont="1" applyAlignment="1">
      <alignment vertical="center"/>
    </xf>
    <xf numFmtId="44" fontId="3" fillId="57" borderId="0" xfId="59" applyFont="1" applyFill="1" applyBorder="1" applyAlignment="1">
      <alignment vertical="center"/>
    </xf>
    <xf numFmtId="164" fontId="3" fillId="0" borderId="14" xfId="59" applyNumberFormat="1" applyFill="1" applyBorder="1" applyAlignment="1">
      <alignment vertical="center"/>
    </xf>
    <xf numFmtId="164" fontId="3" fillId="57" borderId="14" xfId="59" applyNumberFormat="1" applyFill="1" applyBorder="1" applyAlignment="1">
      <alignment vertical="center"/>
    </xf>
    <xf numFmtId="0" fontId="3" fillId="0" borderId="39" xfId="130" applyFill="1" applyBorder="1" applyAlignment="1">
      <alignment horizontal="center" vertical="center"/>
    </xf>
    <xf numFmtId="10" fontId="3" fillId="57" borderId="14" xfId="88" applyNumberFormat="1" applyFont="1" applyFill="1" applyBorder="1" applyAlignment="1">
      <alignment vertical="center"/>
    </xf>
    <xf numFmtId="10" fontId="3" fillId="0" borderId="14" xfId="88" applyNumberFormat="1" applyFont="1" applyFill="1" applyBorder="1" applyAlignment="1">
      <alignment vertical="center"/>
    </xf>
    <xf numFmtId="10" fontId="3" fillId="57" borderId="14" xfId="88" applyNumberFormat="1" applyFont="1" applyFill="1" applyBorder="1" applyAlignment="1">
      <alignment vertical="center"/>
    </xf>
    <xf numFmtId="10" fontId="3" fillId="57" borderId="14" xfId="88" applyNumberFormat="1" applyFont="1" applyFill="1" applyBorder="1" applyAlignment="1">
      <alignment vertical="center"/>
    </xf>
    <xf numFmtId="10" fontId="3" fillId="0" borderId="14" xfId="88" applyNumberFormat="1" applyFont="1" applyFill="1" applyBorder="1" applyAlignment="1">
      <alignment vertical="center"/>
    </xf>
    <xf numFmtId="10" fontId="3" fillId="57" borderId="14" xfId="88" applyNumberFormat="1" applyFont="1" applyFill="1" applyBorder="1" applyAlignment="1">
      <alignment vertical="center"/>
    </xf>
    <xf numFmtId="10" fontId="3" fillId="0" borderId="14" xfId="88" applyNumberFormat="1" applyFont="1" applyFill="1" applyBorder="1" applyAlignment="1">
      <alignment vertical="center"/>
    </xf>
    <xf numFmtId="10" fontId="3" fillId="57" borderId="14" xfId="88" applyNumberFormat="1" applyFont="1" applyFill="1" applyBorder="1" applyAlignment="1">
      <alignment vertical="center"/>
    </xf>
    <xf numFmtId="10" fontId="3" fillId="0" borderId="14" xfId="88" applyNumberFormat="1" applyFont="1" applyFill="1" applyBorder="1" applyAlignment="1">
      <alignment vertical="center"/>
    </xf>
    <xf numFmtId="3" fontId="26" fillId="58" borderId="0" xfId="0" applyNumberFormat="1" applyFont="1" applyFill="1" applyAlignment="1"/>
    <xf numFmtId="3" fontId="26" fillId="0" borderId="63" xfId="0" applyNumberFormat="1" applyFont="1" applyBorder="1" applyAlignment="1"/>
    <xf numFmtId="166" fontId="26" fillId="0" borderId="0" xfId="0" applyNumberFormat="1" applyFont="1" applyAlignment="1" applyProtection="1">
      <protection locked="0"/>
    </xf>
    <xf numFmtId="0" fontId="26" fillId="0" borderId="0" xfId="0" applyNumberFormat="1" applyFont="1" applyProtection="1">
      <protection locked="0"/>
    </xf>
    <xf numFmtId="174" fontId="26" fillId="0" borderId="0" xfId="0" applyNumberFormat="1" applyFont="1" applyFill="1" applyBorder="1" applyAlignment="1" applyProtection="1"/>
    <xf numFmtId="0" fontId="26" fillId="0" borderId="0" xfId="0" applyFont="1" applyAlignment="1">
      <alignment horizontal="right"/>
    </xf>
    <xf numFmtId="3" fontId="26" fillId="0" borderId="0" xfId="0" applyNumberFormat="1" applyFont="1" applyAlignment="1"/>
    <xf numFmtId="3" fontId="26" fillId="0" borderId="0" xfId="0" applyNumberFormat="1" applyFont="1" applyProtection="1">
      <protection locked="0"/>
    </xf>
    <xf numFmtId="174" fontId="26" fillId="0" borderId="0" xfId="0" applyNumberFormat="1" applyFont="1" applyProtection="1">
      <protection locked="0"/>
    </xf>
    <xf numFmtId="0" fontId="26" fillId="0" borderId="0" xfId="0" applyFont="1" applyFill="1" applyAlignment="1" applyProtection="1"/>
    <xf numFmtId="3" fontId="26" fillId="0" borderId="0" xfId="0" applyNumberFormat="1" applyFont="1" applyFill="1" applyAlignment="1" applyProtection="1"/>
    <xf numFmtId="0" fontId="26" fillId="0" borderId="0" xfId="0" applyNumberFormat="1" applyFont="1" applyAlignment="1" applyProtection="1">
      <alignment horizontal="left" indent="8"/>
      <protection locked="0"/>
    </xf>
    <xf numFmtId="3" fontId="26" fillId="0" borderId="0" xfId="0" applyNumberFormat="1" applyFont="1" applyAlignment="1">
      <alignment horizontal="fill"/>
    </xf>
    <xf numFmtId="0" fontId="26" fillId="0" borderId="20" xfId="0" applyNumberFormat="1" applyFont="1" applyBorder="1" applyAlignment="1" applyProtection="1">
      <alignment horizontal="center"/>
      <protection locked="0"/>
    </xf>
    <xf numFmtId="0" fontId="26" fillId="0" borderId="0" xfId="0" applyNumberFormat="1" applyFont="1" applyFill="1" applyAlignment="1" applyProtection="1">
      <alignment horizontal="left" vertical="top" wrapText="1" indent="8"/>
      <protection locked="0"/>
    </xf>
    <xf numFmtId="0" fontId="26" fillId="0" borderId="0" xfId="0" applyNumberFormat="1" applyFont="1" applyFill="1" applyAlignment="1" applyProtection="1">
      <alignment vertical="top" wrapText="1"/>
      <protection locked="0"/>
    </xf>
    <xf numFmtId="10" fontId="26" fillId="25" borderId="0" xfId="0" applyNumberFormat="1" applyFont="1" applyFill="1" applyAlignment="1" applyProtection="1">
      <alignment vertical="top" wrapText="1"/>
      <protection locked="0"/>
    </xf>
    <xf numFmtId="3" fontId="26" fillId="0" borderId="0" xfId="0" applyNumberFormat="1" applyFont="1" applyAlignment="1">
      <alignment vertical="top" wrapText="1"/>
    </xf>
    <xf numFmtId="0" fontId="26" fillId="0" borderId="0" xfId="0" applyNumberFormat="1" applyFont="1" applyFill="1" applyAlignment="1">
      <alignment horizontal="left" vertical="top"/>
    </xf>
    <xf numFmtId="0" fontId="26" fillId="0" borderId="0" xfId="0" applyNumberFormat="1" applyFont="1" applyFill="1" applyAlignment="1">
      <alignment vertical="top"/>
    </xf>
    <xf numFmtId="0" fontId="0" fillId="0" borderId="0" xfId="0" applyFont="1" applyAlignment="1">
      <alignment horizontal="center"/>
    </xf>
    <xf numFmtId="0" fontId="26" fillId="0" borderId="0" xfId="0" applyNumberFormat="1" applyFont="1" applyFill="1"/>
    <xf numFmtId="37" fontId="4" fillId="0" borderId="0" xfId="0" applyNumberFormat="1" applyFont="1" applyFill="1" applyBorder="1"/>
    <xf numFmtId="0" fontId="0" fillId="0" borderId="0" xfId="0"/>
    <xf numFmtId="0" fontId="4" fillId="0" borderId="14" xfId="0" applyFont="1" applyBorder="1"/>
    <xf numFmtId="0" fontId="0" fillId="0" borderId="14" xfId="0" applyBorder="1" applyAlignment="1">
      <alignment horizontal="center"/>
    </xf>
    <xf numFmtId="0" fontId="26" fillId="0" borderId="0" xfId="0" applyNumberFormat="1" applyFont="1" applyFill="1" applyAlignment="1">
      <alignment vertical="top" wrapText="1"/>
    </xf>
    <xf numFmtId="0" fontId="26" fillId="0" borderId="0" xfId="0" applyNumberFormat="1" applyFont="1" applyFill="1" applyAlignment="1" applyProtection="1">
      <alignment vertical="top" wrapText="1"/>
      <protection locked="0"/>
    </xf>
    <xf numFmtId="0" fontId="26" fillId="0" borderId="0" xfId="0" applyNumberFormat="1" applyFont="1" applyAlignment="1" applyProtection="1">
      <alignment vertical="top" wrapText="1"/>
      <protection locked="0"/>
    </xf>
    <xf numFmtId="0" fontId="5" fillId="0" borderId="0" xfId="0" applyNumberFormat="1" applyFont="1" applyAlignment="1"/>
    <xf numFmtId="0" fontId="5" fillId="0" borderId="0" xfId="0" applyNumberFormat="1" applyFont="1" applyAlignment="1">
      <alignment horizontal="right"/>
    </xf>
    <xf numFmtId="3" fontId="26" fillId="0" borderId="0" xfId="0" applyNumberFormat="1" applyFont="1" applyAlignment="1">
      <alignment horizontal="right"/>
    </xf>
    <xf numFmtId="174" fontId="26" fillId="0" borderId="0" xfId="0" applyNumberFormat="1" applyFont="1" applyAlignment="1" applyProtection="1">
      <alignment horizontal="center"/>
      <protection locked="0"/>
    </xf>
    <xf numFmtId="0" fontId="8" fillId="0" borderId="0" xfId="0" applyFont="1" applyAlignment="1">
      <alignment horizontal="center"/>
    </xf>
    <xf numFmtId="0" fontId="5" fillId="0" borderId="0" xfId="0" applyFont="1" applyAlignment="1">
      <alignment horizontal="center"/>
    </xf>
    <xf numFmtId="14" fontId="8" fillId="0" borderId="0" xfId="0" applyNumberFormat="1" applyFont="1" applyAlignment="1">
      <alignment horizontal="center"/>
    </xf>
    <xf numFmtId="0" fontId="6" fillId="0" borderId="10" xfId="0" applyFont="1" applyBorder="1" applyAlignment="1">
      <alignment horizontal="center"/>
    </xf>
    <xf numFmtId="14" fontId="5" fillId="0" borderId="0" xfId="0" applyNumberFormat="1" applyFont="1" applyAlignment="1">
      <alignment horizontal="center"/>
    </xf>
    <xf numFmtId="0" fontId="0" fillId="0" borderId="26" xfId="0" applyBorder="1" applyAlignment="1">
      <alignment horizontal="center"/>
    </xf>
    <xf numFmtId="0" fontId="0" fillId="0" borderId="15" xfId="0" applyBorder="1" applyAlignment="1">
      <alignment horizontal="center"/>
    </xf>
    <xf numFmtId="0" fontId="0" fillId="0" borderId="22" xfId="0" applyBorder="1" applyAlignment="1">
      <alignment horizontal="center"/>
    </xf>
    <xf numFmtId="0" fontId="4" fillId="0" borderId="10" xfId="0" applyFont="1" applyBorder="1" applyAlignment="1">
      <alignment horizontal="center"/>
    </xf>
    <xf numFmtId="0" fontId="0" fillId="0" borderId="32" xfId="0" applyBorder="1" applyAlignment="1">
      <alignment horizontal="left"/>
    </xf>
    <xf numFmtId="0" fontId="0" fillId="0" borderId="45" xfId="0" applyBorder="1" applyAlignment="1">
      <alignment horizontal="left"/>
    </xf>
    <xf numFmtId="0" fontId="4" fillId="0" borderId="10" xfId="0" applyFont="1" applyFill="1" applyBorder="1" applyAlignment="1">
      <alignment horizontal="center" vertical="center"/>
    </xf>
  </cellXfs>
  <cellStyles count="173">
    <cellStyle name="20% - Accent1 2" xfId="1"/>
    <cellStyle name="20% - Accent1 3" xfId="2"/>
    <cellStyle name="20% - Accent2 2" xfId="3"/>
    <cellStyle name="20% - Accent2 3" xfId="4"/>
    <cellStyle name="20% - Accent3 2" xfId="5"/>
    <cellStyle name="20% - Accent3 3" xfId="6"/>
    <cellStyle name="20% - Accent4 2" xfId="7"/>
    <cellStyle name="20% - Accent4 3" xfId="8"/>
    <cellStyle name="20% - Accent5 2" xfId="9"/>
    <cellStyle name="20% - Accent5 3" xfId="10"/>
    <cellStyle name="20% - Accent6 2" xfId="11"/>
    <cellStyle name="20% - Accent6 3" xfId="12"/>
    <cellStyle name="40% - Accent1 2" xfId="13"/>
    <cellStyle name="40% - Accent1 3" xfId="14"/>
    <cellStyle name="40% - Accent2 2" xfId="15"/>
    <cellStyle name="40% - Accent2 3" xfId="16"/>
    <cellStyle name="40% - Accent3 2" xfId="17"/>
    <cellStyle name="40% - Accent3 3" xfId="18"/>
    <cellStyle name="40% - Accent4 2" xfId="19"/>
    <cellStyle name="40% - Accent4 3" xfId="20"/>
    <cellStyle name="40% - Accent5 2" xfId="21"/>
    <cellStyle name="40% - Accent5 3" xfId="22"/>
    <cellStyle name="40% - Accent6 2" xfId="23"/>
    <cellStyle name="40% - Accent6 3" xfId="24"/>
    <cellStyle name="60% - Accent1 2" xfId="25"/>
    <cellStyle name="60% - Accent1 3" xfId="26"/>
    <cellStyle name="60% - Accent2 2" xfId="27"/>
    <cellStyle name="60% - Accent2 3" xfId="28"/>
    <cellStyle name="60% - Accent3 2" xfId="29"/>
    <cellStyle name="60% - Accent3 3" xfId="30"/>
    <cellStyle name="60% - Accent4 2" xfId="31"/>
    <cellStyle name="60% - Accent4 3" xfId="32"/>
    <cellStyle name="60% - Accent5 2" xfId="33"/>
    <cellStyle name="60% - Accent5 3" xfId="34"/>
    <cellStyle name="60% - Accent6 2" xfId="35"/>
    <cellStyle name="60% - Accent6 3" xfId="36"/>
    <cellStyle name="Accent1 2" xfId="37"/>
    <cellStyle name="Accent1 3" xfId="38"/>
    <cellStyle name="Accent2 2" xfId="39"/>
    <cellStyle name="Accent2 3" xfId="40"/>
    <cellStyle name="Accent3 2" xfId="41"/>
    <cellStyle name="Accent3 3" xfId="42"/>
    <cellStyle name="Accent4 2" xfId="43"/>
    <cellStyle name="Accent4 3" xfId="44"/>
    <cellStyle name="Accent5 2" xfId="45"/>
    <cellStyle name="Accent5 3" xfId="46"/>
    <cellStyle name="Accent6 2" xfId="47"/>
    <cellStyle name="Accent6 3" xfId="48"/>
    <cellStyle name="Bad 2" xfId="49"/>
    <cellStyle name="Bad 3" xfId="50"/>
    <cellStyle name="Calculation 2" xfId="51"/>
    <cellStyle name="Calculation 3" xfId="52"/>
    <cellStyle name="Check Cell 2" xfId="53"/>
    <cellStyle name="Check Cell 3" xfId="54"/>
    <cellStyle name="Comma" xfId="55" builtinId="3"/>
    <cellStyle name="Comma 2" xfId="56"/>
    <cellStyle name="Comma 2 2" xfId="57"/>
    <cellStyle name="Comma 2 2 2" xfId="116"/>
    <cellStyle name="Comma 2 2 2 2" xfId="157"/>
    <cellStyle name="Comma 2 2 3" xfId="132"/>
    <cellStyle name="Comma 2 3" xfId="103"/>
    <cellStyle name="Comma 2 3 2" xfId="115"/>
    <cellStyle name="Comma 2 3 2 2" xfId="156"/>
    <cellStyle name="Comma 2 3 3" xfId="144"/>
    <cellStyle name="Comma 2 4" xfId="131"/>
    <cellStyle name="Comma 3" xfId="58"/>
    <cellStyle name="Comma 3 2" xfId="117"/>
    <cellStyle name="Comma 3 2 2" xfId="158"/>
    <cellStyle name="Comma 3 3" xfId="133"/>
    <cellStyle name="Comma 4" xfId="100"/>
    <cellStyle name="Comma 4 2" xfId="104"/>
    <cellStyle name="Comma 4 2 2" xfId="114"/>
    <cellStyle name="Comma 4 2 2 2" xfId="155"/>
    <cellStyle name="Comma 4 2 3" xfId="145"/>
    <cellStyle name="Comma 4 3" xfId="110"/>
    <cellStyle name="Comma 4 3 2" xfId="151"/>
    <cellStyle name="Comma 4 4" xfId="141"/>
    <cellStyle name="Comma 5" xfId="127"/>
    <cellStyle name="Comma 5 2" xfId="168"/>
    <cellStyle name="Comma 6" xfId="170"/>
    <cellStyle name="Comma 7" xfId="171"/>
    <cellStyle name="Currency" xfId="59" builtinId="4"/>
    <cellStyle name="Currency 2" xfId="60"/>
    <cellStyle name="Currency 2 2" xfId="118"/>
    <cellStyle name="Currency 2 2 2" xfId="159"/>
    <cellStyle name="Currency 2 3" xfId="134"/>
    <cellStyle name="Currency 3" xfId="61"/>
    <cellStyle name="Currency 3 2" xfId="62"/>
    <cellStyle name="Currency 3 2 2" xfId="120"/>
    <cellStyle name="Currency 3 2 2 2" xfId="161"/>
    <cellStyle name="Currency 3 2 3" xfId="136"/>
    <cellStyle name="Currency 3 3" xfId="105"/>
    <cellStyle name="Currency 3 3 2" xfId="119"/>
    <cellStyle name="Currency 3 3 2 2" xfId="160"/>
    <cellStyle name="Currency 3 3 3" xfId="146"/>
    <cellStyle name="Currency 3 4" xfId="135"/>
    <cellStyle name="Currency 4" xfId="101"/>
    <cellStyle name="Currency 4 2" xfId="106"/>
    <cellStyle name="Currency 4 2 2" xfId="113"/>
    <cellStyle name="Currency 4 2 2 2" xfId="154"/>
    <cellStyle name="Currency 4 2 3" xfId="147"/>
    <cellStyle name="Currency 4 3" xfId="109"/>
    <cellStyle name="Currency 4 3 2" xfId="150"/>
    <cellStyle name="Currency 4 4" xfId="142"/>
    <cellStyle name="Currency 5" xfId="172"/>
    <cellStyle name="Explanatory Text 2" xfId="63"/>
    <cellStyle name="Explanatory Text 3" xfId="64"/>
    <cellStyle name="Good 2" xfId="65"/>
    <cellStyle name="Good 3" xfId="66"/>
    <cellStyle name="Heading 1 2" xfId="67"/>
    <cellStyle name="Heading 1 3" xfId="68"/>
    <cellStyle name="Heading 2 2" xfId="69"/>
    <cellStyle name="Heading 2 3" xfId="70"/>
    <cellStyle name="Heading 3 2" xfId="71"/>
    <cellStyle name="Heading 3 3" xfId="72"/>
    <cellStyle name="Heading 4 2" xfId="73"/>
    <cellStyle name="Heading 4 3" xfId="74"/>
    <cellStyle name="Hyperlink 2" xfId="99"/>
    <cellStyle name="Input 2" xfId="75"/>
    <cellStyle name="Input 3" xfId="76"/>
    <cellStyle name="Linked Cell 2" xfId="77"/>
    <cellStyle name="Linked Cell 3" xfId="78"/>
    <cellStyle name="Neutral 2" xfId="79"/>
    <cellStyle name="Neutral 3" xfId="80"/>
    <cellStyle name="Normal" xfId="0" builtinId="0"/>
    <cellStyle name="Normal 2" xfId="81"/>
    <cellStyle name="Normal 2 2" xfId="121"/>
    <cellStyle name="Normal 2 2 2" xfId="162"/>
    <cellStyle name="Normal 2 3" xfId="137"/>
    <cellStyle name="Normal 3" xfId="82"/>
    <cellStyle name="Normal 4" xfId="83"/>
    <cellStyle name="Normal 5" xfId="98"/>
    <cellStyle name="Normal 5 2" xfId="112"/>
    <cellStyle name="Normal 5 2 2" xfId="153"/>
    <cellStyle name="Normal 5 3" xfId="129"/>
    <cellStyle name="Normal 6" xfId="126"/>
    <cellStyle name="Normal 6 2" xfId="167"/>
    <cellStyle name="Normal 7" xfId="169"/>
    <cellStyle name="Normal 8" xfId="130"/>
    <cellStyle name="Normal_Trial Balance" xfId="128"/>
    <cellStyle name="Note 2" xfId="84"/>
    <cellStyle name="Note 3" xfId="85"/>
    <cellStyle name="Output 2" xfId="86"/>
    <cellStyle name="Output 3" xfId="87"/>
    <cellStyle name="Percent" xfId="88" builtinId="5"/>
    <cellStyle name="Percent 2" xfId="89"/>
    <cellStyle name="Percent 2 2" xfId="122"/>
    <cellStyle name="Percent 2 2 2" xfId="163"/>
    <cellStyle name="Percent 2 3" xfId="138"/>
    <cellStyle name="Percent 3" xfId="90"/>
    <cellStyle name="Percent 3 2" xfId="91"/>
    <cellStyle name="Percent 3 2 2" xfId="124"/>
    <cellStyle name="Percent 3 2 2 2" xfId="165"/>
    <cellStyle name="Percent 3 2 3" xfId="140"/>
    <cellStyle name="Percent 3 3" xfId="107"/>
    <cellStyle name="Percent 3 3 2" xfId="123"/>
    <cellStyle name="Percent 3 3 2 2" xfId="164"/>
    <cellStyle name="Percent 3 3 3" xfId="148"/>
    <cellStyle name="Percent 3 4" xfId="139"/>
    <cellStyle name="Percent 4" xfId="102"/>
    <cellStyle name="Percent 4 2" xfId="108"/>
    <cellStyle name="Percent 4 2 2" xfId="125"/>
    <cellStyle name="Percent 4 2 2 2" xfId="166"/>
    <cellStyle name="Percent 4 2 3" xfId="149"/>
    <cellStyle name="Percent 4 3" xfId="111"/>
    <cellStyle name="Percent 4 3 2" xfId="152"/>
    <cellStyle name="Percent 4 4" xfId="143"/>
    <cellStyle name="Title 2" xfId="92"/>
    <cellStyle name="Title 3" xfId="93"/>
    <cellStyle name="Total 2" xfId="94"/>
    <cellStyle name="Total 3" xfId="95"/>
    <cellStyle name="Warning Text 2" xfId="96"/>
    <cellStyle name="Warning Text 3" xfId="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114300</xdr:colOff>
          <xdr:row>1</xdr:row>
          <xdr:rowOff>57150</xdr:rowOff>
        </xdr:to>
        <xdr:sp macro="" textlink="">
          <xdr:nvSpPr>
            <xdr:cNvPr id="3073" name="FILTER"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114300</xdr:colOff>
          <xdr:row>1</xdr:row>
          <xdr:rowOff>57150</xdr:rowOff>
        </xdr:to>
        <xdr:sp macro="" textlink="">
          <xdr:nvSpPr>
            <xdr:cNvPr id="3074" name="HEADER" hidden="1">
              <a:extLst>
                <a:ext uri="{63B3BB69-23CF-44E3-9099-C40C66FF867C}">
                  <a14:compatExt spid="_x0000_s3074"/>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01"/>
  <sheetViews>
    <sheetView tabSelected="1" topLeftCell="A34" workbookViewId="0">
      <selection activeCell="I274" sqref="I274:K274"/>
    </sheetView>
  </sheetViews>
  <sheetFormatPr defaultRowHeight="12.75"/>
  <cols>
    <col min="1" max="1" width="7.7109375" style="160" customWidth="1"/>
    <col min="2" max="2" width="58.42578125" style="160" customWidth="1"/>
    <col min="3" max="3" width="35.85546875" style="160" customWidth="1"/>
    <col min="4" max="4" width="17.85546875" style="160" customWidth="1"/>
    <col min="5" max="5" width="7.7109375" style="160" customWidth="1"/>
    <col min="6" max="6" width="7.28515625" style="160" customWidth="1"/>
    <col min="7" max="7" width="13.7109375" style="160" customWidth="1"/>
    <col min="8" max="8" width="7.42578125" style="160" customWidth="1"/>
    <col min="9" max="9" width="16.42578125" style="160" customWidth="1"/>
    <col min="10" max="10" width="4.42578125" style="160" customWidth="1"/>
    <col min="11" max="11" width="11.7109375" style="160" customWidth="1"/>
    <col min="12" max="12" width="2.42578125" style="160" customWidth="1"/>
    <col min="13" max="13" width="13" style="160" bestFit="1" customWidth="1"/>
    <col min="14" max="14" width="9.140625" style="160"/>
    <col min="15" max="15" width="21.5703125" style="160" customWidth="1"/>
    <col min="16" max="16384" width="9.140625" style="160"/>
  </cols>
  <sheetData>
    <row r="1" spans="1:64" s="373" customFormat="1" ht="15">
      <c r="H1" s="653" t="s">
        <v>779</v>
      </c>
      <c r="I1" s="653"/>
      <c r="J1" s="653"/>
      <c r="K1" s="653"/>
      <c r="L1" s="653"/>
    </row>
    <row r="2" spans="1:64" ht="15">
      <c r="B2" s="163"/>
      <c r="C2" s="163"/>
      <c r="D2" s="165"/>
      <c r="E2" s="163"/>
      <c r="F2" s="163"/>
      <c r="G2" s="163"/>
      <c r="H2" s="164"/>
      <c r="I2" s="164"/>
      <c r="J2" s="164"/>
      <c r="K2" s="654" t="s">
        <v>283</v>
      </c>
      <c r="L2" s="654"/>
      <c r="M2" s="161"/>
      <c r="N2" s="162"/>
      <c r="O2" s="161"/>
      <c r="P2" s="161"/>
      <c r="Q2" s="161"/>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row>
    <row r="3" spans="1:64" ht="15">
      <c r="B3" s="163"/>
      <c r="C3" s="163"/>
      <c r="D3" s="165"/>
      <c r="E3" s="163"/>
      <c r="F3" s="163"/>
      <c r="G3" s="163"/>
      <c r="H3" s="164"/>
      <c r="I3" s="164"/>
      <c r="J3" s="164"/>
      <c r="K3" s="166"/>
      <c r="L3" s="166"/>
      <c r="M3" s="161"/>
      <c r="N3" s="162"/>
      <c r="O3" s="161"/>
      <c r="P3" s="161"/>
      <c r="Q3" s="161"/>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row>
    <row r="4" spans="1:64" ht="15">
      <c r="B4" s="163" t="s">
        <v>284</v>
      </c>
      <c r="C4" s="163"/>
      <c r="D4" s="165" t="s">
        <v>285</v>
      </c>
      <c r="E4" s="163"/>
      <c r="F4" s="163"/>
      <c r="G4" s="163"/>
      <c r="H4" s="164"/>
      <c r="I4" s="335" t="s">
        <v>1180</v>
      </c>
      <c r="J4" s="335"/>
      <c r="K4" s="335"/>
      <c r="L4" s="336"/>
      <c r="M4" s="161"/>
      <c r="N4" s="162"/>
      <c r="O4" s="161"/>
      <c r="P4" s="161"/>
      <c r="Q4" s="161"/>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row>
    <row r="5" spans="1:64" ht="15">
      <c r="B5" s="163"/>
      <c r="C5" s="168" t="s">
        <v>154</v>
      </c>
      <c r="D5" s="168" t="s">
        <v>632</v>
      </c>
      <c r="E5" s="168"/>
      <c r="F5" s="168"/>
      <c r="G5" s="168"/>
      <c r="H5" s="164"/>
      <c r="I5" s="164"/>
      <c r="J5" s="164"/>
      <c r="K5" s="164"/>
      <c r="L5" s="161"/>
      <c r="M5" s="161"/>
      <c r="N5" s="162"/>
      <c r="O5" s="161"/>
      <c r="P5" s="161"/>
      <c r="Q5" s="161"/>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row>
    <row r="6" spans="1:64" ht="15">
      <c r="B6" s="164"/>
      <c r="C6" s="164"/>
      <c r="D6" s="164"/>
      <c r="E6" s="164"/>
      <c r="F6" s="164"/>
      <c r="G6" s="164"/>
      <c r="H6" s="164"/>
      <c r="I6" s="164"/>
      <c r="J6" s="164"/>
      <c r="K6" s="164"/>
      <c r="L6" s="161"/>
      <c r="M6" s="161"/>
      <c r="N6" s="162"/>
      <c r="O6" s="161"/>
      <c r="P6" s="161"/>
      <c r="Q6" s="161"/>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row>
    <row r="7" spans="1:64" ht="15">
      <c r="A7" s="169"/>
      <c r="B7" s="164"/>
      <c r="C7" s="164"/>
      <c r="D7" s="170" t="s">
        <v>249</v>
      </c>
      <c r="E7" s="167"/>
      <c r="F7" s="167"/>
      <c r="G7" s="167"/>
      <c r="H7" s="167"/>
      <c r="I7" s="164"/>
      <c r="J7" s="164"/>
      <c r="K7" s="164"/>
      <c r="L7" s="161"/>
      <c r="M7" s="161"/>
      <c r="N7" s="162"/>
      <c r="O7" s="161"/>
      <c r="P7" s="161"/>
      <c r="Q7" s="161"/>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row>
    <row r="8" spans="1:64" s="386" customFormat="1" ht="15">
      <c r="A8" s="394"/>
      <c r="B8" s="390"/>
      <c r="C8" s="390"/>
      <c r="D8" s="395"/>
      <c r="E8" s="392"/>
      <c r="F8" s="392"/>
      <c r="G8" s="392"/>
      <c r="H8" s="392"/>
      <c r="I8" s="390"/>
      <c r="J8" s="390"/>
      <c r="K8" s="390"/>
      <c r="L8" s="387"/>
      <c r="M8" s="387"/>
      <c r="N8" s="388"/>
      <c r="O8" s="387"/>
      <c r="P8" s="387"/>
      <c r="Q8" s="387"/>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row>
    <row r="9" spans="1:64" ht="15">
      <c r="A9" s="169" t="s">
        <v>3</v>
      </c>
      <c r="B9" s="164"/>
      <c r="C9" s="164"/>
      <c r="D9" s="171"/>
      <c r="E9" s="164"/>
      <c r="F9" s="164"/>
      <c r="G9" s="164"/>
      <c r="H9" s="164"/>
      <c r="I9" s="166" t="s">
        <v>286</v>
      </c>
      <c r="J9" s="164"/>
      <c r="K9" s="164"/>
      <c r="L9" s="161"/>
      <c r="M9" s="161"/>
      <c r="N9" s="162"/>
      <c r="O9" s="161"/>
      <c r="P9" s="161"/>
      <c r="Q9" s="161"/>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row>
    <row r="10" spans="1:64" ht="15.75" thickBot="1">
      <c r="A10" s="173" t="s">
        <v>4</v>
      </c>
      <c r="B10" s="164"/>
      <c r="C10" s="164"/>
      <c r="D10" s="164"/>
      <c r="E10" s="164"/>
      <c r="F10" s="164"/>
      <c r="G10" s="164"/>
      <c r="H10" s="164"/>
      <c r="I10" s="174" t="s">
        <v>79</v>
      </c>
      <c r="J10" s="164"/>
      <c r="K10" s="164"/>
      <c r="L10" s="161"/>
      <c r="M10" s="161"/>
      <c r="N10" s="162"/>
      <c r="O10" s="161"/>
      <c r="P10" s="161"/>
      <c r="Q10" s="161"/>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row>
    <row r="11" spans="1:64" ht="15">
      <c r="A11" s="169">
        <v>1</v>
      </c>
      <c r="B11" s="164" t="s">
        <v>706</v>
      </c>
      <c r="C11" s="164"/>
      <c r="D11" s="175"/>
      <c r="E11" s="164"/>
      <c r="F11" s="164"/>
      <c r="G11" s="164"/>
      <c r="H11" s="164"/>
      <c r="I11" s="176">
        <f>+I201</f>
        <v>67022.331427092955</v>
      </c>
      <c r="J11" s="164"/>
      <c r="K11" s="164"/>
      <c r="L11" s="161"/>
      <c r="M11" s="161"/>
      <c r="N11" s="162"/>
      <c r="O11" s="161"/>
      <c r="P11" s="161"/>
      <c r="Q11" s="161"/>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row>
    <row r="12" spans="1:64" s="386" customFormat="1" ht="15">
      <c r="A12" s="394"/>
      <c r="B12" s="390"/>
      <c r="C12" s="390"/>
      <c r="D12" s="396"/>
      <c r="E12" s="390"/>
      <c r="F12" s="390"/>
      <c r="G12" s="390"/>
      <c r="H12" s="390"/>
      <c r="I12" s="397"/>
      <c r="J12" s="390"/>
      <c r="K12" s="390"/>
      <c r="L12" s="387"/>
      <c r="M12" s="387"/>
      <c r="N12" s="388"/>
      <c r="O12" s="387"/>
      <c r="P12" s="387"/>
      <c r="Q12" s="387"/>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row>
    <row r="13" spans="1:64" ht="15.75" thickBot="1">
      <c r="A13" s="169" t="s">
        <v>154</v>
      </c>
      <c r="B13" s="163" t="s">
        <v>287</v>
      </c>
      <c r="C13" s="168" t="s">
        <v>288</v>
      </c>
      <c r="D13" s="174" t="s">
        <v>109</v>
      </c>
      <c r="E13" s="168"/>
      <c r="F13" s="178" t="s">
        <v>289</v>
      </c>
      <c r="G13" s="178"/>
      <c r="H13" s="164"/>
      <c r="I13" s="175"/>
      <c r="J13" s="164"/>
      <c r="K13" s="164"/>
      <c r="L13" s="161"/>
      <c r="M13" s="161"/>
      <c r="N13" s="162"/>
      <c r="O13" s="161"/>
      <c r="P13" s="161"/>
      <c r="Q13" s="161"/>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row>
    <row r="14" spans="1:64" ht="15">
      <c r="A14" s="169">
        <v>2</v>
      </c>
      <c r="B14" s="163" t="s">
        <v>290</v>
      </c>
      <c r="C14" s="168" t="s">
        <v>291</v>
      </c>
      <c r="D14" s="168">
        <f>I261</f>
        <v>0</v>
      </c>
      <c r="E14" s="168"/>
      <c r="F14" s="168" t="s">
        <v>292</v>
      </c>
      <c r="G14" s="179">
        <f>I220</f>
        <v>1</v>
      </c>
      <c r="H14" s="168"/>
      <c r="I14" s="168">
        <f>+G14*D14</f>
        <v>0</v>
      </c>
      <c r="J14" s="164"/>
      <c r="K14" s="164"/>
      <c r="L14" s="161"/>
      <c r="M14" s="161"/>
      <c r="N14" s="162"/>
      <c r="O14" s="161"/>
      <c r="P14" s="161"/>
      <c r="Q14" s="161"/>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row>
    <row r="15" spans="1:64" ht="15">
      <c r="A15" s="169">
        <v>3</v>
      </c>
      <c r="B15" s="163" t="s">
        <v>707</v>
      </c>
      <c r="C15" s="168" t="s">
        <v>293</v>
      </c>
      <c r="D15" s="168">
        <f>I268</f>
        <v>972.51000000000204</v>
      </c>
      <c r="E15" s="168"/>
      <c r="F15" s="168" t="str">
        <f>+F14</f>
        <v>TP</v>
      </c>
      <c r="G15" s="179">
        <f>+G14</f>
        <v>1</v>
      </c>
      <c r="H15" s="168"/>
      <c r="I15" s="168">
        <f>+G15*D15</f>
        <v>972.51000000000204</v>
      </c>
      <c r="J15" s="164"/>
      <c r="K15" s="164"/>
      <c r="L15" s="161"/>
      <c r="M15" s="180"/>
      <c r="N15" s="181"/>
      <c r="O15" s="182"/>
      <c r="P15" s="182"/>
      <c r="Q15" s="182"/>
      <c r="R15" s="181"/>
      <c r="S15" s="181"/>
      <c r="T15" s="181"/>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row>
    <row r="16" spans="1:64" ht="15">
      <c r="A16" s="169">
        <v>4</v>
      </c>
      <c r="B16" s="163" t="s">
        <v>294</v>
      </c>
      <c r="C16" s="168"/>
      <c r="D16" s="183">
        <v>0</v>
      </c>
      <c r="E16" s="168"/>
      <c r="F16" s="168" t="s">
        <v>292</v>
      </c>
      <c r="G16" s="179">
        <f>+G14</f>
        <v>1</v>
      </c>
      <c r="H16" s="168"/>
      <c r="I16" s="168">
        <f>+G16*D16</f>
        <v>0</v>
      </c>
      <c r="J16" s="164"/>
      <c r="K16" s="164"/>
      <c r="L16" s="161"/>
      <c r="M16" s="184"/>
      <c r="N16" s="181"/>
      <c r="O16" s="182"/>
      <c r="P16" s="182"/>
      <c r="Q16" s="182"/>
      <c r="R16" s="181"/>
      <c r="S16" s="181"/>
      <c r="T16" s="181"/>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row>
    <row r="17" spans="1:64" ht="15.75" thickBot="1">
      <c r="A17" s="169">
        <v>5</v>
      </c>
      <c r="B17" s="163" t="s">
        <v>295</v>
      </c>
      <c r="C17" s="168"/>
      <c r="D17" s="183">
        <v>0</v>
      </c>
      <c r="E17" s="168"/>
      <c r="F17" s="168" t="s">
        <v>292</v>
      </c>
      <c r="G17" s="179">
        <f>+G14</f>
        <v>1</v>
      </c>
      <c r="H17" s="168"/>
      <c r="I17" s="185">
        <f>+G17*D17</f>
        <v>0</v>
      </c>
      <c r="J17" s="164"/>
      <c r="K17" s="164"/>
      <c r="L17" s="161"/>
      <c r="M17" s="184"/>
      <c r="N17" s="181"/>
      <c r="O17" s="182"/>
      <c r="P17" s="182"/>
      <c r="Q17" s="182"/>
      <c r="R17" s="181"/>
      <c r="S17" s="181"/>
      <c r="T17" s="181"/>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row>
    <row r="18" spans="1:64" ht="15">
      <c r="A18" s="169">
        <v>6</v>
      </c>
      <c r="B18" s="163" t="s">
        <v>296</v>
      </c>
      <c r="C18" s="164"/>
      <c r="D18" s="186" t="s">
        <v>154</v>
      </c>
      <c r="E18" s="168"/>
      <c r="F18" s="168"/>
      <c r="G18" s="179"/>
      <c r="H18" s="168"/>
      <c r="I18" s="168">
        <f>SUM(I14:I17)</f>
        <v>972.51000000000204</v>
      </c>
      <c r="J18" s="164"/>
      <c r="K18" s="164"/>
      <c r="L18" s="161"/>
      <c r="M18" s="182"/>
      <c r="N18" s="181"/>
      <c r="O18" s="182"/>
      <c r="P18" s="182"/>
      <c r="Q18" s="182"/>
      <c r="R18" s="181"/>
      <c r="S18" s="181"/>
      <c r="T18" s="181"/>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row>
    <row r="19" spans="1:64" s="386" customFormat="1" ht="15">
      <c r="A19" s="394"/>
      <c r="B19" s="389"/>
      <c r="C19" s="390"/>
      <c r="D19" s="402"/>
      <c r="E19" s="393"/>
      <c r="F19" s="393"/>
      <c r="G19" s="398"/>
      <c r="H19" s="393"/>
      <c r="I19" s="393"/>
      <c r="J19" s="390"/>
      <c r="K19" s="390"/>
      <c r="L19" s="387"/>
      <c r="M19" s="401"/>
      <c r="N19" s="400"/>
      <c r="O19" s="401"/>
      <c r="P19" s="401"/>
      <c r="Q19" s="401"/>
      <c r="R19" s="400"/>
      <c r="S19" s="400"/>
      <c r="T19" s="400"/>
      <c r="U19" s="388"/>
      <c r="V19" s="388"/>
      <c r="W19" s="388"/>
      <c r="X19" s="388"/>
      <c r="Y19" s="388"/>
      <c r="Z19" s="388"/>
      <c r="AA19" s="388"/>
      <c r="AB19" s="388"/>
      <c r="AC19" s="388"/>
      <c r="AD19" s="388"/>
      <c r="AE19" s="388"/>
      <c r="AF19" s="388"/>
      <c r="AG19" s="388"/>
      <c r="AH19" s="388"/>
      <c r="AI19" s="388"/>
      <c r="AJ19" s="388"/>
      <c r="AK19" s="388"/>
      <c r="AL19" s="388"/>
      <c r="AM19" s="388"/>
      <c r="AN19" s="388"/>
      <c r="AO19" s="388"/>
      <c r="AP19" s="388"/>
      <c r="AQ19" s="388"/>
      <c r="AR19" s="388"/>
      <c r="AS19" s="388"/>
      <c r="AT19" s="388"/>
      <c r="AU19" s="388"/>
      <c r="AV19" s="388"/>
      <c r="AW19" s="388"/>
      <c r="AX19" s="388"/>
      <c r="AY19" s="388"/>
      <c r="AZ19" s="388"/>
      <c r="BA19" s="388"/>
      <c r="BB19" s="388"/>
      <c r="BC19" s="388"/>
      <c r="BD19" s="388"/>
      <c r="BE19" s="388"/>
      <c r="BF19" s="388"/>
      <c r="BG19" s="388"/>
      <c r="BH19" s="388"/>
      <c r="BI19" s="388"/>
      <c r="BJ19" s="388"/>
      <c r="BK19" s="388"/>
      <c r="BL19" s="388"/>
    </row>
    <row r="20" spans="1:64" s="386" customFormat="1" ht="15.75">
      <c r="A20" s="319" t="s">
        <v>1793</v>
      </c>
      <c r="B20" s="304" t="s">
        <v>1794</v>
      </c>
      <c r="C20" s="303"/>
      <c r="D20" s="303"/>
      <c r="E20" s="303"/>
      <c r="F20" s="303"/>
      <c r="G20" s="303"/>
      <c r="H20" s="303"/>
      <c r="I20" s="624">
        <v>0</v>
      </c>
      <c r="J20" s="390"/>
      <c r="K20" s="390"/>
      <c r="L20" s="387"/>
      <c r="M20" s="401"/>
      <c r="N20" s="400"/>
      <c r="O20" s="401"/>
      <c r="P20" s="401"/>
      <c r="Q20" s="401"/>
      <c r="R20" s="400"/>
      <c r="S20" s="400"/>
      <c r="T20" s="400"/>
      <c r="U20" s="388"/>
      <c r="V20" s="388"/>
      <c r="W20" s="388"/>
      <c r="X20" s="388"/>
      <c r="Y20" s="388"/>
      <c r="Z20" s="388"/>
      <c r="AA20" s="388"/>
      <c r="AB20" s="388"/>
      <c r="AC20" s="388"/>
      <c r="AD20" s="388"/>
      <c r="AE20" s="388"/>
      <c r="AF20" s="388"/>
      <c r="AG20" s="388"/>
      <c r="AH20" s="388"/>
      <c r="AI20" s="388"/>
      <c r="AJ20" s="388"/>
      <c r="AK20" s="388"/>
      <c r="AL20" s="388"/>
      <c r="AM20" s="388"/>
      <c r="AN20" s="388"/>
      <c r="AO20" s="388"/>
      <c r="AP20" s="388"/>
      <c r="AQ20" s="388"/>
      <c r="AR20" s="388"/>
      <c r="AS20" s="388"/>
      <c r="AT20" s="388"/>
      <c r="AU20" s="388"/>
      <c r="AV20" s="388"/>
      <c r="AW20" s="388"/>
      <c r="AX20" s="388"/>
      <c r="AY20" s="388"/>
      <c r="AZ20" s="388"/>
      <c r="BA20" s="388"/>
      <c r="BB20" s="388"/>
      <c r="BC20" s="388"/>
      <c r="BD20" s="388"/>
      <c r="BE20" s="388"/>
      <c r="BF20" s="388"/>
      <c r="BG20" s="388"/>
      <c r="BH20" s="388"/>
      <c r="BI20" s="388"/>
      <c r="BJ20" s="388"/>
      <c r="BK20" s="388"/>
      <c r="BL20" s="388"/>
    </row>
    <row r="21" spans="1:64" s="386" customFormat="1" ht="15.75">
      <c r="A21" s="319" t="s">
        <v>1795</v>
      </c>
      <c r="B21" s="304" t="s">
        <v>1796</v>
      </c>
      <c r="C21" s="303"/>
      <c r="D21" s="303"/>
      <c r="E21" s="303"/>
      <c r="F21" s="303"/>
      <c r="G21" s="303"/>
      <c r="H21" s="303"/>
      <c r="I21" s="624">
        <v>0</v>
      </c>
      <c r="J21" s="390"/>
      <c r="K21" s="390"/>
      <c r="L21" s="387"/>
      <c r="M21" s="401"/>
      <c r="N21" s="400"/>
      <c r="O21" s="401"/>
      <c r="P21" s="401"/>
      <c r="Q21" s="401"/>
      <c r="R21" s="400"/>
      <c r="S21" s="400"/>
      <c r="T21" s="400"/>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388"/>
      <c r="AY21" s="388"/>
      <c r="AZ21" s="388"/>
      <c r="BA21" s="388"/>
      <c r="BB21" s="388"/>
      <c r="BC21" s="388"/>
      <c r="BD21" s="388"/>
      <c r="BE21" s="388"/>
      <c r="BF21" s="388"/>
      <c r="BG21" s="388"/>
      <c r="BH21" s="388"/>
      <c r="BI21" s="388"/>
      <c r="BJ21" s="388"/>
      <c r="BK21" s="388"/>
      <c r="BL21" s="388"/>
    </row>
    <row r="22" spans="1:64" s="386" customFormat="1" ht="16.5" thickBot="1">
      <c r="A22" s="319" t="s">
        <v>1797</v>
      </c>
      <c r="B22" s="304" t="s">
        <v>1798</v>
      </c>
      <c r="C22" s="303"/>
      <c r="D22" s="303"/>
      <c r="E22" s="303"/>
      <c r="F22" s="303"/>
      <c r="G22" s="303"/>
      <c r="H22" s="303"/>
      <c r="I22" s="625">
        <f>I20+I21</f>
        <v>0</v>
      </c>
      <c r="J22" s="390"/>
      <c r="K22" s="390"/>
      <c r="L22" s="387"/>
      <c r="M22" s="401"/>
      <c r="N22" s="400"/>
      <c r="O22" s="401"/>
      <c r="P22" s="401"/>
      <c r="Q22" s="401"/>
      <c r="R22" s="400"/>
      <c r="S22" s="400"/>
      <c r="T22" s="400"/>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388"/>
      <c r="AY22" s="388"/>
      <c r="AZ22" s="388"/>
      <c r="BA22" s="388"/>
      <c r="BB22" s="388"/>
      <c r="BC22" s="388"/>
      <c r="BD22" s="388"/>
      <c r="BE22" s="388"/>
      <c r="BF22" s="388"/>
      <c r="BG22" s="388"/>
      <c r="BH22" s="388"/>
      <c r="BI22" s="388"/>
      <c r="BJ22" s="388"/>
      <c r="BK22" s="388"/>
      <c r="BL22" s="388"/>
    </row>
    <row r="23" spans="1:64" ht="15">
      <c r="A23" s="169"/>
      <c r="C23" s="164"/>
      <c r="D23" s="168" t="s">
        <v>154</v>
      </c>
      <c r="E23" s="164"/>
      <c r="F23" s="164"/>
      <c r="G23" s="179"/>
      <c r="H23" s="164"/>
      <c r="J23" s="164"/>
      <c r="K23" s="164"/>
      <c r="L23" s="161"/>
      <c r="M23" s="182"/>
      <c r="N23" s="181"/>
      <c r="O23" s="182"/>
      <c r="P23" s="182"/>
      <c r="Q23" s="182"/>
      <c r="R23" s="181"/>
      <c r="S23" s="181"/>
      <c r="T23" s="181"/>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row>
    <row r="24" spans="1:64" ht="15.75" thickBot="1">
      <c r="A24" s="169">
        <v>7</v>
      </c>
      <c r="B24" s="163" t="s">
        <v>297</v>
      </c>
      <c r="C24" s="390" t="s">
        <v>1799</v>
      </c>
      <c r="D24" s="186" t="s">
        <v>154</v>
      </c>
      <c r="E24" s="168"/>
      <c r="F24" s="168"/>
      <c r="G24" s="168"/>
      <c r="H24" s="168"/>
      <c r="I24" s="187">
        <f>+I11-I18+I22</f>
        <v>66049.821427092946</v>
      </c>
      <c r="J24" s="164"/>
      <c r="K24" s="164"/>
      <c r="L24" s="161"/>
      <c r="M24" s="182"/>
      <c r="N24" s="181"/>
      <c r="O24" s="182"/>
      <c r="P24" s="182"/>
      <c r="Q24" s="182"/>
      <c r="R24" s="181"/>
      <c r="S24" s="181"/>
      <c r="T24" s="181"/>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row>
    <row r="25" spans="1:64" s="386" customFormat="1" ht="15.75" thickTop="1">
      <c r="A25" s="394"/>
      <c r="B25" s="389"/>
      <c r="C25" s="390"/>
      <c r="D25" s="402"/>
      <c r="E25" s="393"/>
      <c r="F25" s="393"/>
      <c r="G25" s="393"/>
      <c r="H25" s="393"/>
      <c r="I25" s="415"/>
      <c r="J25" s="390"/>
      <c r="K25" s="390"/>
      <c r="L25" s="387"/>
      <c r="M25" s="401"/>
      <c r="N25" s="400"/>
      <c r="O25" s="401"/>
      <c r="P25" s="401"/>
      <c r="Q25" s="401"/>
      <c r="R25" s="400"/>
      <c r="S25" s="400"/>
      <c r="T25" s="400"/>
      <c r="U25" s="388"/>
      <c r="V25" s="388"/>
      <c r="W25" s="388"/>
      <c r="X25" s="388"/>
      <c r="Y25" s="388"/>
      <c r="Z25" s="388"/>
      <c r="AA25" s="388"/>
      <c r="AB25" s="388"/>
      <c r="AC25" s="388"/>
      <c r="AD25" s="388"/>
      <c r="AE25" s="388"/>
      <c r="AF25" s="388"/>
      <c r="AG25" s="388"/>
      <c r="AH25" s="388"/>
      <c r="AI25" s="388"/>
      <c r="AJ25" s="388"/>
      <c r="AK25" s="388"/>
      <c r="AL25" s="388"/>
      <c r="AM25" s="388"/>
      <c r="AN25" s="388"/>
      <c r="AO25" s="388"/>
      <c r="AP25" s="388"/>
      <c r="AQ25" s="388"/>
      <c r="AR25" s="388"/>
      <c r="AS25" s="388"/>
      <c r="AT25" s="388"/>
      <c r="AU25" s="388"/>
      <c r="AV25" s="388"/>
      <c r="AW25" s="388"/>
      <c r="AX25" s="388"/>
      <c r="AY25" s="388"/>
      <c r="AZ25" s="388"/>
      <c r="BA25" s="388"/>
      <c r="BB25" s="388"/>
      <c r="BC25" s="388"/>
      <c r="BD25" s="388"/>
      <c r="BE25" s="388"/>
      <c r="BF25" s="388"/>
      <c r="BG25" s="388"/>
      <c r="BH25" s="388"/>
      <c r="BI25" s="388"/>
      <c r="BJ25" s="388"/>
      <c r="BK25" s="388"/>
      <c r="BL25" s="388"/>
    </row>
    <row r="26" spans="1:64" ht="15">
      <c r="A26" s="169" t="s">
        <v>154</v>
      </c>
      <c r="B26" s="163" t="s">
        <v>298</v>
      </c>
      <c r="C26" s="164"/>
      <c r="D26" s="175"/>
      <c r="E26" s="164"/>
      <c r="F26" s="164"/>
      <c r="G26" s="164"/>
      <c r="H26" s="164"/>
      <c r="I26" s="175"/>
      <c r="J26" s="164"/>
      <c r="K26" s="164"/>
      <c r="L26" s="161"/>
      <c r="M26" s="182"/>
      <c r="N26" s="181"/>
      <c r="O26" s="182"/>
      <c r="P26" s="182"/>
      <c r="Q26" s="182"/>
      <c r="R26" s="181"/>
      <c r="S26" s="181"/>
      <c r="T26" s="181"/>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row>
    <row r="27" spans="1:64" ht="15">
      <c r="A27" s="169">
        <v>8</v>
      </c>
      <c r="B27" s="163" t="s">
        <v>299</v>
      </c>
      <c r="C27" s="141"/>
      <c r="D27" s="175"/>
      <c r="E27" s="164"/>
      <c r="F27" s="164"/>
      <c r="G27" s="164" t="s">
        <v>300</v>
      </c>
      <c r="H27" s="164"/>
      <c r="I27" s="183">
        <f>PEAKS!T5*1000</f>
        <v>10318.583333333332</v>
      </c>
      <c r="J27" s="164"/>
      <c r="K27" s="188"/>
      <c r="L27" s="161"/>
      <c r="M27" s="189"/>
      <c r="N27" s="181"/>
      <c r="O27" s="180"/>
      <c r="P27" s="182"/>
      <c r="Q27" s="182"/>
      <c r="R27" s="181"/>
      <c r="S27" s="181"/>
      <c r="T27" s="181"/>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2"/>
      <c r="BL27" s="162"/>
    </row>
    <row r="28" spans="1:64" ht="15">
      <c r="A28" s="169">
        <v>9</v>
      </c>
      <c r="B28" s="163" t="s">
        <v>301</v>
      </c>
      <c r="C28" s="168"/>
      <c r="D28" s="168"/>
      <c r="E28" s="168"/>
      <c r="F28" s="168"/>
      <c r="G28" s="168" t="s">
        <v>302</v>
      </c>
      <c r="H28" s="168"/>
      <c r="I28" s="183">
        <v>0</v>
      </c>
      <c r="J28" s="164"/>
      <c r="K28" s="164"/>
      <c r="L28" s="161"/>
      <c r="M28" s="182"/>
      <c r="N28" s="181"/>
      <c r="O28" s="180"/>
      <c r="P28" s="182"/>
      <c r="Q28" s="182"/>
      <c r="R28" s="181"/>
      <c r="S28" s="181"/>
      <c r="T28" s="181"/>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row>
    <row r="29" spans="1:64" ht="15">
      <c r="A29" s="169">
        <v>10</v>
      </c>
      <c r="B29" s="163" t="s">
        <v>303</v>
      </c>
      <c r="C29" s="164"/>
      <c r="D29" s="164"/>
      <c r="E29" s="164"/>
      <c r="F29" s="164"/>
      <c r="G29" s="164" t="s">
        <v>304</v>
      </c>
      <c r="H29" s="164"/>
      <c r="I29" s="183">
        <v>0</v>
      </c>
      <c r="J29" s="164"/>
      <c r="K29" s="164"/>
      <c r="L29" s="161"/>
      <c r="M29" s="182"/>
      <c r="N29" s="181"/>
      <c r="O29" s="180"/>
      <c r="P29" s="182"/>
      <c r="Q29" s="182"/>
      <c r="R29" s="181"/>
      <c r="S29" s="181"/>
      <c r="T29" s="181"/>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2"/>
      <c r="BJ29" s="162"/>
      <c r="BK29" s="162"/>
      <c r="BL29" s="162"/>
    </row>
    <row r="30" spans="1:64" ht="15">
      <c r="A30" s="169">
        <v>11</v>
      </c>
      <c r="B30" s="190" t="s">
        <v>305</v>
      </c>
      <c r="C30" s="164"/>
      <c r="D30" s="164"/>
      <c r="E30" s="164"/>
      <c r="F30" s="164"/>
      <c r="G30" s="164" t="s">
        <v>306</v>
      </c>
      <c r="H30" s="164"/>
      <c r="I30" s="183">
        <v>0</v>
      </c>
      <c r="J30" s="164"/>
      <c r="K30" s="164"/>
      <c r="L30" s="161"/>
      <c r="M30" s="182"/>
      <c r="N30" s="181"/>
      <c r="O30" s="180"/>
      <c r="P30" s="182"/>
      <c r="Q30" s="182"/>
      <c r="R30" s="181"/>
      <c r="S30" s="181"/>
      <c r="T30" s="181"/>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row>
    <row r="31" spans="1:64" ht="15">
      <c r="A31" s="169">
        <v>12</v>
      </c>
      <c r="B31" s="190" t="s">
        <v>307</v>
      </c>
      <c r="C31" s="164"/>
      <c r="D31" s="164"/>
      <c r="E31" s="164"/>
      <c r="F31" s="164"/>
      <c r="G31" s="164"/>
      <c r="H31" s="164"/>
      <c r="I31" s="183">
        <v>0</v>
      </c>
      <c r="J31" s="164"/>
      <c r="K31" s="164"/>
      <c r="L31" s="161"/>
      <c r="M31" s="182"/>
      <c r="N31" s="181"/>
      <c r="O31" s="180"/>
      <c r="P31" s="182"/>
      <c r="Q31" s="182"/>
      <c r="R31" s="181"/>
      <c r="S31" s="181"/>
      <c r="T31" s="181"/>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row>
    <row r="32" spans="1:64" ht="15">
      <c r="A32" s="169">
        <v>13</v>
      </c>
      <c r="B32" s="190" t="s">
        <v>308</v>
      </c>
      <c r="C32" s="164"/>
      <c r="D32" s="164"/>
      <c r="E32" s="164"/>
      <c r="F32" s="164"/>
      <c r="G32" s="164"/>
      <c r="H32" s="164"/>
      <c r="I32" s="191">
        <v>0</v>
      </c>
      <c r="J32" s="164"/>
      <c r="K32" s="164"/>
      <c r="L32" s="161"/>
      <c r="M32" s="182"/>
      <c r="N32" s="181"/>
      <c r="O32" s="180"/>
      <c r="P32" s="182"/>
      <c r="Q32" s="182"/>
      <c r="R32" s="181"/>
      <c r="S32" s="181"/>
      <c r="T32" s="181"/>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row>
    <row r="33" spans="1:64" ht="15.75" thickBot="1">
      <c r="A33" s="169">
        <v>14</v>
      </c>
      <c r="B33" s="163" t="s">
        <v>309</v>
      </c>
      <c r="C33" s="164"/>
      <c r="D33" s="164"/>
      <c r="E33" s="164"/>
      <c r="F33" s="164"/>
      <c r="G33" s="164"/>
      <c r="H33" s="164"/>
      <c r="I33" s="192">
        <v>0</v>
      </c>
      <c r="J33" s="164"/>
      <c r="K33" s="164"/>
      <c r="L33" s="161"/>
      <c r="M33" s="182"/>
      <c r="N33" s="181"/>
      <c r="O33" s="180"/>
      <c r="P33" s="182"/>
      <c r="Q33" s="182"/>
      <c r="R33" s="181"/>
      <c r="S33" s="181"/>
      <c r="T33" s="181"/>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row>
    <row r="34" spans="1:64" ht="15">
      <c r="A34" s="169">
        <v>15</v>
      </c>
      <c r="B34" s="163" t="s">
        <v>310</v>
      </c>
      <c r="C34" s="164"/>
      <c r="D34" s="164"/>
      <c r="E34" s="164"/>
      <c r="F34" s="164"/>
      <c r="G34" s="164"/>
      <c r="H34" s="164"/>
      <c r="I34" s="175">
        <f>SUM(I27:I33)</f>
        <v>10318.583333333332</v>
      </c>
      <c r="J34" s="164"/>
      <c r="K34" s="164"/>
      <c r="L34" s="161"/>
      <c r="M34" s="182"/>
      <c r="N34" s="181"/>
      <c r="O34" s="180"/>
      <c r="P34" s="182"/>
      <c r="Q34" s="182"/>
      <c r="R34" s="181"/>
      <c r="S34" s="181"/>
      <c r="T34" s="181"/>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row>
    <row r="35" spans="1:64" ht="15">
      <c r="A35" s="169"/>
      <c r="B35" s="163"/>
      <c r="C35" s="164"/>
      <c r="D35" s="164"/>
      <c r="E35" s="164"/>
      <c r="F35" s="164"/>
      <c r="G35" s="164"/>
      <c r="H35" s="164"/>
      <c r="I35" s="175"/>
      <c r="J35" s="164"/>
      <c r="K35" s="164"/>
      <c r="L35" s="161"/>
      <c r="M35" s="182"/>
      <c r="N35" s="181"/>
      <c r="O35" s="182"/>
      <c r="P35" s="182"/>
      <c r="Q35" s="182"/>
      <c r="R35" s="181"/>
      <c r="S35" s="181"/>
      <c r="T35" s="181"/>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row>
    <row r="36" spans="1:64" ht="15">
      <c r="A36" s="169">
        <v>16</v>
      </c>
      <c r="B36" s="163" t="s">
        <v>311</v>
      </c>
      <c r="C36" s="164" t="s">
        <v>312</v>
      </c>
      <c r="D36" s="193">
        <f>IF(I34&gt;0,I24/I34,0)</f>
        <v>6.4010551926953427</v>
      </c>
      <c r="E36" s="164"/>
      <c r="F36" s="164"/>
      <c r="G36" s="164"/>
      <c r="H36" s="164"/>
      <c r="I36" s="141"/>
      <c r="J36" s="164"/>
      <c r="K36" s="164"/>
      <c r="L36" s="161"/>
      <c r="M36" s="182"/>
      <c r="N36" s="181"/>
      <c r="O36" s="182"/>
      <c r="P36" s="182"/>
      <c r="Q36" s="182"/>
      <c r="R36" s="181"/>
      <c r="S36" s="181"/>
      <c r="T36" s="181"/>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row>
    <row r="37" spans="1:64" ht="15">
      <c r="A37" s="169">
        <v>17</v>
      </c>
      <c r="B37" s="163" t="s">
        <v>313</v>
      </c>
      <c r="C37" s="164"/>
      <c r="D37" s="193">
        <f>+D36/12</f>
        <v>0.53342126605794526</v>
      </c>
      <c r="E37" s="164"/>
      <c r="F37" s="164"/>
      <c r="G37" s="164"/>
      <c r="H37" s="164"/>
      <c r="I37" s="141"/>
      <c r="J37" s="164"/>
      <c r="K37" s="164"/>
      <c r="L37" s="161"/>
      <c r="M37" s="182"/>
      <c r="N37" s="181"/>
      <c r="O37" s="182"/>
      <c r="P37" s="182"/>
      <c r="Q37" s="182"/>
      <c r="R37" s="181"/>
      <c r="S37" s="181"/>
      <c r="T37" s="181"/>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row>
    <row r="38" spans="1:64" s="386" customFormat="1" ht="15">
      <c r="A38" s="394"/>
      <c r="B38" s="389"/>
      <c r="C38" s="390"/>
      <c r="D38" s="404"/>
      <c r="E38" s="390"/>
      <c r="F38" s="390"/>
      <c r="G38" s="390"/>
      <c r="H38" s="390"/>
      <c r="I38" s="403"/>
      <c r="J38" s="390"/>
      <c r="K38" s="390"/>
      <c r="L38" s="387"/>
      <c r="M38" s="401"/>
      <c r="N38" s="400"/>
      <c r="O38" s="401"/>
      <c r="P38" s="401"/>
      <c r="Q38" s="401"/>
      <c r="R38" s="400"/>
      <c r="S38" s="400"/>
      <c r="T38" s="400"/>
      <c r="U38" s="388"/>
      <c r="V38" s="388"/>
      <c r="W38" s="388"/>
      <c r="X38" s="388"/>
      <c r="Y38" s="388"/>
      <c r="Z38" s="388"/>
      <c r="AA38" s="388"/>
      <c r="AB38" s="388"/>
      <c r="AC38" s="388"/>
      <c r="AD38" s="388"/>
      <c r="AE38" s="388"/>
      <c r="AF38" s="388"/>
      <c r="AG38" s="388"/>
      <c r="AH38" s="388"/>
      <c r="AI38" s="388"/>
      <c r="AJ38" s="388"/>
      <c r="AK38" s="388"/>
      <c r="AL38" s="388"/>
      <c r="AM38" s="388"/>
      <c r="AN38" s="388"/>
      <c r="AO38" s="388"/>
      <c r="AP38" s="388"/>
      <c r="AQ38" s="388"/>
      <c r="AR38" s="388"/>
      <c r="AS38" s="388"/>
      <c r="AT38" s="388"/>
      <c r="AU38" s="388"/>
      <c r="AV38" s="388"/>
      <c r="AW38" s="388"/>
      <c r="AX38" s="388"/>
      <c r="AY38" s="388"/>
      <c r="AZ38" s="388"/>
      <c r="BA38" s="388"/>
      <c r="BB38" s="388"/>
      <c r="BC38" s="388"/>
      <c r="BD38" s="388"/>
      <c r="BE38" s="388"/>
      <c r="BF38" s="388"/>
      <c r="BG38" s="388"/>
      <c r="BH38" s="388"/>
      <c r="BI38" s="388"/>
      <c r="BJ38" s="388"/>
      <c r="BK38" s="388"/>
      <c r="BL38" s="388"/>
    </row>
    <row r="39" spans="1:64" ht="15">
      <c r="A39" s="169"/>
      <c r="B39" s="163"/>
      <c r="C39" s="164"/>
      <c r="D39" s="194" t="s">
        <v>314</v>
      </c>
      <c r="E39" s="164"/>
      <c r="F39" s="164"/>
      <c r="G39" s="164"/>
      <c r="H39" s="164"/>
      <c r="I39" s="14" t="s">
        <v>315</v>
      </c>
      <c r="J39" s="164"/>
      <c r="K39" s="164"/>
      <c r="L39" s="161"/>
      <c r="M39" s="182"/>
      <c r="N39" s="181"/>
      <c r="O39" s="182"/>
      <c r="P39" s="182"/>
      <c r="Q39" s="182"/>
      <c r="R39" s="181"/>
      <c r="S39" s="181"/>
      <c r="T39" s="181"/>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row>
    <row r="40" spans="1:64" ht="15">
      <c r="A40" s="169">
        <v>18</v>
      </c>
      <c r="B40" s="163" t="s">
        <v>316</v>
      </c>
      <c r="C40" s="164" t="s">
        <v>317</v>
      </c>
      <c r="D40" s="193">
        <f>+D36/52</f>
        <v>0.1230972152441412</v>
      </c>
      <c r="E40" s="164"/>
      <c r="F40" s="164"/>
      <c r="G40" s="164"/>
      <c r="H40" s="164"/>
      <c r="I40" s="195">
        <f>+D36/52</f>
        <v>0.1230972152441412</v>
      </c>
      <c r="J40" s="164"/>
      <c r="K40" s="164"/>
      <c r="L40" s="161"/>
      <c r="M40" s="182"/>
      <c r="N40" s="181"/>
      <c r="O40" s="182"/>
      <c r="P40" s="182"/>
      <c r="Q40" s="182"/>
      <c r="R40" s="181"/>
      <c r="S40" s="181"/>
      <c r="T40" s="181"/>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row>
    <row r="41" spans="1:64" ht="15">
      <c r="A41" s="169">
        <v>19</v>
      </c>
      <c r="B41" s="163" t="s">
        <v>318</v>
      </c>
      <c r="C41" s="164" t="s">
        <v>633</v>
      </c>
      <c r="D41" s="193">
        <f>D36/260</f>
        <v>2.4619443048828241E-2</v>
      </c>
      <c r="E41" s="164" t="s">
        <v>319</v>
      </c>
      <c r="F41" s="141"/>
      <c r="G41" s="164"/>
      <c r="H41" s="164"/>
      <c r="I41" s="195">
        <f>D36/365</f>
        <v>1.7537137514233817E-2</v>
      </c>
      <c r="J41" s="164"/>
      <c r="K41" s="164"/>
      <c r="L41" s="161"/>
      <c r="M41" s="182"/>
      <c r="N41" s="181"/>
      <c r="O41" s="182"/>
      <c r="P41" s="182"/>
      <c r="Q41" s="182"/>
      <c r="R41" s="181"/>
      <c r="S41" s="181"/>
      <c r="T41" s="181"/>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row>
    <row r="42" spans="1:64" ht="15">
      <c r="A42" s="169">
        <v>20</v>
      </c>
      <c r="B42" s="163" t="s">
        <v>320</v>
      </c>
      <c r="C42" s="164" t="s">
        <v>634</v>
      </c>
      <c r="D42" s="193">
        <f>D36/4160</f>
        <v>1.5387151905517651E-3</v>
      </c>
      <c r="E42" s="164" t="s">
        <v>321</v>
      </c>
      <c r="F42" s="141"/>
      <c r="G42" s="164"/>
      <c r="H42" s="164"/>
      <c r="I42" s="195">
        <f>D36/8760*1000</f>
        <v>0.73071406309307563</v>
      </c>
      <c r="J42" s="164"/>
      <c r="K42" s="164" t="s">
        <v>154</v>
      </c>
      <c r="L42" s="161"/>
      <c r="M42" s="182"/>
      <c r="N42" s="181"/>
      <c r="O42" s="182"/>
      <c r="P42" s="182"/>
      <c r="Q42" s="182"/>
      <c r="R42" s="181"/>
      <c r="S42" s="181"/>
      <c r="T42" s="181"/>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row>
    <row r="43" spans="1:64" ht="15">
      <c r="A43" s="169"/>
      <c r="B43" s="163"/>
      <c r="C43" s="164" t="s">
        <v>322</v>
      </c>
      <c r="D43" s="164"/>
      <c r="E43" s="164" t="s">
        <v>323</v>
      </c>
      <c r="F43" s="141"/>
      <c r="G43" s="164"/>
      <c r="H43" s="164"/>
      <c r="I43" s="141"/>
      <c r="J43" s="164"/>
      <c r="K43" s="164" t="s">
        <v>154</v>
      </c>
      <c r="L43" s="161"/>
      <c r="M43" s="182"/>
      <c r="N43" s="181"/>
      <c r="O43" s="182"/>
      <c r="P43" s="182"/>
      <c r="Q43" s="182"/>
      <c r="R43" s="181"/>
      <c r="S43" s="181"/>
      <c r="T43" s="181"/>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row>
    <row r="44" spans="1:64" ht="15">
      <c r="A44" s="169"/>
      <c r="B44" s="163"/>
      <c r="C44" s="164"/>
      <c r="D44" s="164"/>
      <c r="E44" s="164"/>
      <c r="F44" s="141"/>
      <c r="G44" s="164"/>
      <c r="H44" s="164"/>
      <c r="I44" s="141"/>
      <c r="J44" s="164"/>
      <c r="K44" s="164" t="s">
        <v>154</v>
      </c>
      <c r="L44" s="161"/>
      <c r="M44" s="182"/>
      <c r="N44" s="181"/>
      <c r="O44" s="182"/>
      <c r="P44" s="182"/>
      <c r="Q44" s="182"/>
      <c r="R44" s="181"/>
      <c r="S44" s="181"/>
      <c r="T44" s="181"/>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row>
    <row r="45" spans="1:64" ht="15">
      <c r="A45" s="169">
        <v>21</v>
      </c>
      <c r="B45" s="163" t="s">
        <v>324</v>
      </c>
      <c r="C45" s="164" t="s">
        <v>325</v>
      </c>
      <c r="D45" s="196">
        <v>0</v>
      </c>
      <c r="E45" s="197" t="s">
        <v>326</v>
      </c>
      <c r="F45" s="197"/>
      <c r="G45" s="197"/>
      <c r="H45" s="197"/>
      <c r="I45" s="197">
        <f>D45</f>
        <v>0</v>
      </c>
      <c r="J45" s="197" t="s">
        <v>326</v>
      </c>
      <c r="K45" s="164"/>
      <c r="L45" s="161"/>
      <c r="M45" s="182"/>
      <c r="N45" s="181"/>
      <c r="O45" s="182"/>
      <c r="P45" s="182"/>
      <c r="Q45" s="182"/>
      <c r="R45" s="181"/>
      <c r="S45" s="181"/>
      <c r="T45" s="181"/>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row>
    <row r="46" spans="1:64" ht="15">
      <c r="A46" s="169">
        <v>22</v>
      </c>
      <c r="B46" s="163"/>
      <c r="C46" s="164"/>
      <c r="D46" s="196">
        <v>0</v>
      </c>
      <c r="E46" s="197" t="s">
        <v>327</v>
      </c>
      <c r="F46" s="197"/>
      <c r="G46" s="197"/>
      <c r="H46" s="197"/>
      <c r="I46" s="197">
        <f>D46</f>
        <v>0</v>
      </c>
      <c r="J46" s="197" t="s">
        <v>327</v>
      </c>
      <c r="K46" s="164"/>
      <c r="L46" s="161"/>
      <c r="M46" s="182"/>
      <c r="N46" s="181"/>
      <c r="O46" s="182"/>
      <c r="P46" s="182"/>
      <c r="Q46" s="182"/>
      <c r="R46" s="181"/>
      <c r="S46" s="181"/>
      <c r="T46" s="181"/>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row>
    <row r="47" spans="1:64" ht="15">
      <c r="J47" s="198"/>
      <c r="K47" s="164"/>
      <c r="L47" s="161"/>
      <c r="M47" s="182"/>
      <c r="N47" s="181"/>
      <c r="O47" s="182"/>
      <c r="P47" s="182"/>
      <c r="Q47" s="182"/>
      <c r="R47" s="181"/>
      <c r="S47" s="181"/>
      <c r="T47" s="181"/>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row>
    <row r="48" spans="1:64" ht="15.75">
      <c r="A48" s="303"/>
      <c r="B48" s="305"/>
      <c r="C48" s="305"/>
      <c r="D48" s="305"/>
      <c r="E48" s="305"/>
      <c r="F48" s="305"/>
      <c r="G48" s="305"/>
      <c r="H48" s="306"/>
      <c r="I48" s="305"/>
      <c r="J48" s="307"/>
      <c r="K48" s="164"/>
      <c r="L48" s="161"/>
      <c r="M48" s="182"/>
      <c r="N48" s="181"/>
      <c r="O48" s="182"/>
      <c r="P48" s="182"/>
      <c r="Q48" s="182"/>
      <c r="R48" s="181"/>
      <c r="S48" s="181"/>
      <c r="T48" s="181"/>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row>
    <row r="49" spans="1:64" ht="15.75">
      <c r="A49" s="303"/>
      <c r="B49" s="305"/>
      <c r="C49" s="305"/>
      <c r="D49" s="305"/>
      <c r="E49" s="305"/>
      <c r="F49" s="305"/>
      <c r="G49" s="305"/>
      <c r="H49" s="306"/>
      <c r="I49" s="305"/>
      <c r="J49" s="305"/>
      <c r="K49" s="164"/>
      <c r="L49" s="161"/>
      <c r="M49" s="182"/>
      <c r="N49" s="181"/>
      <c r="O49" s="182"/>
      <c r="P49" s="182"/>
      <c r="Q49" s="182"/>
      <c r="R49" s="181"/>
      <c r="S49" s="181"/>
      <c r="T49" s="181"/>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row>
    <row r="50" spans="1:64" ht="15">
      <c r="B50" s="163"/>
      <c r="C50" s="164"/>
      <c r="D50" s="164"/>
      <c r="E50" s="164"/>
      <c r="F50" s="164"/>
      <c r="G50" s="164"/>
      <c r="H50" s="164"/>
      <c r="I50" s="199"/>
      <c r="J50" s="164"/>
      <c r="K50" s="164"/>
      <c r="L50" s="161"/>
      <c r="M50" s="182"/>
      <c r="N50" s="181"/>
      <c r="O50" s="182"/>
      <c r="P50" s="182"/>
      <c r="Q50" s="182"/>
      <c r="R50" s="181"/>
      <c r="S50" s="181"/>
      <c r="T50" s="181"/>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row>
    <row r="51" spans="1:64" ht="15">
      <c r="B51" s="163"/>
      <c r="C51" s="164"/>
      <c r="D51" s="164"/>
      <c r="E51" s="164"/>
      <c r="F51" s="164"/>
      <c r="G51" s="164"/>
      <c r="H51" s="164"/>
      <c r="I51" s="199"/>
      <c r="J51" s="164"/>
      <c r="K51" s="164"/>
      <c r="L51" s="161"/>
      <c r="M51" s="182"/>
      <c r="N51" s="181"/>
      <c r="O51" s="182"/>
      <c r="P51" s="182"/>
      <c r="Q51" s="182"/>
      <c r="R51" s="181"/>
      <c r="S51" s="181"/>
      <c r="T51" s="181"/>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row>
    <row r="52" spans="1:64" ht="15">
      <c r="B52" s="163"/>
      <c r="C52" s="164"/>
      <c r="D52" s="164"/>
      <c r="E52" s="164"/>
      <c r="F52" s="164"/>
      <c r="G52" s="164"/>
      <c r="H52" s="164"/>
      <c r="I52" s="199"/>
      <c r="J52" s="164"/>
      <c r="K52" s="164"/>
      <c r="L52" s="161"/>
      <c r="M52" s="182"/>
      <c r="N52" s="181"/>
      <c r="O52" s="182"/>
      <c r="P52" s="182"/>
      <c r="Q52" s="182"/>
      <c r="R52" s="181"/>
      <c r="S52" s="181"/>
      <c r="T52" s="181"/>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row>
    <row r="53" spans="1:64" ht="15">
      <c r="B53" s="163"/>
      <c r="C53" s="164"/>
      <c r="D53" s="164"/>
      <c r="E53" s="164"/>
      <c r="F53" s="164"/>
      <c r="G53" s="164"/>
      <c r="H53" s="164"/>
      <c r="I53" s="199"/>
      <c r="J53" s="164"/>
      <c r="K53" s="164"/>
      <c r="L53" s="161"/>
      <c r="M53" s="182"/>
      <c r="N53" s="181"/>
      <c r="O53" s="182"/>
      <c r="P53" s="182"/>
      <c r="Q53" s="182"/>
      <c r="R53" s="181"/>
      <c r="S53" s="181"/>
      <c r="T53" s="181"/>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row>
    <row r="54" spans="1:64" ht="15">
      <c r="B54" s="163"/>
      <c r="C54" s="164"/>
      <c r="D54" s="164"/>
      <c r="E54" s="164"/>
      <c r="F54" s="164"/>
      <c r="G54" s="164"/>
      <c r="H54" s="164"/>
      <c r="I54" s="199"/>
      <c r="J54" s="164"/>
      <c r="K54" s="164"/>
      <c r="L54" s="161"/>
      <c r="M54" s="182"/>
      <c r="N54" s="181"/>
      <c r="O54" s="182"/>
      <c r="P54" s="182"/>
      <c r="Q54" s="182"/>
      <c r="R54" s="181"/>
      <c r="S54" s="181"/>
      <c r="T54" s="181"/>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row>
    <row r="55" spans="1:64" s="386" customFormat="1" ht="15">
      <c r="B55" s="565"/>
      <c r="C55" s="390"/>
      <c r="D55" s="390"/>
      <c r="E55" s="390"/>
      <c r="F55" s="390"/>
      <c r="G55" s="390"/>
      <c r="H55" s="390"/>
      <c r="I55" s="199"/>
      <c r="J55" s="390"/>
      <c r="K55" s="390"/>
      <c r="L55" s="387"/>
      <c r="M55" s="401"/>
      <c r="N55" s="400"/>
      <c r="O55" s="401"/>
      <c r="P55" s="401"/>
      <c r="Q55" s="401"/>
      <c r="R55" s="400"/>
      <c r="S55" s="400"/>
      <c r="T55" s="400"/>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88"/>
      <c r="BD55" s="388"/>
      <c r="BE55" s="388"/>
      <c r="BF55" s="388"/>
      <c r="BG55" s="388"/>
      <c r="BH55" s="388"/>
      <c r="BI55" s="388"/>
      <c r="BJ55" s="388"/>
      <c r="BK55" s="388"/>
      <c r="BL55" s="388"/>
    </row>
    <row r="56" spans="1:64" s="386" customFormat="1" ht="15">
      <c r="B56" s="565"/>
      <c r="C56" s="390"/>
      <c r="D56" s="390"/>
      <c r="E56" s="390"/>
      <c r="F56" s="390"/>
      <c r="G56" s="390"/>
      <c r="H56" s="390"/>
      <c r="I56" s="199"/>
      <c r="J56" s="390"/>
      <c r="K56" s="390"/>
      <c r="L56" s="387"/>
      <c r="M56" s="401"/>
      <c r="N56" s="400"/>
      <c r="O56" s="401"/>
      <c r="P56" s="401"/>
      <c r="Q56" s="401"/>
      <c r="R56" s="400"/>
      <c r="S56" s="400"/>
      <c r="T56" s="400"/>
      <c r="U56" s="388"/>
      <c r="V56" s="388"/>
      <c r="W56" s="388"/>
      <c r="X56" s="388"/>
      <c r="Y56" s="388"/>
      <c r="Z56" s="388"/>
      <c r="AA56" s="388"/>
      <c r="AB56" s="388"/>
      <c r="AC56" s="388"/>
      <c r="AD56" s="388"/>
      <c r="AE56" s="388"/>
      <c r="AF56" s="388"/>
      <c r="AG56" s="388"/>
      <c r="AH56" s="388"/>
      <c r="AI56" s="388"/>
      <c r="AJ56" s="388"/>
      <c r="AK56" s="388"/>
      <c r="AL56" s="388"/>
      <c r="AM56" s="388"/>
      <c r="AN56" s="388"/>
      <c r="AO56" s="388"/>
      <c r="AP56" s="388"/>
      <c r="AQ56" s="388"/>
      <c r="AR56" s="388"/>
      <c r="AS56" s="388"/>
      <c r="AT56" s="388"/>
      <c r="AU56" s="388"/>
      <c r="AV56" s="388"/>
      <c r="AW56" s="388"/>
      <c r="AX56" s="388"/>
      <c r="AY56" s="388"/>
      <c r="AZ56" s="388"/>
      <c r="BA56" s="388"/>
      <c r="BB56" s="388"/>
      <c r="BC56" s="388"/>
      <c r="BD56" s="388"/>
      <c r="BE56" s="388"/>
      <c r="BF56" s="388"/>
      <c r="BG56" s="388"/>
      <c r="BH56" s="388"/>
      <c r="BI56" s="388"/>
      <c r="BJ56" s="388"/>
      <c r="BK56" s="388"/>
      <c r="BL56" s="388"/>
    </row>
    <row r="57" spans="1:64" s="386" customFormat="1" ht="15">
      <c r="B57" s="565"/>
      <c r="C57" s="390"/>
      <c r="D57" s="390"/>
      <c r="E57" s="390"/>
      <c r="F57" s="390"/>
      <c r="G57" s="390"/>
      <c r="H57" s="390"/>
      <c r="I57" s="199"/>
      <c r="J57" s="390"/>
      <c r="K57" s="390"/>
      <c r="L57" s="387"/>
      <c r="M57" s="401"/>
      <c r="N57" s="400"/>
      <c r="O57" s="401"/>
      <c r="P57" s="401"/>
      <c r="Q57" s="401"/>
      <c r="R57" s="400"/>
      <c r="S57" s="400"/>
      <c r="T57" s="400"/>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8"/>
      <c r="AX57" s="388"/>
      <c r="AY57" s="388"/>
      <c r="AZ57" s="388"/>
      <c r="BA57" s="388"/>
      <c r="BB57" s="388"/>
      <c r="BC57" s="388"/>
      <c r="BD57" s="388"/>
      <c r="BE57" s="388"/>
      <c r="BF57" s="388"/>
      <c r="BG57" s="388"/>
      <c r="BH57" s="388"/>
      <c r="BI57" s="388"/>
      <c r="BJ57" s="388"/>
      <c r="BK57" s="388"/>
      <c r="BL57" s="388"/>
    </row>
    <row r="58" spans="1:64" s="386" customFormat="1" ht="15">
      <c r="B58" s="565"/>
      <c r="C58" s="390"/>
      <c r="D58" s="390"/>
      <c r="E58" s="390"/>
      <c r="F58" s="390"/>
      <c r="G58" s="390"/>
      <c r="H58" s="390"/>
      <c r="I58" s="199"/>
      <c r="J58" s="390"/>
      <c r="K58" s="390"/>
      <c r="L58" s="387"/>
      <c r="M58" s="401"/>
      <c r="N58" s="400"/>
      <c r="O58" s="401"/>
      <c r="P58" s="401"/>
      <c r="Q58" s="401"/>
      <c r="R58" s="400"/>
      <c r="S58" s="400"/>
      <c r="T58" s="400"/>
      <c r="U58" s="388"/>
      <c r="V58" s="388"/>
      <c r="W58" s="388"/>
      <c r="X58" s="388"/>
      <c r="Y58" s="388"/>
      <c r="Z58" s="388"/>
      <c r="AA58" s="388"/>
      <c r="AB58" s="388"/>
      <c r="AC58" s="388"/>
      <c r="AD58" s="388"/>
      <c r="AE58" s="388"/>
      <c r="AF58" s="388"/>
      <c r="AG58" s="388"/>
      <c r="AH58" s="388"/>
      <c r="AI58" s="388"/>
      <c r="AJ58" s="388"/>
      <c r="AK58" s="388"/>
      <c r="AL58" s="388"/>
      <c r="AM58" s="388"/>
      <c r="AN58" s="388"/>
      <c r="AO58" s="388"/>
      <c r="AP58" s="388"/>
      <c r="AQ58" s="388"/>
      <c r="AR58" s="388"/>
      <c r="AS58" s="388"/>
      <c r="AT58" s="388"/>
      <c r="AU58" s="388"/>
      <c r="AV58" s="388"/>
      <c r="AW58" s="388"/>
      <c r="AX58" s="388"/>
      <c r="AY58" s="388"/>
      <c r="AZ58" s="388"/>
      <c r="BA58" s="388"/>
      <c r="BB58" s="388"/>
      <c r="BC58" s="388"/>
      <c r="BD58" s="388"/>
      <c r="BE58" s="388"/>
      <c r="BF58" s="388"/>
      <c r="BG58" s="388"/>
      <c r="BH58" s="388"/>
      <c r="BI58" s="388"/>
      <c r="BJ58" s="388"/>
      <c r="BK58" s="388"/>
      <c r="BL58" s="388"/>
    </row>
    <row r="59" spans="1:64" s="386" customFormat="1" ht="15">
      <c r="B59" s="565"/>
      <c r="C59" s="390"/>
      <c r="D59" s="390"/>
      <c r="E59" s="390"/>
      <c r="F59" s="390"/>
      <c r="G59" s="390"/>
      <c r="H59" s="390"/>
      <c r="I59" s="199"/>
      <c r="J59" s="390"/>
      <c r="K59" s="390"/>
      <c r="L59" s="387"/>
      <c r="M59" s="401"/>
      <c r="N59" s="400"/>
      <c r="O59" s="401"/>
      <c r="P59" s="401"/>
      <c r="Q59" s="401"/>
      <c r="R59" s="400"/>
      <c r="S59" s="400"/>
      <c r="T59" s="400"/>
      <c r="U59" s="388"/>
      <c r="V59" s="388"/>
      <c r="W59" s="388"/>
      <c r="X59" s="388"/>
      <c r="Y59" s="388"/>
      <c r="Z59" s="388"/>
      <c r="AA59" s="388"/>
      <c r="AB59" s="388"/>
      <c r="AC59" s="388"/>
      <c r="AD59" s="388"/>
      <c r="AE59" s="388"/>
      <c r="AF59" s="388"/>
      <c r="AG59" s="388"/>
      <c r="AH59" s="388"/>
      <c r="AI59" s="388"/>
      <c r="AJ59" s="388"/>
      <c r="AK59" s="388"/>
      <c r="AL59" s="388"/>
      <c r="AM59" s="388"/>
      <c r="AN59" s="388"/>
      <c r="AO59" s="388"/>
      <c r="AP59" s="388"/>
      <c r="AQ59" s="388"/>
      <c r="AR59" s="388"/>
      <c r="AS59" s="388"/>
      <c r="AT59" s="388"/>
      <c r="AU59" s="388"/>
      <c r="AV59" s="388"/>
      <c r="AW59" s="388"/>
      <c r="AX59" s="388"/>
      <c r="AY59" s="388"/>
      <c r="AZ59" s="388"/>
      <c r="BA59" s="388"/>
      <c r="BB59" s="388"/>
      <c r="BC59" s="388"/>
      <c r="BD59" s="388"/>
      <c r="BE59" s="388"/>
      <c r="BF59" s="388"/>
      <c r="BG59" s="388"/>
      <c r="BH59" s="388"/>
      <c r="BI59" s="388"/>
      <c r="BJ59" s="388"/>
      <c r="BK59" s="388"/>
      <c r="BL59" s="388"/>
    </row>
    <row r="60" spans="1:64" s="386" customFormat="1" ht="15">
      <c r="B60" s="565"/>
      <c r="C60" s="390"/>
      <c r="D60" s="390"/>
      <c r="E60" s="390"/>
      <c r="F60" s="390"/>
      <c r="G60" s="390"/>
      <c r="H60" s="390"/>
      <c r="I60" s="199"/>
      <c r="J60" s="390"/>
      <c r="K60" s="390"/>
      <c r="L60" s="387"/>
      <c r="M60" s="401"/>
      <c r="N60" s="400"/>
      <c r="O60" s="401"/>
      <c r="P60" s="401"/>
      <c r="Q60" s="401"/>
      <c r="R60" s="400"/>
      <c r="S60" s="400"/>
      <c r="T60" s="400"/>
      <c r="U60" s="388"/>
      <c r="V60" s="388"/>
      <c r="W60" s="388"/>
      <c r="X60" s="388"/>
      <c r="Y60" s="388"/>
      <c r="Z60" s="388"/>
      <c r="AA60" s="388"/>
      <c r="AB60" s="388"/>
      <c r="AC60" s="388"/>
      <c r="AD60" s="388"/>
      <c r="AE60" s="388"/>
      <c r="AF60" s="388"/>
      <c r="AG60" s="388"/>
      <c r="AH60" s="388"/>
      <c r="AI60" s="388"/>
      <c r="AJ60" s="388"/>
      <c r="AK60" s="388"/>
      <c r="AL60" s="388"/>
      <c r="AM60" s="388"/>
      <c r="AN60" s="388"/>
      <c r="AO60" s="388"/>
      <c r="AP60" s="388"/>
      <c r="AQ60" s="388"/>
      <c r="AR60" s="388"/>
      <c r="AS60" s="388"/>
      <c r="AT60" s="388"/>
      <c r="AU60" s="388"/>
      <c r="AV60" s="388"/>
      <c r="AW60" s="388"/>
      <c r="AX60" s="388"/>
      <c r="AY60" s="388"/>
      <c r="AZ60" s="388"/>
      <c r="BA60" s="388"/>
      <c r="BB60" s="388"/>
      <c r="BC60" s="388"/>
      <c r="BD60" s="388"/>
      <c r="BE60" s="388"/>
      <c r="BF60" s="388"/>
      <c r="BG60" s="388"/>
      <c r="BH60" s="388"/>
      <c r="BI60" s="388"/>
      <c r="BJ60" s="388"/>
      <c r="BK60" s="388"/>
      <c r="BL60" s="388"/>
    </row>
    <row r="61" spans="1:64" s="386" customFormat="1" ht="15">
      <c r="B61" s="565"/>
      <c r="C61" s="390"/>
      <c r="D61" s="390"/>
      <c r="E61" s="390"/>
      <c r="F61" s="390"/>
      <c r="G61" s="390"/>
      <c r="H61" s="390"/>
      <c r="I61" s="199"/>
      <c r="J61" s="390"/>
      <c r="K61" s="390"/>
      <c r="L61" s="387"/>
      <c r="M61" s="401"/>
      <c r="N61" s="400"/>
      <c r="O61" s="401"/>
      <c r="P61" s="401"/>
      <c r="Q61" s="401"/>
      <c r="R61" s="400"/>
      <c r="S61" s="400"/>
      <c r="T61" s="400"/>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388"/>
      <c r="AY61" s="388"/>
      <c r="AZ61" s="388"/>
      <c r="BA61" s="388"/>
      <c r="BB61" s="388"/>
      <c r="BC61" s="388"/>
      <c r="BD61" s="388"/>
      <c r="BE61" s="388"/>
      <c r="BF61" s="388"/>
      <c r="BG61" s="388"/>
      <c r="BH61" s="388"/>
      <c r="BI61" s="388"/>
      <c r="BJ61" s="388"/>
      <c r="BK61" s="388"/>
      <c r="BL61" s="388"/>
    </row>
    <row r="62" spans="1:64" s="386" customFormat="1" ht="15">
      <c r="B62" s="565"/>
      <c r="C62" s="390"/>
      <c r="D62" s="390"/>
      <c r="E62" s="390"/>
      <c r="F62" s="390"/>
      <c r="G62" s="390"/>
      <c r="H62" s="390"/>
      <c r="I62" s="199"/>
      <c r="J62" s="390"/>
      <c r="K62" s="390"/>
      <c r="L62" s="387"/>
      <c r="M62" s="401"/>
      <c r="N62" s="400"/>
      <c r="O62" s="401"/>
      <c r="P62" s="401"/>
      <c r="Q62" s="401"/>
      <c r="R62" s="400"/>
      <c r="S62" s="400"/>
      <c r="T62" s="400"/>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row>
    <row r="63" spans="1:64" s="386" customFormat="1" ht="15">
      <c r="B63" s="565"/>
      <c r="C63" s="390"/>
      <c r="D63" s="390"/>
      <c r="E63" s="390"/>
      <c r="F63" s="390"/>
      <c r="G63" s="390"/>
      <c r="H63" s="390"/>
      <c r="I63" s="199"/>
      <c r="J63" s="390"/>
      <c r="K63" s="390"/>
      <c r="L63" s="387"/>
      <c r="M63" s="401"/>
      <c r="N63" s="400"/>
      <c r="O63" s="401"/>
      <c r="P63" s="401"/>
      <c r="Q63" s="401"/>
      <c r="R63" s="400"/>
      <c r="S63" s="400"/>
      <c r="T63" s="400"/>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8"/>
      <c r="AY63" s="388"/>
      <c r="AZ63" s="388"/>
      <c r="BA63" s="388"/>
      <c r="BB63" s="388"/>
      <c r="BC63" s="388"/>
      <c r="BD63" s="388"/>
      <c r="BE63" s="388"/>
      <c r="BF63" s="388"/>
      <c r="BG63" s="388"/>
      <c r="BH63" s="388"/>
      <c r="BI63" s="388"/>
      <c r="BJ63" s="388"/>
      <c r="BK63" s="388"/>
      <c r="BL63" s="388"/>
    </row>
    <row r="64" spans="1:64" s="386" customFormat="1" ht="15">
      <c r="B64" s="565"/>
      <c r="C64" s="390"/>
      <c r="D64" s="390"/>
      <c r="E64" s="390"/>
      <c r="F64" s="390"/>
      <c r="G64" s="390"/>
      <c r="H64" s="390"/>
      <c r="I64" s="199"/>
      <c r="J64" s="390"/>
      <c r="K64" s="390"/>
      <c r="L64" s="387"/>
      <c r="M64" s="401"/>
      <c r="N64" s="400"/>
      <c r="O64" s="401"/>
      <c r="P64" s="401"/>
      <c r="Q64" s="401"/>
      <c r="R64" s="400"/>
      <c r="S64" s="400"/>
      <c r="T64" s="400"/>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8"/>
      <c r="AY64" s="388"/>
      <c r="AZ64" s="388"/>
      <c r="BA64" s="388"/>
      <c r="BB64" s="388"/>
      <c r="BC64" s="388"/>
      <c r="BD64" s="388"/>
      <c r="BE64" s="388"/>
      <c r="BF64" s="388"/>
      <c r="BG64" s="388"/>
      <c r="BH64" s="388"/>
      <c r="BI64" s="388"/>
      <c r="BJ64" s="388"/>
      <c r="BK64" s="388"/>
      <c r="BL64" s="388"/>
    </row>
    <row r="65" spans="1:64" s="386" customFormat="1" ht="15">
      <c r="B65" s="565"/>
      <c r="C65" s="390"/>
      <c r="D65" s="390"/>
      <c r="E65" s="390"/>
      <c r="F65" s="390"/>
      <c r="G65" s="390"/>
      <c r="H65" s="390"/>
      <c r="I65" s="199"/>
      <c r="J65" s="390"/>
      <c r="K65" s="390"/>
      <c r="L65" s="387"/>
      <c r="M65" s="401"/>
      <c r="N65" s="400"/>
      <c r="O65" s="401"/>
      <c r="P65" s="401"/>
      <c r="Q65" s="401"/>
      <c r="R65" s="400"/>
      <c r="S65" s="400"/>
      <c r="T65" s="400"/>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8"/>
      <c r="AY65" s="388"/>
      <c r="AZ65" s="388"/>
      <c r="BA65" s="388"/>
      <c r="BB65" s="388"/>
      <c r="BC65" s="388"/>
      <c r="BD65" s="388"/>
      <c r="BE65" s="388"/>
      <c r="BF65" s="388"/>
      <c r="BG65" s="388"/>
      <c r="BH65" s="388"/>
      <c r="BI65" s="388"/>
      <c r="BJ65" s="388"/>
      <c r="BK65" s="388"/>
      <c r="BL65" s="388"/>
    </row>
    <row r="66" spans="1:64" s="386" customFormat="1" ht="15">
      <c r="B66" s="565"/>
      <c r="C66" s="390"/>
      <c r="D66" s="390"/>
      <c r="E66" s="390"/>
      <c r="F66" s="390"/>
      <c r="G66" s="390"/>
      <c r="H66" s="390"/>
      <c r="I66" s="199"/>
      <c r="J66" s="390"/>
      <c r="K66" s="390"/>
      <c r="L66" s="387"/>
      <c r="M66" s="401"/>
      <c r="N66" s="400"/>
      <c r="O66" s="401"/>
      <c r="P66" s="401"/>
      <c r="Q66" s="401"/>
      <c r="R66" s="400"/>
      <c r="S66" s="400"/>
      <c r="T66" s="400"/>
      <c r="U66" s="388"/>
      <c r="V66" s="388"/>
      <c r="W66" s="388"/>
      <c r="X66" s="388"/>
      <c r="Y66" s="388"/>
      <c r="Z66" s="388"/>
      <c r="AA66" s="388"/>
      <c r="AB66" s="388"/>
      <c r="AC66" s="388"/>
      <c r="AD66" s="388"/>
      <c r="AE66" s="388"/>
      <c r="AF66" s="388"/>
      <c r="AG66" s="388"/>
      <c r="AH66" s="388"/>
      <c r="AI66" s="388"/>
      <c r="AJ66" s="388"/>
      <c r="AK66" s="388"/>
      <c r="AL66" s="388"/>
      <c r="AM66" s="388"/>
      <c r="AN66" s="388"/>
      <c r="AO66" s="388"/>
      <c r="AP66" s="388"/>
      <c r="AQ66" s="388"/>
      <c r="AR66" s="388"/>
      <c r="AS66" s="388"/>
      <c r="AT66" s="388"/>
      <c r="AU66" s="388"/>
      <c r="AV66" s="388"/>
      <c r="AW66" s="388"/>
      <c r="AX66" s="388"/>
      <c r="AY66" s="388"/>
      <c r="AZ66" s="388"/>
      <c r="BA66" s="388"/>
      <c r="BB66" s="388"/>
      <c r="BC66" s="388"/>
      <c r="BD66" s="388"/>
      <c r="BE66" s="388"/>
      <c r="BF66" s="388"/>
      <c r="BG66" s="388"/>
      <c r="BH66" s="388"/>
      <c r="BI66" s="388"/>
      <c r="BJ66" s="388"/>
      <c r="BK66" s="388"/>
      <c r="BL66" s="388"/>
    </row>
    <row r="67" spans="1:64" s="386" customFormat="1" ht="15">
      <c r="B67" s="565"/>
      <c r="C67" s="390"/>
      <c r="D67" s="390"/>
      <c r="E67" s="390"/>
      <c r="F67" s="390"/>
      <c r="G67" s="390"/>
      <c r="H67" s="390"/>
      <c r="I67" s="199"/>
      <c r="J67" s="390"/>
      <c r="K67" s="390"/>
      <c r="L67" s="387"/>
      <c r="M67" s="401"/>
      <c r="N67" s="400"/>
      <c r="O67" s="401"/>
      <c r="P67" s="401"/>
      <c r="Q67" s="401"/>
      <c r="R67" s="400"/>
      <c r="S67" s="400"/>
      <c r="T67" s="400"/>
      <c r="U67" s="388"/>
      <c r="V67" s="388"/>
      <c r="W67" s="388"/>
      <c r="X67" s="388"/>
      <c r="Y67" s="388"/>
      <c r="Z67" s="388"/>
      <c r="AA67" s="388"/>
      <c r="AB67" s="388"/>
      <c r="AC67" s="388"/>
      <c r="AD67" s="388"/>
      <c r="AE67" s="388"/>
      <c r="AF67" s="388"/>
      <c r="AG67" s="388"/>
      <c r="AH67" s="388"/>
      <c r="AI67" s="388"/>
      <c r="AJ67" s="388"/>
      <c r="AK67" s="388"/>
      <c r="AL67" s="388"/>
      <c r="AM67" s="388"/>
      <c r="AN67" s="388"/>
      <c r="AO67" s="388"/>
      <c r="AP67" s="388"/>
      <c r="AQ67" s="388"/>
      <c r="AR67" s="388"/>
      <c r="AS67" s="388"/>
      <c r="AT67" s="388"/>
      <c r="AU67" s="388"/>
      <c r="AV67" s="388"/>
      <c r="AW67" s="388"/>
      <c r="AX67" s="388"/>
      <c r="AY67" s="388"/>
      <c r="AZ67" s="388"/>
      <c r="BA67" s="388"/>
      <c r="BB67" s="388"/>
      <c r="BC67" s="388"/>
      <c r="BD67" s="388"/>
      <c r="BE67" s="388"/>
      <c r="BF67" s="388"/>
      <c r="BG67" s="388"/>
      <c r="BH67" s="388"/>
      <c r="BI67" s="388"/>
      <c r="BJ67" s="388"/>
      <c r="BK67" s="388"/>
      <c r="BL67" s="388"/>
    </row>
    <row r="68" spans="1:64" s="386" customFormat="1" ht="15">
      <c r="B68" s="565"/>
      <c r="C68" s="390"/>
      <c r="D68" s="390"/>
      <c r="E68" s="390"/>
      <c r="F68" s="390"/>
      <c r="G68" s="390"/>
      <c r="H68" s="390"/>
      <c r="I68" s="199"/>
      <c r="J68" s="390"/>
      <c r="K68" s="390"/>
      <c r="L68" s="387"/>
      <c r="M68" s="401"/>
      <c r="N68" s="400"/>
      <c r="O68" s="401"/>
      <c r="P68" s="401"/>
      <c r="Q68" s="401"/>
      <c r="R68" s="400"/>
      <c r="S68" s="400"/>
      <c r="T68" s="400"/>
      <c r="U68" s="388"/>
      <c r="V68" s="388"/>
      <c r="W68" s="388"/>
      <c r="X68" s="388"/>
      <c r="Y68" s="388"/>
      <c r="Z68" s="388"/>
      <c r="AA68" s="388"/>
      <c r="AB68" s="388"/>
      <c r="AC68" s="388"/>
      <c r="AD68" s="388"/>
      <c r="AE68" s="388"/>
      <c r="AF68" s="388"/>
      <c r="AG68" s="388"/>
      <c r="AH68" s="388"/>
      <c r="AI68" s="388"/>
      <c r="AJ68" s="388"/>
      <c r="AK68" s="388"/>
      <c r="AL68" s="388"/>
      <c r="AM68" s="388"/>
      <c r="AN68" s="388"/>
      <c r="AO68" s="388"/>
      <c r="AP68" s="388"/>
      <c r="AQ68" s="388"/>
      <c r="AR68" s="388"/>
      <c r="AS68" s="388"/>
      <c r="AT68" s="388"/>
      <c r="AU68" s="388"/>
      <c r="AV68" s="388"/>
      <c r="AW68" s="388"/>
      <c r="AX68" s="388"/>
      <c r="AY68" s="388"/>
      <c r="AZ68" s="388"/>
      <c r="BA68" s="388"/>
      <c r="BB68" s="388"/>
      <c r="BC68" s="388"/>
      <c r="BD68" s="388"/>
      <c r="BE68" s="388"/>
      <c r="BF68" s="388"/>
      <c r="BG68" s="388"/>
      <c r="BH68" s="388"/>
      <c r="BI68" s="388"/>
      <c r="BJ68" s="388"/>
      <c r="BK68" s="388"/>
      <c r="BL68" s="388"/>
    </row>
    <row r="69" spans="1:64" s="386" customFormat="1" ht="15">
      <c r="B69" s="565"/>
      <c r="C69" s="390"/>
      <c r="D69" s="390"/>
      <c r="E69" s="390"/>
      <c r="F69" s="390"/>
      <c r="G69" s="390"/>
      <c r="H69" s="390"/>
      <c r="I69" s="199"/>
      <c r="J69" s="390"/>
      <c r="K69" s="390"/>
      <c r="L69" s="387"/>
      <c r="M69" s="401"/>
      <c r="N69" s="400"/>
      <c r="O69" s="401"/>
      <c r="P69" s="401"/>
      <c r="Q69" s="401"/>
      <c r="R69" s="400"/>
      <c r="S69" s="400"/>
      <c r="T69" s="400"/>
      <c r="U69" s="388"/>
      <c r="V69" s="388"/>
      <c r="W69" s="388"/>
      <c r="X69" s="388"/>
      <c r="Y69" s="388"/>
      <c r="Z69" s="388"/>
      <c r="AA69" s="388"/>
      <c r="AB69" s="388"/>
      <c r="AC69" s="388"/>
      <c r="AD69" s="388"/>
      <c r="AE69" s="388"/>
      <c r="AF69" s="388"/>
      <c r="AG69" s="388"/>
      <c r="AH69" s="388"/>
      <c r="AI69" s="388"/>
      <c r="AJ69" s="388"/>
      <c r="AK69" s="388"/>
      <c r="AL69" s="388"/>
      <c r="AM69" s="388"/>
      <c r="AN69" s="388"/>
      <c r="AO69" s="388"/>
      <c r="AP69" s="388"/>
      <c r="AQ69" s="388"/>
      <c r="AR69" s="388"/>
      <c r="AS69" s="388"/>
      <c r="AT69" s="388"/>
      <c r="AU69" s="388"/>
      <c r="AV69" s="388"/>
      <c r="AW69" s="388"/>
      <c r="AX69" s="388"/>
      <c r="AY69" s="388"/>
      <c r="AZ69" s="388"/>
      <c r="BA69" s="388"/>
      <c r="BB69" s="388"/>
      <c r="BC69" s="388"/>
      <c r="BD69" s="388"/>
      <c r="BE69" s="388"/>
      <c r="BF69" s="388"/>
      <c r="BG69" s="388"/>
      <c r="BH69" s="388"/>
      <c r="BI69" s="388"/>
      <c r="BJ69" s="388"/>
      <c r="BK69" s="388"/>
      <c r="BL69" s="388"/>
    </row>
    <row r="70" spans="1:64" s="386" customFormat="1" ht="15">
      <c r="B70" s="565"/>
      <c r="C70" s="390"/>
      <c r="D70" s="390"/>
      <c r="E70" s="390"/>
      <c r="F70" s="390"/>
      <c r="G70" s="390"/>
      <c r="H70" s="390"/>
      <c r="I70" s="199"/>
      <c r="J70" s="390"/>
      <c r="K70" s="390"/>
      <c r="L70" s="387"/>
      <c r="M70" s="401"/>
      <c r="N70" s="400"/>
      <c r="O70" s="401"/>
      <c r="P70" s="401"/>
      <c r="Q70" s="401"/>
      <c r="R70" s="400"/>
      <c r="S70" s="400"/>
      <c r="T70" s="400"/>
      <c r="U70" s="388"/>
      <c r="V70" s="388"/>
      <c r="W70" s="388"/>
      <c r="X70" s="388"/>
      <c r="Y70" s="388"/>
      <c r="Z70" s="388"/>
      <c r="AA70" s="388"/>
      <c r="AB70" s="388"/>
      <c r="AC70" s="388"/>
      <c r="AD70" s="388"/>
      <c r="AE70" s="388"/>
      <c r="AF70" s="388"/>
      <c r="AG70" s="388"/>
      <c r="AH70" s="388"/>
      <c r="AI70" s="388"/>
      <c r="AJ70" s="388"/>
      <c r="AK70" s="388"/>
      <c r="AL70" s="388"/>
      <c r="AM70" s="388"/>
      <c r="AN70" s="388"/>
      <c r="AO70" s="388"/>
      <c r="AP70" s="388"/>
      <c r="AQ70" s="388"/>
      <c r="AR70" s="388"/>
      <c r="AS70" s="388"/>
      <c r="AT70" s="388"/>
      <c r="AU70" s="388"/>
      <c r="AV70" s="388"/>
      <c r="AW70" s="388"/>
      <c r="AX70" s="388"/>
      <c r="AY70" s="388"/>
      <c r="AZ70" s="388"/>
      <c r="BA70" s="388"/>
      <c r="BB70" s="388"/>
      <c r="BC70" s="388"/>
      <c r="BD70" s="388"/>
      <c r="BE70" s="388"/>
      <c r="BF70" s="388"/>
      <c r="BG70" s="388"/>
      <c r="BH70" s="388"/>
      <c r="BI70" s="388"/>
      <c r="BJ70" s="388"/>
      <c r="BK70" s="388"/>
      <c r="BL70" s="388"/>
    </row>
    <row r="71" spans="1:64" s="386" customFormat="1" ht="15">
      <c r="B71" s="565"/>
      <c r="C71" s="390"/>
      <c r="D71" s="390"/>
      <c r="E71" s="390"/>
      <c r="F71" s="390"/>
      <c r="G71" s="390"/>
      <c r="H71" s="390"/>
      <c r="I71" s="199"/>
      <c r="J71" s="390"/>
      <c r="K71" s="390"/>
      <c r="L71" s="387"/>
      <c r="M71" s="401"/>
      <c r="N71" s="400"/>
      <c r="O71" s="401"/>
      <c r="P71" s="401"/>
      <c r="Q71" s="401"/>
      <c r="R71" s="400"/>
      <c r="S71" s="400"/>
      <c r="T71" s="400"/>
      <c r="U71" s="388"/>
      <c r="V71" s="388"/>
      <c r="W71" s="388"/>
      <c r="X71" s="388"/>
      <c r="Y71" s="388"/>
      <c r="Z71" s="388"/>
      <c r="AA71" s="388"/>
      <c r="AB71" s="388"/>
      <c r="AC71" s="388"/>
      <c r="AD71" s="388"/>
      <c r="AE71" s="388"/>
      <c r="AF71" s="388"/>
      <c r="AG71" s="388"/>
      <c r="AH71" s="388"/>
      <c r="AI71" s="388"/>
      <c r="AJ71" s="388"/>
      <c r="AK71" s="388"/>
      <c r="AL71" s="388"/>
      <c r="AM71" s="388"/>
      <c r="AN71" s="388"/>
      <c r="AO71" s="388"/>
      <c r="AP71" s="388"/>
      <c r="AQ71" s="388"/>
      <c r="AR71" s="388"/>
      <c r="AS71" s="388"/>
      <c r="AT71" s="388"/>
      <c r="AU71" s="388"/>
      <c r="AV71" s="388"/>
      <c r="AW71" s="388"/>
      <c r="AX71" s="388"/>
      <c r="AY71" s="388"/>
      <c r="AZ71" s="388"/>
      <c r="BA71" s="388"/>
      <c r="BB71" s="388"/>
      <c r="BC71" s="388"/>
      <c r="BD71" s="388"/>
      <c r="BE71" s="388"/>
      <c r="BF71" s="388"/>
      <c r="BG71" s="388"/>
      <c r="BH71" s="388"/>
      <c r="BI71" s="388"/>
      <c r="BJ71" s="388"/>
      <c r="BK71" s="388"/>
      <c r="BL71" s="388"/>
    </row>
    <row r="72" spans="1:64" ht="15">
      <c r="B72" s="163"/>
      <c r="C72" s="164"/>
      <c r="D72" s="164"/>
      <c r="E72" s="164"/>
      <c r="F72" s="164"/>
      <c r="G72" s="164"/>
      <c r="H72" s="164" t="str">
        <f>H1</f>
        <v>Attachment O-EIA Non-Levelized Generic</v>
      </c>
      <c r="I72" s="199"/>
      <c r="J72" s="164"/>
      <c r="K72" s="164"/>
      <c r="L72" s="161"/>
      <c r="M72" s="182"/>
      <c r="N72" s="181"/>
      <c r="O72" s="182"/>
      <c r="P72" s="182"/>
      <c r="Q72" s="182"/>
      <c r="R72" s="181"/>
      <c r="S72" s="181"/>
      <c r="T72" s="181"/>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c r="AZ72" s="162"/>
      <c r="BA72" s="162"/>
      <c r="BB72" s="162"/>
      <c r="BC72" s="162"/>
      <c r="BD72" s="162"/>
      <c r="BE72" s="162"/>
      <c r="BF72" s="162"/>
      <c r="BG72" s="162"/>
      <c r="BH72" s="162"/>
      <c r="BI72" s="162"/>
      <c r="BJ72" s="162"/>
      <c r="BK72" s="162"/>
      <c r="BL72" s="162"/>
    </row>
    <row r="73" spans="1:64" ht="15">
      <c r="B73" s="163"/>
      <c r="C73" s="163"/>
      <c r="D73" s="165"/>
      <c r="E73" s="163"/>
      <c r="F73" s="163"/>
      <c r="G73" s="163"/>
      <c r="H73" s="164"/>
      <c r="I73" s="164"/>
      <c r="J73" s="164"/>
      <c r="K73" s="654" t="s">
        <v>328</v>
      </c>
      <c r="L73" s="654"/>
      <c r="M73" s="182"/>
      <c r="N73" s="181"/>
      <c r="O73" s="182"/>
      <c r="P73" s="182"/>
      <c r="Q73" s="182"/>
      <c r="R73" s="181"/>
      <c r="S73" s="181"/>
      <c r="T73" s="181"/>
      <c r="U73" s="162"/>
      <c r="V73" s="162"/>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c r="AZ73" s="162"/>
      <c r="BA73" s="162"/>
      <c r="BB73" s="162"/>
      <c r="BC73" s="162"/>
      <c r="BD73" s="162"/>
      <c r="BE73" s="162"/>
      <c r="BF73" s="162"/>
      <c r="BG73" s="162"/>
      <c r="BH73" s="162"/>
      <c r="BI73" s="162"/>
      <c r="BJ73" s="162"/>
      <c r="BK73" s="162"/>
      <c r="BL73" s="162"/>
    </row>
    <row r="74" spans="1:64" ht="15">
      <c r="B74" s="164"/>
      <c r="C74" s="164"/>
      <c r="D74" s="164"/>
      <c r="E74" s="164"/>
      <c r="F74" s="164"/>
      <c r="G74" s="164"/>
      <c r="H74" s="164"/>
      <c r="I74" s="164"/>
      <c r="J74" s="164"/>
      <c r="K74" s="164"/>
      <c r="L74" s="161"/>
      <c r="M74" s="182"/>
      <c r="N74" s="181"/>
      <c r="O74" s="182"/>
      <c r="P74" s="182"/>
      <c r="Q74" s="182"/>
      <c r="R74" s="181"/>
      <c r="S74" s="181"/>
      <c r="T74" s="181"/>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162"/>
      <c r="BB74" s="162"/>
      <c r="BC74" s="162"/>
      <c r="BD74" s="162"/>
      <c r="BE74" s="162"/>
      <c r="BF74" s="162"/>
      <c r="BG74" s="162"/>
      <c r="BH74" s="162"/>
      <c r="BI74" s="162"/>
      <c r="BJ74" s="162"/>
      <c r="BK74" s="162"/>
      <c r="BL74" s="162"/>
    </row>
    <row r="75" spans="1:64" ht="15">
      <c r="B75" s="163" t="str">
        <f>B4</f>
        <v xml:space="preserve">Formula Rate - Non-Levelized </v>
      </c>
      <c r="C75" s="163"/>
      <c r="D75" s="165" t="str">
        <f>D4</f>
        <v xml:space="preserve">   Rate Formula Template</v>
      </c>
      <c r="E75" s="163"/>
      <c r="F75" s="163"/>
      <c r="G75" s="163"/>
      <c r="H75" s="163"/>
      <c r="I75" s="163" t="str">
        <f>I4</f>
        <v>For the 12 months ended 12/31/14</v>
      </c>
      <c r="J75" s="163"/>
      <c r="K75" s="163"/>
      <c r="L75" s="200"/>
      <c r="M75" s="182"/>
      <c r="N75" s="181"/>
      <c r="O75" s="201"/>
      <c r="P75" s="201"/>
      <c r="Q75" s="201"/>
      <c r="R75" s="181"/>
      <c r="S75" s="181"/>
      <c r="T75" s="181"/>
      <c r="U75" s="162"/>
      <c r="V75" s="162"/>
      <c r="W75" s="162"/>
      <c r="X75" s="162"/>
      <c r="Y75" s="162"/>
      <c r="Z75" s="162"/>
      <c r="AA75" s="162"/>
      <c r="AB75" s="162"/>
      <c r="AC75" s="162"/>
      <c r="AD75" s="162"/>
      <c r="AE75" s="162"/>
      <c r="AF75" s="162"/>
      <c r="AG75" s="162"/>
      <c r="AH75" s="162"/>
      <c r="AI75" s="162"/>
      <c r="AJ75" s="162"/>
      <c r="AK75" s="162"/>
      <c r="AL75" s="162"/>
      <c r="AM75" s="162"/>
      <c r="AN75" s="162"/>
      <c r="AO75" s="162"/>
      <c r="AP75" s="162"/>
      <c r="AQ75" s="162"/>
      <c r="AR75" s="162"/>
      <c r="AS75" s="162"/>
      <c r="AT75" s="162"/>
      <c r="AU75" s="162"/>
      <c r="AV75" s="162"/>
      <c r="AW75" s="162"/>
      <c r="AX75" s="162"/>
      <c r="AY75" s="162"/>
      <c r="AZ75" s="162"/>
      <c r="BA75" s="162"/>
      <c r="BB75" s="162"/>
      <c r="BC75" s="162"/>
      <c r="BD75" s="162"/>
      <c r="BE75" s="162"/>
      <c r="BF75" s="162"/>
      <c r="BG75" s="162"/>
      <c r="BH75" s="162"/>
      <c r="BI75" s="162"/>
      <c r="BJ75" s="162"/>
      <c r="BK75" s="162"/>
      <c r="BL75" s="162"/>
    </row>
    <row r="76" spans="1:64" ht="15">
      <c r="B76" s="163"/>
      <c r="C76" s="168" t="s">
        <v>154</v>
      </c>
      <c r="D76" s="168" t="str">
        <f>D5</f>
        <v>Utilizing EIA 412 Form Data</v>
      </c>
      <c r="E76" s="168"/>
      <c r="F76" s="168"/>
      <c r="G76" s="168"/>
      <c r="H76" s="168"/>
      <c r="I76" s="168"/>
      <c r="J76" s="168"/>
      <c r="K76" s="168"/>
      <c r="L76" s="202"/>
      <c r="M76" s="182"/>
      <c r="N76" s="181"/>
      <c r="O76" s="182"/>
      <c r="P76" s="203"/>
      <c r="Q76" s="201"/>
      <c r="R76" s="181"/>
      <c r="S76" s="181"/>
      <c r="T76" s="181"/>
      <c r="U76" s="162"/>
      <c r="V76" s="162"/>
      <c r="W76" s="162"/>
      <c r="X76" s="162"/>
      <c r="Y76" s="162"/>
      <c r="Z76" s="162"/>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162"/>
      <c r="AZ76" s="162"/>
      <c r="BA76" s="162"/>
      <c r="BB76" s="162"/>
      <c r="BC76" s="162"/>
      <c r="BD76" s="162"/>
      <c r="BE76" s="162"/>
      <c r="BF76" s="162"/>
      <c r="BG76" s="162"/>
      <c r="BH76" s="162"/>
      <c r="BI76" s="162"/>
      <c r="BJ76" s="162"/>
      <c r="BK76" s="162"/>
      <c r="BL76" s="162"/>
    </row>
    <row r="77" spans="1:64" ht="15">
      <c r="B77" s="163"/>
      <c r="C77" s="168" t="s">
        <v>154</v>
      </c>
      <c r="D77" s="168" t="s">
        <v>154</v>
      </c>
      <c r="E77" s="168"/>
      <c r="F77" s="168"/>
      <c r="G77" s="168" t="s">
        <v>154</v>
      </c>
      <c r="H77" s="168"/>
      <c r="I77" s="168"/>
      <c r="J77" s="168"/>
      <c r="K77" s="168"/>
      <c r="L77" s="202"/>
      <c r="M77" s="201"/>
      <c r="N77" s="181"/>
      <c r="O77" s="203"/>
      <c r="P77" s="203"/>
      <c r="Q77" s="201"/>
      <c r="R77" s="181"/>
      <c r="S77" s="181"/>
      <c r="T77" s="181"/>
      <c r="U77" s="162"/>
      <c r="V77" s="162"/>
      <c r="W77" s="162"/>
      <c r="X77" s="162"/>
      <c r="Y77" s="162"/>
      <c r="Z77" s="162"/>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c r="AW77" s="162"/>
      <c r="AX77" s="162"/>
      <c r="AY77" s="162"/>
      <c r="AZ77" s="162"/>
      <c r="BA77" s="162"/>
      <c r="BB77" s="162"/>
      <c r="BC77" s="162"/>
      <c r="BD77" s="162"/>
      <c r="BE77" s="162"/>
      <c r="BF77" s="162"/>
      <c r="BG77" s="162"/>
      <c r="BH77" s="162"/>
      <c r="BI77" s="162"/>
      <c r="BJ77" s="162"/>
      <c r="BK77" s="162"/>
      <c r="BL77" s="162"/>
    </row>
    <row r="78" spans="1:64" ht="15">
      <c r="B78" s="163"/>
      <c r="C78" s="164"/>
      <c r="D78" s="168" t="str">
        <f>D7</f>
        <v>Windom</v>
      </c>
      <c r="E78" s="168"/>
      <c r="F78" s="168"/>
      <c r="G78" s="168"/>
      <c r="H78" s="168"/>
      <c r="I78" s="168"/>
      <c r="J78" s="168"/>
      <c r="K78" s="168"/>
      <c r="L78" s="202"/>
      <c r="M78" s="201"/>
      <c r="N78" s="181"/>
      <c r="O78" s="203"/>
      <c r="P78" s="203"/>
      <c r="Q78" s="201"/>
      <c r="R78" s="181"/>
      <c r="S78" s="181"/>
      <c r="T78" s="181"/>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162"/>
      <c r="BB78" s="162"/>
      <c r="BC78" s="162"/>
      <c r="BD78" s="162"/>
      <c r="BE78" s="162"/>
      <c r="BF78" s="162"/>
      <c r="BG78" s="162"/>
      <c r="BH78" s="162"/>
      <c r="BI78" s="162"/>
      <c r="BJ78" s="162"/>
      <c r="BK78" s="162"/>
      <c r="BL78" s="162"/>
    </row>
    <row r="79" spans="1:64" ht="15">
      <c r="B79" s="166" t="s">
        <v>329</v>
      </c>
      <c r="C79" s="166" t="s">
        <v>330</v>
      </c>
      <c r="D79" s="166" t="s">
        <v>331</v>
      </c>
      <c r="E79" s="168" t="s">
        <v>154</v>
      </c>
      <c r="F79" s="168"/>
      <c r="G79" s="204" t="s">
        <v>332</v>
      </c>
      <c r="H79" s="168"/>
      <c r="I79" s="205" t="s">
        <v>333</v>
      </c>
      <c r="J79" s="168"/>
      <c r="K79" s="166"/>
      <c r="L79" s="202"/>
      <c r="M79" s="201"/>
      <c r="N79" s="181"/>
      <c r="O79" s="206"/>
      <c r="P79" s="203"/>
      <c r="Q79" s="201"/>
      <c r="R79" s="181"/>
      <c r="S79" s="181"/>
      <c r="T79" s="181"/>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2"/>
      <c r="BC79" s="162"/>
      <c r="BD79" s="162"/>
      <c r="BE79" s="162"/>
      <c r="BF79" s="162"/>
      <c r="BG79" s="162"/>
      <c r="BH79" s="162"/>
      <c r="BI79" s="162"/>
      <c r="BJ79" s="162"/>
      <c r="BK79" s="162"/>
      <c r="BL79" s="162"/>
    </row>
    <row r="80" spans="1:64" s="386" customFormat="1" ht="15.75">
      <c r="A80" s="169" t="s">
        <v>3</v>
      </c>
      <c r="B80" s="163"/>
      <c r="C80" s="207" t="s">
        <v>635</v>
      </c>
      <c r="D80" s="391"/>
      <c r="E80" s="393"/>
      <c r="F80" s="393"/>
      <c r="G80" s="408"/>
      <c r="H80" s="393"/>
      <c r="I80" s="208" t="s">
        <v>266</v>
      </c>
      <c r="J80" s="393"/>
      <c r="K80" s="391"/>
      <c r="L80" s="406"/>
      <c r="M80" s="405"/>
      <c r="N80" s="400"/>
      <c r="O80" s="409"/>
      <c r="P80" s="407"/>
      <c r="Q80" s="405"/>
      <c r="R80" s="400"/>
      <c r="S80" s="400"/>
      <c r="T80" s="400"/>
      <c r="U80" s="388"/>
      <c r="V80" s="388"/>
      <c r="W80" s="388"/>
      <c r="X80" s="388"/>
      <c r="Y80" s="388"/>
      <c r="Z80" s="388"/>
      <c r="AA80" s="388"/>
      <c r="AB80" s="388"/>
      <c r="AC80" s="388"/>
      <c r="AD80" s="388"/>
      <c r="AE80" s="388"/>
      <c r="AF80" s="388"/>
      <c r="AG80" s="388"/>
      <c r="AH80" s="388"/>
      <c r="AI80" s="388"/>
      <c r="AJ80" s="388"/>
      <c r="AK80" s="388"/>
      <c r="AL80" s="388"/>
      <c r="AM80" s="388"/>
      <c r="AN80" s="388"/>
      <c r="AO80" s="388"/>
      <c r="AP80" s="388"/>
      <c r="AQ80" s="388"/>
      <c r="AR80" s="388"/>
      <c r="AS80" s="388"/>
      <c r="AT80" s="388"/>
      <c r="AU80" s="388"/>
      <c r="AV80" s="388"/>
      <c r="AW80" s="388"/>
      <c r="AX80" s="388"/>
      <c r="AY80" s="388"/>
      <c r="AZ80" s="388"/>
      <c r="BA80" s="388"/>
      <c r="BB80" s="388"/>
      <c r="BC80" s="388"/>
      <c r="BD80" s="388"/>
      <c r="BE80" s="388"/>
      <c r="BF80" s="388"/>
      <c r="BG80" s="388"/>
      <c r="BH80" s="388"/>
      <c r="BI80" s="388"/>
      <c r="BJ80" s="388"/>
      <c r="BK80" s="388"/>
      <c r="BL80" s="388"/>
    </row>
    <row r="81" spans="1:64" ht="16.5" thickBot="1">
      <c r="A81" s="173" t="s">
        <v>4</v>
      </c>
      <c r="B81" s="212" t="s">
        <v>337</v>
      </c>
      <c r="C81" s="209" t="s">
        <v>636</v>
      </c>
      <c r="D81" s="208" t="s">
        <v>334</v>
      </c>
      <c r="E81" s="168"/>
      <c r="F81" s="208" t="s">
        <v>335</v>
      </c>
      <c r="G81" s="166"/>
      <c r="H81" s="168"/>
      <c r="I81" s="211" t="s">
        <v>336</v>
      </c>
      <c r="J81" s="168"/>
      <c r="K81" s="166"/>
      <c r="L81" s="202"/>
      <c r="M81" s="201"/>
      <c r="N81" s="181"/>
      <c r="O81" s="206"/>
      <c r="P81" s="206"/>
      <c r="Q81" s="201"/>
      <c r="R81" s="181"/>
      <c r="S81" s="181"/>
      <c r="T81" s="181"/>
      <c r="U81" s="162"/>
      <c r="V81" s="162"/>
      <c r="W81" s="162"/>
      <c r="X81" s="162"/>
      <c r="Y81" s="162"/>
      <c r="Z81" s="162"/>
      <c r="AA81" s="162"/>
      <c r="AB81" s="162"/>
      <c r="AC81" s="162"/>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c r="AZ81" s="162"/>
      <c r="BA81" s="162"/>
      <c r="BB81" s="162"/>
      <c r="BC81" s="162"/>
      <c r="BD81" s="162"/>
      <c r="BE81" s="162"/>
      <c r="BF81" s="162"/>
      <c r="BG81" s="162"/>
      <c r="BH81" s="162"/>
      <c r="BI81" s="162"/>
      <c r="BJ81" s="162"/>
      <c r="BK81" s="162"/>
      <c r="BL81" s="162"/>
    </row>
    <row r="82" spans="1:64" ht="15">
      <c r="A82" s="169"/>
      <c r="B82" s="163" t="s">
        <v>733</v>
      </c>
      <c r="C82" s="168"/>
      <c r="D82" s="168"/>
      <c r="E82" s="168"/>
      <c r="F82" s="168"/>
      <c r="G82" s="168"/>
      <c r="H82" s="168"/>
      <c r="I82" s="168"/>
      <c r="J82" s="168"/>
      <c r="K82" s="168"/>
      <c r="L82" s="161"/>
      <c r="M82" s="201"/>
      <c r="N82" s="181"/>
      <c r="O82" s="203"/>
      <c r="P82" s="203"/>
      <c r="Q82" s="201"/>
      <c r="R82" s="181"/>
      <c r="S82" s="181"/>
      <c r="T82" s="181"/>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162"/>
      <c r="BC82" s="162"/>
      <c r="BD82" s="162"/>
      <c r="BE82" s="162"/>
      <c r="BF82" s="162"/>
      <c r="BG82" s="162"/>
      <c r="BH82" s="162"/>
      <c r="BI82" s="162"/>
      <c r="BJ82" s="162"/>
      <c r="BK82" s="162"/>
      <c r="BL82" s="162"/>
    </row>
    <row r="83" spans="1:64" ht="15">
      <c r="A83" s="169">
        <v>1</v>
      </c>
      <c r="B83" s="163" t="s">
        <v>338</v>
      </c>
      <c r="C83" s="168" t="s">
        <v>637</v>
      </c>
      <c r="D83" s="213">
        <f>'ELECTRIC PLANT SUMMARY'!H317</f>
        <v>3064219.0099999993</v>
      </c>
      <c r="E83" s="168"/>
      <c r="F83" s="168" t="s">
        <v>339</v>
      </c>
      <c r="G83" s="214" t="s">
        <v>154</v>
      </c>
      <c r="H83" s="168"/>
      <c r="I83" s="168" t="s">
        <v>154</v>
      </c>
      <c r="J83" s="168"/>
      <c r="K83" s="168"/>
      <c r="L83" s="161"/>
      <c r="M83" s="201"/>
      <c r="N83" s="181"/>
      <c r="O83" s="180"/>
      <c r="P83" s="203"/>
      <c r="Q83" s="201"/>
      <c r="R83" s="181"/>
      <c r="S83" s="181"/>
      <c r="T83" s="181"/>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2"/>
      <c r="BC83" s="162"/>
      <c r="BD83" s="162"/>
      <c r="BE83" s="162"/>
      <c r="BF83" s="162"/>
      <c r="BG83" s="162"/>
      <c r="BH83" s="162"/>
      <c r="BI83" s="162"/>
      <c r="BJ83" s="162"/>
      <c r="BK83" s="162"/>
      <c r="BL83" s="162"/>
    </row>
    <row r="84" spans="1:64" ht="15">
      <c r="A84" s="169">
        <v>2</v>
      </c>
      <c r="B84" s="163" t="s">
        <v>340</v>
      </c>
      <c r="C84" s="168" t="s">
        <v>638</v>
      </c>
      <c r="D84" s="213">
        <f>'ELECTRIC PLANT SUMMARY'!H318</f>
        <v>351712.28</v>
      </c>
      <c r="E84" s="168"/>
      <c r="F84" s="168" t="s">
        <v>292</v>
      </c>
      <c r="G84" s="214">
        <f>I220</f>
        <v>1</v>
      </c>
      <c r="H84" s="168"/>
      <c r="I84" s="168">
        <f>+G84*D84</f>
        <v>351712.28</v>
      </c>
      <c r="J84" s="168"/>
      <c r="K84" s="168"/>
      <c r="L84" s="161"/>
      <c r="M84" s="201"/>
      <c r="N84" s="181"/>
      <c r="O84" s="180"/>
      <c r="P84" s="203"/>
      <c r="Q84" s="201"/>
      <c r="R84" s="181"/>
      <c r="S84" s="181"/>
      <c r="T84" s="181"/>
      <c r="U84" s="162"/>
      <c r="V84" s="162"/>
      <c r="W84" s="162"/>
      <c r="X84" s="162"/>
      <c r="Y84" s="162"/>
      <c r="Z84" s="162"/>
      <c r="AA84" s="162"/>
      <c r="AB84" s="162"/>
      <c r="AC84" s="162"/>
      <c r="AD84" s="162"/>
      <c r="AE84" s="162"/>
      <c r="AF84" s="162"/>
      <c r="AG84" s="162"/>
      <c r="AH84" s="162"/>
      <c r="AI84" s="162"/>
      <c r="AJ84" s="162"/>
      <c r="AK84" s="162"/>
      <c r="AL84" s="162"/>
      <c r="AM84" s="162"/>
      <c r="AN84" s="162"/>
      <c r="AO84" s="162"/>
      <c r="AP84" s="162"/>
      <c r="AQ84" s="162"/>
      <c r="AR84" s="162"/>
      <c r="AS84" s="162"/>
      <c r="AT84" s="162"/>
      <c r="AU84" s="162"/>
      <c r="AV84" s="162"/>
      <c r="AW84" s="162"/>
      <c r="AX84" s="162"/>
      <c r="AY84" s="162"/>
      <c r="AZ84" s="162"/>
      <c r="BA84" s="162"/>
      <c r="BB84" s="162"/>
      <c r="BC84" s="162"/>
      <c r="BD84" s="162"/>
      <c r="BE84" s="162"/>
      <c r="BF84" s="162"/>
      <c r="BG84" s="162"/>
      <c r="BH84" s="162"/>
      <c r="BI84" s="162"/>
      <c r="BJ84" s="162"/>
      <c r="BK84" s="162"/>
      <c r="BL84" s="162"/>
    </row>
    <row r="85" spans="1:64" ht="15">
      <c r="A85" s="169">
        <v>3</v>
      </c>
      <c r="B85" s="163" t="s">
        <v>341</v>
      </c>
      <c r="C85" s="168" t="s">
        <v>639</v>
      </c>
      <c r="D85" s="213">
        <f>'ELECTRIC PLANT SUMMARY'!H316</f>
        <v>6540966.8799999999</v>
      </c>
      <c r="E85" s="168"/>
      <c r="F85" s="168" t="s">
        <v>339</v>
      </c>
      <c r="G85" s="214" t="s">
        <v>154</v>
      </c>
      <c r="H85" s="168"/>
      <c r="I85" s="168" t="s">
        <v>154</v>
      </c>
      <c r="J85" s="168"/>
      <c r="K85" s="168"/>
      <c r="L85" s="161"/>
      <c r="M85" s="201"/>
      <c r="N85" s="181"/>
      <c r="O85" s="180"/>
      <c r="P85" s="203"/>
      <c r="Q85" s="201"/>
      <c r="R85" s="181"/>
      <c r="S85" s="181"/>
      <c r="T85" s="181"/>
      <c r="U85" s="162"/>
      <c r="V85" s="162"/>
      <c r="W85" s="162"/>
      <c r="X85" s="162"/>
      <c r="Y85" s="162"/>
      <c r="Z85" s="162"/>
      <c r="AA85" s="162"/>
      <c r="AB85" s="162"/>
      <c r="AC85" s="162"/>
      <c r="AD85" s="162"/>
      <c r="AE85" s="162"/>
      <c r="AF85" s="162"/>
      <c r="AG85" s="162"/>
      <c r="AH85" s="162"/>
      <c r="AI85" s="162"/>
      <c r="AJ85" s="162"/>
      <c r="AK85" s="162"/>
      <c r="AL85" s="162"/>
      <c r="AM85" s="162"/>
      <c r="AN85" s="162"/>
      <c r="AO85" s="162"/>
      <c r="AP85" s="162"/>
      <c r="AQ85" s="162"/>
      <c r="AR85" s="162"/>
      <c r="AS85" s="162"/>
      <c r="AT85" s="162"/>
      <c r="AU85" s="162"/>
      <c r="AV85" s="162"/>
      <c r="AW85" s="162"/>
      <c r="AX85" s="162"/>
      <c r="AY85" s="162"/>
      <c r="AZ85" s="162"/>
      <c r="BA85" s="162"/>
      <c r="BB85" s="162"/>
      <c r="BC85" s="162"/>
      <c r="BD85" s="162"/>
      <c r="BE85" s="162"/>
      <c r="BF85" s="162"/>
      <c r="BG85" s="162"/>
      <c r="BH85" s="162"/>
      <c r="BI85" s="162"/>
      <c r="BJ85" s="162"/>
      <c r="BK85" s="162"/>
      <c r="BL85" s="162"/>
    </row>
    <row r="86" spans="1:64" ht="15">
      <c r="A86" s="169">
        <v>4</v>
      </c>
      <c r="B86" s="163" t="s">
        <v>342</v>
      </c>
      <c r="C86" s="168" t="s">
        <v>734</v>
      </c>
      <c r="D86" s="213">
        <f>'ELECTRIC PLANT SUMMARY'!H315</f>
        <v>1462452.17</v>
      </c>
      <c r="E86" s="168"/>
      <c r="F86" s="168" t="s">
        <v>343</v>
      </c>
      <c r="G86" s="214">
        <f>I236</f>
        <v>7.3952506383393804E-2</v>
      </c>
      <c r="H86" s="168"/>
      <c r="I86" s="168">
        <f>+G86*D86</f>
        <v>108152.00343733311</v>
      </c>
      <c r="J86" s="168"/>
      <c r="K86" s="168"/>
      <c r="L86" s="202"/>
      <c r="M86" s="201"/>
      <c r="N86" s="181"/>
      <c r="O86" s="180"/>
      <c r="P86" s="206"/>
      <c r="Q86" s="201"/>
      <c r="R86" s="181"/>
      <c r="S86" s="181"/>
      <c r="T86" s="181"/>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row>
    <row r="87" spans="1:64" ht="15.75" thickBot="1">
      <c r="A87" s="169">
        <v>5</v>
      </c>
      <c r="B87" s="163" t="s">
        <v>344</v>
      </c>
      <c r="C87" s="168"/>
      <c r="D87" s="215">
        <v>0</v>
      </c>
      <c r="E87" s="168"/>
      <c r="F87" s="168" t="s">
        <v>345</v>
      </c>
      <c r="G87" s="214">
        <f>K240</f>
        <v>7.3952506383393804E-2</v>
      </c>
      <c r="H87" s="168"/>
      <c r="I87" s="185">
        <f>+G87*D87</f>
        <v>0</v>
      </c>
      <c r="J87" s="168"/>
      <c r="K87" s="168"/>
      <c r="L87" s="202"/>
      <c r="M87" s="201"/>
      <c r="N87" s="181"/>
      <c r="O87" s="180"/>
      <c r="P87" s="206"/>
      <c r="Q87" s="201"/>
      <c r="R87" s="181"/>
      <c r="S87" s="181"/>
      <c r="T87" s="181"/>
      <c r="U87" s="162"/>
      <c r="V87" s="162"/>
      <c r="W87" s="162"/>
      <c r="X87" s="162"/>
      <c r="Y87" s="162"/>
      <c r="Z87" s="162"/>
      <c r="AA87" s="162"/>
      <c r="AB87" s="162"/>
      <c r="AC87" s="162"/>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row>
    <row r="88" spans="1:64" ht="15">
      <c r="A88" s="169">
        <v>6</v>
      </c>
      <c r="B88" s="163" t="s">
        <v>346</v>
      </c>
      <c r="C88" s="168"/>
      <c r="D88" s="168">
        <f>SUM(D83:D87)</f>
        <v>11419350.339999998</v>
      </c>
      <c r="E88" s="168"/>
      <c r="F88" s="168" t="s">
        <v>347</v>
      </c>
      <c r="G88" s="216">
        <f>IF(I88&gt;0,I88/D88,0)</f>
        <v>4.0270616956772795E-2</v>
      </c>
      <c r="H88" s="168"/>
      <c r="I88" s="168">
        <f>SUM(I83:I87)</f>
        <v>459864.28343733313</v>
      </c>
      <c r="J88" s="168"/>
      <c r="K88" s="216"/>
      <c r="L88" s="161"/>
      <c r="M88" s="201"/>
      <c r="N88" s="181"/>
      <c r="O88" s="203"/>
      <c r="P88" s="203"/>
      <c r="Q88" s="201"/>
      <c r="R88" s="181"/>
      <c r="S88" s="181"/>
      <c r="T88" s="181"/>
      <c r="U88" s="162"/>
      <c r="V88" s="162"/>
      <c r="W88" s="162"/>
      <c r="X88" s="162"/>
      <c r="Y88" s="162"/>
      <c r="Z88" s="162"/>
      <c r="AA88" s="162"/>
      <c r="AB88" s="162"/>
      <c r="AC88" s="162"/>
      <c r="AD88" s="162"/>
      <c r="AE88" s="162"/>
      <c r="AF88" s="162"/>
      <c r="AG88" s="162"/>
      <c r="AH88" s="162"/>
      <c r="AI88" s="162"/>
      <c r="AJ88" s="162"/>
      <c r="AK88" s="162"/>
      <c r="AL88" s="162"/>
      <c r="AM88" s="162"/>
      <c r="AN88" s="162"/>
      <c r="AO88" s="162"/>
      <c r="AP88" s="162"/>
      <c r="AQ88" s="162"/>
      <c r="AR88" s="162"/>
      <c r="AS88" s="162"/>
      <c r="AT88" s="162"/>
      <c r="AU88" s="162"/>
      <c r="AV88" s="162"/>
      <c r="AW88" s="162"/>
      <c r="AX88" s="162"/>
      <c r="AY88" s="162"/>
      <c r="AZ88" s="162"/>
      <c r="BA88" s="162"/>
      <c r="BB88" s="162"/>
      <c r="BC88" s="162"/>
      <c r="BD88" s="162"/>
      <c r="BE88" s="162"/>
      <c r="BF88" s="162"/>
      <c r="BG88" s="162"/>
      <c r="BH88" s="162"/>
      <c r="BI88" s="162"/>
      <c r="BJ88" s="162"/>
      <c r="BK88" s="162"/>
      <c r="BL88" s="162"/>
    </row>
    <row r="89" spans="1:64" ht="15">
      <c r="B89" s="163"/>
      <c r="C89" s="168"/>
      <c r="D89" s="168"/>
      <c r="E89" s="168"/>
      <c r="F89" s="168"/>
      <c r="G89" s="216"/>
      <c r="H89" s="168"/>
      <c r="I89" s="168"/>
      <c r="J89" s="168"/>
      <c r="K89" s="216"/>
      <c r="L89" s="161"/>
      <c r="M89" s="201"/>
      <c r="N89" s="181"/>
      <c r="O89" s="203"/>
      <c r="P89" s="203"/>
      <c r="Q89" s="201"/>
      <c r="R89" s="181"/>
      <c r="S89" s="181"/>
      <c r="T89" s="181"/>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T89" s="162"/>
      <c r="AU89" s="162"/>
      <c r="AV89" s="162"/>
      <c r="AW89" s="162"/>
      <c r="AX89" s="162"/>
      <c r="AY89" s="162"/>
      <c r="AZ89" s="162"/>
      <c r="BA89" s="162"/>
      <c r="BB89" s="162"/>
      <c r="BC89" s="162"/>
      <c r="BD89" s="162"/>
      <c r="BE89" s="162"/>
      <c r="BF89" s="162"/>
      <c r="BG89" s="162"/>
      <c r="BH89" s="162"/>
      <c r="BI89" s="162"/>
      <c r="BJ89" s="162"/>
      <c r="BK89" s="162"/>
      <c r="BL89" s="162"/>
    </row>
    <row r="90" spans="1:64" ht="15">
      <c r="B90" s="163" t="s">
        <v>735</v>
      </c>
      <c r="C90" s="168"/>
      <c r="D90" s="168"/>
      <c r="E90" s="168"/>
      <c r="F90" s="168"/>
      <c r="G90" s="168"/>
      <c r="H90" s="168"/>
      <c r="I90" s="168"/>
      <c r="J90" s="168"/>
      <c r="K90" s="168"/>
      <c r="L90" s="161"/>
      <c r="M90" s="201"/>
      <c r="N90" s="181"/>
      <c r="O90" s="203"/>
      <c r="P90" s="203"/>
      <c r="Q90" s="201"/>
      <c r="R90" s="181"/>
      <c r="S90" s="181"/>
      <c r="T90" s="181"/>
      <c r="U90" s="162"/>
      <c r="V90" s="162"/>
      <c r="W90" s="162"/>
      <c r="X90" s="162"/>
      <c r="Y90" s="162"/>
      <c r="Z90" s="162"/>
      <c r="AA90" s="162"/>
      <c r="AB90" s="162"/>
      <c r="AC90" s="162"/>
      <c r="AD90" s="162"/>
      <c r="AE90" s="162"/>
      <c r="AF90" s="162"/>
      <c r="AG90" s="162"/>
      <c r="AH90" s="162"/>
      <c r="AI90" s="162"/>
      <c r="AJ90" s="162"/>
      <c r="AK90" s="162"/>
      <c r="AL90" s="162"/>
      <c r="AM90" s="162"/>
      <c r="AN90" s="162"/>
      <c r="AO90" s="162"/>
      <c r="AP90" s="162"/>
      <c r="AQ90" s="162"/>
      <c r="AR90" s="162"/>
      <c r="AS90" s="162"/>
      <c r="AT90" s="162"/>
      <c r="AU90" s="162"/>
      <c r="AV90" s="162"/>
      <c r="AW90" s="162"/>
      <c r="AX90" s="162"/>
      <c r="AY90" s="162"/>
      <c r="AZ90" s="162"/>
      <c r="BA90" s="162"/>
      <c r="BB90" s="162"/>
      <c r="BC90" s="162"/>
      <c r="BD90" s="162"/>
      <c r="BE90" s="162"/>
      <c r="BF90" s="162"/>
      <c r="BG90" s="162"/>
      <c r="BH90" s="162"/>
      <c r="BI90" s="162"/>
      <c r="BJ90" s="162"/>
      <c r="BK90" s="162"/>
      <c r="BL90" s="162"/>
    </row>
    <row r="91" spans="1:64" ht="15">
      <c r="A91" s="169">
        <v>7</v>
      </c>
      <c r="B91" s="163" t="str">
        <f>+B83</f>
        <v xml:space="preserve">  Production</v>
      </c>
      <c r="C91" s="141"/>
      <c r="D91" s="217">
        <f>'ELECTRIC PLANT SUMMARY'!L317</f>
        <v>1692534.6300000004</v>
      </c>
      <c r="E91" s="168"/>
      <c r="F91" s="168" t="str">
        <f t="shared" ref="F91:G95" si="0">+F83</f>
        <v>NA</v>
      </c>
      <c r="G91" s="214" t="str">
        <f t="shared" si="0"/>
        <v xml:space="preserve"> </v>
      </c>
      <c r="H91" s="168"/>
      <c r="I91" s="168" t="s">
        <v>154</v>
      </c>
      <c r="J91" s="168"/>
      <c r="K91" s="168"/>
      <c r="L91" s="161"/>
      <c r="M91" s="201"/>
      <c r="N91" s="181"/>
      <c r="O91" s="203"/>
      <c r="P91" s="203"/>
      <c r="Q91" s="201"/>
      <c r="R91" s="181"/>
      <c r="S91" s="181"/>
      <c r="T91" s="181"/>
      <c r="U91" s="162"/>
      <c r="V91" s="162"/>
      <c r="W91" s="162"/>
      <c r="X91" s="162"/>
      <c r="Y91" s="162"/>
      <c r="Z91" s="162"/>
      <c r="AA91" s="162"/>
      <c r="AB91" s="162"/>
      <c r="AC91" s="162"/>
      <c r="AD91" s="162"/>
      <c r="AE91" s="162"/>
      <c r="AF91" s="162"/>
      <c r="AG91" s="162"/>
      <c r="AH91" s="162"/>
      <c r="AI91" s="162"/>
      <c r="AJ91" s="162"/>
      <c r="AK91" s="162"/>
      <c r="AL91" s="162"/>
      <c r="AM91" s="162"/>
      <c r="AN91" s="162"/>
      <c r="AO91" s="162"/>
      <c r="AP91" s="162"/>
      <c r="AQ91" s="162"/>
      <c r="AR91" s="162"/>
      <c r="AS91" s="162"/>
      <c r="AT91" s="162"/>
      <c r="AU91" s="162"/>
      <c r="AV91" s="162"/>
      <c r="AW91" s="162"/>
      <c r="AX91" s="162"/>
      <c r="AY91" s="162"/>
      <c r="AZ91" s="162"/>
      <c r="BA91" s="162"/>
      <c r="BB91" s="162"/>
      <c r="BC91" s="162"/>
      <c r="BD91" s="162"/>
      <c r="BE91" s="162"/>
      <c r="BF91" s="162"/>
      <c r="BG91" s="162"/>
      <c r="BH91" s="162"/>
      <c r="BI91" s="162"/>
      <c r="BJ91" s="162"/>
      <c r="BK91" s="162"/>
      <c r="BL91" s="162"/>
    </row>
    <row r="92" spans="1:64" ht="15">
      <c r="A92" s="169">
        <v>8</v>
      </c>
      <c r="B92" s="163" t="str">
        <f>+B84</f>
        <v xml:space="preserve">  Transmission</v>
      </c>
      <c r="C92" s="141"/>
      <c r="D92" s="217">
        <f>'ELECTRIC PLANT SUMMARY'!L318</f>
        <v>346921.88</v>
      </c>
      <c r="E92" s="168"/>
      <c r="F92" s="168" t="str">
        <f t="shared" si="0"/>
        <v>TP</v>
      </c>
      <c r="G92" s="214">
        <f t="shared" si="0"/>
        <v>1</v>
      </c>
      <c r="H92" s="168"/>
      <c r="I92" s="168">
        <f>+G92*D92</f>
        <v>346921.88</v>
      </c>
      <c r="J92" s="168"/>
      <c r="K92" s="168"/>
      <c r="L92" s="161"/>
      <c r="M92" s="201"/>
      <c r="N92" s="181"/>
      <c r="O92" s="203"/>
      <c r="P92" s="203"/>
      <c r="Q92" s="201"/>
      <c r="R92" s="181"/>
      <c r="S92" s="181"/>
      <c r="T92" s="181"/>
      <c r="U92" s="162"/>
      <c r="V92" s="162"/>
      <c r="W92" s="162"/>
      <c r="X92" s="162"/>
      <c r="Y92" s="162"/>
      <c r="Z92" s="162"/>
      <c r="AA92" s="162"/>
      <c r="AB92" s="162"/>
      <c r="AC92" s="162"/>
      <c r="AD92" s="162"/>
      <c r="AE92" s="162"/>
      <c r="AF92" s="162"/>
      <c r="AG92" s="162"/>
      <c r="AH92" s="162"/>
      <c r="AI92" s="162"/>
      <c r="AJ92" s="162"/>
      <c r="AK92" s="162"/>
      <c r="AL92" s="162"/>
      <c r="AM92" s="162"/>
      <c r="AN92" s="162"/>
      <c r="AO92" s="162"/>
      <c r="AP92" s="162"/>
      <c r="AQ92" s="162"/>
      <c r="AR92" s="162"/>
      <c r="AS92" s="162"/>
      <c r="AT92" s="162"/>
      <c r="AU92" s="162"/>
      <c r="AV92" s="162"/>
      <c r="AW92" s="162"/>
      <c r="AX92" s="162"/>
      <c r="AY92" s="162"/>
      <c r="AZ92" s="162"/>
      <c r="BA92" s="162"/>
      <c r="BB92" s="162"/>
      <c r="BC92" s="162"/>
      <c r="BD92" s="162"/>
      <c r="BE92" s="162"/>
      <c r="BF92" s="162"/>
      <c r="BG92" s="162"/>
      <c r="BH92" s="162"/>
      <c r="BI92" s="162"/>
      <c r="BJ92" s="162"/>
      <c r="BK92" s="162"/>
      <c r="BL92" s="162"/>
    </row>
    <row r="93" spans="1:64" ht="15">
      <c r="A93" s="169">
        <v>9</v>
      </c>
      <c r="B93" s="163" t="str">
        <f>+B85</f>
        <v xml:space="preserve">  Distribution</v>
      </c>
      <c r="C93" s="141"/>
      <c r="D93" s="217">
        <f>'ELECTRIC PLANT SUMMARY'!L316</f>
        <v>4645958.6799999978</v>
      </c>
      <c r="E93" s="168"/>
      <c r="F93" s="168" t="str">
        <f t="shared" si="0"/>
        <v>NA</v>
      </c>
      <c r="G93" s="214" t="str">
        <f t="shared" si="0"/>
        <v xml:space="preserve"> </v>
      </c>
      <c r="H93" s="168"/>
      <c r="I93" s="168" t="s">
        <v>154</v>
      </c>
      <c r="J93" s="168"/>
      <c r="K93" s="168"/>
      <c r="L93" s="161"/>
      <c r="M93" s="201"/>
      <c r="N93" s="181"/>
      <c r="O93" s="203"/>
      <c r="P93" s="203"/>
      <c r="Q93" s="201"/>
      <c r="R93" s="181"/>
      <c r="S93" s="181"/>
      <c r="T93" s="181"/>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row>
    <row r="94" spans="1:64" ht="15">
      <c r="A94" s="169">
        <v>10</v>
      </c>
      <c r="B94" s="163" t="str">
        <f>+B86</f>
        <v xml:space="preserve">  General &amp; Intangible</v>
      </c>
      <c r="C94" s="141"/>
      <c r="D94" s="217">
        <f>'ELECTRIC PLANT SUMMARY'!L315</f>
        <v>1099331.4299999995</v>
      </c>
      <c r="E94" s="168"/>
      <c r="F94" s="168" t="str">
        <f t="shared" si="0"/>
        <v>W/S</v>
      </c>
      <c r="G94" s="214">
        <f t="shared" si="0"/>
        <v>7.3952506383393804E-2</v>
      </c>
      <c r="H94" s="168"/>
      <c r="I94" s="168">
        <f>+G94*D94</f>
        <v>81298.314594540396</v>
      </c>
      <c r="J94" s="168"/>
      <c r="K94" s="168"/>
      <c r="L94" s="161"/>
      <c r="M94" s="201"/>
      <c r="N94" s="181"/>
      <c r="O94" s="203"/>
      <c r="P94" s="206"/>
      <c r="Q94" s="201"/>
      <c r="R94" s="181"/>
      <c r="S94" s="181"/>
      <c r="T94" s="181"/>
      <c r="U94" s="162"/>
      <c r="V94" s="162"/>
      <c r="W94" s="162"/>
      <c r="X94" s="162"/>
      <c r="Y94" s="162"/>
      <c r="Z94" s="162"/>
      <c r="AA94" s="162"/>
      <c r="AB94" s="162"/>
      <c r="AC94" s="162"/>
      <c r="AD94" s="162"/>
      <c r="AE94" s="162"/>
      <c r="AF94" s="162"/>
      <c r="AG94" s="162"/>
      <c r="AH94" s="162"/>
      <c r="AI94" s="162"/>
      <c r="AJ94" s="162"/>
      <c r="AK94" s="162"/>
      <c r="AL94" s="162"/>
      <c r="AM94" s="162"/>
      <c r="AN94" s="162"/>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row>
    <row r="95" spans="1:64" ht="15.75" thickBot="1">
      <c r="A95" s="169">
        <v>11</v>
      </c>
      <c r="B95" s="163" t="str">
        <f>+B87</f>
        <v xml:space="preserve">  Common</v>
      </c>
      <c r="C95" s="168"/>
      <c r="D95" s="215">
        <v>0</v>
      </c>
      <c r="E95" s="168"/>
      <c r="F95" s="168" t="str">
        <f t="shared" si="0"/>
        <v>CE</v>
      </c>
      <c r="G95" s="214">
        <f t="shared" si="0"/>
        <v>7.3952506383393804E-2</v>
      </c>
      <c r="H95" s="168"/>
      <c r="I95" s="185">
        <f>+G95*D95</f>
        <v>0</v>
      </c>
      <c r="J95" s="168"/>
      <c r="K95" s="168"/>
      <c r="L95" s="161"/>
      <c r="M95" s="201"/>
      <c r="N95" s="181"/>
      <c r="O95" s="203"/>
      <c r="P95" s="206"/>
      <c r="Q95" s="201"/>
      <c r="R95" s="181"/>
      <c r="S95" s="181"/>
      <c r="T95" s="181"/>
      <c r="U95" s="162"/>
      <c r="V95" s="162"/>
      <c r="W95" s="162"/>
      <c r="X95" s="162"/>
      <c r="Y95" s="162"/>
      <c r="Z95" s="162"/>
      <c r="AA95" s="162"/>
      <c r="AB95" s="162"/>
      <c r="AC95" s="162"/>
      <c r="AD95" s="162"/>
      <c r="AE95" s="162"/>
      <c r="AF95" s="162"/>
      <c r="AG95" s="162"/>
      <c r="AH95" s="162"/>
      <c r="AI95" s="162"/>
      <c r="AJ95" s="162"/>
      <c r="AK95" s="162"/>
      <c r="AL95" s="162"/>
      <c r="AM95" s="162"/>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row>
    <row r="96" spans="1:64" ht="15">
      <c r="A96" s="169">
        <v>12</v>
      </c>
      <c r="B96" s="163" t="s">
        <v>348</v>
      </c>
      <c r="C96" s="168"/>
      <c r="D96" s="168">
        <f>SUM(D91:D95)</f>
        <v>7784746.6199999973</v>
      </c>
      <c r="E96" s="168"/>
      <c r="F96" s="168"/>
      <c r="G96" s="168"/>
      <c r="H96" s="168"/>
      <c r="I96" s="168">
        <f>SUM(I91:I95)</f>
        <v>428220.1945945404</v>
      </c>
      <c r="J96" s="168"/>
      <c r="K96" s="168"/>
      <c r="L96" s="161"/>
      <c r="M96" s="201"/>
      <c r="N96" s="181"/>
      <c r="O96" s="218"/>
      <c r="P96" s="203"/>
      <c r="Q96" s="201"/>
      <c r="R96" s="181"/>
      <c r="S96" s="181"/>
      <c r="T96" s="181"/>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162"/>
      <c r="AZ96" s="162"/>
      <c r="BA96" s="162"/>
      <c r="BB96" s="162"/>
      <c r="BC96" s="162"/>
      <c r="BD96" s="162"/>
      <c r="BE96" s="162"/>
      <c r="BF96" s="162"/>
      <c r="BG96" s="162"/>
      <c r="BH96" s="162"/>
      <c r="BI96" s="162"/>
      <c r="BJ96" s="162"/>
      <c r="BK96" s="162"/>
      <c r="BL96" s="162"/>
    </row>
    <row r="97" spans="1:64" ht="15">
      <c r="A97" s="169"/>
      <c r="C97" s="168" t="s">
        <v>154</v>
      </c>
      <c r="E97" s="168"/>
      <c r="F97" s="168"/>
      <c r="G97" s="216"/>
      <c r="H97" s="168"/>
      <c r="J97" s="168"/>
      <c r="K97" s="216"/>
      <c r="L97" s="161"/>
      <c r="M97" s="201"/>
      <c r="N97" s="181"/>
      <c r="O97" s="203"/>
      <c r="P97" s="203"/>
      <c r="Q97" s="201"/>
      <c r="R97" s="181"/>
      <c r="S97" s="181"/>
      <c r="T97" s="181"/>
      <c r="U97" s="162"/>
      <c r="V97" s="162"/>
      <c r="W97" s="162"/>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row>
    <row r="98" spans="1:64" ht="15">
      <c r="A98" s="169"/>
      <c r="B98" s="163" t="s">
        <v>349</v>
      </c>
      <c r="C98" s="168"/>
      <c r="D98" s="168"/>
      <c r="E98" s="168"/>
      <c r="F98" s="168"/>
      <c r="G98" s="168"/>
      <c r="H98" s="168"/>
      <c r="I98" s="168"/>
      <c r="J98" s="168"/>
      <c r="K98" s="168"/>
      <c r="L98" s="161"/>
      <c r="M98" s="201"/>
      <c r="N98" s="181"/>
      <c r="O98" s="203"/>
      <c r="P98" s="203"/>
      <c r="Q98" s="201"/>
      <c r="R98" s="181"/>
      <c r="S98" s="181"/>
      <c r="T98" s="181"/>
      <c r="U98" s="162"/>
      <c r="V98" s="162"/>
      <c r="W98" s="162"/>
      <c r="X98" s="162"/>
      <c r="Y98" s="162"/>
      <c r="Z98" s="162"/>
      <c r="AA98" s="162"/>
      <c r="AB98" s="162"/>
      <c r="AC98" s="162"/>
      <c r="AD98" s="162"/>
      <c r="AE98" s="162"/>
      <c r="AF98" s="162"/>
      <c r="AG98" s="162"/>
      <c r="AH98" s="162"/>
      <c r="AI98" s="162"/>
      <c r="AJ98" s="162"/>
      <c r="AK98" s="162"/>
      <c r="AL98" s="162"/>
      <c r="AM98" s="162"/>
      <c r="AN98" s="162"/>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c r="BL98" s="162"/>
    </row>
    <row r="99" spans="1:64" ht="15">
      <c r="A99" s="169">
        <v>13</v>
      </c>
      <c r="B99" s="163" t="str">
        <f>+B91</f>
        <v xml:space="preserve">  Production</v>
      </c>
      <c r="C99" s="168" t="s">
        <v>350</v>
      </c>
      <c r="D99" s="168">
        <f>D83-D91</f>
        <v>1371684.379999999</v>
      </c>
      <c r="E99" s="168"/>
      <c r="F99" s="168"/>
      <c r="G99" s="216"/>
      <c r="H99" s="168"/>
      <c r="I99" s="168" t="s">
        <v>154</v>
      </c>
      <c r="J99" s="168"/>
      <c r="K99" s="216"/>
      <c r="L99" s="161"/>
      <c r="M99" s="201"/>
      <c r="N99" s="181"/>
      <c r="O99" s="203"/>
      <c r="P99" s="203"/>
      <c r="Q99" s="201"/>
      <c r="R99" s="181"/>
      <c r="S99" s="181"/>
      <c r="T99" s="181"/>
      <c r="U99" s="162"/>
      <c r="V99" s="162"/>
      <c r="W99" s="162"/>
      <c r="X99" s="162"/>
      <c r="Y99" s="162"/>
      <c r="Z99" s="162"/>
      <c r="AA99" s="162"/>
      <c r="AB99" s="162"/>
      <c r="AC99" s="162"/>
      <c r="AD99" s="162"/>
      <c r="AE99" s="162"/>
      <c r="AF99" s="162"/>
      <c r="AG99" s="162"/>
      <c r="AH99" s="162"/>
      <c r="AI99" s="162"/>
      <c r="AJ99" s="162"/>
      <c r="AK99" s="162"/>
      <c r="AL99" s="162"/>
      <c r="AM99" s="162"/>
      <c r="AN99" s="162"/>
      <c r="AO99" s="162"/>
      <c r="AP99" s="162"/>
      <c r="AQ99" s="162"/>
      <c r="AR99" s="162"/>
      <c r="AS99" s="162"/>
      <c r="AT99" s="162"/>
      <c r="AU99" s="162"/>
      <c r="AV99" s="162"/>
      <c r="AW99" s="162"/>
      <c r="AX99" s="162"/>
      <c r="AY99" s="162"/>
      <c r="AZ99" s="162"/>
      <c r="BA99" s="162"/>
      <c r="BB99" s="162"/>
      <c r="BC99" s="162"/>
      <c r="BD99" s="162"/>
      <c r="BE99" s="162"/>
      <c r="BF99" s="162"/>
      <c r="BG99" s="162"/>
      <c r="BH99" s="162"/>
      <c r="BI99" s="162"/>
      <c r="BJ99" s="162"/>
      <c r="BK99" s="162"/>
      <c r="BL99" s="162"/>
    </row>
    <row r="100" spans="1:64" ht="15">
      <c r="A100" s="169">
        <v>14</v>
      </c>
      <c r="B100" s="163" t="str">
        <f>+B92</f>
        <v xml:space="preserve">  Transmission</v>
      </c>
      <c r="C100" s="168" t="s">
        <v>351</v>
      </c>
      <c r="D100" s="168">
        <f>D84-D92</f>
        <v>4790.4000000000233</v>
      </c>
      <c r="E100" s="168"/>
      <c r="F100" s="168"/>
      <c r="G100" s="214"/>
      <c r="H100" s="168"/>
      <c r="I100" s="168">
        <f>I84-I92</f>
        <v>4790.4000000000233</v>
      </c>
      <c r="J100" s="168"/>
      <c r="K100" s="216"/>
      <c r="L100" s="161"/>
      <c r="M100" s="201"/>
      <c r="N100" s="181"/>
      <c r="O100" s="203"/>
      <c r="P100" s="203"/>
      <c r="Q100" s="201"/>
      <c r="R100" s="181"/>
      <c r="S100" s="181"/>
      <c r="T100" s="181"/>
      <c r="U100" s="162"/>
      <c r="V100" s="162"/>
      <c r="W100" s="162"/>
      <c r="X100" s="162"/>
      <c r="Y100" s="162"/>
      <c r="Z100" s="162"/>
      <c r="AA100" s="162"/>
      <c r="AB100" s="162"/>
      <c r="AC100" s="162"/>
      <c r="AD100" s="162"/>
      <c r="AE100" s="162"/>
      <c r="AF100" s="162"/>
      <c r="AG100" s="162"/>
      <c r="AH100" s="162"/>
      <c r="AI100" s="162"/>
      <c r="AJ100" s="162"/>
      <c r="AK100" s="162"/>
      <c r="AL100" s="162"/>
      <c r="AM100" s="162"/>
      <c r="AN100" s="162"/>
      <c r="AO100" s="162"/>
      <c r="AP100" s="162"/>
      <c r="AQ100" s="162"/>
      <c r="AR100" s="162"/>
      <c r="AS100" s="162"/>
      <c r="AT100" s="162"/>
      <c r="AU100" s="162"/>
      <c r="AV100" s="162"/>
      <c r="AW100" s="162"/>
      <c r="AX100" s="162"/>
      <c r="AY100" s="162"/>
      <c r="AZ100" s="162"/>
      <c r="BA100" s="162"/>
      <c r="BB100" s="162"/>
      <c r="BC100" s="162"/>
      <c r="BD100" s="162"/>
      <c r="BE100" s="162"/>
      <c r="BF100" s="162"/>
      <c r="BG100" s="162"/>
      <c r="BH100" s="162"/>
      <c r="BI100" s="162"/>
      <c r="BJ100" s="162"/>
      <c r="BK100" s="162"/>
      <c r="BL100" s="162"/>
    </row>
    <row r="101" spans="1:64" ht="15">
      <c r="A101" s="169">
        <v>15</v>
      </c>
      <c r="B101" s="163" t="str">
        <f>+B93</f>
        <v xml:space="preserve">  Distribution</v>
      </c>
      <c r="C101" s="168" t="s">
        <v>352</v>
      </c>
      <c r="D101" s="168">
        <f>D85-D93</f>
        <v>1895008.200000002</v>
      </c>
      <c r="E101" s="168"/>
      <c r="F101" s="168"/>
      <c r="G101" s="216"/>
      <c r="H101" s="168"/>
      <c r="I101" s="168" t="s">
        <v>154</v>
      </c>
      <c r="J101" s="168"/>
      <c r="K101" s="216"/>
      <c r="L101" s="161"/>
      <c r="M101" s="201"/>
      <c r="N101" s="181"/>
      <c r="O101" s="203"/>
      <c r="P101" s="203"/>
      <c r="Q101" s="201"/>
      <c r="R101" s="181"/>
      <c r="S101" s="181"/>
      <c r="T101" s="181"/>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row>
    <row r="102" spans="1:64" ht="15">
      <c r="A102" s="169">
        <v>16</v>
      </c>
      <c r="B102" s="163" t="str">
        <f>+B94</f>
        <v xml:space="preserve">  General &amp; Intangible</v>
      </c>
      <c r="C102" s="168" t="s">
        <v>353</v>
      </c>
      <c r="D102" s="168">
        <f>D86-D94</f>
        <v>363120.74000000046</v>
      </c>
      <c r="E102" s="168"/>
      <c r="F102" s="168"/>
      <c r="G102" s="216"/>
      <c r="H102" s="168"/>
      <c r="I102" s="168">
        <f>I86-I94</f>
        <v>26853.688842792719</v>
      </c>
      <c r="J102" s="168"/>
      <c r="K102" s="216"/>
      <c r="L102" s="161"/>
      <c r="M102" s="201"/>
      <c r="N102" s="181"/>
      <c r="O102" s="203"/>
      <c r="P102" s="206"/>
      <c r="Q102" s="201"/>
      <c r="R102" s="181"/>
      <c r="S102" s="181"/>
      <c r="T102" s="181"/>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row>
    <row r="103" spans="1:64" ht="15.75" thickBot="1">
      <c r="A103" s="169">
        <v>17</v>
      </c>
      <c r="B103" s="163" t="str">
        <f>+B95</f>
        <v xml:space="preserve">  Common</v>
      </c>
      <c r="C103" s="168" t="s">
        <v>354</v>
      </c>
      <c r="D103" s="185">
        <f>D87-D95</f>
        <v>0</v>
      </c>
      <c r="E103" s="168"/>
      <c r="F103" s="168"/>
      <c r="G103" s="216"/>
      <c r="H103" s="168"/>
      <c r="I103" s="185">
        <f>I87-I95</f>
        <v>0</v>
      </c>
      <c r="J103" s="168"/>
      <c r="K103" s="216"/>
      <c r="L103" s="161"/>
      <c r="M103" s="201"/>
      <c r="N103" s="181"/>
      <c r="O103" s="203"/>
      <c r="P103" s="206"/>
      <c r="Q103" s="201"/>
      <c r="R103" s="181"/>
      <c r="S103" s="181"/>
      <c r="T103" s="181"/>
      <c r="U103" s="162"/>
      <c r="V103" s="162"/>
      <c r="W103" s="162"/>
      <c r="X103" s="162"/>
      <c r="Y103" s="162"/>
      <c r="Z103" s="162"/>
      <c r="AA103" s="162"/>
      <c r="AB103" s="162"/>
      <c r="AC103" s="162"/>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2"/>
      <c r="AY103" s="162"/>
      <c r="AZ103" s="162"/>
      <c r="BA103" s="162"/>
      <c r="BB103" s="162"/>
      <c r="BC103" s="162"/>
      <c r="BD103" s="162"/>
      <c r="BE103" s="162"/>
      <c r="BF103" s="162"/>
      <c r="BG103" s="162"/>
      <c r="BH103" s="162"/>
      <c r="BI103" s="162"/>
      <c r="BJ103" s="162"/>
      <c r="BK103" s="162"/>
      <c r="BL103" s="162"/>
    </row>
    <row r="104" spans="1:64" ht="15">
      <c r="A104" s="169">
        <v>18</v>
      </c>
      <c r="B104" s="163" t="s">
        <v>355</v>
      </c>
      <c r="C104" s="168"/>
      <c r="D104" s="168">
        <f>SUM(D99:D103)</f>
        <v>3634603.7200000016</v>
      </c>
      <c r="E104" s="168"/>
      <c r="F104" s="168" t="s">
        <v>356</v>
      </c>
      <c r="G104" s="216">
        <f>IF(I104&gt;0,I104/D104,0)</f>
        <v>8.7063380991622193E-3</v>
      </c>
      <c r="H104" s="168"/>
      <c r="I104" s="168">
        <f>SUM(I99:I103)</f>
        <v>31644.088842792742</v>
      </c>
      <c r="J104" s="168"/>
      <c r="K104" s="168"/>
      <c r="L104" s="161"/>
      <c r="M104" s="201"/>
      <c r="N104" s="181"/>
      <c r="O104" s="219"/>
      <c r="P104" s="203"/>
      <c r="Q104" s="201"/>
      <c r="R104" s="181"/>
      <c r="S104" s="181"/>
      <c r="T104" s="181"/>
      <c r="U104" s="162"/>
      <c r="V104" s="162"/>
      <c r="W104" s="162"/>
      <c r="X104" s="162"/>
      <c r="Y104" s="162"/>
      <c r="Z104" s="162"/>
      <c r="AA104" s="162"/>
      <c r="AB104" s="162"/>
      <c r="AC104" s="162"/>
      <c r="AD104" s="162"/>
      <c r="AE104" s="162"/>
      <c r="AF104" s="162"/>
      <c r="AG104" s="162"/>
      <c r="AH104" s="162"/>
      <c r="AI104" s="162"/>
      <c r="AJ104" s="162"/>
      <c r="AK104" s="162"/>
      <c r="AL104" s="162"/>
      <c r="AM104" s="162"/>
      <c r="AN104" s="162"/>
      <c r="AO104" s="162"/>
      <c r="AP104" s="162"/>
      <c r="AQ104" s="162"/>
      <c r="AR104" s="162"/>
      <c r="AS104" s="162"/>
      <c r="AT104" s="162"/>
      <c r="AU104" s="162"/>
      <c r="AV104" s="162"/>
      <c r="AW104" s="162"/>
      <c r="AX104" s="162"/>
      <c r="AY104" s="162"/>
      <c r="AZ104" s="162"/>
      <c r="BA104" s="162"/>
      <c r="BB104" s="162"/>
      <c r="BC104" s="162"/>
      <c r="BD104" s="162"/>
      <c r="BE104" s="162"/>
      <c r="BF104" s="162"/>
      <c r="BG104" s="162"/>
      <c r="BH104" s="162"/>
      <c r="BI104" s="162"/>
      <c r="BJ104" s="162"/>
      <c r="BK104" s="162"/>
      <c r="BL104" s="162"/>
    </row>
    <row r="105" spans="1:64" ht="15">
      <c r="A105" s="169"/>
      <c r="C105" s="168"/>
      <c r="E105" s="168"/>
      <c r="H105" s="168"/>
      <c r="J105" s="168"/>
      <c r="K105" s="216"/>
      <c r="L105" s="161"/>
      <c r="M105" s="201"/>
      <c r="N105" s="181"/>
      <c r="O105" s="203"/>
      <c r="P105" s="203"/>
      <c r="Q105" s="201"/>
      <c r="R105" s="181"/>
      <c r="S105" s="181"/>
      <c r="T105" s="181"/>
      <c r="U105" s="162"/>
      <c r="V105" s="162"/>
      <c r="W105" s="162"/>
      <c r="X105" s="162"/>
      <c r="Y105" s="162"/>
      <c r="Z105" s="162"/>
      <c r="AA105" s="162"/>
      <c r="AB105" s="162"/>
      <c r="AC105" s="162"/>
      <c r="AD105" s="162"/>
      <c r="AE105" s="162"/>
      <c r="AF105" s="162"/>
      <c r="AG105" s="162"/>
      <c r="AH105" s="162"/>
      <c r="AI105" s="162"/>
      <c r="AJ105" s="162"/>
      <c r="AK105" s="162"/>
      <c r="AL105" s="162"/>
      <c r="AM105" s="162"/>
      <c r="AN105" s="162"/>
      <c r="AO105" s="162"/>
      <c r="AP105" s="162"/>
      <c r="AQ105" s="162"/>
      <c r="AR105" s="162"/>
      <c r="AS105" s="162"/>
      <c r="AT105" s="162"/>
      <c r="AU105" s="162"/>
      <c r="AV105" s="162"/>
      <c r="AW105" s="162"/>
      <c r="AX105" s="162"/>
      <c r="AY105" s="162"/>
      <c r="AZ105" s="162"/>
      <c r="BA105" s="162"/>
      <c r="BB105" s="162"/>
      <c r="BC105" s="162"/>
      <c r="BD105" s="162"/>
      <c r="BE105" s="162"/>
      <c r="BF105" s="162"/>
      <c r="BG105" s="162"/>
      <c r="BH105" s="162"/>
      <c r="BI105" s="162"/>
      <c r="BJ105" s="162"/>
      <c r="BK105" s="162"/>
      <c r="BL105" s="162"/>
    </row>
    <row r="106" spans="1:64" ht="15">
      <c r="A106" s="169"/>
      <c r="B106" s="163" t="s">
        <v>357</v>
      </c>
      <c r="C106" s="168"/>
      <c r="D106" s="168"/>
      <c r="E106" s="168"/>
      <c r="F106" s="168"/>
      <c r="G106" s="168"/>
      <c r="H106" s="168"/>
      <c r="I106" s="168"/>
      <c r="J106" s="168"/>
      <c r="K106" s="168"/>
      <c r="L106" s="161"/>
      <c r="M106" s="201"/>
      <c r="N106" s="181"/>
      <c r="O106" s="203"/>
      <c r="P106" s="203"/>
      <c r="Q106" s="201"/>
      <c r="R106" s="181"/>
      <c r="S106" s="181"/>
      <c r="T106" s="181"/>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2"/>
      <c r="AY106" s="162"/>
      <c r="AZ106" s="162"/>
      <c r="BA106" s="162"/>
      <c r="BB106" s="162"/>
      <c r="BC106" s="162"/>
      <c r="BD106" s="162"/>
      <c r="BE106" s="162"/>
      <c r="BF106" s="162"/>
      <c r="BG106" s="162"/>
      <c r="BH106" s="162"/>
      <c r="BI106" s="162"/>
      <c r="BJ106" s="162"/>
      <c r="BK106" s="162"/>
      <c r="BL106" s="162"/>
    </row>
    <row r="107" spans="1:64" ht="15">
      <c r="A107" s="169">
        <v>19</v>
      </c>
      <c r="B107" s="163" t="s">
        <v>358</v>
      </c>
      <c r="C107" s="168"/>
      <c r="D107" s="217">
        <v>0</v>
      </c>
      <c r="E107" s="168"/>
      <c r="F107" s="168"/>
      <c r="G107" s="220" t="s">
        <v>359</v>
      </c>
      <c r="H107" s="168"/>
      <c r="I107" s="168">
        <v>0</v>
      </c>
      <c r="J107" s="168"/>
      <c r="K107" s="216"/>
      <c r="L107" s="161"/>
      <c r="M107" s="201"/>
      <c r="N107" s="181"/>
      <c r="O107" s="221"/>
      <c r="P107" s="206"/>
      <c r="Q107" s="201"/>
      <c r="R107" s="181"/>
      <c r="S107" s="181"/>
      <c r="T107" s="181"/>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2"/>
      <c r="BC107" s="162"/>
      <c r="BD107" s="162"/>
      <c r="BE107" s="162"/>
      <c r="BF107" s="162"/>
      <c r="BG107" s="162"/>
      <c r="BH107" s="162"/>
      <c r="BI107" s="162"/>
      <c r="BJ107" s="162"/>
      <c r="BK107" s="162"/>
      <c r="BL107" s="162"/>
    </row>
    <row r="108" spans="1:64" ht="15">
      <c r="A108" s="169">
        <v>20</v>
      </c>
      <c r="B108" s="163" t="s">
        <v>360</v>
      </c>
      <c r="C108" s="168"/>
      <c r="D108" s="217">
        <v>0</v>
      </c>
      <c r="E108" s="168"/>
      <c r="F108" s="168" t="s">
        <v>361</v>
      </c>
      <c r="G108" s="214">
        <f>+G104</f>
        <v>8.7063380991622193E-3</v>
      </c>
      <c r="H108" s="168"/>
      <c r="I108" s="168">
        <f>D108*G108</f>
        <v>0</v>
      </c>
      <c r="J108" s="168"/>
      <c r="K108" s="216"/>
      <c r="L108" s="161"/>
      <c r="M108" s="201"/>
      <c r="N108" s="181"/>
      <c r="O108" s="221"/>
      <c r="P108" s="206"/>
      <c r="Q108" s="201"/>
      <c r="R108" s="181"/>
      <c r="S108" s="181"/>
      <c r="T108" s="181"/>
      <c r="U108" s="162"/>
      <c r="V108" s="162"/>
      <c r="W108" s="162"/>
      <c r="X108" s="162"/>
      <c r="Y108" s="162"/>
      <c r="Z108" s="162"/>
      <c r="AA108" s="162"/>
      <c r="AB108" s="162"/>
      <c r="AC108" s="162"/>
      <c r="AD108" s="162"/>
      <c r="AE108" s="162"/>
      <c r="AF108" s="162"/>
      <c r="AG108" s="162"/>
      <c r="AH108" s="162"/>
      <c r="AI108" s="162"/>
      <c r="AJ108" s="162"/>
      <c r="AK108" s="162"/>
      <c r="AL108" s="162"/>
      <c r="AM108" s="162"/>
      <c r="AN108" s="162"/>
      <c r="AO108" s="162"/>
      <c r="AP108" s="162"/>
      <c r="AQ108" s="162"/>
      <c r="AR108" s="162"/>
      <c r="AS108" s="162"/>
      <c r="AT108" s="162"/>
      <c r="AU108" s="162"/>
      <c r="AV108" s="162"/>
      <c r="AW108" s="162"/>
      <c r="AX108" s="162"/>
      <c r="AY108" s="162"/>
      <c r="AZ108" s="162"/>
      <c r="BA108" s="162"/>
      <c r="BB108" s="162"/>
      <c r="BC108" s="162"/>
      <c r="BD108" s="162"/>
      <c r="BE108" s="162"/>
      <c r="BF108" s="162"/>
      <c r="BG108" s="162"/>
      <c r="BH108" s="162"/>
      <c r="BI108" s="162"/>
      <c r="BJ108" s="162"/>
      <c r="BK108" s="162"/>
      <c r="BL108" s="162"/>
    </row>
    <row r="109" spans="1:64" ht="15">
      <c r="A109" s="169">
        <v>21</v>
      </c>
      <c r="B109" s="163" t="s">
        <v>362</v>
      </c>
      <c r="C109" s="168"/>
      <c r="D109" s="213">
        <v>0</v>
      </c>
      <c r="E109" s="168"/>
      <c r="F109" s="168" t="s">
        <v>361</v>
      </c>
      <c r="G109" s="214">
        <f>+G108</f>
        <v>8.7063380991622193E-3</v>
      </c>
      <c r="H109" s="168"/>
      <c r="I109" s="168">
        <f>D109*G109</f>
        <v>0</v>
      </c>
      <c r="J109" s="168"/>
      <c r="K109" s="216"/>
      <c r="L109" s="161"/>
      <c r="M109" s="201"/>
      <c r="N109" s="181"/>
      <c r="O109" s="221"/>
      <c r="P109" s="206"/>
      <c r="Q109" s="201"/>
      <c r="R109" s="181"/>
      <c r="S109" s="181"/>
      <c r="T109" s="181"/>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162"/>
      <c r="BB109" s="162"/>
      <c r="BC109" s="162"/>
      <c r="BD109" s="162"/>
      <c r="BE109" s="162"/>
      <c r="BF109" s="162"/>
      <c r="BG109" s="162"/>
      <c r="BH109" s="162"/>
      <c r="BI109" s="162"/>
      <c r="BJ109" s="162"/>
      <c r="BK109" s="162"/>
      <c r="BL109" s="162"/>
    </row>
    <row r="110" spans="1:64" ht="15">
      <c r="A110" s="169">
        <v>22</v>
      </c>
      <c r="B110" s="163" t="s">
        <v>363</v>
      </c>
      <c r="C110" s="168"/>
      <c r="D110" s="213">
        <v>0</v>
      </c>
      <c r="E110" s="168"/>
      <c r="F110" s="168" t="str">
        <f>+F109</f>
        <v>NP</v>
      </c>
      <c r="G110" s="214">
        <f>+G109</f>
        <v>8.7063380991622193E-3</v>
      </c>
      <c r="H110" s="168"/>
      <c r="I110" s="168">
        <f>D110*G110</f>
        <v>0</v>
      </c>
      <c r="J110" s="168"/>
      <c r="K110" s="216"/>
      <c r="L110" s="161"/>
      <c r="M110" s="201"/>
      <c r="N110" s="181"/>
      <c r="O110" s="221"/>
      <c r="P110" s="206"/>
      <c r="Q110" s="201"/>
      <c r="R110" s="181"/>
      <c r="S110" s="181"/>
      <c r="T110" s="181"/>
      <c r="U110" s="162"/>
      <c r="V110" s="162"/>
      <c r="W110" s="162"/>
      <c r="X110" s="162"/>
      <c r="Y110" s="162"/>
      <c r="Z110" s="162"/>
      <c r="AA110" s="162"/>
      <c r="AB110" s="162"/>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2"/>
      <c r="AZ110" s="162"/>
      <c r="BA110" s="162"/>
      <c r="BB110" s="162"/>
      <c r="BC110" s="162"/>
      <c r="BD110" s="162"/>
      <c r="BE110" s="162"/>
      <c r="BF110" s="162"/>
      <c r="BG110" s="162"/>
      <c r="BH110" s="162"/>
      <c r="BI110" s="162"/>
      <c r="BJ110" s="162"/>
      <c r="BK110" s="162"/>
      <c r="BL110" s="162"/>
    </row>
    <row r="111" spans="1:64" ht="15.75" thickBot="1">
      <c r="A111" s="169">
        <v>23</v>
      </c>
      <c r="B111" s="308" t="s">
        <v>364</v>
      </c>
      <c r="D111" s="215">
        <v>0</v>
      </c>
      <c r="E111" s="168"/>
      <c r="F111" s="168" t="s">
        <v>361</v>
      </c>
      <c r="G111" s="214">
        <f>+G109</f>
        <v>8.7063380991622193E-3</v>
      </c>
      <c r="H111" s="168"/>
      <c r="I111" s="185">
        <f>D111*G111</f>
        <v>0</v>
      </c>
      <c r="J111" s="168"/>
      <c r="K111" s="168"/>
      <c r="L111" s="161"/>
      <c r="M111" s="201"/>
      <c r="N111" s="181"/>
      <c r="O111" s="218"/>
      <c r="P111" s="203"/>
      <c r="Q111" s="201"/>
      <c r="R111" s="181"/>
      <c r="S111" s="181"/>
      <c r="T111" s="181"/>
      <c r="U111" s="162"/>
      <c r="V111" s="162"/>
      <c r="W111" s="162"/>
      <c r="X111" s="162"/>
      <c r="Y111" s="162"/>
      <c r="Z111" s="162"/>
      <c r="AA111" s="162"/>
      <c r="AB111" s="162"/>
      <c r="AC111" s="162"/>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2"/>
      <c r="AZ111" s="162"/>
      <c r="BA111" s="162"/>
      <c r="BB111" s="162"/>
      <c r="BC111" s="162"/>
      <c r="BD111" s="162"/>
      <c r="BE111" s="162"/>
      <c r="BF111" s="162"/>
      <c r="BG111" s="162"/>
      <c r="BH111" s="162"/>
      <c r="BI111" s="162"/>
      <c r="BJ111" s="162"/>
      <c r="BK111" s="162"/>
      <c r="BL111" s="162"/>
    </row>
    <row r="112" spans="1:64" ht="15">
      <c r="A112" s="169">
        <v>24</v>
      </c>
      <c r="B112" s="163" t="s">
        <v>365</v>
      </c>
      <c r="C112" s="168"/>
      <c r="D112" s="168">
        <f>SUM(D107:D111)</f>
        <v>0</v>
      </c>
      <c r="E112" s="168"/>
      <c r="F112" s="168"/>
      <c r="G112" s="168"/>
      <c r="H112" s="168"/>
      <c r="I112" s="168">
        <f>SUM(I107:I111)</f>
        <v>0</v>
      </c>
      <c r="J112" s="168"/>
      <c r="K112" s="216"/>
      <c r="L112" s="161"/>
      <c r="M112" s="201"/>
      <c r="N112" s="181"/>
      <c r="O112" s="203"/>
      <c r="P112" s="203"/>
      <c r="Q112" s="201"/>
      <c r="R112" s="181"/>
      <c r="S112" s="181"/>
      <c r="T112" s="181"/>
      <c r="U112" s="162"/>
      <c r="V112" s="162"/>
      <c r="W112" s="162"/>
      <c r="X112" s="162"/>
      <c r="Y112" s="162"/>
      <c r="Z112" s="162"/>
      <c r="AA112" s="162"/>
      <c r="AB112" s="162"/>
      <c r="AC112" s="162"/>
      <c r="AD112" s="162"/>
      <c r="AE112" s="162"/>
      <c r="AF112" s="162"/>
      <c r="AG112" s="162"/>
      <c r="AH112" s="162"/>
      <c r="AI112" s="162"/>
      <c r="AJ112" s="162"/>
      <c r="AK112" s="162"/>
      <c r="AL112" s="162"/>
      <c r="AM112" s="162"/>
      <c r="AN112" s="162"/>
      <c r="AO112" s="162"/>
      <c r="AP112" s="162"/>
      <c r="AQ112" s="162"/>
      <c r="AR112" s="162"/>
      <c r="AS112" s="162"/>
      <c r="AT112" s="162"/>
      <c r="AU112" s="162"/>
      <c r="AV112" s="162"/>
      <c r="AW112" s="162"/>
      <c r="AX112" s="162"/>
      <c r="AY112" s="162"/>
      <c r="AZ112" s="162"/>
      <c r="BA112" s="162"/>
      <c r="BB112" s="162"/>
      <c r="BC112" s="162"/>
      <c r="BD112" s="162"/>
      <c r="BE112" s="162"/>
      <c r="BF112" s="162"/>
      <c r="BG112" s="162"/>
      <c r="BH112" s="162"/>
      <c r="BI112" s="162"/>
      <c r="BJ112" s="162"/>
      <c r="BK112" s="162"/>
      <c r="BL112" s="162"/>
    </row>
    <row r="113" spans="1:64" ht="15">
      <c r="A113" s="169"/>
      <c r="B113" s="163"/>
      <c r="C113" s="168"/>
      <c r="D113" s="168"/>
      <c r="E113" s="168"/>
      <c r="F113" s="168"/>
      <c r="G113" s="168"/>
      <c r="H113" s="168"/>
      <c r="I113" s="168"/>
      <c r="J113" s="168"/>
      <c r="K113" s="216"/>
      <c r="L113" s="161"/>
      <c r="M113" s="201"/>
      <c r="N113" s="181"/>
      <c r="O113" s="203"/>
      <c r="P113" s="203"/>
      <c r="Q113" s="201"/>
      <c r="R113" s="181"/>
      <c r="S113" s="181"/>
      <c r="T113" s="181"/>
      <c r="U113" s="162"/>
      <c r="V113" s="162"/>
      <c r="W113" s="162"/>
      <c r="X113" s="162"/>
      <c r="Y113" s="162"/>
      <c r="Z113" s="162"/>
      <c r="AA113" s="162"/>
      <c r="AB113" s="162"/>
      <c r="AC113" s="162"/>
      <c r="AD113" s="162"/>
      <c r="AE113" s="162"/>
      <c r="AF113" s="162"/>
      <c r="AG113" s="162"/>
      <c r="AH113" s="162"/>
      <c r="AI113" s="162"/>
      <c r="AJ113" s="162"/>
      <c r="AK113" s="162"/>
      <c r="AL113" s="162"/>
      <c r="AM113" s="162"/>
      <c r="AN113" s="162"/>
      <c r="AO113" s="162"/>
      <c r="AP113" s="162"/>
      <c r="AQ113" s="162"/>
      <c r="AR113" s="162"/>
      <c r="AS113" s="162"/>
      <c r="AT113" s="162"/>
      <c r="AU113" s="162"/>
      <c r="AV113" s="162"/>
      <c r="AW113" s="162"/>
      <c r="AX113" s="162"/>
      <c r="AY113" s="162"/>
      <c r="AZ113" s="162"/>
      <c r="BA113" s="162"/>
      <c r="BB113" s="162"/>
      <c r="BC113" s="162"/>
      <c r="BD113" s="162"/>
      <c r="BE113" s="162"/>
      <c r="BF113" s="162"/>
      <c r="BG113" s="162"/>
      <c r="BH113" s="162"/>
      <c r="BI113" s="162"/>
      <c r="BJ113" s="162"/>
      <c r="BK113" s="162"/>
      <c r="BL113" s="162"/>
    </row>
    <row r="114" spans="1:64" ht="15">
      <c r="A114" s="169">
        <v>25</v>
      </c>
      <c r="B114" s="163" t="s">
        <v>366</v>
      </c>
      <c r="C114" s="168" t="s">
        <v>640</v>
      </c>
      <c r="D114" s="217">
        <v>0</v>
      </c>
      <c r="E114" s="168"/>
      <c r="F114" s="168" t="str">
        <f>+F92</f>
        <v>TP</v>
      </c>
      <c r="G114" s="214">
        <f>+G92</f>
        <v>1</v>
      </c>
      <c r="H114" s="168"/>
      <c r="I114" s="168">
        <f>+G114*D114</f>
        <v>0</v>
      </c>
      <c r="J114" s="168"/>
      <c r="K114" s="168"/>
      <c r="L114" s="161"/>
      <c r="M114" s="201"/>
      <c r="N114" s="181"/>
      <c r="O114" s="203"/>
      <c r="P114" s="203"/>
      <c r="Q114" s="201"/>
      <c r="R114" s="181"/>
      <c r="S114" s="181"/>
      <c r="T114" s="181"/>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2"/>
      <c r="BA114" s="162"/>
      <c r="BB114" s="162"/>
      <c r="BC114" s="162"/>
      <c r="BD114" s="162"/>
      <c r="BE114" s="162"/>
      <c r="BF114" s="162"/>
      <c r="BG114" s="162"/>
      <c r="BH114" s="162"/>
      <c r="BI114" s="162"/>
      <c r="BJ114" s="162"/>
      <c r="BK114" s="162"/>
      <c r="BL114" s="162"/>
    </row>
    <row r="115" spans="1:64" ht="15">
      <c r="A115" s="169"/>
      <c r="B115" s="163"/>
      <c r="C115" s="168"/>
      <c r="D115" s="168"/>
      <c r="E115" s="168"/>
      <c r="F115" s="168"/>
      <c r="G115" s="168"/>
      <c r="H115" s="168"/>
      <c r="I115" s="168"/>
      <c r="J115" s="168"/>
      <c r="K115" s="168"/>
      <c r="L115" s="161"/>
      <c r="M115" s="201"/>
      <c r="N115" s="181"/>
      <c r="O115" s="203"/>
      <c r="P115" s="203"/>
      <c r="Q115" s="201"/>
      <c r="R115" s="181"/>
      <c r="S115" s="181"/>
      <c r="T115" s="181"/>
      <c r="U115" s="162"/>
      <c r="V115" s="162"/>
      <c r="W115" s="162"/>
      <c r="X115" s="162"/>
      <c r="Y115" s="162"/>
      <c r="Z115" s="162"/>
      <c r="AA115" s="162"/>
      <c r="AB115" s="162"/>
      <c r="AC115" s="162"/>
      <c r="AD115" s="162"/>
      <c r="AE115" s="162"/>
      <c r="AF115" s="162"/>
      <c r="AG115" s="162"/>
      <c r="AH115" s="162"/>
      <c r="AI115" s="162"/>
      <c r="AJ115" s="162"/>
      <c r="AK115" s="162"/>
      <c r="AL115" s="162"/>
      <c r="AM115" s="162"/>
      <c r="AN115" s="162"/>
      <c r="AO115" s="162"/>
      <c r="AP115" s="162"/>
      <c r="AQ115" s="162"/>
      <c r="AR115" s="162"/>
      <c r="AS115" s="162"/>
      <c r="AT115" s="162"/>
      <c r="AU115" s="162"/>
      <c r="AV115" s="162"/>
      <c r="AW115" s="162"/>
      <c r="AX115" s="162"/>
      <c r="AY115" s="162"/>
      <c r="AZ115" s="162"/>
      <c r="BA115" s="162"/>
      <c r="BB115" s="162"/>
      <c r="BC115" s="162"/>
      <c r="BD115" s="162"/>
      <c r="BE115" s="162"/>
      <c r="BF115" s="162"/>
      <c r="BG115" s="162"/>
      <c r="BH115" s="162"/>
      <c r="BI115" s="162"/>
      <c r="BJ115" s="162"/>
      <c r="BK115" s="162"/>
      <c r="BL115" s="162"/>
    </row>
    <row r="116" spans="1:64" ht="15">
      <c r="A116" s="169"/>
      <c r="B116" s="163" t="s">
        <v>367</v>
      </c>
      <c r="C116" s="168" t="s">
        <v>368</v>
      </c>
      <c r="D116" s="168"/>
      <c r="E116" s="168"/>
      <c r="F116" s="168"/>
      <c r="G116" s="168"/>
      <c r="H116" s="168"/>
      <c r="I116" s="168"/>
      <c r="J116" s="168"/>
      <c r="K116" s="168"/>
      <c r="L116" s="161"/>
      <c r="M116" s="201"/>
      <c r="N116" s="181"/>
      <c r="O116" s="203"/>
      <c r="P116" s="203"/>
      <c r="Q116" s="201"/>
      <c r="R116" s="181"/>
      <c r="S116" s="181"/>
      <c r="T116" s="181"/>
      <c r="U116" s="162"/>
      <c r="V116" s="162"/>
      <c r="W116" s="162"/>
      <c r="X116" s="162"/>
      <c r="Y116" s="162"/>
      <c r="Z116" s="162"/>
      <c r="AA116" s="162"/>
      <c r="AB116" s="162"/>
      <c r="AC116" s="162"/>
      <c r="AD116" s="162"/>
      <c r="AE116" s="162"/>
      <c r="AF116" s="162"/>
      <c r="AG116" s="162"/>
      <c r="AH116" s="162"/>
      <c r="AI116" s="162"/>
      <c r="AJ116" s="162"/>
      <c r="AK116" s="162"/>
      <c r="AL116" s="162"/>
      <c r="AM116" s="162"/>
      <c r="AN116" s="162"/>
      <c r="AO116" s="162"/>
      <c r="AP116" s="162"/>
      <c r="AQ116" s="162"/>
      <c r="AR116" s="162"/>
      <c r="AS116" s="162"/>
      <c r="AT116" s="162"/>
      <c r="AU116" s="162"/>
      <c r="AV116" s="162"/>
      <c r="AW116" s="162"/>
      <c r="AX116" s="162"/>
      <c r="AY116" s="162"/>
      <c r="AZ116" s="162"/>
      <c r="BA116" s="162"/>
      <c r="BB116" s="162"/>
      <c r="BC116" s="162"/>
      <c r="BD116" s="162"/>
      <c r="BE116" s="162"/>
      <c r="BF116" s="162"/>
      <c r="BG116" s="162"/>
      <c r="BH116" s="162"/>
      <c r="BI116" s="162"/>
      <c r="BJ116" s="162"/>
      <c r="BK116" s="162"/>
      <c r="BL116" s="162"/>
    </row>
    <row r="117" spans="1:64" ht="15">
      <c r="A117" s="169">
        <v>26</v>
      </c>
      <c r="B117" s="163" t="s">
        <v>369</v>
      </c>
      <c r="D117" s="168">
        <f>D158/8</f>
        <v>50292.126465785383</v>
      </c>
      <c r="E117" s="168"/>
      <c r="F117" s="168"/>
      <c r="G117" s="216"/>
      <c r="H117" s="168"/>
      <c r="I117" s="168">
        <f>I158/8</f>
        <v>5924.983355022131</v>
      </c>
      <c r="J117" s="164"/>
      <c r="K117" s="216"/>
      <c r="L117" s="161"/>
      <c r="M117" s="201"/>
      <c r="N117" s="181"/>
      <c r="O117" s="222"/>
      <c r="P117" s="223"/>
      <c r="Q117" s="201"/>
      <c r="R117" s="181"/>
      <c r="S117" s="181"/>
      <c r="T117" s="181"/>
      <c r="U117" s="162"/>
      <c r="V117" s="162"/>
      <c r="W117" s="162"/>
      <c r="X117" s="162"/>
      <c r="Y117" s="162"/>
      <c r="Z117" s="162"/>
      <c r="AA117" s="162"/>
      <c r="AB117" s="162"/>
      <c r="AC117" s="162"/>
      <c r="AD117" s="162"/>
      <c r="AE117" s="162"/>
      <c r="AF117" s="162"/>
      <c r="AG117" s="162"/>
      <c r="AH117" s="162"/>
      <c r="AI117" s="162"/>
      <c r="AJ117" s="162"/>
      <c r="AK117" s="162"/>
      <c r="AL117" s="162"/>
      <c r="AM117" s="162"/>
      <c r="AN117" s="162"/>
      <c r="AO117" s="162"/>
      <c r="AP117" s="162"/>
      <c r="AQ117" s="162"/>
      <c r="AR117" s="162"/>
      <c r="AS117" s="162"/>
      <c r="AT117" s="162"/>
      <c r="AU117" s="162"/>
      <c r="AV117" s="162"/>
      <c r="AW117" s="162"/>
      <c r="AX117" s="162"/>
      <c r="AY117" s="162"/>
      <c r="AZ117" s="162"/>
      <c r="BA117" s="162"/>
      <c r="BB117" s="162"/>
      <c r="BC117" s="162"/>
      <c r="BD117" s="162"/>
      <c r="BE117" s="162"/>
      <c r="BF117" s="162"/>
      <c r="BG117" s="162"/>
      <c r="BH117" s="162"/>
      <c r="BI117" s="162"/>
      <c r="BJ117" s="162"/>
      <c r="BK117" s="162"/>
      <c r="BL117" s="162"/>
    </row>
    <row r="118" spans="1:64" ht="15">
      <c r="A118" s="169">
        <v>27</v>
      </c>
      <c r="B118" s="163" t="s">
        <v>370</v>
      </c>
      <c r="C118" s="141" t="s">
        <v>371</v>
      </c>
      <c r="D118" s="217">
        <v>0</v>
      </c>
      <c r="E118" s="168"/>
      <c r="F118" s="168" t="s">
        <v>372</v>
      </c>
      <c r="G118" s="214">
        <f>I229</f>
        <v>1</v>
      </c>
      <c r="H118" s="168"/>
      <c r="I118" s="168">
        <f>G118*D118</f>
        <v>0</v>
      </c>
      <c r="J118" s="168" t="s">
        <v>154</v>
      </c>
      <c r="K118" s="216"/>
      <c r="L118" s="161"/>
      <c r="M118" s="201"/>
      <c r="N118" s="181"/>
      <c r="O118" s="222"/>
      <c r="P118" s="206"/>
      <c r="Q118" s="201"/>
      <c r="R118" s="181"/>
      <c r="S118" s="181"/>
      <c r="T118" s="181"/>
      <c r="U118" s="162"/>
      <c r="V118" s="162"/>
      <c r="W118" s="162"/>
      <c r="X118" s="162"/>
      <c r="Y118" s="162"/>
      <c r="Z118" s="162"/>
      <c r="AA118" s="162"/>
      <c r="AB118" s="162"/>
      <c r="AC118" s="162"/>
      <c r="AD118" s="162"/>
      <c r="AE118" s="162"/>
      <c r="AF118" s="162"/>
      <c r="AG118" s="162"/>
      <c r="AH118" s="162"/>
      <c r="AI118" s="162"/>
      <c r="AJ118" s="162"/>
      <c r="AK118" s="162"/>
      <c r="AL118" s="162"/>
      <c r="AM118" s="162"/>
      <c r="AN118" s="162"/>
      <c r="AO118" s="162"/>
      <c r="AP118" s="162"/>
      <c r="AQ118" s="162"/>
      <c r="AR118" s="162"/>
      <c r="AS118" s="162"/>
      <c r="AT118" s="162"/>
      <c r="AU118" s="162"/>
      <c r="AV118" s="162"/>
      <c r="AW118" s="162"/>
      <c r="AX118" s="162"/>
      <c r="AY118" s="162"/>
      <c r="AZ118" s="162"/>
      <c r="BA118" s="162"/>
      <c r="BB118" s="162"/>
      <c r="BC118" s="162"/>
      <c r="BD118" s="162"/>
      <c r="BE118" s="162"/>
      <c r="BF118" s="162"/>
      <c r="BG118" s="162"/>
      <c r="BH118" s="162"/>
      <c r="BI118" s="162"/>
      <c r="BJ118" s="162"/>
      <c r="BK118" s="162"/>
      <c r="BL118" s="162"/>
    </row>
    <row r="119" spans="1:64" ht="15.75" thickBot="1">
      <c r="A119" s="169">
        <v>28</v>
      </c>
      <c r="B119" s="163" t="s">
        <v>373</v>
      </c>
      <c r="C119" s="224" t="s">
        <v>374</v>
      </c>
      <c r="D119" s="215">
        <f>'EIA412 Balance sheet'!C46</f>
        <v>0</v>
      </c>
      <c r="E119" s="168"/>
      <c r="F119" s="168" t="s">
        <v>375</v>
      </c>
      <c r="G119" s="214">
        <f>+G88</f>
        <v>4.0270616956772795E-2</v>
      </c>
      <c r="H119" s="168"/>
      <c r="I119" s="185">
        <f>+G119*D119</f>
        <v>0</v>
      </c>
      <c r="J119" s="168"/>
      <c r="K119" s="216"/>
      <c r="L119" s="161"/>
      <c r="M119" s="201"/>
      <c r="N119" s="181"/>
      <c r="O119" s="222"/>
      <c r="P119" s="206"/>
      <c r="Q119" s="201"/>
      <c r="R119" s="181"/>
      <c r="S119" s="181"/>
      <c r="T119" s="181"/>
      <c r="U119" s="162"/>
      <c r="V119" s="162"/>
      <c r="W119" s="162"/>
      <c r="X119" s="162"/>
      <c r="Y119" s="162"/>
      <c r="Z119" s="162"/>
      <c r="AA119" s="162"/>
      <c r="AB119" s="162"/>
      <c r="AC119" s="162"/>
      <c r="AD119" s="162"/>
      <c r="AE119" s="162"/>
      <c r="AF119" s="162"/>
      <c r="AG119" s="162"/>
      <c r="AH119" s="162"/>
      <c r="AI119" s="162"/>
      <c r="AJ119" s="162"/>
      <c r="AK119" s="162"/>
      <c r="AL119" s="162"/>
      <c r="AM119" s="162"/>
      <c r="AN119" s="162"/>
      <c r="AO119" s="162"/>
      <c r="AP119" s="162"/>
      <c r="AQ119" s="162"/>
      <c r="AR119" s="162"/>
      <c r="AS119" s="162"/>
      <c r="AT119" s="162"/>
      <c r="AU119" s="162"/>
      <c r="AV119" s="162"/>
      <c r="AW119" s="162"/>
      <c r="AX119" s="162"/>
      <c r="AY119" s="162"/>
      <c r="AZ119" s="162"/>
      <c r="BA119" s="162"/>
      <c r="BB119" s="162"/>
      <c r="BC119" s="162"/>
      <c r="BD119" s="162"/>
      <c r="BE119" s="162"/>
      <c r="BF119" s="162"/>
      <c r="BG119" s="162"/>
      <c r="BH119" s="162"/>
      <c r="BI119" s="162"/>
      <c r="BJ119" s="162"/>
      <c r="BK119" s="162"/>
      <c r="BL119" s="162"/>
    </row>
    <row r="120" spans="1:64" ht="15">
      <c r="A120" s="169">
        <v>29</v>
      </c>
      <c r="B120" s="163" t="s">
        <v>376</v>
      </c>
      <c r="C120" s="164"/>
      <c r="D120" s="168">
        <f>D117+D118+D119</f>
        <v>50292.126465785383</v>
      </c>
      <c r="E120" s="164"/>
      <c r="F120" s="164"/>
      <c r="G120" s="164"/>
      <c r="H120" s="164"/>
      <c r="I120" s="168">
        <f>I117+I118+I119</f>
        <v>5924.983355022131</v>
      </c>
      <c r="J120" s="164"/>
      <c r="K120" s="164"/>
      <c r="L120" s="161"/>
      <c r="M120" s="201"/>
      <c r="N120" s="181"/>
      <c r="O120" s="218"/>
      <c r="P120" s="203"/>
      <c r="Q120" s="201"/>
      <c r="R120" s="181"/>
      <c r="S120" s="181"/>
      <c r="T120" s="181"/>
      <c r="U120" s="162"/>
      <c r="V120" s="162"/>
      <c r="W120" s="162"/>
      <c r="X120" s="162"/>
      <c r="Y120" s="162"/>
      <c r="Z120" s="162"/>
      <c r="AA120" s="162"/>
      <c r="AB120" s="162"/>
      <c r="AC120" s="162"/>
      <c r="AD120" s="162"/>
      <c r="AE120" s="162"/>
      <c r="AF120" s="162"/>
      <c r="AG120" s="162"/>
      <c r="AH120" s="162"/>
      <c r="AI120" s="162"/>
      <c r="AJ120" s="162"/>
      <c r="AK120" s="162"/>
      <c r="AL120" s="162"/>
      <c r="AM120" s="162"/>
      <c r="AN120" s="162"/>
      <c r="AO120" s="162"/>
      <c r="AP120" s="162"/>
      <c r="AQ120" s="162"/>
      <c r="AR120" s="162"/>
      <c r="AS120" s="162"/>
      <c r="AT120" s="162"/>
      <c r="AU120" s="162"/>
      <c r="AV120" s="162"/>
      <c r="AW120" s="162"/>
      <c r="AX120" s="162"/>
      <c r="AY120" s="162"/>
      <c r="AZ120" s="162"/>
      <c r="BA120" s="162"/>
      <c r="BB120" s="162"/>
      <c r="BC120" s="162"/>
      <c r="BD120" s="162"/>
      <c r="BE120" s="162"/>
      <c r="BF120" s="162"/>
      <c r="BG120" s="162"/>
      <c r="BH120" s="162"/>
      <c r="BI120" s="162"/>
      <c r="BJ120" s="162"/>
      <c r="BK120" s="162"/>
      <c r="BL120" s="162"/>
    </row>
    <row r="121" spans="1:64" ht="15.75" thickBot="1">
      <c r="C121" s="168"/>
      <c r="D121" s="225"/>
      <c r="E121" s="168"/>
      <c r="F121" s="168"/>
      <c r="G121" s="168"/>
      <c r="H121" s="168"/>
      <c r="I121" s="225"/>
      <c r="J121" s="168"/>
      <c r="K121" s="168"/>
      <c r="L121" s="161"/>
      <c r="M121" s="201"/>
      <c r="N121" s="181"/>
      <c r="O121" s="203"/>
      <c r="P121" s="203"/>
      <c r="Q121" s="201"/>
      <c r="R121" s="181"/>
      <c r="S121" s="181"/>
      <c r="T121" s="181"/>
      <c r="U121" s="162"/>
      <c r="V121" s="162"/>
      <c r="W121" s="162"/>
      <c r="X121" s="162"/>
      <c r="Y121" s="162"/>
      <c r="Z121" s="162"/>
      <c r="AA121" s="162"/>
      <c r="AB121" s="162"/>
      <c r="AC121" s="162"/>
      <c r="AD121" s="162"/>
      <c r="AE121" s="162"/>
      <c r="AF121" s="162"/>
      <c r="AG121" s="162"/>
      <c r="AH121" s="162"/>
      <c r="AI121" s="162"/>
      <c r="AJ121" s="162"/>
      <c r="AK121" s="162"/>
      <c r="AL121" s="162"/>
      <c r="AM121" s="162"/>
      <c r="AN121" s="162"/>
      <c r="AO121" s="162"/>
      <c r="AP121" s="162"/>
      <c r="AQ121" s="162"/>
      <c r="AR121" s="162"/>
      <c r="AS121" s="162"/>
      <c r="AT121" s="162"/>
      <c r="AU121" s="162"/>
      <c r="AV121" s="162"/>
      <c r="AW121" s="162"/>
      <c r="AX121" s="162"/>
      <c r="AY121" s="162"/>
      <c r="AZ121" s="162"/>
      <c r="BA121" s="162"/>
      <c r="BB121" s="162"/>
      <c r="BC121" s="162"/>
      <c r="BD121" s="162"/>
      <c r="BE121" s="162"/>
      <c r="BF121" s="162"/>
      <c r="BG121" s="162"/>
      <c r="BH121" s="162"/>
      <c r="BI121" s="162"/>
      <c r="BJ121" s="162"/>
      <c r="BK121" s="162"/>
      <c r="BL121" s="162"/>
    </row>
    <row r="122" spans="1:64" ht="15.75" thickBot="1">
      <c r="A122" s="169">
        <v>30</v>
      </c>
      <c r="B122" s="163" t="s">
        <v>377</v>
      </c>
      <c r="C122" s="168"/>
      <c r="D122" s="226">
        <f>+D120+D114+D112+D104</f>
        <v>3684895.8464657869</v>
      </c>
      <c r="E122" s="168"/>
      <c r="F122" s="168"/>
      <c r="G122" s="216"/>
      <c r="H122" s="168"/>
      <c r="I122" s="226">
        <f>+I120+I114+I112+I104</f>
        <v>37569.072197814872</v>
      </c>
      <c r="J122" s="168"/>
      <c r="K122" s="216"/>
      <c r="L122" s="202"/>
      <c r="M122" s="201"/>
      <c r="N122" s="181"/>
      <c r="O122" s="203"/>
      <c r="P122" s="203"/>
      <c r="Q122" s="201"/>
      <c r="R122" s="181"/>
      <c r="S122" s="181"/>
      <c r="T122" s="181"/>
      <c r="U122" s="162"/>
      <c r="V122" s="162"/>
      <c r="W122" s="162"/>
      <c r="X122" s="162"/>
      <c r="Y122" s="162"/>
      <c r="Z122" s="162"/>
      <c r="AA122" s="162"/>
      <c r="AB122" s="162"/>
      <c r="AC122" s="162"/>
      <c r="AD122" s="162"/>
      <c r="AE122" s="162"/>
      <c r="AF122" s="162"/>
      <c r="AG122" s="162"/>
      <c r="AH122" s="162"/>
      <c r="AI122" s="162"/>
      <c r="AJ122" s="162"/>
      <c r="AK122" s="162"/>
      <c r="AL122" s="162"/>
      <c r="AM122" s="162"/>
      <c r="AN122" s="162"/>
      <c r="AO122" s="162"/>
      <c r="AP122" s="162"/>
      <c r="AQ122" s="162"/>
      <c r="AR122" s="162"/>
      <c r="AS122" s="162"/>
      <c r="AT122" s="162"/>
      <c r="AU122" s="162"/>
      <c r="AV122" s="162"/>
      <c r="AW122" s="162"/>
      <c r="AX122" s="162"/>
      <c r="AY122" s="162"/>
      <c r="AZ122" s="162"/>
      <c r="BA122" s="162"/>
      <c r="BB122" s="162"/>
      <c r="BC122" s="162"/>
      <c r="BD122" s="162"/>
      <c r="BE122" s="162"/>
      <c r="BF122" s="162"/>
      <c r="BG122" s="162"/>
      <c r="BH122" s="162"/>
      <c r="BI122" s="162"/>
      <c r="BJ122" s="162"/>
      <c r="BK122" s="162"/>
      <c r="BL122" s="162"/>
    </row>
    <row r="123" spans="1:64" ht="15.75" thickTop="1">
      <c r="A123" s="169"/>
      <c r="B123" s="163"/>
      <c r="C123" s="168"/>
      <c r="D123" s="168"/>
      <c r="E123" s="168"/>
      <c r="F123" s="168"/>
      <c r="G123" s="168"/>
      <c r="H123" s="168"/>
      <c r="I123" s="168"/>
      <c r="J123" s="168"/>
      <c r="K123" s="168"/>
      <c r="L123" s="202"/>
      <c r="M123" s="182"/>
      <c r="N123" s="181"/>
      <c r="O123" s="203"/>
      <c r="P123" s="203"/>
      <c r="Q123" s="201"/>
      <c r="R123" s="181"/>
      <c r="S123" s="181"/>
      <c r="T123" s="181"/>
      <c r="U123" s="162"/>
      <c r="V123" s="162"/>
      <c r="W123" s="162"/>
      <c r="X123" s="162"/>
      <c r="Y123" s="162"/>
      <c r="Z123" s="162"/>
      <c r="AA123" s="162"/>
      <c r="AB123" s="162"/>
      <c r="AC123" s="162"/>
      <c r="AD123" s="162"/>
      <c r="AE123" s="162"/>
      <c r="AF123" s="162"/>
      <c r="AG123" s="162"/>
      <c r="AH123" s="162"/>
      <c r="AI123" s="162"/>
      <c r="AJ123" s="162"/>
      <c r="AK123" s="162"/>
      <c r="AL123" s="162"/>
      <c r="AM123" s="162"/>
      <c r="AN123" s="162"/>
      <c r="AO123" s="162"/>
      <c r="AP123" s="162"/>
      <c r="AQ123" s="162"/>
      <c r="AR123" s="162"/>
      <c r="AS123" s="162"/>
      <c r="AT123" s="162"/>
      <c r="AU123" s="162"/>
      <c r="AV123" s="162"/>
      <c r="AW123" s="162"/>
      <c r="AX123" s="162"/>
      <c r="AY123" s="162"/>
      <c r="AZ123" s="162"/>
      <c r="BA123" s="162"/>
      <c r="BB123" s="162"/>
      <c r="BC123" s="162"/>
      <c r="BD123" s="162"/>
      <c r="BE123" s="162"/>
      <c r="BF123" s="162"/>
      <c r="BG123" s="162"/>
      <c r="BH123" s="162"/>
      <c r="BI123" s="162"/>
      <c r="BJ123" s="162"/>
      <c r="BK123" s="162"/>
      <c r="BL123" s="162"/>
    </row>
    <row r="124" spans="1:64" ht="15">
      <c r="A124" s="169"/>
      <c r="B124" s="163"/>
      <c r="C124" s="168"/>
      <c r="D124" s="168"/>
      <c r="E124" s="168"/>
      <c r="F124" s="168"/>
      <c r="G124" s="168"/>
      <c r="H124" s="168"/>
      <c r="I124" s="168"/>
      <c r="J124" s="168"/>
      <c r="K124" s="168"/>
      <c r="L124" s="202"/>
      <c r="M124" s="182"/>
      <c r="N124" s="181"/>
      <c r="O124" s="203"/>
      <c r="P124" s="203"/>
      <c r="Q124" s="201"/>
      <c r="R124" s="181"/>
      <c r="S124" s="181"/>
      <c r="T124" s="181"/>
      <c r="U124" s="162"/>
      <c r="V124" s="162"/>
      <c r="W124" s="162"/>
      <c r="X124" s="162"/>
      <c r="Y124" s="162"/>
      <c r="Z124" s="162"/>
      <c r="AA124" s="162"/>
      <c r="AB124" s="162"/>
      <c r="AC124" s="162"/>
      <c r="AD124" s="162"/>
      <c r="AE124" s="162"/>
      <c r="AF124" s="162"/>
      <c r="AG124" s="162"/>
      <c r="AH124" s="162"/>
      <c r="AI124" s="162"/>
      <c r="AJ124" s="162"/>
      <c r="AK124" s="162"/>
      <c r="AL124" s="162"/>
      <c r="AM124" s="162"/>
      <c r="AN124" s="162"/>
      <c r="AO124" s="162"/>
      <c r="AP124" s="162"/>
      <c r="AQ124" s="162"/>
      <c r="AR124" s="162"/>
      <c r="AS124" s="162"/>
      <c r="AT124" s="162"/>
      <c r="AU124" s="162"/>
      <c r="AV124" s="162"/>
      <c r="AW124" s="162"/>
      <c r="AX124" s="162"/>
      <c r="AY124" s="162"/>
      <c r="AZ124" s="162"/>
      <c r="BA124" s="162"/>
      <c r="BB124" s="162"/>
      <c r="BC124" s="162"/>
      <c r="BD124" s="162"/>
      <c r="BE124" s="162"/>
      <c r="BF124" s="162"/>
      <c r="BG124" s="162"/>
      <c r="BH124" s="162"/>
      <c r="BI124" s="162"/>
      <c r="BJ124" s="162"/>
      <c r="BK124" s="162"/>
      <c r="BL124" s="162"/>
    </row>
    <row r="125" spans="1:64" customFormat="1"/>
    <row r="126" spans="1:64" customFormat="1"/>
    <row r="127" spans="1:64" customFormat="1"/>
    <row r="128" spans="1:64" customFormat="1"/>
    <row r="129" spans="1:64" customFormat="1"/>
    <row r="130" spans="1:64" customFormat="1"/>
    <row r="131" spans="1:64" customFormat="1"/>
    <row r="132" spans="1:64" customFormat="1"/>
    <row r="133" spans="1:64" s="384" customFormat="1"/>
    <row r="134" spans="1:64" s="384" customFormat="1"/>
    <row r="135" spans="1:64" s="384" customFormat="1"/>
    <row r="136" spans="1:64" s="384" customFormat="1"/>
    <row r="137" spans="1:64" s="384" customFormat="1"/>
    <row r="138" spans="1:64" customFormat="1" ht="15">
      <c r="H138" s="414" t="str">
        <f>H1</f>
        <v>Attachment O-EIA Non-Levelized Generic</v>
      </c>
    </row>
    <row r="139" spans="1:64" ht="15">
      <c r="B139" s="163"/>
      <c r="C139" s="163"/>
      <c r="D139" s="165"/>
      <c r="E139" s="163"/>
      <c r="F139" s="163"/>
      <c r="G139" s="163"/>
      <c r="H139" s="164"/>
      <c r="I139" s="164"/>
      <c r="J139" s="164"/>
      <c r="K139" s="654" t="s">
        <v>378</v>
      </c>
      <c r="L139" s="654"/>
      <c r="M139" s="182"/>
      <c r="N139" s="181"/>
      <c r="O139" s="182"/>
      <c r="P139" s="182"/>
      <c r="Q139" s="182"/>
      <c r="R139" s="181"/>
      <c r="S139" s="181"/>
      <c r="T139" s="181"/>
      <c r="U139" s="162"/>
      <c r="V139" s="162"/>
      <c r="W139" s="162"/>
      <c r="X139" s="162"/>
      <c r="Y139" s="162"/>
      <c r="Z139" s="162"/>
      <c r="AA139" s="162"/>
      <c r="AB139" s="162"/>
      <c r="AC139" s="162"/>
      <c r="AD139" s="162"/>
      <c r="AE139" s="162"/>
      <c r="AF139" s="162"/>
      <c r="AG139" s="162"/>
      <c r="AH139" s="162"/>
      <c r="AI139" s="162"/>
      <c r="AJ139" s="162"/>
      <c r="AK139" s="162"/>
      <c r="AL139" s="162"/>
      <c r="AM139" s="162"/>
      <c r="AN139" s="162"/>
      <c r="AO139" s="162"/>
      <c r="AP139" s="162"/>
      <c r="AQ139" s="162"/>
      <c r="AR139" s="162"/>
      <c r="AS139" s="162"/>
      <c r="AT139" s="162"/>
      <c r="AU139" s="162"/>
      <c r="AV139" s="162"/>
      <c r="AW139" s="162"/>
      <c r="AX139" s="162"/>
      <c r="AY139" s="162"/>
      <c r="AZ139" s="162"/>
      <c r="BA139" s="162"/>
      <c r="BB139" s="162"/>
      <c r="BC139" s="162"/>
      <c r="BD139" s="162"/>
      <c r="BE139" s="162"/>
      <c r="BF139" s="162"/>
      <c r="BG139" s="162"/>
      <c r="BH139" s="162"/>
      <c r="BI139" s="162"/>
      <c r="BJ139" s="162"/>
      <c r="BK139" s="162"/>
      <c r="BL139" s="162"/>
    </row>
    <row r="140" spans="1:64" ht="15">
      <c r="A140" s="169"/>
      <c r="B140" s="163"/>
      <c r="C140" s="168"/>
      <c r="D140" s="168"/>
      <c r="E140" s="168"/>
      <c r="F140" s="168"/>
      <c r="G140" s="168"/>
      <c r="H140" s="168"/>
      <c r="I140" s="168"/>
      <c r="J140" s="168"/>
      <c r="K140" s="168"/>
      <c r="L140" s="202"/>
      <c r="M140" s="182"/>
      <c r="N140" s="181"/>
      <c r="O140" s="203"/>
      <c r="P140" s="203"/>
      <c r="Q140" s="201"/>
      <c r="R140" s="181"/>
      <c r="S140" s="181"/>
      <c r="T140" s="181"/>
      <c r="U140" s="162"/>
      <c r="V140" s="162"/>
      <c r="W140" s="162"/>
      <c r="X140" s="162"/>
      <c r="Y140" s="162"/>
      <c r="Z140" s="162"/>
      <c r="AA140" s="162"/>
      <c r="AB140" s="162"/>
      <c r="AC140" s="162"/>
      <c r="AD140" s="162"/>
      <c r="AE140" s="162"/>
      <c r="AF140" s="162"/>
      <c r="AG140" s="162"/>
      <c r="AH140" s="162"/>
      <c r="AI140" s="162"/>
      <c r="AJ140" s="162"/>
      <c r="AK140" s="162"/>
      <c r="AL140" s="162"/>
      <c r="AM140" s="162"/>
      <c r="AN140" s="162"/>
      <c r="AO140" s="162"/>
      <c r="AP140" s="162"/>
      <c r="AQ140" s="162"/>
      <c r="AR140" s="162"/>
      <c r="AS140" s="162"/>
      <c r="AT140" s="162"/>
      <c r="AU140" s="162"/>
      <c r="AV140" s="162"/>
      <c r="AW140" s="162"/>
      <c r="AX140" s="162"/>
      <c r="AY140" s="162"/>
      <c r="AZ140" s="162"/>
      <c r="BA140" s="162"/>
      <c r="BB140" s="162"/>
      <c r="BC140" s="162"/>
      <c r="BD140" s="162"/>
      <c r="BE140" s="162"/>
      <c r="BF140" s="162"/>
      <c r="BG140" s="162"/>
      <c r="BH140" s="162"/>
      <c r="BI140" s="162"/>
      <c r="BJ140" s="162"/>
      <c r="BK140" s="162"/>
      <c r="BL140" s="162"/>
    </row>
    <row r="141" spans="1:64" ht="15">
      <c r="A141" s="169"/>
      <c r="B141" s="163" t="str">
        <f>B4</f>
        <v xml:space="preserve">Formula Rate - Non-Levelized </v>
      </c>
      <c r="C141" s="168"/>
      <c r="D141" s="168" t="str">
        <f>D4</f>
        <v xml:space="preserve">   Rate Formula Template</v>
      </c>
      <c r="E141" s="168"/>
      <c r="F141" s="168"/>
      <c r="G141" s="168"/>
      <c r="H141" s="168"/>
      <c r="I141" s="168" t="str">
        <f>I4</f>
        <v>For the 12 months ended 12/31/14</v>
      </c>
      <c r="J141" s="168"/>
      <c r="K141" s="168"/>
      <c r="L141" s="202"/>
      <c r="M141" s="201"/>
      <c r="N141" s="181"/>
      <c r="O141" s="203"/>
      <c r="P141" s="203"/>
      <c r="Q141" s="201"/>
      <c r="R141" s="181"/>
      <c r="S141" s="181"/>
      <c r="T141" s="181"/>
      <c r="U141" s="162"/>
      <c r="V141" s="162"/>
      <c r="W141" s="162"/>
      <c r="X141" s="162"/>
      <c r="Y141" s="162"/>
      <c r="Z141" s="162"/>
      <c r="AA141" s="162"/>
      <c r="AB141" s="162"/>
      <c r="AC141" s="162"/>
      <c r="AD141" s="162"/>
      <c r="AE141" s="162"/>
      <c r="AF141" s="162"/>
      <c r="AG141" s="162"/>
      <c r="AH141" s="162"/>
      <c r="AI141" s="162"/>
      <c r="AJ141" s="162"/>
      <c r="AK141" s="162"/>
      <c r="AL141" s="162"/>
      <c r="AM141" s="162"/>
      <c r="AN141" s="162"/>
      <c r="AO141" s="162"/>
      <c r="AP141" s="162"/>
      <c r="AQ141" s="162"/>
      <c r="AR141" s="162"/>
      <c r="AS141" s="162"/>
      <c r="AT141" s="162"/>
      <c r="AU141" s="162"/>
      <c r="AV141" s="162"/>
      <c r="AW141" s="162"/>
      <c r="AX141" s="162"/>
      <c r="AY141" s="162"/>
      <c r="AZ141" s="162"/>
      <c r="BA141" s="162"/>
      <c r="BB141" s="162"/>
      <c r="BC141" s="162"/>
      <c r="BD141" s="162"/>
      <c r="BE141" s="162"/>
      <c r="BF141" s="162"/>
      <c r="BG141" s="162"/>
      <c r="BH141" s="162"/>
      <c r="BI141" s="162"/>
      <c r="BJ141" s="162"/>
      <c r="BK141" s="162"/>
      <c r="BL141" s="162"/>
    </row>
    <row r="142" spans="1:64" ht="15">
      <c r="A142" s="169"/>
      <c r="B142" s="163"/>
      <c r="C142" s="168"/>
      <c r="D142" s="168" t="str">
        <f>D5</f>
        <v>Utilizing EIA 412 Form Data</v>
      </c>
      <c r="E142" s="168"/>
      <c r="F142" s="168"/>
      <c r="G142" s="168"/>
      <c r="H142" s="168"/>
      <c r="I142" s="168"/>
      <c r="J142" s="168"/>
      <c r="K142" s="168"/>
      <c r="L142" s="202"/>
      <c r="M142" s="201"/>
      <c r="N142" s="181"/>
      <c r="O142" s="203"/>
      <c r="P142" s="203"/>
      <c r="Q142" s="201"/>
      <c r="R142" s="181"/>
      <c r="S142" s="181"/>
      <c r="T142" s="181"/>
      <c r="U142" s="162"/>
      <c r="V142" s="162"/>
      <c r="W142" s="162"/>
      <c r="X142" s="162"/>
      <c r="Y142" s="162"/>
      <c r="Z142" s="162"/>
      <c r="AA142" s="162"/>
      <c r="AB142" s="162"/>
      <c r="AC142" s="162"/>
      <c r="AD142" s="162"/>
      <c r="AE142" s="162"/>
      <c r="AF142" s="162"/>
      <c r="AG142" s="162"/>
      <c r="AH142" s="162"/>
      <c r="AI142" s="162"/>
      <c r="AJ142" s="162"/>
      <c r="AK142" s="162"/>
      <c r="AL142" s="162"/>
      <c r="AM142" s="162"/>
      <c r="AN142" s="162"/>
      <c r="AO142" s="162"/>
      <c r="AP142" s="162"/>
      <c r="AQ142" s="162"/>
      <c r="AR142" s="162"/>
      <c r="AS142" s="162"/>
      <c r="AT142" s="162"/>
      <c r="AU142" s="162"/>
      <c r="AV142" s="162"/>
      <c r="AW142" s="162"/>
      <c r="AX142" s="162"/>
      <c r="AY142" s="162"/>
      <c r="AZ142" s="162"/>
      <c r="BA142" s="162"/>
      <c r="BB142" s="162"/>
      <c r="BC142" s="162"/>
      <c r="BD142" s="162"/>
      <c r="BE142" s="162"/>
      <c r="BF142" s="162"/>
      <c r="BG142" s="162"/>
      <c r="BH142" s="162"/>
      <c r="BI142" s="162"/>
      <c r="BJ142" s="162"/>
      <c r="BK142" s="162"/>
      <c r="BL142" s="162"/>
    </row>
    <row r="143" spans="1:64" ht="15">
      <c r="A143" s="169"/>
      <c r="C143" s="168"/>
      <c r="D143" s="168"/>
      <c r="E143" s="168"/>
      <c r="F143" s="168"/>
      <c r="G143" s="168"/>
      <c r="H143" s="168"/>
      <c r="I143" s="168"/>
      <c r="J143" s="168"/>
      <c r="K143" s="168"/>
      <c r="L143" s="202"/>
      <c r="M143" s="201"/>
      <c r="N143" s="181"/>
      <c r="O143" s="203"/>
      <c r="P143" s="203"/>
      <c r="Q143" s="201"/>
      <c r="R143" s="181"/>
      <c r="S143" s="181"/>
      <c r="T143" s="181"/>
      <c r="U143" s="162"/>
      <c r="V143" s="162"/>
      <c r="W143" s="162"/>
      <c r="X143" s="162"/>
      <c r="Y143" s="162"/>
      <c r="Z143" s="162"/>
      <c r="AA143" s="162"/>
      <c r="AB143" s="162"/>
      <c r="AC143" s="162"/>
      <c r="AD143" s="162"/>
      <c r="AE143" s="162"/>
      <c r="AF143" s="162"/>
      <c r="AG143" s="162"/>
      <c r="AH143" s="162"/>
      <c r="AI143" s="162"/>
      <c r="AJ143" s="162"/>
      <c r="AK143" s="162"/>
      <c r="AL143" s="162"/>
      <c r="AM143" s="162"/>
      <c r="AN143" s="162"/>
      <c r="AO143" s="162"/>
      <c r="AP143" s="162"/>
      <c r="AQ143" s="162"/>
      <c r="AR143" s="162"/>
      <c r="AS143" s="162"/>
      <c r="AT143" s="162"/>
      <c r="AU143" s="162"/>
      <c r="AV143" s="162"/>
      <c r="AW143" s="162"/>
      <c r="AX143" s="162"/>
      <c r="AY143" s="162"/>
      <c r="AZ143" s="162"/>
      <c r="BA143" s="162"/>
      <c r="BB143" s="162"/>
      <c r="BC143" s="162"/>
      <c r="BD143" s="162"/>
      <c r="BE143" s="162"/>
      <c r="BF143" s="162"/>
      <c r="BG143" s="162"/>
      <c r="BH143" s="162"/>
      <c r="BI143" s="162"/>
      <c r="BJ143" s="162"/>
      <c r="BK143" s="162"/>
      <c r="BL143" s="162"/>
    </row>
    <row r="144" spans="1:64" ht="15">
      <c r="A144" s="169"/>
      <c r="C144" s="141"/>
      <c r="D144" s="141" t="str">
        <f>D7</f>
        <v>Windom</v>
      </c>
      <c r="E144" s="141"/>
      <c r="F144" s="141"/>
      <c r="G144" s="141"/>
      <c r="H144" s="141"/>
      <c r="I144" s="141"/>
      <c r="J144" s="168"/>
      <c r="K144" s="168"/>
      <c r="L144" s="202"/>
      <c r="M144" s="201"/>
      <c r="N144" s="181"/>
      <c r="O144" s="203"/>
      <c r="P144" s="203"/>
      <c r="Q144" s="201"/>
      <c r="R144" s="181"/>
      <c r="S144" s="181"/>
      <c r="T144" s="181"/>
      <c r="U144" s="162"/>
      <c r="V144" s="162"/>
      <c r="W144" s="162"/>
      <c r="X144" s="162"/>
      <c r="Y144" s="162"/>
      <c r="Z144" s="162"/>
      <c r="AA144" s="162"/>
      <c r="AB144" s="162"/>
      <c r="AC144" s="162"/>
      <c r="AD144" s="162"/>
      <c r="AE144" s="162"/>
      <c r="AF144" s="162"/>
      <c r="AG144" s="162"/>
      <c r="AH144" s="162"/>
      <c r="AI144" s="162"/>
      <c r="AJ144" s="162"/>
      <c r="AK144" s="162"/>
      <c r="AL144" s="162"/>
      <c r="AM144" s="162"/>
      <c r="AN144" s="162"/>
      <c r="AO144" s="162"/>
      <c r="AP144" s="162"/>
      <c r="AQ144" s="162"/>
      <c r="AR144" s="162"/>
      <c r="AS144" s="162"/>
      <c r="AT144" s="162"/>
      <c r="AU144" s="162"/>
      <c r="AV144" s="162"/>
      <c r="AW144" s="162"/>
      <c r="AX144" s="162"/>
      <c r="AY144" s="162"/>
      <c r="AZ144" s="162"/>
      <c r="BA144" s="162"/>
      <c r="BB144" s="162"/>
      <c r="BC144" s="162"/>
      <c r="BD144" s="162"/>
      <c r="BE144" s="162"/>
      <c r="BF144" s="162"/>
      <c r="BG144" s="162"/>
      <c r="BH144" s="162"/>
      <c r="BI144" s="162"/>
      <c r="BJ144" s="162"/>
      <c r="BK144" s="162"/>
      <c r="BL144" s="162"/>
    </row>
    <row r="145" spans="1:64" ht="15">
      <c r="A145" s="169"/>
      <c r="B145" s="166" t="s">
        <v>329</v>
      </c>
      <c r="C145" s="166" t="s">
        <v>330</v>
      </c>
      <c r="D145" s="166" t="s">
        <v>331</v>
      </c>
      <c r="E145" s="168" t="s">
        <v>154</v>
      </c>
      <c r="F145" s="168"/>
      <c r="G145" s="204" t="s">
        <v>332</v>
      </c>
      <c r="H145" s="168"/>
      <c r="I145" s="205" t="s">
        <v>333</v>
      </c>
      <c r="J145" s="168"/>
      <c r="K145" s="168"/>
      <c r="L145" s="202"/>
      <c r="M145" s="201"/>
      <c r="N145" s="181"/>
      <c r="O145" s="182"/>
      <c r="P145" s="203"/>
      <c r="Q145" s="201"/>
      <c r="R145" s="181"/>
      <c r="S145" s="181"/>
      <c r="T145" s="181"/>
      <c r="U145" s="162"/>
      <c r="V145" s="162"/>
      <c r="W145" s="162"/>
      <c r="X145" s="162"/>
      <c r="Y145" s="162"/>
      <c r="Z145" s="162"/>
      <c r="AA145" s="162"/>
      <c r="AB145" s="162"/>
      <c r="AC145" s="162"/>
      <c r="AD145" s="162"/>
      <c r="AE145" s="162"/>
      <c r="AF145" s="162"/>
      <c r="AG145" s="162"/>
      <c r="AH145" s="162"/>
      <c r="AI145" s="162"/>
      <c r="AJ145" s="162"/>
      <c r="AK145" s="162"/>
      <c r="AL145" s="162"/>
      <c r="AM145" s="162"/>
      <c r="AN145" s="162"/>
      <c r="AO145" s="162"/>
      <c r="AP145" s="162"/>
      <c r="AQ145" s="162"/>
      <c r="AR145" s="162"/>
      <c r="AS145" s="162"/>
      <c r="AT145" s="162"/>
      <c r="AU145" s="162"/>
      <c r="AV145" s="162"/>
      <c r="AW145" s="162"/>
      <c r="AX145" s="162"/>
      <c r="AY145" s="162"/>
      <c r="AZ145" s="162"/>
      <c r="BA145" s="162"/>
      <c r="BB145" s="162"/>
      <c r="BC145" s="162"/>
      <c r="BD145" s="162"/>
      <c r="BE145" s="162"/>
      <c r="BF145" s="162"/>
      <c r="BG145" s="162"/>
      <c r="BH145" s="162"/>
      <c r="BI145" s="162"/>
      <c r="BJ145" s="162"/>
      <c r="BK145" s="162"/>
      <c r="BL145" s="162"/>
    </row>
    <row r="146" spans="1:64" ht="15.75">
      <c r="A146" s="169" t="s">
        <v>3</v>
      </c>
      <c r="B146" s="166"/>
      <c r="C146" s="207" t="s">
        <v>635</v>
      </c>
      <c r="D146" s="168"/>
      <c r="E146" s="168"/>
      <c r="F146" s="168"/>
      <c r="G146" s="166"/>
      <c r="H146" s="227"/>
      <c r="I146" s="208" t="s">
        <v>266</v>
      </c>
      <c r="J146" s="227"/>
      <c r="K146" s="208"/>
      <c r="L146" s="227"/>
      <c r="M146" s="201"/>
      <c r="N146" s="181"/>
      <c r="O146" s="228"/>
      <c r="P146" s="203"/>
      <c r="Q146" s="201"/>
      <c r="R146" s="181"/>
      <c r="S146" s="181"/>
      <c r="T146" s="181"/>
      <c r="U146" s="162"/>
      <c r="V146" s="162"/>
      <c r="W146" s="162"/>
      <c r="X146" s="162"/>
      <c r="Y146" s="162"/>
      <c r="Z146" s="162"/>
      <c r="AA146" s="162"/>
      <c r="AB146" s="162"/>
      <c r="AC146" s="162"/>
      <c r="AD146" s="162"/>
      <c r="AE146" s="162"/>
      <c r="AF146" s="162"/>
      <c r="AG146" s="162"/>
      <c r="AH146" s="162"/>
      <c r="AI146" s="162"/>
      <c r="AJ146" s="162"/>
      <c r="AK146" s="162"/>
      <c r="AL146" s="162"/>
      <c r="AM146" s="162"/>
      <c r="AN146" s="162"/>
      <c r="AO146" s="162"/>
      <c r="AP146" s="162"/>
      <c r="AQ146" s="162"/>
      <c r="AR146" s="162"/>
      <c r="AS146" s="162"/>
      <c r="AT146" s="162"/>
      <c r="AU146" s="162"/>
      <c r="AV146" s="162"/>
      <c r="AW146" s="162"/>
      <c r="AX146" s="162"/>
      <c r="AY146" s="162"/>
      <c r="AZ146" s="162"/>
      <c r="BA146" s="162"/>
      <c r="BB146" s="162"/>
      <c r="BC146" s="162"/>
      <c r="BD146" s="162"/>
      <c r="BE146" s="162"/>
      <c r="BF146" s="162"/>
      <c r="BG146" s="162"/>
      <c r="BH146" s="162"/>
      <c r="BI146" s="162"/>
      <c r="BJ146" s="162"/>
      <c r="BK146" s="162"/>
      <c r="BL146" s="162"/>
    </row>
    <row r="147" spans="1:64" ht="16.5" thickBot="1">
      <c r="A147" s="173" t="s">
        <v>4</v>
      </c>
      <c r="B147" s="163"/>
      <c r="C147" s="209" t="s">
        <v>636</v>
      </c>
      <c r="D147" s="208" t="s">
        <v>334</v>
      </c>
      <c r="E147" s="210"/>
      <c r="F147" s="208" t="s">
        <v>335</v>
      </c>
      <c r="G147" s="141"/>
      <c r="H147" s="168"/>
      <c r="I147" s="211" t="s">
        <v>336</v>
      </c>
      <c r="J147" s="168"/>
      <c r="K147" s="208"/>
      <c r="L147" s="168"/>
      <c r="M147" s="201"/>
      <c r="N147" s="181"/>
      <c r="O147" s="229"/>
      <c r="P147" s="203"/>
      <c r="Q147" s="201"/>
      <c r="R147" s="181"/>
      <c r="S147" s="181"/>
      <c r="T147" s="181"/>
      <c r="U147" s="162"/>
      <c r="V147" s="162"/>
      <c r="W147" s="162"/>
      <c r="X147" s="162"/>
      <c r="Y147" s="162"/>
      <c r="Z147" s="162"/>
      <c r="AA147" s="162"/>
      <c r="AB147" s="162"/>
      <c r="AC147" s="162"/>
      <c r="AD147" s="162"/>
      <c r="AE147" s="162"/>
      <c r="AF147" s="162"/>
      <c r="AG147" s="162"/>
      <c r="AH147" s="162"/>
      <c r="AI147" s="162"/>
      <c r="AJ147" s="162"/>
      <c r="AK147" s="162"/>
      <c r="AL147" s="162"/>
      <c r="AM147" s="162"/>
      <c r="AN147" s="162"/>
      <c r="AO147" s="162"/>
      <c r="AP147" s="162"/>
      <c r="AQ147" s="162"/>
      <c r="AR147" s="162"/>
      <c r="AS147" s="162"/>
      <c r="AT147" s="162"/>
      <c r="AU147" s="162"/>
      <c r="AV147" s="162"/>
      <c r="AW147" s="162"/>
      <c r="AX147" s="162"/>
      <c r="AY147" s="162"/>
      <c r="AZ147" s="162"/>
      <c r="BA147" s="162"/>
      <c r="BB147" s="162"/>
      <c r="BC147" s="162"/>
      <c r="BD147" s="162"/>
      <c r="BE147" s="162"/>
      <c r="BF147" s="162"/>
      <c r="BG147" s="162"/>
      <c r="BH147" s="162"/>
      <c r="BI147" s="162"/>
      <c r="BJ147" s="162"/>
      <c r="BK147" s="162"/>
      <c r="BL147" s="162"/>
    </row>
    <row r="148" spans="1:64" ht="15">
      <c r="A148" s="169"/>
      <c r="B148" s="163" t="s">
        <v>736</v>
      </c>
      <c r="C148" s="168"/>
      <c r="D148" s="168"/>
      <c r="E148" s="168"/>
      <c r="F148" s="168"/>
      <c r="G148" s="168"/>
      <c r="H148" s="168"/>
      <c r="I148" s="168"/>
      <c r="J148" s="168"/>
      <c r="K148" s="168"/>
      <c r="L148" s="202"/>
      <c r="M148" s="201"/>
      <c r="N148" s="181"/>
      <c r="O148" s="203"/>
      <c r="P148" s="203"/>
      <c r="Q148" s="201"/>
      <c r="R148" s="181"/>
      <c r="S148" s="181"/>
      <c r="T148" s="181"/>
      <c r="U148" s="162"/>
      <c r="V148" s="162"/>
      <c r="W148" s="162"/>
      <c r="X148" s="162"/>
      <c r="Y148" s="162"/>
      <c r="Z148" s="162"/>
      <c r="AA148" s="162"/>
      <c r="AB148" s="162"/>
      <c r="AC148" s="162"/>
      <c r="AD148" s="162"/>
      <c r="AE148" s="162"/>
      <c r="AF148" s="162"/>
      <c r="AG148" s="162"/>
      <c r="AH148" s="162"/>
      <c r="AI148" s="162"/>
      <c r="AJ148" s="162"/>
      <c r="AK148" s="162"/>
      <c r="AL148" s="162"/>
      <c r="AM148" s="162"/>
      <c r="AN148" s="162"/>
      <c r="AO148" s="162"/>
      <c r="AP148" s="162"/>
      <c r="AQ148" s="162"/>
      <c r="AR148" s="162"/>
      <c r="AS148" s="162"/>
      <c r="AT148" s="162"/>
      <c r="AU148" s="162"/>
      <c r="AV148" s="162"/>
      <c r="AW148" s="162"/>
      <c r="AX148" s="162"/>
      <c r="AY148" s="162"/>
      <c r="AZ148" s="162"/>
      <c r="BA148" s="162"/>
      <c r="BB148" s="162"/>
      <c r="BC148" s="162"/>
      <c r="BD148" s="162"/>
      <c r="BE148" s="162"/>
      <c r="BF148" s="162"/>
      <c r="BG148" s="162"/>
      <c r="BH148" s="162"/>
      <c r="BI148" s="162"/>
      <c r="BJ148" s="162"/>
      <c r="BK148" s="162"/>
      <c r="BL148" s="162"/>
    </row>
    <row r="149" spans="1:64" ht="15">
      <c r="A149" s="169">
        <v>1</v>
      </c>
      <c r="B149" s="163" t="s">
        <v>379</v>
      </c>
      <c r="C149" s="141" t="s">
        <v>641</v>
      </c>
      <c r="D149" s="217">
        <f>'EIA412 Op &amp; Maint'!F21</f>
        <v>19055.217506499903</v>
      </c>
      <c r="E149" s="168"/>
      <c r="F149" s="168" t="s">
        <v>372</v>
      </c>
      <c r="G149" s="214">
        <f>I229</f>
        <v>1</v>
      </c>
      <c r="H149" s="168"/>
      <c r="I149" s="168">
        <f t="shared" ref="I149:I157" si="1">+G149*D149</f>
        <v>19055.217506499903</v>
      </c>
      <c r="J149" s="164"/>
      <c r="K149" s="168"/>
      <c r="L149" s="202"/>
      <c r="M149" s="201"/>
      <c r="N149" s="181"/>
      <c r="O149" s="203"/>
      <c r="P149" s="206"/>
      <c r="Q149" s="203"/>
      <c r="R149" s="181"/>
      <c r="S149" s="181"/>
      <c r="T149" s="181"/>
      <c r="U149" s="162"/>
      <c r="V149" s="162"/>
      <c r="W149" s="162"/>
      <c r="X149" s="162"/>
      <c r="Y149" s="162"/>
      <c r="Z149" s="162"/>
      <c r="AA149" s="162"/>
      <c r="AB149" s="162"/>
      <c r="AC149" s="162"/>
      <c r="AD149" s="162"/>
      <c r="AE149" s="162"/>
      <c r="AF149" s="162"/>
      <c r="AG149" s="162"/>
      <c r="AH149" s="162"/>
      <c r="AI149" s="162"/>
      <c r="AJ149" s="162"/>
      <c r="AK149" s="162"/>
      <c r="AL149" s="162"/>
      <c r="AM149" s="162"/>
      <c r="AN149" s="162"/>
      <c r="AO149" s="162"/>
      <c r="AP149" s="162"/>
      <c r="AQ149" s="162"/>
      <c r="AR149" s="162"/>
      <c r="AS149" s="162"/>
      <c r="AT149" s="162"/>
      <c r="AU149" s="162"/>
      <c r="AV149" s="162"/>
      <c r="AW149" s="162"/>
      <c r="AX149" s="162"/>
      <c r="AY149" s="162"/>
      <c r="AZ149" s="162"/>
      <c r="BA149" s="162"/>
      <c r="BB149" s="162"/>
      <c r="BC149" s="162"/>
      <c r="BD149" s="162"/>
      <c r="BE149" s="162"/>
      <c r="BF149" s="162"/>
      <c r="BG149" s="162"/>
      <c r="BH149" s="162"/>
      <c r="BI149" s="162"/>
      <c r="BJ149" s="162"/>
      <c r="BK149" s="162"/>
      <c r="BL149" s="162"/>
    </row>
    <row r="150" spans="1:64" s="294" customFormat="1" ht="15">
      <c r="A150" s="159" t="s">
        <v>628</v>
      </c>
      <c r="B150" s="295" t="s">
        <v>629</v>
      </c>
      <c r="C150" s="296"/>
      <c r="D150" s="217">
        <v>0</v>
      </c>
      <c r="E150" s="297"/>
      <c r="F150" s="297"/>
      <c r="G150" s="298">
        <v>1</v>
      </c>
      <c r="H150" s="297"/>
      <c r="I150" s="297">
        <f t="shared" si="1"/>
        <v>0</v>
      </c>
      <c r="J150" s="299"/>
      <c r="K150" s="297"/>
      <c r="L150" s="300"/>
      <c r="M150" s="201"/>
      <c r="N150" s="181"/>
      <c r="O150" s="203"/>
      <c r="P150" s="206"/>
      <c r="Q150" s="203"/>
      <c r="R150" s="181"/>
      <c r="S150" s="181"/>
      <c r="T150" s="181"/>
      <c r="U150" s="172"/>
      <c r="V150" s="172"/>
      <c r="W150" s="172"/>
      <c r="X150" s="172"/>
      <c r="Y150" s="172"/>
      <c r="Z150" s="172"/>
      <c r="AA150" s="172"/>
      <c r="AB150" s="172"/>
      <c r="AC150" s="172"/>
      <c r="AD150" s="172"/>
      <c r="AE150" s="172"/>
      <c r="AF150" s="172"/>
      <c r="AG150" s="172"/>
      <c r="AH150" s="172"/>
      <c r="AI150" s="172"/>
      <c r="AJ150" s="172"/>
      <c r="AK150" s="172"/>
      <c r="AL150" s="172"/>
      <c r="AM150" s="172"/>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row>
    <row r="151" spans="1:64" ht="15">
      <c r="A151" s="169">
        <v>2</v>
      </c>
      <c r="B151" s="163" t="s">
        <v>380</v>
      </c>
      <c r="C151" s="141"/>
      <c r="D151" s="217">
        <v>0</v>
      </c>
      <c r="E151" s="168"/>
      <c r="F151" s="168" t="s">
        <v>339</v>
      </c>
      <c r="G151" s="214">
        <v>1</v>
      </c>
      <c r="H151" s="168"/>
      <c r="I151" s="168">
        <f t="shared" si="1"/>
        <v>0</v>
      </c>
      <c r="J151" s="164"/>
      <c r="K151" s="168"/>
      <c r="L151" s="202"/>
      <c r="M151" s="201"/>
      <c r="N151" s="181"/>
      <c r="O151" s="203"/>
      <c r="P151" s="206"/>
      <c r="Q151" s="203"/>
      <c r="R151" s="181"/>
      <c r="S151" s="181"/>
      <c r="T151" s="181"/>
      <c r="U151" s="162"/>
      <c r="V151" s="162"/>
      <c r="W151" s="162"/>
      <c r="X151" s="162"/>
      <c r="Y151" s="162"/>
      <c r="Z151" s="162"/>
      <c r="AA151" s="162"/>
      <c r="AB151" s="162"/>
      <c r="AC151" s="162"/>
      <c r="AD151" s="162"/>
      <c r="AE151" s="162"/>
      <c r="AF151" s="162"/>
      <c r="AG151" s="162"/>
      <c r="AH151" s="162"/>
      <c r="AI151" s="162"/>
      <c r="AJ151" s="162"/>
      <c r="AK151" s="162"/>
      <c r="AL151" s="162"/>
      <c r="AM151" s="162"/>
      <c r="AN151" s="162"/>
      <c r="AO151" s="162"/>
      <c r="AP151" s="162"/>
      <c r="AQ151" s="162"/>
      <c r="AR151" s="162"/>
      <c r="AS151" s="162"/>
      <c r="AT151" s="162"/>
      <c r="AU151" s="162"/>
      <c r="AV151" s="162"/>
      <c r="AW151" s="162"/>
      <c r="AX151" s="162"/>
      <c r="AY151" s="162"/>
      <c r="AZ151" s="162"/>
      <c r="BA151" s="162"/>
      <c r="BB151" s="162"/>
      <c r="BC151" s="162"/>
      <c r="BD151" s="162"/>
      <c r="BE151" s="162"/>
      <c r="BF151" s="162"/>
      <c r="BG151" s="162"/>
      <c r="BH151" s="162"/>
      <c r="BI151" s="162"/>
      <c r="BJ151" s="162"/>
      <c r="BK151" s="162"/>
      <c r="BL151" s="162"/>
    </row>
    <row r="152" spans="1:64" ht="15">
      <c r="A152" s="169">
        <v>3</v>
      </c>
      <c r="B152" s="163" t="s">
        <v>381</v>
      </c>
      <c r="C152" s="141" t="s">
        <v>642</v>
      </c>
      <c r="D152" s="368">
        <f>'EIA412 Op &amp; Maint'!F29</f>
        <v>383281.79421978316</v>
      </c>
      <c r="E152" s="168"/>
      <c r="F152" s="168" t="s">
        <v>343</v>
      </c>
      <c r="G152" s="214">
        <f>I236</f>
        <v>7.3952506383393804E-2</v>
      </c>
      <c r="H152" s="168"/>
      <c r="I152" s="168">
        <f t="shared" si="1"/>
        <v>28344.649333677145</v>
      </c>
      <c r="J152" s="168"/>
      <c r="K152" s="168" t="s">
        <v>154</v>
      </c>
      <c r="L152" s="202"/>
      <c r="M152" s="201"/>
      <c r="N152" s="181"/>
      <c r="O152" s="203"/>
      <c r="P152" s="206"/>
      <c r="Q152" s="201"/>
      <c r="R152" s="181"/>
      <c r="S152" s="181"/>
      <c r="T152" s="181"/>
      <c r="U152" s="162"/>
      <c r="V152" s="162"/>
      <c r="W152" s="162"/>
      <c r="X152" s="162"/>
      <c r="Y152" s="162"/>
      <c r="Z152" s="162"/>
      <c r="AA152" s="162"/>
      <c r="AB152" s="162"/>
      <c r="AC152" s="162"/>
      <c r="AD152" s="162"/>
      <c r="AE152" s="162"/>
      <c r="AF152" s="162"/>
      <c r="AG152" s="162"/>
      <c r="AH152" s="162"/>
      <c r="AI152" s="162"/>
      <c r="AJ152" s="162"/>
      <c r="AK152" s="162"/>
      <c r="AL152" s="162"/>
      <c r="AM152" s="162"/>
      <c r="AN152" s="162"/>
      <c r="AO152" s="162"/>
      <c r="AP152" s="162"/>
      <c r="AQ152" s="162"/>
      <c r="AR152" s="162"/>
      <c r="AS152" s="162"/>
      <c r="AT152" s="162"/>
      <c r="AU152" s="162"/>
      <c r="AV152" s="162"/>
      <c r="AW152" s="162"/>
      <c r="AX152" s="162"/>
      <c r="AY152" s="162"/>
      <c r="AZ152" s="162"/>
      <c r="BA152" s="162"/>
      <c r="BB152" s="162"/>
      <c r="BC152" s="162"/>
      <c r="BD152" s="162"/>
      <c r="BE152" s="162"/>
      <c r="BF152" s="162"/>
      <c r="BG152" s="162"/>
      <c r="BH152" s="162"/>
      <c r="BI152" s="162"/>
      <c r="BJ152" s="162"/>
      <c r="BK152" s="162"/>
      <c r="BL152" s="162"/>
    </row>
    <row r="153" spans="1:64" ht="15">
      <c r="A153" s="169">
        <v>4</v>
      </c>
      <c r="B153" s="163" t="s">
        <v>382</v>
      </c>
      <c r="C153" s="168"/>
      <c r="D153" s="217">
        <v>0</v>
      </c>
      <c r="E153" s="168"/>
      <c r="F153" s="168" t="str">
        <f>+F152</f>
        <v>W/S</v>
      </c>
      <c r="G153" s="214">
        <f>I236</f>
        <v>7.3952506383393804E-2</v>
      </c>
      <c r="H153" s="168"/>
      <c r="I153" s="168">
        <f t="shared" si="1"/>
        <v>0</v>
      </c>
      <c r="J153" s="168"/>
      <c r="K153" s="168"/>
      <c r="L153" s="202"/>
      <c r="M153" s="201"/>
      <c r="N153" s="181"/>
      <c r="O153" s="203"/>
      <c r="P153" s="206"/>
      <c r="Q153" s="201"/>
      <c r="R153" s="181"/>
      <c r="S153" s="181"/>
      <c r="T153" s="181"/>
      <c r="U153" s="162"/>
      <c r="V153" s="162"/>
      <c r="W153" s="162"/>
      <c r="X153" s="162"/>
      <c r="Y153" s="162"/>
      <c r="Z153" s="162"/>
      <c r="AA153" s="162"/>
      <c r="AB153" s="162"/>
      <c r="AC153" s="162"/>
      <c r="AD153" s="162"/>
      <c r="AE153" s="162"/>
      <c r="AF153" s="162"/>
      <c r="AG153" s="162"/>
      <c r="AH153" s="162"/>
      <c r="AI153" s="162"/>
      <c r="AJ153" s="162"/>
      <c r="AK153" s="162"/>
      <c r="AL153" s="162"/>
      <c r="AM153" s="162"/>
      <c r="AN153" s="162"/>
      <c r="AO153" s="162"/>
      <c r="AP153" s="162"/>
      <c r="AQ153" s="162"/>
      <c r="AR153" s="162"/>
      <c r="AS153" s="162"/>
      <c r="AT153" s="162"/>
      <c r="AU153" s="162"/>
      <c r="AV153" s="162"/>
      <c r="AW153" s="162"/>
      <c r="AX153" s="162"/>
      <c r="AY153" s="162"/>
      <c r="AZ153" s="162"/>
      <c r="BA153" s="162"/>
      <c r="BB153" s="162"/>
      <c r="BC153" s="162"/>
      <c r="BD153" s="162"/>
      <c r="BE153" s="162"/>
      <c r="BF153" s="162"/>
      <c r="BG153" s="162"/>
      <c r="BH153" s="162"/>
      <c r="BI153" s="162"/>
      <c r="BJ153" s="162"/>
      <c r="BK153" s="162"/>
      <c r="BL153" s="162"/>
    </row>
    <row r="154" spans="1:64" ht="15">
      <c r="A154" s="169">
        <v>5</v>
      </c>
      <c r="B154" s="163" t="s">
        <v>383</v>
      </c>
      <c r="C154" s="168"/>
      <c r="D154" s="217">
        <v>0</v>
      </c>
      <c r="E154" s="168"/>
      <c r="F154" s="168" t="str">
        <f>+F153</f>
        <v>W/S</v>
      </c>
      <c r="G154" s="214">
        <f>I236</f>
        <v>7.3952506383393804E-2</v>
      </c>
      <c r="H154" s="168"/>
      <c r="I154" s="168">
        <f t="shared" si="1"/>
        <v>0</v>
      </c>
      <c r="J154" s="168"/>
      <c r="K154" s="168"/>
      <c r="L154" s="202"/>
      <c r="M154" s="201"/>
      <c r="N154" s="181"/>
      <c r="O154" s="203"/>
      <c r="P154" s="206"/>
      <c r="Q154" s="201"/>
      <c r="R154" s="181"/>
      <c r="S154" s="181"/>
      <c r="T154" s="181"/>
      <c r="U154" s="162"/>
      <c r="V154" s="162"/>
      <c r="W154" s="162"/>
      <c r="X154" s="162"/>
      <c r="Y154" s="162"/>
      <c r="Z154" s="162"/>
      <c r="AA154" s="162"/>
      <c r="AB154" s="162"/>
      <c r="AC154" s="162"/>
      <c r="AD154" s="162"/>
      <c r="AE154" s="162"/>
      <c r="AF154" s="162"/>
      <c r="AG154" s="162"/>
      <c r="AH154" s="162"/>
      <c r="AI154" s="162"/>
      <c r="AJ154" s="162"/>
      <c r="AK154" s="162"/>
      <c r="AL154" s="162"/>
      <c r="AM154" s="162"/>
      <c r="AN154" s="162"/>
      <c r="AO154" s="162"/>
      <c r="AP154" s="162"/>
      <c r="AQ154" s="162"/>
      <c r="AR154" s="162"/>
      <c r="AS154" s="162"/>
      <c r="AT154" s="162"/>
      <c r="AU154" s="162"/>
      <c r="AV154" s="162"/>
      <c r="AW154" s="162"/>
      <c r="AX154" s="162"/>
      <c r="AY154" s="162"/>
      <c r="AZ154" s="162"/>
      <c r="BA154" s="162"/>
      <c r="BB154" s="162"/>
      <c r="BC154" s="162"/>
      <c r="BD154" s="162"/>
      <c r="BE154" s="162"/>
      <c r="BF154" s="162"/>
      <c r="BG154" s="162"/>
      <c r="BH154" s="162"/>
      <c r="BI154" s="162"/>
      <c r="BJ154" s="162"/>
      <c r="BK154" s="162"/>
      <c r="BL154" s="162"/>
    </row>
    <row r="155" spans="1:64" ht="15">
      <c r="A155" s="169" t="s">
        <v>384</v>
      </c>
      <c r="B155" s="163" t="s">
        <v>385</v>
      </c>
      <c r="C155" s="168"/>
      <c r="D155" s="217">
        <v>0</v>
      </c>
      <c r="E155" s="168"/>
      <c r="F155" s="168" t="str">
        <f>+F149</f>
        <v>TE</v>
      </c>
      <c r="G155" s="214">
        <f>+G149</f>
        <v>1</v>
      </c>
      <c r="H155" s="168"/>
      <c r="I155" s="168">
        <f t="shared" si="1"/>
        <v>0</v>
      </c>
      <c r="J155" s="168"/>
      <c r="K155" s="168"/>
      <c r="L155" s="202"/>
      <c r="M155" s="201"/>
      <c r="N155" s="181"/>
      <c r="O155" s="203"/>
      <c r="P155" s="206"/>
      <c r="Q155" s="201"/>
      <c r="R155" s="181"/>
      <c r="S155" s="181"/>
      <c r="T155" s="181"/>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2"/>
      <c r="BC155" s="162"/>
      <c r="BD155" s="162"/>
      <c r="BE155" s="162"/>
      <c r="BF155" s="162"/>
      <c r="BG155" s="162"/>
      <c r="BH155" s="162"/>
      <c r="BI155" s="162"/>
      <c r="BJ155" s="162"/>
      <c r="BK155" s="162"/>
      <c r="BL155" s="162"/>
    </row>
    <row r="156" spans="1:64" ht="15">
      <c r="A156" s="169">
        <v>6</v>
      </c>
      <c r="B156" s="163" t="s">
        <v>344</v>
      </c>
      <c r="C156" s="168"/>
      <c r="D156" s="217">
        <v>0</v>
      </c>
      <c r="E156" s="168"/>
      <c r="F156" s="168" t="s">
        <v>345</v>
      </c>
      <c r="G156" s="214">
        <f>K240</f>
        <v>7.3952506383393804E-2</v>
      </c>
      <c r="H156" s="168"/>
      <c r="I156" s="168">
        <f t="shared" si="1"/>
        <v>0</v>
      </c>
      <c r="J156" s="168"/>
      <c r="K156" s="168"/>
      <c r="L156" s="202"/>
      <c r="M156" s="201"/>
      <c r="N156" s="181"/>
      <c r="O156" s="203"/>
      <c r="P156" s="206"/>
      <c r="Q156" s="201"/>
      <c r="R156" s="181"/>
      <c r="S156" s="181"/>
      <c r="T156" s="181"/>
      <c r="U156" s="162"/>
      <c r="V156" s="162"/>
      <c r="W156" s="162"/>
      <c r="X156" s="162"/>
      <c r="Y156" s="162"/>
      <c r="Z156" s="162"/>
      <c r="AA156" s="162"/>
      <c r="AB156" s="162"/>
      <c r="AC156" s="162"/>
      <c r="AD156" s="162"/>
      <c r="AE156" s="162"/>
      <c r="AF156" s="162"/>
      <c r="AG156" s="162"/>
      <c r="AH156" s="162"/>
      <c r="AI156" s="162"/>
      <c r="AJ156" s="162"/>
      <c r="AK156" s="162"/>
      <c r="AL156" s="162"/>
      <c r="AM156" s="162"/>
      <c r="AN156" s="162"/>
      <c r="AO156" s="162"/>
      <c r="AP156" s="162"/>
      <c r="AQ156" s="162"/>
      <c r="AR156" s="162"/>
      <c r="AS156" s="162"/>
      <c r="AT156" s="162"/>
      <c r="AU156" s="162"/>
      <c r="AV156" s="162"/>
      <c r="AW156" s="162"/>
      <c r="AX156" s="162"/>
      <c r="AY156" s="162"/>
      <c r="AZ156" s="162"/>
      <c r="BA156" s="162"/>
      <c r="BB156" s="162"/>
      <c r="BC156" s="162"/>
      <c r="BD156" s="162"/>
      <c r="BE156" s="162"/>
      <c r="BF156" s="162"/>
      <c r="BG156" s="162"/>
      <c r="BH156" s="162"/>
      <c r="BI156" s="162"/>
      <c r="BJ156" s="162"/>
      <c r="BK156" s="162"/>
      <c r="BL156" s="162"/>
    </row>
    <row r="157" spans="1:64" ht="15.75" thickBot="1">
      <c r="A157" s="169">
        <v>7</v>
      </c>
      <c r="B157" s="163" t="s">
        <v>386</v>
      </c>
      <c r="C157" s="168"/>
      <c r="D157" s="215">
        <v>0</v>
      </c>
      <c r="E157" s="168"/>
      <c r="F157" s="168" t="s">
        <v>339</v>
      </c>
      <c r="G157" s="214">
        <v>1</v>
      </c>
      <c r="H157" s="168"/>
      <c r="I157" s="185">
        <f t="shared" si="1"/>
        <v>0</v>
      </c>
      <c r="J157" s="168"/>
      <c r="K157" s="168"/>
      <c r="L157" s="202"/>
      <c r="M157" s="201"/>
      <c r="N157" s="181"/>
      <c r="O157" s="203"/>
      <c r="P157" s="223"/>
      <c r="Q157" s="201"/>
      <c r="R157" s="181"/>
      <c r="S157" s="181"/>
      <c r="T157" s="181"/>
      <c r="U157" s="162"/>
      <c r="V157" s="162"/>
      <c r="W157" s="162"/>
      <c r="X157" s="162"/>
      <c r="Y157" s="162"/>
      <c r="Z157" s="162"/>
      <c r="AA157" s="162"/>
      <c r="AB157" s="162"/>
      <c r="AC157" s="162"/>
      <c r="AD157" s="162"/>
      <c r="AE157" s="162"/>
      <c r="AF157" s="162"/>
      <c r="AG157" s="162"/>
      <c r="AH157" s="162"/>
      <c r="AI157" s="162"/>
      <c r="AJ157" s="162"/>
      <c r="AK157" s="162"/>
      <c r="AL157" s="162"/>
      <c r="AM157" s="162"/>
      <c r="AN157" s="162"/>
      <c r="AO157" s="162"/>
      <c r="AP157" s="162"/>
      <c r="AQ157" s="162"/>
      <c r="AR157" s="162"/>
      <c r="AS157" s="162"/>
      <c r="AT157" s="162"/>
      <c r="AU157" s="162"/>
      <c r="AV157" s="162"/>
      <c r="AW157" s="162"/>
      <c r="AX157" s="162"/>
      <c r="AY157" s="162"/>
      <c r="AZ157" s="162"/>
      <c r="BA157" s="162"/>
      <c r="BB157" s="162"/>
      <c r="BC157" s="162"/>
      <c r="BD157" s="162"/>
      <c r="BE157" s="162"/>
      <c r="BF157" s="162"/>
      <c r="BG157" s="162"/>
      <c r="BH157" s="162"/>
      <c r="BI157" s="162"/>
      <c r="BJ157" s="162"/>
      <c r="BK157" s="162"/>
      <c r="BL157" s="162"/>
    </row>
    <row r="158" spans="1:64" ht="15">
      <c r="A158" s="169">
        <v>8</v>
      </c>
      <c r="B158" s="163" t="s">
        <v>630</v>
      </c>
      <c r="C158" s="168"/>
      <c r="D158" s="168">
        <f>+D149-D150-D151+D152-D153-D154+D155+D156+D157</f>
        <v>402337.01172628306</v>
      </c>
      <c r="E158" s="168"/>
      <c r="F158" s="168"/>
      <c r="G158" s="168"/>
      <c r="H158" s="168"/>
      <c r="I158" s="168">
        <f>+I149-I150-I151+I152-I153-I154+I155+I156+I157</f>
        <v>47399.866840177048</v>
      </c>
      <c r="J158" s="168"/>
      <c r="K158" s="168"/>
      <c r="L158" s="202"/>
      <c r="M158" s="203"/>
      <c r="N158" s="181"/>
      <c r="O158" s="218"/>
      <c r="P158" s="230"/>
      <c r="Q158" s="201"/>
      <c r="R158" s="181"/>
      <c r="S158" s="181"/>
      <c r="T158" s="181"/>
      <c r="U158" s="162"/>
      <c r="V158" s="162"/>
      <c r="W158" s="162"/>
      <c r="X158" s="162"/>
      <c r="Y158" s="162"/>
      <c r="Z158" s="162"/>
      <c r="AA158" s="162"/>
      <c r="AB158" s="162"/>
      <c r="AC158" s="162"/>
      <c r="AD158" s="162"/>
      <c r="AE158" s="162"/>
      <c r="AF158" s="162"/>
      <c r="AG158" s="162"/>
      <c r="AH158" s="162"/>
      <c r="AI158" s="162"/>
      <c r="AJ158" s="162"/>
      <c r="AK158" s="162"/>
      <c r="AL158" s="162"/>
      <c r="AM158" s="162"/>
      <c r="AN158" s="162"/>
      <c r="AO158" s="162"/>
      <c r="AP158" s="162"/>
      <c r="AQ158" s="162"/>
      <c r="AR158" s="162"/>
      <c r="AS158" s="162"/>
      <c r="AT158" s="162"/>
      <c r="AU158" s="162"/>
      <c r="AV158" s="162"/>
      <c r="AW158" s="162"/>
      <c r="AX158" s="162"/>
      <c r="AY158" s="162"/>
      <c r="AZ158" s="162"/>
      <c r="BA158" s="162"/>
      <c r="BB158" s="162"/>
      <c r="BC158" s="162"/>
      <c r="BD158" s="162"/>
      <c r="BE158" s="162"/>
      <c r="BF158" s="162"/>
      <c r="BG158" s="162"/>
      <c r="BH158" s="162"/>
      <c r="BI158" s="162"/>
      <c r="BJ158" s="162"/>
      <c r="BK158" s="162"/>
      <c r="BL158" s="162"/>
    </row>
    <row r="159" spans="1:64" ht="15">
      <c r="A159" s="169"/>
      <c r="C159" s="168"/>
      <c r="E159" s="168"/>
      <c r="F159" s="168"/>
      <c r="G159" s="168"/>
      <c r="H159" s="168"/>
      <c r="J159" s="168"/>
      <c r="K159" s="168"/>
      <c r="L159" s="202"/>
      <c r="M159" s="203"/>
      <c r="N159" s="181"/>
      <c r="O159" s="203"/>
      <c r="P159" s="203"/>
      <c r="Q159" s="201"/>
      <c r="R159" s="181"/>
      <c r="S159" s="181"/>
      <c r="T159" s="181"/>
      <c r="U159" s="162"/>
      <c r="V159" s="162"/>
      <c r="W159" s="162"/>
      <c r="X159" s="162"/>
      <c r="Y159" s="162"/>
      <c r="Z159" s="162"/>
      <c r="AA159" s="162"/>
      <c r="AB159" s="162"/>
      <c r="AC159" s="162"/>
      <c r="AD159" s="162"/>
      <c r="AE159" s="162"/>
      <c r="AF159" s="162"/>
      <c r="AG159" s="162"/>
      <c r="AH159" s="162"/>
      <c r="AI159" s="162"/>
      <c r="AJ159" s="162"/>
      <c r="AK159" s="162"/>
      <c r="AL159" s="162"/>
      <c r="AM159" s="162"/>
      <c r="AN159" s="162"/>
      <c r="AO159" s="162"/>
      <c r="AP159" s="162"/>
      <c r="AQ159" s="162"/>
      <c r="AR159" s="162"/>
      <c r="AS159" s="162"/>
      <c r="AT159" s="162"/>
      <c r="AU159" s="162"/>
      <c r="AV159" s="162"/>
      <c r="AW159" s="162"/>
      <c r="AX159" s="162"/>
      <c r="AY159" s="162"/>
      <c r="AZ159" s="162"/>
      <c r="BA159" s="162"/>
      <c r="BB159" s="162"/>
      <c r="BC159" s="162"/>
      <c r="BD159" s="162"/>
      <c r="BE159" s="162"/>
      <c r="BF159" s="162"/>
      <c r="BG159" s="162"/>
      <c r="BH159" s="162"/>
      <c r="BI159" s="162"/>
      <c r="BJ159" s="162"/>
      <c r="BK159" s="162"/>
      <c r="BL159" s="162"/>
    </row>
    <row r="160" spans="1:64" ht="15">
      <c r="A160" s="169"/>
      <c r="B160" s="416" t="s">
        <v>780</v>
      </c>
      <c r="C160" s="168"/>
      <c r="D160" s="168"/>
      <c r="E160" s="168"/>
      <c r="F160" s="168"/>
      <c r="G160" s="168"/>
      <c r="H160" s="168"/>
      <c r="I160" s="168"/>
      <c r="J160" s="168"/>
      <c r="K160" s="168"/>
      <c r="L160" s="202"/>
      <c r="M160" s="203"/>
      <c r="N160" s="181"/>
      <c r="O160" s="203"/>
      <c r="P160" s="203"/>
      <c r="Q160" s="201"/>
      <c r="R160" s="181"/>
      <c r="S160" s="181"/>
      <c r="T160" s="181"/>
      <c r="U160" s="162"/>
      <c r="V160" s="162"/>
      <c r="W160" s="162"/>
      <c r="X160" s="162"/>
      <c r="Y160" s="162"/>
      <c r="Z160" s="162"/>
      <c r="AA160" s="162"/>
      <c r="AB160" s="162"/>
      <c r="AC160" s="162"/>
      <c r="AD160" s="162"/>
      <c r="AE160" s="162"/>
      <c r="AF160" s="162"/>
      <c r="AG160" s="162"/>
      <c r="AH160" s="162"/>
      <c r="AI160" s="162"/>
      <c r="AJ160" s="162"/>
      <c r="AK160" s="162"/>
      <c r="AL160" s="162"/>
      <c r="AM160" s="162"/>
      <c r="AN160" s="162"/>
      <c r="AO160" s="162"/>
      <c r="AP160" s="162"/>
      <c r="AQ160" s="162"/>
      <c r="AR160" s="162"/>
      <c r="AS160" s="162"/>
      <c r="AT160" s="162"/>
      <c r="AU160" s="162"/>
      <c r="AV160" s="162"/>
      <c r="AW160" s="162"/>
      <c r="AX160" s="162"/>
      <c r="AY160" s="162"/>
      <c r="AZ160" s="162"/>
      <c r="BA160" s="162"/>
      <c r="BB160" s="162"/>
      <c r="BC160" s="162"/>
      <c r="BD160" s="162"/>
      <c r="BE160" s="162"/>
      <c r="BF160" s="162"/>
      <c r="BG160" s="162"/>
      <c r="BH160" s="162"/>
      <c r="BI160" s="162"/>
      <c r="BJ160" s="162"/>
      <c r="BK160" s="162"/>
      <c r="BL160" s="162"/>
    </row>
    <row r="161" spans="1:64" ht="15">
      <c r="A161" s="169">
        <v>9</v>
      </c>
      <c r="B161" s="163" t="str">
        <f>+B149</f>
        <v xml:space="preserve">  Transmission </v>
      </c>
      <c r="C161" s="141" t="s">
        <v>154</v>
      </c>
      <c r="D161" s="217">
        <f>'ELECTRIC PLANT SUMMARY'!K318</f>
        <v>305.77</v>
      </c>
      <c r="E161" s="168"/>
      <c r="F161" s="168" t="s">
        <v>292</v>
      </c>
      <c r="G161" s="214">
        <f>+G114</f>
        <v>1</v>
      </c>
      <c r="H161" s="168"/>
      <c r="I161" s="168">
        <f>+G161*D161</f>
        <v>305.77</v>
      </c>
      <c r="J161" s="168"/>
      <c r="K161" s="216"/>
      <c r="L161" s="202"/>
      <c r="M161" s="201"/>
      <c r="N161" s="181"/>
      <c r="O161" s="203"/>
      <c r="P161" s="206"/>
      <c r="Q161" s="203"/>
      <c r="R161" s="181"/>
      <c r="S161" s="181"/>
      <c r="T161" s="181"/>
      <c r="U161" s="162"/>
      <c r="V161" s="162"/>
      <c r="W161" s="162"/>
      <c r="X161" s="162"/>
      <c r="Y161" s="162"/>
      <c r="Z161" s="162"/>
      <c r="AA161" s="162"/>
      <c r="AB161" s="162"/>
      <c r="AC161" s="162"/>
      <c r="AD161" s="162"/>
      <c r="AE161" s="162"/>
      <c r="AF161" s="162"/>
      <c r="AG161" s="162"/>
      <c r="AH161" s="162"/>
      <c r="AI161" s="162"/>
      <c r="AJ161" s="162"/>
      <c r="AK161" s="162"/>
      <c r="AL161" s="162"/>
      <c r="AM161" s="162"/>
      <c r="AN161" s="162"/>
      <c r="AO161" s="162"/>
      <c r="AP161" s="162"/>
      <c r="AQ161" s="162"/>
      <c r="AR161" s="162"/>
      <c r="AS161" s="162"/>
      <c r="AT161" s="162"/>
      <c r="AU161" s="162"/>
      <c r="AV161" s="162"/>
      <c r="AW161" s="162"/>
      <c r="AX161" s="162"/>
      <c r="AY161" s="162"/>
      <c r="AZ161" s="162"/>
      <c r="BA161" s="162"/>
      <c r="BB161" s="162"/>
      <c r="BC161" s="162"/>
      <c r="BD161" s="162"/>
      <c r="BE161" s="162"/>
      <c r="BF161" s="162"/>
      <c r="BG161" s="162"/>
      <c r="BH161" s="162"/>
      <c r="BI161" s="162"/>
      <c r="BJ161" s="162"/>
      <c r="BK161" s="162"/>
      <c r="BL161" s="162"/>
    </row>
    <row r="162" spans="1:64" ht="15">
      <c r="A162" s="169">
        <v>10</v>
      </c>
      <c r="B162" s="163" t="s">
        <v>342</v>
      </c>
      <c r="C162" s="141" t="s">
        <v>154</v>
      </c>
      <c r="D162" s="217">
        <f>'ELECTRIC PLANT SUMMARY'!K315</f>
        <v>69188.239999999991</v>
      </c>
      <c r="E162" s="168"/>
      <c r="F162" s="168" t="s">
        <v>343</v>
      </c>
      <c r="G162" s="214">
        <f>+G152</f>
        <v>7.3952506383393804E-2</v>
      </c>
      <c r="H162" s="168"/>
      <c r="I162" s="168">
        <f>+G162*D162</f>
        <v>5116.6437602557817</v>
      </c>
      <c r="J162" s="168"/>
      <c r="K162" s="216"/>
      <c r="L162" s="202"/>
      <c r="M162" s="201"/>
      <c r="N162" s="181"/>
      <c r="O162" s="203"/>
      <c r="P162" s="206"/>
      <c r="Q162" s="203"/>
      <c r="R162" s="181"/>
      <c r="S162" s="181"/>
      <c r="T162" s="181"/>
      <c r="U162" s="162"/>
      <c r="V162" s="162"/>
      <c r="W162" s="162"/>
      <c r="X162" s="162"/>
      <c r="Y162" s="162"/>
      <c r="Z162" s="162"/>
      <c r="AA162" s="162"/>
      <c r="AB162" s="162"/>
      <c r="AC162" s="162"/>
      <c r="AD162" s="162"/>
      <c r="AE162" s="162"/>
      <c r="AF162" s="162"/>
      <c r="AG162" s="162"/>
      <c r="AH162" s="162"/>
      <c r="AI162" s="162"/>
      <c r="AJ162" s="162"/>
      <c r="AK162" s="162"/>
      <c r="AL162" s="162"/>
      <c r="AM162" s="162"/>
      <c r="AN162" s="162"/>
      <c r="AO162" s="162"/>
      <c r="AP162" s="162"/>
      <c r="AQ162" s="162"/>
      <c r="AR162" s="162"/>
      <c r="AS162" s="162"/>
      <c r="AT162" s="162"/>
      <c r="AU162" s="162"/>
      <c r="AV162" s="162"/>
      <c r="AW162" s="162"/>
      <c r="AX162" s="162"/>
      <c r="AY162" s="162"/>
      <c r="AZ162" s="162"/>
      <c r="BA162" s="162"/>
      <c r="BB162" s="162"/>
      <c r="BC162" s="162"/>
      <c r="BD162" s="162"/>
      <c r="BE162" s="162"/>
      <c r="BF162" s="162"/>
      <c r="BG162" s="162"/>
      <c r="BH162" s="162"/>
      <c r="BI162" s="162"/>
      <c r="BJ162" s="162"/>
      <c r="BK162" s="162"/>
      <c r="BL162" s="162"/>
    </row>
    <row r="163" spans="1:64" ht="15.75" thickBot="1">
      <c r="A163" s="169">
        <v>11</v>
      </c>
      <c r="B163" s="163" t="str">
        <f>+B156</f>
        <v xml:space="preserve">  Common</v>
      </c>
      <c r="C163" s="168"/>
      <c r="D163" s="215">
        <v>0</v>
      </c>
      <c r="E163" s="168"/>
      <c r="F163" s="168" t="s">
        <v>345</v>
      </c>
      <c r="G163" s="214">
        <f>+G156</f>
        <v>7.3952506383393804E-2</v>
      </c>
      <c r="H163" s="168"/>
      <c r="I163" s="185">
        <f>+G163*D163</f>
        <v>0</v>
      </c>
      <c r="J163" s="168"/>
      <c r="K163" s="216"/>
      <c r="L163" s="202"/>
      <c r="M163" s="201"/>
      <c r="N163" s="181"/>
      <c r="O163" s="203"/>
      <c r="P163" s="206"/>
      <c r="Q163" s="203"/>
      <c r="R163" s="181"/>
      <c r="S163" s="181"/>
      <c r="T163" s="181"/>
      <c r="U163" s="162"/>
      <c r="V163" s="162"/>
      <c r="W163" s="162"/>
      <c r="X163" s="162"/>
      <c r="Y163" s="162"/>
      <c r="Z163" s="162"/>
      <c r="AA163" s="162"/>
      <c r="AB163" s="162"/>
      <c r="AC163" s="162"/>
      <c r="AD163" s="162"/>
      <c r="AE163" s="162"/>
      <c r="AF163" s="162"/>
      <c r="AG163" s="162"/>
      <c r="AH163" s="162"/>
      <c r="AI163" s="162"/>
      <c r="AJ163" s="162"/>
      <c r="AK163" s="162"/>
      <c r="AL163" s="162"/>
      <c r="AM163" s="162"/>
      <c r="AN163" s="162"/>
      <c r="AO163" s="162"/>
      <c r="AP163" s="162"/>
      <c r="AQ163" s="162"/>
      <c r="AR163" s="162"/>
      <c r="AS163" s="162"/>
      <c r="AT163" s="162"/>
      <c r="AU163" s="162"/>
      <c r="AV163" s="162"/>
      <c r="AW163" s="162"/>
      <c r="AX163" s="162"/>
      <c r="AY163" s="162"/>
      <c r="AZ163" s="162"/>
      <c r="BA163" s="162"/>
      <c r="BB163" s="162"/>
      <c r="BC163" s="162"/>
      <c r="BD163" s="162"/>
      <c r="BE163" s="162"/>
      <c r="BF163" s="162"/>
      <c r="BG163" s="162"/>
      <c r="BH163" s="162"/>
      <c r="BI163" s="162"/>
      <c r="BJ163" s="162"/>
      <c r="BK163" s="162"/>
      <c r="BL163" s="162"/>
    </row>
    <row r="164" spans="1:64" ht="15">
      <c r="A164" s="169">
        <v>12</v>
      </c>
      <c r="B164" s="163" t="s">
        <v>387</v>
      </c>
      <c r="C164" s="168"/>
      <c r="D164" s="168">
        <f>SUM(D161:D163)</f>
        <v>69494.009999999995</v>
      </c>
      <c r="E164" s="168"/>
      <c r="F164" s="168"/>
      <c r="G164" s="168"/>
      <c r="H164" s="168"/>
      <c r="I164" s="168">
        <f>SUM(I161:I163)</f>
        <v>5422.4137602557821</v>
      </c>
      <c r="J164" s="168"/>
      <c r="K164" s="168"/>
      <c r="L164" s="202"/>
      <c r="M164" s="201"/>
      <c r="N164" s="181"/>
      <c r="O164" s="218"/>
      <c r="P164" s="203"/>
      <c r="Q164" s="201"/>
      <c r="R164" s="181"/>
      <c r="S164" s="181"/>
      <c r="T164" s="181"/>
      <c r="U164" s="162"/>
      <c r="V164" s="162"/>
      <c r="W164" s="162"/>
      <c r="X164" s="162"/>
      <c r="Y164" s="162"/>
      <c r="Z164" s="162"/>
      <c r="AA164" s="162"/>
      <c r="AB164" s="162"/>
      <c r="AC164" s="162"/>
      <c r="AD164" s="162"/>
      <c r="AE164" s="162"/>
      <c r="AF164" s="162"/>
      <c r="AG164" s="162"/>
      <c r="AH164" s="162"/>
      <c r="AI164" s="162"/>
      <c r="AJ164" s="162"/>
      <c r="AK164" s="162"/>
      <c r="AL164" s="162"/>
      <c r="AM164" s="162"/>
      <c r="AN164" s="162"/>
      <c r="AO164" s="162"/>
      <c r="AP164" s="162"/>
      <c r="AQ164" s="162"/>
      <c r="AR164" s="162"/>
      <c r="AS164" s="162"/>
      <c r="AT164" s="162"/>
      <c r="AU164" s="162"/>
      <c r="AV164" s="162"/>
      <c r="AW164" s="162"/>
      <c r="AX164" s="162"/>
      <c r="AY164" s="162"/>
      <c r="AZ164" s="162"/>
      <c r="BA164" s="162"/>
      <c r="BB164" s="162"/>
      <c r="BC164" s="162"/>
      <c r="BD164" s="162"/>
      <c r="BE164" s="162"/>
      <c r="BF164" s="162"/>
      <c r="BG164" s="162"/>
      <c r="BH164" s="162"/>
      <c r="BI164" s="162"/>
      <c r="BJ164" s="162"/>
      <c r="BK164" s="162"/>
      <c r="BL164" s="162"/>
    </row>
    <row r="165" spans="1:64" ht="15">
      <c r="A165" s="169"/>
      <c r="B165" s="163"/>
      <c r="C165" s="168"/>
      <c r="D165" s="168"/>
      <c r="E165" s="168"/>
      <c r="F165" s="168"/>
      <c r="G165" s="168"/>
      <c r="H165" s="168"/>
      <c r="I165" s="168"/>
      <c r="J165" s="168"/>
      <c r="K165" s="168"/>
      <c r="L165" s="202"/>
      <c r="M165" s="201"/>
      <c r="N165" s="181"/>
      <c r="O165" s="203"/>
      <c r="P165" s="203"/>
      <c r="Q165" s="201"/>
      <c r="R165" s="181"/>
      <c r="S165" s="181"/>
      <c r="T165" s="181"/>
      <c r="U165" s="162"/>
      <c r="V165" s="162"/>
      <c r="W165" s="162"/>
      <c r="X165" s="162"/>
      <c r="Y165" s="162"/>
      <c r="Z165" s="162"/>
      <c r="AA165" s="162"/>
      <c r="AB165" s="162"/>
      <c r="AC165" s="162"/>
      <c r="AD165" s="162"/>
      <c r="AE165" s="162"/>
      <c r="AF165" s="162"/>
      <c r="AG165" s="162"/>
      <c r="AH165" s="162"/>
      <c r="AI165" s="162"/>
      <c r="AJ165" s="162"/>
      <c r="AK165" s="162"/>
      <c r="AL165" s="162"/>
      <c r="AM165" s="162"/>
      <c r="AN165" s="162"/>
      <c r="AO165" s="162"/>
      <c r="AP165" s="162"/>
      <c r="AQ165" s="162"/>
      <c r="AR165" s="162"/>
      <c r="AS165" s="162"/>
      <c r="AT165" s="162"/>
      <c r="AU165" s="162"/>
      <c r="AV165" s="162"/>
      <c r="AW165" s="162"/>
      <c r="AX165" s="162"/>
      <c r="AY165" s="162"/>
      <c r="AZ165" s="162"/>
      <c r="BA165" s="162"/>
      <c r="BB165" s="162"/>
      <c r="BC165" s="162"/>
      <c r="BD165" s="162"/>
      <c r="BE165" s="162"/>
      <c r="BF165" s="162"/>
      <c r="BG165" s="162"/>
      <c r="BH165" s="162"/>
      <c r="BI165" s="162"/>
      <c r="BJ165" s="162"/>
      <c r="BK165" s="162"/>
      <c r="BL165" s="162"/>
    </row>
    <row r="166" spans="1:64" ht="15">
      <c r="A166" s="169" t="s">
        <v>154</v>
      </c>
      <c r="B166" s="163" t="s">
        <v>388</v>
      </c>
      <c r="C166" s="141"/>
      <c r="D166" s="168"/>
      <c r="E166" s="168"/>
      <c r="F166" s="168"/>
      <c r="G166" s="168"/>
      <c r="H166" s="168"/>
      <c r="I166" s="168"/>
      <c r="J166" s="168"/>
      <c r="K166" s="168"/>
      <c r="L166" s="202"/>
      <c r="M166" s="201"/>
      <c r="N166" s="181"/>
      <c r="O166" s="203"/>
      <c r="P166" s="203"/>
      <c r="Q166" s="201"/>
      <c r="R166" s="181"/>
      <c r="S166" s="181"/>
      <c r="T166" s="181"/>
      <c r="U166" s="162"/>
      <c r="V166" s="162"/>
      <c r="W166" s="162"/>
      <c r="X166" s="162"/>
      <c r="Y166" s="162"/>
      <c r="Z166" s="162"/>
      <c r="AA166" s="162"/>
      <c r="AB166" s="162"/>
      <c r="AC166" s="162"/>
      <c r="AD166" s="162"/>
      <c r="AE166" s="162"/>
      <c r="AF166" s="162"/>
      <c r="AG166" s="162"/>
      <c r="AH166" s="162"/>
      <c r="AI166" s="162"/>
      <c r="AJ166" s="162"/>
      <c r="AK166" s="162"/>
      <c r="AL166" s="162"/>
      <c r="AM166" s="162"/>
      <c r="AN166" s="162"/>
      <c r="AO166" s="162"/>
      <c r="AP166" s="162"/>
      <c r="AQ166" s="162"/>
      <c r="AR166" s="162"/>
      <c r="AS166" s="162"/>
      <c r="AT166" s="162"/>
      <c r="AU166" s="162"/>
      <c r="AV166" s="162"/>
      <c r="AW166" s="162"/>
      <c r="AX166" s="162"/>
      <c r="AY166" s="162"/>
      <c r="AZ166" s="162"/>
      <c r="BA166" s="162"/>
      <c r="BB166" s="162"/>
      <c r="BC166" s="162"/>
      <c r="BD166" s="162"/>
      <c r="BE166" s="162"/>
      <c r="BF166" s="162"/>
      <c r="BG166" s="162"/>
      <c r="BH166" s="162"/>
      <c r="BI166" s="162"/>
      <c r="BJ166" s="162"/>
      <c r="BK166" s="162"/>
      <c r="BL166" s="162"/>
    </row>
    <row r="167" spans="1:64" ht="15">
      <c r="A167" s="169"/>
      <c r="B167" s="163" t="s">
        <v>389</v>
      </c>
      <c r="C167" s="141"/>
      <c r="D167" s="141"/>
      <c r="E167" s="168"/>
      <c r="F167" s="168"/>
      <c r="G167" s="141"/>
      <c r="H167" s="168"/>
      <c r="I167" s="141"/>
      <c r="J167" s="168"/>
      <c r="K167" s="216"/>
      <c r="L167" s="202"/>
      <c r="M167" s="201"/>
      <c r="N167" s="181"/>
      <c r="O167" s="222"/>
      <c r="P167" s="206"/>
      <c r="Q167" s="201"/>
      <c r="R167" s="181"/>
      <c r="S167" s="181"/>
      <c r="T167" s="181"/>
      <c r="U167" s="162"/>
      <c r="V167" s="162"/>
      <c r="W167" s="162"/>
      <c r="X167" s="162"/>
      <c r="Y167" s="162"/>
      <c r="Z167" s="162"/>
      <c r="AA167" s="162"/>
      <c r="AB167" s="162"/>
      <c r="AC167" s="162"/>
      <c r="AD167" s="162"/>
      <c r="AE167" s="162"/>
      <c r="AF167" s="162"/>
      <c r="AG167" s="162"/>
      <c r="AH167" s="162"/>
      <c r="AI167" s="162"/>
      <c r="AJ167" s="162"/>
      <c r="AK167" s="162"/>
      <c r="AL167" s="162"/>
      <c r="AM167" s="162"/>
      <c r="AN167" s="162"/>
      <c r="AO167" s="162"/>
      <c r="AP167" s="162"/>
      <c r="AQ167" s="162"/>
      <c r="AR167" s="162"/>
      <c r="AS167" s="162"/>
      <c r="AT167" s="162"/>
      <c r="AU167" s="162"/>
      <c r="AV167" s="162"/>
      <c r="AW167" s="162"/>
      <c r="AX167" s="162"/>
      <c r="AY167" s="162"/>
      <c r="AZ167" s="162"/>
      <c r="BA167" s="162"/>
      <c r="BB167" s="162"/>
      <c r="BC167" s="162"/>
      <c r="BD167" s="162"/>
      <c r="BE167" s="162"/>
      <c r="BF167" s="162"/>
      <c r="BG167" s="162"/>
      <c r="BH167" s="162"/>
      <c r="BI167" s="162"/>
      <c r="BJ167" s="162"/>
      <c r="BK167" s="162"/>
      <c r="BL167" s="162"/>
    </row>
    <row r="168" spans="1:64" ht="15">
      <c r="A168" s="169">
        <v>13</v>
      </c>
      <c r="B168" s="163" t="s">
        <v>390</v>
      </c>
      <c r="C168" s="168"/>
      <c r="D168" s="217">
        <f>'EXPENSE DETAILS'!N25+'EXPENSE DETAILS'!N26</f>
        <v>33827.68</v>
      </c>
      <c r="E168" s="168"/>
      <c r="F168" s="168" t="s">
        <v>343</v>
      </c>
      <c r="G168" s="179">
        <f>+G162</f>
        <v>7.3952506383393804E-2</v>
      </c>
      <c r="H168" s="168"/>
      <c r="I168" s="168">
        <f>+G168*D168</f>
        <v>2501.6417211354028</v>
      </c>
      <c r="J168" s="168"/>
      <c r="K168" s="216"/>
      <c r="L168" s="202"/>
      <c r="M168" s="201"/>
      <c r="N168" s="181"/>
      <c r="O168" s="222"/>
      <c r="P168" s="206"/>
      <c r="Q168" s="201"/>
      <c r="R168" s="181"/>
      <c r="S168" s="181"/>
      <c r="T168" s="181"/>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2"/>
      <c r="AY168" s="162"/>
      <c r="AZ168" s="162"/>
      <c r="BA168" s="162"/>
      <c r="BB168" s="162"/>
      <c r="BC168" s="162"/>
      <c r="BD168" s="162"/>
      <c r="BE168" s="162"/>
      <c r="BF168" s="162"/>
      <c r="BG168" s="162"/>
      <c r="BH168" s="162"/>
      <c r="BI168" s="162"/>
      <c r="BJ168" s="162"/>
      <c r="BK168" s="162"/>
      <c r="BL168" s="162"/>
    </row>
    <row r="169" spans="1:64" ht="15">
      <c r="A169" s="169">
        <v>14</v>
      </c>
      <c r="B169" s="163" t="s">
        <v>391</v>
      </c>
      <c r="C169" s="168"/>
      <c r="D169" s="217">
        <v>0</v>
      </c>
      <c r="E169" s="168"/>
      <c r="F169" s="168" t="str">
        <f>+F168</f>
        <v>W/S</v>
      </c>
      <c r="G169" s="179">
        <f>+G168</f>
        <v>7.3952506383393804E-2</v>
      </c>
      <c r="H169" s="168"/>
      <c r="I169" s="168">
        <f>+G169*D169</f>
        <v>0</v>
      </c>
      <c r="J169" s="168"/>
      <c r="K169" s="216"/>
      <c r="L169" s="202"/>
      <c r="M169" s="201"/>
      <c r="N169" s="181"/>
      <c r="O169" s="222"/>
      <c r="P169" s="206"/>
      <c r="Q169" s="201"/>
      <c r="R169" s="181"/>
      <c r="S169" s="181"/>
      <c r="T169" s="181"/>
      <c r="U169" s="162"/>
      <c r="V169" s="162"/>
      <c r="W169" s="162"/>
      <c r="X169" s="162"/>
      <c r="Y169" s="162"/>
      <c r="Z169" s="162"/>
      <c r="AA169" s="162"/>
      <c r="AB169" s="162"/>
      <c r="AC169" s="162"/>
      <c r="AD169" s="162"/>
      <c r="AE169" s="162"/>
      <c r="AF169" s="162"/>
      <c r="AG169" s="162"/>
      <c r="AH169" s="162"/>
      <c r="AI169" s="162"/>
      <c r="AJ169" s="162"/>
      <c r="AK169" s="162"/>
      <c r="AL169" s="162"/>
      <c r="AM169" s="162"/>
      <c r="AN169" s="162"/>
      <c r="AO169" s="162"/>
      <c r="AP169" s="162"/>
      <c r="AQ169" s="162"/>
      <c r="AR169" s="162"/>
      <c r="AS169" s="162"/>
      <c r="AT169" s="162"/>
      <c r="AU169" s="162"/>
      <c r="AV169" s="162"/>
      <c r="AW169" s="162"/>
      <c r="AX169" s="162"/>
      <c r="AY169" s="162"/>
      <c r="AZ169" s="162"/>
      <c r="BA169" s="162"/>
      <c r="BB169" s="162"/>
      <c r="BC169" s="162"/>
      <c r="BD169" s="162"/>
      <c r="BE169" s="162"/>
      <c r="BF169" s="162"/>
      <c r="BG169" s="162"/>
      <c r="BH169" s="162"/>
      <c r="BI169" s="162"/>
      <c r="BJ169" s="162"/>
      <c r="BK169" s="162"/>
      <c r="BL169" s="162"/>
    </row>
    <row r="170" spans="1:64" ht="15">
      <c r="A170" s="169">
        <v>15</v>
      </c>
      <c r="B170" s="163" t="s">
        <v>392</v>
      </c>
      <c r="C170" s="168"/>
      <c r="D170" s="141"/>
      <c r="E170" s="168"/>
      <c r="F170" s="168"/>
      <c r="G170" s="141"/>
      <c r="H170" s="168"/>
      <c r="I170" s="141"/>
      <c r="J170" s="168"/>
      <c r="K170" s="216"/>
      <c r="L170" s="202"/>
      <c r="M170" s="201"/>
      <c r="N170" s="181"/>
      <c r="O170" s="222"/>
      <c r="P170" s="206"/>
      <c r="Q170" s="201"/>
      <c r="R170" s="181"/>
      <c r="S170" s="181"/>
      <c r="T170" s="181"/>
      <c r="U170" s="162"/>
      <c r="V170" s="162"/>
      <c r="W170" s="162"/>
      <c r="X170" s="162"/>
      <c r="Y170" s="162"/>
      <c r="Z170" s="162"/>
      <c r="AA170" s="162"/>
      <c r="AB170" s="162"/>
      <c r="AC170" s="162"/>
      <c r="AD170" s="162"/>
      <c r="AE170" s="162"/>
      <c r="AF170" s="162"/>
      <c r="AG170" s="162"/>
      <c r="AH170" s="162"/>
      <c r="AI170" s="162"/>
      <c r="AJ170" s="162"/>
      <c r="AK170" s="162"/>
      <c r="AL170" s="162"/>
      <c r="AM170" s="162"/>
      <c r="AN170" s="162"/>
      <c r="AO170" s="162"/>
      <c r="AP170" s="162"/>
      <c r="AQ170" s="162"/>
      <c r="AR170" s="162"/>
      <c r="AS170" s="162"/>
      <c r="AT170" s="162"/>
      <c r="AU170" s="162"/>
      <c r="AV170" s="162"/>
      <c r="AW170" s="162"/>
      <c r="AX170" s="162"/>
      <c r="AY170" s="162"/>
      <c r="AZ170" s="162"/>
      <c r="BA170" s="162"/>
      <c r="BB170" s="162"/>
      <c r="BC170" s="162"/>
      <c r="BD170" s="162"/>
      <c r="BE170" s="162"/>
      <c r="BF170" s="162"/>
      <c r="BG170" s="162"/>
      <c r="BH170" s="162"/>
      <c r="BI170" s="162"/>
      <c r="BJ170" s="162"/>
      <c r="BK170" s="162"/>
      <c r="BL170" s="162"/>
    </row>
    <row r="171" spans="1:64" ht="15">
      <c r="A171" s="169">
        <v>16</v>
      </c>
      <c r="B171" s="163" t="s">
        <v>393</v>
      </c>
      <c r="C171" s="168"/>
      <c r="D171" s="217">
        <v>0</v>
      </c>
      <c r="E171" s="168"/>
      <c r="F171" s="168" t="s">
        <v>375</v>
      </c>
      <c r="G171" s="179">
        <f>+G88</f>
        <v>4.0270616956772795E-2</v>
      </c>
      <c r="H171" s="168"/>
      <c r="I171" s="168">
        <f>+G171*D171</f>
        <v>0</v>
      </c>
      <c r="J171" s="168"/>
      <c r="K171" s="216"/>
      <c r="L171" s="202"/>
      <c r="M171" s="201"/>
      <c r="N171" s="181"/>
      <c r="O171" s="222"/>
      <c r="P171" s="206"/>
      <c r="Q171" s="201"/>
      <c r="R171" s="181"/>
      <c r="S171" s="181"/>
      <c r="T171" s="181"/>
      <c r="U171" s="162"/>
      <c r="V171" s="162"/>
      <c r="W171" s="162"/>
      <c r="X171" s="162"/>
      <c r="Y171" s="162"/>
      <c r="Z171" s="162"/>
      <c r="AA171" s="162"/>
      <c r="AB171" s="162"/>
      <c r="AC171" s="162"/>
      <c r="AD171" s="162"/>
      <c r="AE171" s="162"/>
      <c r="AF171" s="162"/>
      <c r="AG171" s="162"/>
      <c r="AH171" s="162"/>
      <c r="AI171" s="162"/>
      <c r="AJ171" s="162"/>
      <c r="AK171" s="162"/>
      <c r="AL171" s="162"/>
      <c r="AM171" s="162"/>
      <c r="AN171" s="162"/>
      <c r="AO171" s="162"/>
      <c r="AP171" s="162"/>
      <c r="AQ171" s="162"/>
      <c r="AR171" s="162"/>
      <c r="AS171" s="162"/>
      <c r="AT171" s="162"/>
      <c r="AU171" s="162"/>
      <c r="AV171" s="162"/>
      <c r="AW171" s="162"/>
      <c r="AX171" s="162"/>
      <c r="AY171" s="162"/>
      <c r="AZ171" s="162"/>
      <c r="BA171" s="162"/>
      <c r="BB171" s="162"/>
      <c r="BC171" s="162"/>
      <c r="BD171" s="162"/>
      <c r="BE171" s="162"/>
      <c r="BF171" s="162"/>
      <c r="BG171" s="162"/>
      <c r="BH171" s="162"/>
      <c r="BI171" s="162"/>
      <c r="BJ171" s="162"/>
      <c r="BK171" s="162"/>
      <c r="BL171" s="162"/>
    </row>
    <row r="172" spans="1:64" ht="15">
      <c r="A172" s="169">
        <v>17</v>
      </c>
      <c r="B172" s="163" t="s">
        <v>394</v>
      </c>
      <c r="C172" s="168"/>
      <c r="D172" s="217">
        <v>0</v>
      </c>
      <c r="E172" s="168"/>
      <c r="F172" s="168" t="s">
        <v>339</v>
      </c>
      <c r="G172" s="231" t="s">
        <v>359</v>
      </c>
      <c r="H172" s="168"/>
      <c r="I172" s="168">
        <v>0</v>
      </c>
      <c r="J172" s="168"/>
      <c r="K172" s="216"/>
      <c r="L172" s="202"/>
      <c r="M172" s="201"/>
      <c r="N172" s="181"/>
      <c r="O172" s="222"/>
      <c r="P172" s="206"/>
      <c r="Q172" s="201"/>
      <c r="R172" s="181"/>
      <c r="S172" s="181"/>
      <c r="T172" s="181"/>
      <c r="U172" s="162"/>
      <c r="V172" s="162"/>
      <c r="W172" s="162"/>
      <c r="X172" s="162"/>
      <c r="Y172" s="162"/>
      <c r="Z172" s="162"/>
      <c r="AA172" s="162"/>
      <c r="AB172" s="162"/>
      <c r="AC172" s="162"/>
      <c r="AD172" s="162"/>
      <c r="AE172" s="162"/>
      <c r="AF172" s="162"/>
      <c r="AG172" s="162"/>
      <c r="AH172" s="162"/>
      <c r="AI172" s="162"/>
      <c r="AJ172" s="162"/>
      <c r="AK172" s="162"/>
      <c r="AL172" s="162"/>
      <c r="AM172" s="162"/>
      <c r="AN172" s="162"/>
      <c r="AO172" s="162"/>
      <c r="AP172" s="162"/>
      <c r="AQ172" s="162"/>
      <c r="AR172" s="162"/>
      <c r="AS172" s="162"/>
      <c r="AT172" s="162"/>
      <c r="AU172" s="162"/>
      <c r="AV172" s="162"/>
      <c r="AW172" s="162"/>
      <c r="AX172" s="162"/>
      <c r="AY172" s="162"/>
      <c r="AZ172" s="162"/>
      <c r="BA172" s="162"/>
      <c r="BB172" s="162"/>
      <c r="BC172" s="162"/>
      <c r="BD172" s="162"/>
      <c r="BE172" s="162"/>
      <c r="BF172" s="162"/>
      <c r="BG172" s="162"/>
      <c r="BH172" s="162"/>
      <c r="BI172" s="162"/>
      <c r="BJ172" s="162"/>
      <c r="BK172" s="162"/>
      <c r="BL172" s="162"/>
    </row>
    <row r="173" spans="1:64" ht="15">
      <c r="A173" s="169">
        <v>18</v>
      </c>
      <c r="B173" s="163" t="s">
        <v>395</v>
      </c>
      <c r="C173" s="168"/>
      <c r="D173" s="217">
        <v>0</v>
      </c>
      <c r="E173" s="168"/>
      <c r="F173" s="168" t="str">
        <f>+F171</f>
        <v>GP</v>
      </c>
      <c r="G173" s="179">
        <f>+G171</f>
        <v>4.0270616956772795E-2</v>
      </c>
      <c r="H173" s="168"/>
      <c r="I173" s="168">
        <f>+G173*D173</f>
        <v>0</v>
      </c>
      <c r="J173" s="168"/>
      <c r="K173" s="216"/>
      <c r="L173" s="202"/>
      <c r="M173" s="201"/>
      <c r="N173" s="181"/>
      <c r="O173" s="222"/>
      <c r="P173" s="206"/>
      <c r="Q173" s="201"/>
      <c r="R173" s="181"/>
      <c r="S173" s="181"/>
      <c r="T173" s="181"/>
      <c r="U173" s="162"/>
      <c r="V173" s="162"/>
      <c r="W173" s="162"/>
      <c r="X173" s="162"/>
      <c r="Y173" s="162"/>
      <c r="Z173" s="162"/>
      <c r="AA173" s="162"/>
      <c r="AB173" s="162"/>
      <c r="AC173" s="162"/>
      <c r="AD173" s="162"/>
      <c r="AE173" s="162"/>
      <c r="AF173" s="162"/>
      <c r="AG173" s="162"/>
      <c r="AH173" s="162"/>
      <c r="AI173" s="162"/>
      <c r="AJ173" s="162"/>
      <c r="AK173" s="162"/>
      <c r="AL173" s="162"/>
      <c r="AM173" s="162"/>
      <c r="AN173" s="162"/>
      <c r="AO173" s="162"/>
      <c r="AP173" s="162"/>
      <c r="AQ173" s="162"/>
      <c r="AR173" s="162"/>
      <c r="AS173" s="162"/>
      <c r="AT173" s="162"/>
      <c r="AU173" s="162"/>
      <c r="AV173" s="162"/>
      <c r="AW173" s="162"/>
      <c r="AX173" s="162"/>
      <c r="AY173" s="162"/>
      <c r="AZ173" s="162"/>
      <c r="BA173" s="162"/>
      <c r="BB173" s="162"/>
      <c r="BC173" s="162"/>
      <c r="BD173" s="162"/>
      <c r="BE173" s="162"/>
      <c r="BF173" s="162"/>
      <c r="BG173" s="162"/>
      <c r="BH173" s="162"/>
      <c r="BI173" s="162"/>
      <c r="BJ173" s="162"/>
      <c r="BK173" s="162"/>
      <c r="BL173" s="162"/>
    </row>
    <row r="174" spans="1:64" ht="15.75" thickBot="1">
      <c r="A174" s="169">
        <v>19</v>
      </c>
      <c r="B174" s="163" t="s">
        <v>396</v>
      </c>
      <c r="C174" s="168"/>
      <c r="D174" s="215">
        <f>'EXPENSE DETAILS'!N123</f>
        <v>175000</v>
      </c>
      <c r="E174" s="168"/>
      <c r="F174" s="168" t="s">
        <v>375</v>
      </c>
      <c r="G174" s="179">
        <f>+G173</f>
        <v>4.0270616956772795E-2</v>
      </c>
      <c r="H174" s="168"/>
      <c r="I174" s="185">
        <f>+G174*D174</f>
        <v>7047.3579674352395</v>
      </c>
      <c r="J174" s="168"/>
      <c r="K174" s="216"/>
      <c r="L174" s="202"/>
      <c r="M174" s="201"/>
      <c r="N174" s="181"/>
      <c r="O174" s="222"/>
      <c r="P174" s="206"/>
      <c r="Q174" s="201"/>
      <c r="R174" s="181"/>
      <c r="S174" s="181"/>
      <c r="T174" s="181"/>
      <c r="U174" s="162"/>
      <c r="V174" s="162"/>
      <c r="W174" s="162"/>
      <c r="X174" s="162"/>
      <c r="Y174" s="162"/>
      <c r="Z174" s="162"/>
      <c r="AA174" s="162"/>
      <c r="AB174" s="162"/>
      <c r="AC174" s="162"/>
      <c r="AD174" s="162"/>
      <c r="AE174" s="162"/>
      <c r="AF174" s="162"/>
      <c r="AG174" s="162"/>
      <c r="AH174" s="162"/>
      <c r="AI174" s="162"/>
      <c r="AJ174" s="162"/>
      <c r="AK174" s="162"/>
      <c r="AL174" s="162"/>
      <c r="AM174" s="162"/>
      <c r="AN174" s="162"/>
      <c r="AO174" s="162"/>
      <c r="AP174" s="162"/>
      <c r="AQ174" s="162"/>
      <c r="AR174" s="162"/>
      <c r="AS174" s="162"/>
      <c r="AT174" s="162"/>
      <c r="AU174" s="162"/>
      <c r="AV174" s="162"/>
      <c r="AW174" s="162"/>
      <c r="AX174" s="162"/>
      <c r="AY174" s="162"/>
      <c r="AZ174" s="162"/>
      <c r="BA174" s="162"/>
      <c r="BB174" s="162"/>
      <c r="BC174" s="162"/>
      <c r="BD174" s="162"/>
      <c r="BE174" s="162"/>
      <c r="BF174" s="162"/>
      <c r="BG174" s="162"/>
      <c r="BH174" s="162"/>
      <c r="BI174" s="162"/>
      <c r="BJ174" s="162"/>
      <c r="BK174" s="162"/>
      <c r="BL174" s="162"/>
    </row>
    <row r="175" spans="1:64" ht="15">
      <c r="A175" s="169">
        <v>20</v>
      </c>
      <c r="B175" s="163" t="s">
        <v>397</v>
      </c>
      <c r="C175" s="168"/>
      <c r="D175" s="168">
        <f>SUM(D168:D174)</f>
        <v>208827.68</v>
      </c>
      <c r="E175" s="168"/>
      <c r="F175" s="168"/>
      <c r="G175" s="179"/>
      <c r="H175" s="168"/>
      <c r="I175" s="168">
        <f>SUM(I168:I174)</f>
        <v>9548.9996885706423</v>
      </c>
      <c r="J175" s="168"/>
      <c r="K175" s="168"/>
      <c r="L175" s="202"/>
      <c r="M175" s="203"/>
      <c r="N175" s="181"/>
      <c r="O175" s="218"/>
      <c r="P175" s="203"/>
      <c r="Q175" s="201"/>
      <c r="R175" s="181"/>
      <c r="S175" s="181"/>
      <c r="T175" s="181"/>
      <c r="U175" s="162"/>
      <c r="V175" s="162"/>
      <c r="W175" s="162"/>
      <c r="X175" s="162"/>
      <c r="Y175" s="162"/>
      <c r="Z175" s="162"/>
      <c r="AA175" s="162"/>
      <c r="AB175" s="162"/>
      <c r="AC175" s="162"/>
      <c r="AD175" s="162"/>
      <c r="AE175" s="162"/>
      <c r="AF175" s="162"/>
      <c r="AG175" s="162"/>
      <c r="AH175" s="162"/>
      <c r="AI175" s="162"/>
      <c r="AJ175" s="162"/>
      <c r="AK175" s="162"/>
      <c r="AL175" s="162"/>
      <c r="AM175" s="162"/>
      <c r="AN175" s="162"/>
      <c r="AO175" s="162"/>
      <c r="AP175" s="162"/>
      <c r="AQ175" s="162"/>
      <c r="AR175" s="162"/>
      <c r="AS175" s="162"/>
      <c r="AT175" s="162"/>
      <c r="AU175" s="162"/>
      <c r="AV175" s="162"/>
      <c r="AW175" s="162"/>
      <c r="AX175" s="162"/>
      <c r="AY175" s="162"/>
      <c r="AZ175" s="162"/>
      <c r="BA175" s="162"/>
      <c r="BB175" s="162"/>
      <c r="BC175" s="162"/>
      <c r="BD175" s="162"/>
      <c r="BE175" s="162"/>
      <c r="BF175" s="162"/>
      <c r="BG175" s="162"/>
      <c r="BH175" s="162"/>
      <c r="BI175" s="162"/>
      <c r="BJ175" s="162"/>
      <c r="BK175" s="162"/>
      <c r="BL175" s="162"/>
    </row>
    <row r="176" spans="1:64" ht="15">
      <c r="A176" s="169"/>
      <c r="B176" s="163"/>
      <c r="C176" s="168"/>
      <c r="D176" s="168"/>
      <c r="E176" s="168"/>
      <c r="F176" s="168"/>
      <c r="G176" s="179"/>
      <c r="H176" s="168"/>
      <c r="I176" s="168"/>
      <c r="J176" s="168"/>
      <c r="K176" s="168"/>
      <c r="L176" s="202"/>
      <c r="M176" s="203"/>
      <c r="N176" s="181"/>
      <c r="O176" s="218"/>
      <c r="P176" s="203"/>
      <c r="Q176" s="201"/>
      <c r="R176" s="181"/>
      <c r="S176" s="181"/>
      <c r="T176" s="181"/>
      <c r="U176" s="162"/>
      <c r="V176" s="162"/>
      <c r="W176" s="162"/>
      <c r="X176" s="162"/>
      <c r="Y176" s="162"/>
      <c r="Z176" s="162"/>
      <c r="AA176" s="162"/>
      <c r="AB176" s="162"/>
      <c r="AC176" s="162"/>
      <c r="AD176" s="162"/>
      <c r="AE176" s="162"/>
      <c r="AF176" s="162"/>
      <c r="AG176" s="162"/>
      <c r="AH176" s="162"/>
      <c r="AI176" s="162"/>
      <c r="AJ176" s="162"/>
      <c r="AK176" s="162"/>
      <c r="AL176" s="162"/>
      <c r="AM176" s="162"/>
      <c r="AN176" s="162"/>
      <c r="AO176" s="162"/>
      <c r="AP176" s="162"/>
      <c r="AQ176" s="162"/>
      <c r="AR176" s="162"/>
      <c r="AS176" s="162"/>
      <c r="AT176" s="162"/>
      <c r="AU176" s="162"/>
      <c r="AV176" s="162"/>
      <c r="AW176" s="162"/>
      <c r="AX176" s="162"/>
      <c r="AY176" s="162"/>
      <c r="AZ176" s="162"/>
      <c r="BA176" s="162"/>
      <c r="BB176" s="162"/>
      <c r="BC176" s="162"/>
      <c r="BD176" s="162"/>
      <c r="BE176" s="162"/>
      <c r="BF176" s="162"/>
      <c r="BG176" s="162"/>
      <c r="BH176" s="162"/>
      <c r="BI176" s="162"/>
      <c r="BJ176" s="162"/>
      <c r="BK176" s="162"/>
      <c r="BL176" s="162"/>
    </row>
    <row r="177" spans="1:64" ht="15">
      <c r="A177" s="169" t="s">
        <v>154</v>
      </c>
      <c r="B177" s="163" t="s">
        <v>399</v>
      </c>
      <c r="C177" s="232" t="s">
        <v>400</v>
      </c>
      <c r="D177" s="168"/>
      <c r="E177" s="168"/>
      <c r="F177" s="168" t="s">
        <v>339</v>
      </c>
      <c r="G177" s="233"/>
      <c r="H177" s="168"/>
      <c r="I177" s="168"/>
      <c r="J177" s="168"/>
      <c r="K177" s="141"/>
      <c r="L177" s="202"/>
      <c r="M177" s="203"/>
      <c r="N177" s="181"/>
      <c r="O177" s="203"/>
      <c r="P177" s="223"/>
      <c r="Q177" s="203"/>
      <c r="R177" s="181"/>
      <c r="S177" s="181"/>
      <c r="T177" s="181"/>
      <c r="U177" s="162"/>
      <c r="V177" s="162"/>
      <c r="W177" s="162"/>
      <c r="X177" s="162"/>
      <c r="Y177" s="162"/>
      <c r="Z177" s="162"/>
      <c r="AA177" s="162"/>
      <c r="AB177" s="162"/>
      <c r="AC177" s="162"/>
      <c r="AD177" s="162"/>
      <c r="AE177" s="162"/>
      <c r="AF177" s="162"/>
      <c r="AG177" s="162"/>
      <c r="AH177" s="162"/>
      <c r="AI177" s="162"/>
      <c r="AJ177" s="162"/>
      <c r="AK177" s="162"/>
      <c r="AL177" s="162"/>
      <c r="AM177" s="162"/>
      <c r="AN177" s="162"/>
      <c r="AO177" s="162"/>
      <c r="AP177" s="162"/>
      <c r="AQ177" s="162"/>
      <c r="AR177" s="162"/>
      <c r="AS177" s="162"/>
      <c r="AT177" s="162"/>
      <c r="AU177" s="162"/>
      <c r="AV177" s="162"/>
      <c r="AW177" s="162"/>
      <c r="AX177" s="162"/>
      <c r="AY177" s="162"/>
      <c r="AZ177" s="162"/>
      <c r="BA177" s="162"/>
      <c r="BB177" s="162"/>
      <c r="BC177" s="162"/>
      <c r="BD177" s="162"/>
      <c r="BE177" s="162"/>
      <c r="BF177" s="162"/>
      <c r="BG177" s="162"/>
      <c r="BH177" s="162"/>
      <c r="BI177" s="162"/>
      <c r="BJ177" s="162"/>
      <c r="BK177" s="162"/>
      <c r="BL177" s="162"/>
    </row>
    <row r="178" spans="1:64" ht="15">
      <c r="A178" s="169">
        <v>21</v>
      </c>
      <c r="B178" s="234" t="s">
        <v>401</v>
      </c>
      <c r="C178" s="168"/>
      <c r="D178" s="235">
        <f>IF(D314&gt;0,1-(((1-D315)*(1-D314))/(1-D315*D314*D316)),0)</f>
        <v>0</v>
      </c>
      <c r="E178" s="168"/>
      <c r="G178" s="233"/>
      <c r="H178" s="168"/>
      <c r="J178" s="168"/>
      <c r="K178" s="141"/>
      <c r="L178" s="202"/>
      <c r="M178" s="203"/>
      <c r="N178" s="181"/>
      <c r="O178" s="203"/>
      <c r="P178" s="223"/>
      <c r="Q178" s="203"/>
      <c r="R178" s="181"/>
      <c r="S178" s="181"/>
      <c r="T178" s="181"/>
      <c r="U178" s="162"/>
      <c r="V178" s="162"/>
      <c r="W178" s="162"/>
      <c r="X178" s="162"/>
      <c r="Y178" s="162"/>
      <c r="Z178" s="162"/>
      <c r="AA178" s="162"/>
      <c r="AB178" s="162"/>
      <c r="AC178" s="162"/>
      <c r="AD178" s="162"/>
      <c r="AE178" s="162"/>
      <c r="AF178" s="162"/>
      <c r="AG178" s="162"/>
      <c r="AH178" s="162"/>
      <c r="AI178" s="162"/>
      <c r="AJ178" s="162"/>
      <c r="AK178" s="162"/>
      <c r="AL178" s="162"/>
      <c r="AM178" s="162"/>
      <c r="AN178" s="162"/>
      <c r="AO178" s="162"/>
      <c r="AP178" s="162"/>
      <c r="AQ178" s="162"/>
      <c r="AR178" s="162"/>
      <c r="AS178" s="162"/>
      <c r="AT178" s="162"/>
      <c r="AU178" s="162"/>
      <c r="AV178" s="162"/>
      <c r="AW178" s="162"/>
      <c r="AX178" s="162"/>
      <c r="AY178" s="162"/>
      <c r="AZ178" s="162"/>
      <c r="BA178" s="162"/>
      <c r="BB178" s="162"/>
      <c r="BC178" s="162"/>
      <c r="BD178" s="162"/>
      <c r="BE178" s="162"/>
      <c r="BF178" s="162"/>
      <c r="BG178" s="162"/>
      <c r="BH178" s="162"/>
      <c r="BI178" s="162"/>
      <c r="BJ178" s="162"/>
      <c r="BK178" s="162"/>
      <c r="BL178" s="162"/>
    </row>
    <row r="179" spans="1:64" ht="15">
      <c r="A179" s="169">
        <v>22</v>
      </c>
      <c r="B179" s="160" t="s">
        <v>402</v>
      </c>
      <c r="C179" s="168"/>
      <c r="D179" s="235">
        <f>IF(I250&gt;0,(D178/(1-D178))*(1-I248/I250),0)</f>
        <v>0</v>
      </c>
      <c r="E179" s="168"/>
      <c r="G179" s="233"/>
      <c r="H179" s="168"/>
      <c r="J179" s="168"/>
      <c r="K179" s="141"/>
      <c r="L179" s="202"/>
      <c r="M179" s="203"/>
      <c r="N179" s="181"/>
      <c r="O179" s="203"/>
      <c r="P179" s="206"/>
      <c r="Q179" s="203"/>
      <c r="R179" s="181"/>
      <c r="S179" s="181"/>
      <c r="T179" s="181"/>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2"/>
      <c r="BC179" s="162"/>
      <c r="BD179" s="162"/>
      <c r="BE179" s="162"/>
      <c r="BF179" s="162"/>
      <c r="BG179" s="162"/>
      <c r="BH179" s="162"/>
      <c r="BI179" s="162"/>
      <c r="BJ179" s="162"/>
      <c r="BK179" s="162"/>
      <c r="BL179" s="162"/>
    </row>
    <row r="180" spans="1:64" ht="15">
      <c r="A180" s="169"/>
      <c r="B180" s="163" t="s">
        <v>737</v>
      </c>
      <c r="C180" s="168"/>
      <c r="D180" s="168"/>
      <c r="E180" s="168"/>
      <c r="G180" s="233"/>
      <c r="H180" s="168"/>
      <c r="J180" s="168"/>
      <c r="K180" s="141"/>
      <c r="L180" s="202"/>
      <c r="M180" s="203"/>
      <c r="N180" s="181"/>
      <c r="O180" s="203"/>
      <c r="P180" s="206"/>
      <c r="Q180" s="203"/>
      <c r="R180" s="181"/>
      <c r="S180" s="181"/>
      <c r="T180" s="181"/>
      <c r="U180" s="162"/>
      <c r="V180" s="162"/>
      <c r="W180" s="162"/>
      <c r="X180" s="162"/>
      <c r="Y180" s="162"/>
      <c r="Z180" s="162"/>
      <c r="AA180" s="162"/>
      <c r="AB180" s="162"/>
      <c r="AC180" s="162"/>
      <c r="AD180" s="162"/>
      <c r="AE180" s="162"/>
      <c r="AF180" s="162"/>
      <c r="AG180" s="162"/>
      <c r="AH180" s="162"/>
      <c r="AI180" s="162"/>
      <c r="AJ180" s="162"/>
      <c r="AK180" s="162"/>
      <c r="AL180" s="162"/>
      <c r="AM180" s="162"/>
      <c r="AN180" s="162"/>
      <c r="AO180" s="162"/>
      <c r="AP180" s="162"/>
      <c r="AQ180" s="162"/>
      <c r="AR180" s="162"/>
      <c r="AS180" s="162"/>
      <c r="AT180" s="162"/>
      <c r="AU180" s="162"/>
      <c r="AV180" s="162"/>
      <c r="AW180" s="162"/>
      <c r="AX180" s="162"/>
      <c r="AY180" s="162"/>
      <c r="AZ180" s="162"/>
      <c r="BA180" s="162"/>
      <c r="BB180" s="162"/>
      <c r="BC180" s="162"/>
      <c r="BD180" s="162"/>
      <c r="BE180" s="162"/>
      <c r="BF180" s="162"/>
      <c r="BG180" s="162"/>
      <c r="BH180" s="162"/>
      <c r="BI180" s="162"/>
      <c r="BJ180" s="162"/>
      <c r="BK180" s="162"/>
      <c r="BL180" s="162"/>
    </row>
    <row r="181" spans="1:64" ht="15">
      <c r="A181" s="169"/>
      <c r="B181" s="163" t="s">
        <v>403</v>
      </c>
      <c r="C181" s="168"/>
      <c r="D181" s="168"/>
      <c r="E181" s="168"/>
      <c r="G181" s="233"/>
      <c r="H181" s="168"/>
      <c r="J181" s="168"/>
      <c r="K181" s="141"/>
      <c r="L181" s="202"/>
      <c r="M181" s="203"/>
      <c r="N181" s="181"/>
      <c r="O181" s="203"/>
      <c r="P181" s="206"/>
      <c r="Q181" s="203"/>
      <c r="R181" s="181"/>
      <c r="S181" s="181"/>
      <c r="T181" s="181"/>
      <c r="U181" s="162"/>
      <c r="V181" s="162"/>
      <c r="W181" s="162"/>
      <c r="X181" s="162"/>
      <c r="Y181" s="162"/>
      <c r="Z181" s="162"/>
      <c r="AA181" s="162"/>
      <c r="AB181" s="162"/>
      <c r="AC181" s="162"/>
      <c r="AD181" s="162"/>
      <c r="AE181" s="162"/>
      <c r="AF181" s="162"/>
      <c r="AG181" s="162"/>
      <c r="AH181" s="162"/>
      <c r="AI181" s="162"/>
      <c r="AJ181" s="162"/>
      <c r="AK181" s="162"/>
      <c r="AL181" s="162"/>
      <c r="AM181" s="162"/>
      <c r="AN181" s="162"/>
      <c r="AO181" s="162"/>
      <c r="AP181" s="162"/>
      <c r="AQ181" s="162"/>
      <c r="AR181" s="162"/>
      <c r="AS181" s="162"/>
      <c r="AT181" s="162"/>
      <c r="AU181" s="162"/>
      <c r="AV181" s="162"/>
      <c r="AW181" s="162"/>
      <c r="AX181" s="162"/>
      <c r="AY181" s="162"/>
      <c r="AZ181" s="162"/>
      <c r="BA181" s="162"/>
      <c r="BB181" s="162"/>
      <c r="BC181" s="162"/>
      <c r="BD181" s="162"/>
      <c r="BE181" s="162"/>
      <c r="BF181" s="162"/>
      <c r="BG181" s="162"/>
      <c r="BH181" s="162"/>
      <c r="BI181" s="162"/>
      <c r="BJ181" s="162"/>
      <c r="BK181" s="162"/>
      <c r="BL181" s="162"/>
    </row>
    <row r="182" spans="1:64" ht="15">
      <c r="A182" s="169">
        <v>23</v>
      </c>
      <c r="B182" s="234" t="s">
        <v>404</v>
      </c>
      <c r="C182" s="168"/>
      <c r="D182" s="236">
        <f>IF(D178&gt;0,1/(1-D178),0)</f>
        <v>0</v>
      </c>
      <c r="E182" s="168"/>
      <c r="G182" s="233"/>
      <c r="H182" s="168"/>
      <c r="J182" s="168"/>
      <c r="K182" s="141"/>
      <c r="L182" s="202"/>
      <c r="M182" s="201"/>
      <c r="N182" s="181"/>
      <c r="O182" s="203"/>
      <c r="P182" s="206"/>
      <c r="Q182" s="203"/>
      <c r="R182" s="181"/>
      <c r="S182" s="181"/>
      <c r="T182" s="181"/>
      <c r="U182" s="162"/>
      <c r="V182" s="162"/>
      <c r="W182" s="162"/>
      <c r="X182" s="162"/>
      <c r="Y182" s="162"/>
      <c r="Z182" s="162"/>
      <c r="AA182" s="162"/>
      <c r="AB182" s="162"/>
      <c r="AC182" s="162"/>
      <c r="AD182" s="162"/>
      <c r="AE182" s="162"/>
      <c r="AF182" s="162"/>
      <c r="AG182" s="162"/>
      <c r="AH182" s="162"/>
      <c r="AI182" s="162"/>
      <c r="AJ182" s="162"/>
      <c r="AK182" s="162"/>
      <c r="AL182" s="162"/>
      <c r="AM182" s="162"/>
      <c r="AN182" s="162"/>
      <c r="AO182" s="162"/>
      <c r="AP182" s="162"/>
      <c r="AQ182" s="162"/>
      <c r="AR182" s="162"/>
      <c r="AS182" s="162"/>
      <c r="AT182" s="162"/>
      <c r="AU182" s="162"/>
      <c r="AV182" s="162"/>
      <c r="AW182" s="162"/>
      <c r="AX182" s="162"/>
      <c r="AY182" s="162"/>
      <c r="AZ182" s="162"/>
      <c r="BA182" s="162"/>
      <c r="BB182" s="162"/>
      <c r="BC182" s="162"/>
      <c r="BD182" s="162"/>
      <c r="BE182" s="162"/>
      <c r="BF182" s="162"/>
      <c r="BG182" s="162"/>
      <c r="BH182" s="162"/>
      <c r="BI182" s="162"/>
      <c r="BJ182" s="162"/>
      <c r="BK182" s="162"/>
      <c r="BL182" s="162"/>
    </row>
    <row r="183" spans="1:64" ht="15">
      <c r="A183" s="169">
        <v>24</v>
      </c>
      <c r="B183" s="163" t="s">
        <v>405</v>
      </c>
      <c r="C183" s="168"/>
      <c r="D183" s="217">
        <v>0</v>
      </c>
      <c r="E183" s="168"/>
      <c r="G183" s="233"/>
      <c r="H183" s="168"/>
      <c r="J183" s="168"/>
      <c r="K183" s="141"/>
      <c r="L183" s="202"/>
      <c r="M183" s="201"/>
      <c r="N183" s="181"/>
      <c r="O183" s="203"/>
      <c r="P183" s="206"/>
      <c r="Q183" s="203"/>
      <c r="R183" s="181"/>
      <c r="S183" s="181"/>
      <c r="T183" s="181"/>
      <c r="U183" s="162"/>
      <c r="V183" s="162"/>
      <c r="W183" s="162"/>
      <c r="X183" s="162"/>
      <c r="Y183" s="162"/>
      <c r="Z183" s="162"/>
      <c r="AA183" s="162"/>
      <c r="AB183" s="162"/>
      <c r="AC183" s="162"/>
      <c r="AD183" s="162"/>
      <c r="AE183" s="162"/>
      <c r="AF183" s="162"/>
      <c r="AG183" s="162"/>
      <c r="AH183" s="162"/>
      <c r="AI183" s="162"/>
      <c r="AJ183" s="162"/>
      <c r="AK183" s="162"/>
      <c r="AL183" s="162"/>
      <c r="AM183" s="162"/>
      <c r="AN183" s="162"/>
      <c r="AO183" s="162"/>
      <c r="AP183" s="162"/>
      <c r="AQ183" s="162"/>
      <c r="AR183" s="162"/>
      <c r="AS183" s="162"/>
      <c r="AT183" s="162"/>
      <c r="AU183" s="162"/>
      <c r="AV183" s="162"/>
      <c r="AW183" s="162"/>
      <c r="AX183" s="162"/>
      <c r="AY183" s="162"/>
      <c r="AZ183" s="162"/>
      <c r="BA183" s="162"/>
      <c r="BB183" s="162"/>
      <c r="BC183" s="162"/>
      <c r="BD183" s="162"/>
      <c r="BE183" s="162"/>
      <c r="BF183" s="162"/>
      <c r="BG183" s="162"/>
      <c r="BH183" s="162"/>
      <c r="BI183" s="162"/>
      <c r="BJ183" s="162"/>
      <c r="BK183" s="162"/>
      <c r="BL183" s="162"/>
    </row>
    <row r="184" spans="1:64" ht="15">
      <c r="A184" s="169"/>
      <c r="B184" s="163"/>
      <c r="C184" s="168"/>
      <c r="D184" s="168"/>
      <c r="E184" s="168"/>
      <c r="G184" s="233"/>
      <c r="H184" s="168"/>
      <c r="J184" s="168"/>
      <c r="K184" s="141"/>
      <c r="L184" s="202"/>
      <c r="M184" s="201"/>
      <c r="N184" s="181"/>
      <c r="O184" s="203"/>
      <c r="P184" s="206"/>
      <c r="Q184" s="203"/>
      <c r="R184" s="181"/>
      <c r="S184" s="181"/>
      <c r="T184" s="181"/>
      <c r="U184" s="162"/>
      <c r="V184" s="162"/>
      <c r="W184" s="162"/>
      <c r="X184" s="162"/>
      <c r="Y184" s="162"/>
      <c r="Z184" s="162"/>
      <c r="AA184" s="162"/>
      <c r="AB184" s="162"/>
      <c r="AC184" s="162"/>
      <c r="AD184" s="162"/>
      <c r="AE184" s="162"/>
      <c r="AF184" s="162"/>
      <c r="AG184" s="162"/>
      <c r="AH184" s="162"/>
      <c r="AI184" s="162"/>
      <c r="AJ184" s="162"/>
      <c r="AK184" s="162"/>
      <c r="AL184" s="162"/>
      <c r="AM184" s="162"/>
      <c r="AN184" s="162"/>
      <c r="AO184" s="162"/>
      <c r="AP184" s="162"/>
      <c r="AQ184" s="162"/>
      <c r="AR184" s="162"/>
      <c r="AS184" s="162"/>
      <c r="AT184" s="162"/>
      <c r="AU184" s="162"/>
      <c r="AV184" s="162"/>
      <c r="AW184" s="162"/>
      <c r="AX184" s="162"/>
      <c r="AY184" s="162"/>
      <c r="AZ184" s="162"/>
      <c r="BA184" s="162"/>
      <c r="BB184" s="162"/>
      <c r="BC184" s="162"/>
      <c r="BD184" s="162"/>
      <c r="BE184" s="162"/>
      <c r="BF184" s="162"/>
      <c r="BG184" s="162"/>
      <c r="BH184" s="162"/>
      <c r="BI184" s="162"/>
      <c r="BJ184" s="162"/>
      <c r="BK184" s="162"/>
      <c r="BL184" s="162"/>
    </row>
    <row r="185" spans="1:64" ht="15">
      <c r="A185" s="169">
        <v>25</v>
      </c>
      <c r="B185" s="234" t="s">
        <v>406</v>
      </c>
      <c r="C185" s="232"/>
      <c r="D185" s="168">
        <f>D179*D189</f>
        <v>0</v>
      </c>
      <c r="E185" s="168"/>
      <c r="F185" s="168" t="s">
        <v>339</v>
      </c>
      <c r="G185" s="179"/>
      <c r="H185" s="168"/>
      <c r="I185" s="168">
        <f>D179*I189</f>
        <v>0</v>
      </c>
      <c r="J185" s="168"/>
      <c r="K185" s="141"/>
      <c r="L185" s="202"/>
      <c r="M185" s="201"/>
      <c r="N185" s="181"/>
      <c r="O185" s="203"/>
      <c r="P185" s="206"/>
      <c r="Q185" s="203"/>
      <c r="R185" s="181"/>
      <c r="S185" s="181"/>
      <c r="T185" s="181"/>
      <c r="U185" s="162"/>
      <c r="V185" s="162"/>
      <c r="W185" s="162"/>
      <c r="X185" s="162"/>
      <c r="Y185" s="162"/>
      <c r="Z185" s="162"/>
      <c r="AA185" s="162"/>
      <c r="AB185" s="162"/>
      <c r="AC185" s="162"/>
      <c r="AD185" s="162"/>
      <c r="AE185" s="162"/>
      <c r="AF185" s="162"/>
      <c r="AG185" s="162"/>
      <c r="AH185" s="162"/>
      <c r="AI185" s="162"/>
      <c r="AJ185" s="162"/>
      <c r="AK185" s="162"/>
      <c r="AL185" s="162"/>
      <c r="AM185" s="162"/>
      <c r="AN185" s="162"/>
      <c r="AO185" s="162"/>
      <c r="AP185" s="162"/>
      <c r="AQ185" s="162"/>
      <c r="AR185" s="162"/>
      <c r="AS185" s="162"/>
      <c r="AT185" s="162"/>
      <c r="AU185" s="162"/>
      <c r="AV185" s="162"/>
      <c r="AW185" s="162"/>
      <c r="AX185" s="162"/>
      <c r="AY185" s="162"/>
      <c r="AZ185" s="162"/>
      <c r="BA185" s="162"/>
      <c r="BB185" s="162"/>
      <c r="BC185" s="162"/>
      <c r="BD185" s="162"/>
      <c r="BE185" s="162"/>
      <c r="BF185" s="162"/>
      <c r="BG185" s="162"/>
      <c r="BH185" s="162"/>
      <c r="BI185" s="162"/>
      <c r="BJ185" s="162"/>
      <c r="BK185" s="162"/>
      <c r="BL185" s="162"/>
    </row>
    <row r="186" spans="1:64" ht="15.75" thickBot="1">
      <c r="A186" s="169">
        <v>26</v>
      </c>
      <c r="B186" s="160" t="s">
        <v>407</v>
      </c>
      <c r="C186" s="232"/>
      <c r="D186" s="185">
        <f>D182*D183</f>
        <v>0</v>
      </c>
      <c r="E186" s="168"/>
      <c r="F186" s="160" t="s">
        <v>361</v>
      </c>
      <c r="G186" s="179">
        <f>G104</f>
        <v>8.7063380991622193E-3</v>
      </c>
      <c r="H186" s="168"/>
      <c r="I186" s="185">
        <f>G186*D186</f>
        <v>0</v>
      </c>
      <c r="J186" s="168"/>
      <c r="K186" s="141"/>
      <c r="L186" s="202"/>
      <c r="M186" s="203"/>
      <c r="N186" s="181"/>
      <c r="O186" s="203"/>
      <c r="P186" s="206"/>
      <c r="Q186" s="203"/>
      <c r="R186" s="181"/>
      <c r="S186" s="181"/>
      <c r="T186" s="181"/>
      <c r="U186" s="162"/>
      <c r="V186" s="162"/>
      <c r="W186" s="162"/>
      <c r="X186" s="162"/>
      <c r="Y186" s="162"/>
      <c r="Z186" s="162"/>
      <c r="AA186" s="162"/>
      <c r="AB186" s="162"/>
      <c r="AC186" s="162"/>
      <c r="AD186" s="162"/>
      <c r="AE186" s="162"/>
      <c r="AF186" s="162"/>
      <c r="AG186" s="162"/>
      <c r="AH186" s="162"/>
      <c r="AI186" s="162"/>
      <c r="AJ186" s="162"/>
      <c r="AK186" s="162"/>
      <c r="AL186" s="162"/>
      <c r="AM186" s="162"/>
      <c r="AN186" s="162"/>
      <c r="AO186" s="162"/>
      <c r="AP186" s="162"/>
      <c r="AQ186" s="162"/>
      <c r="AR186" s="162"/>
      <c r="AS186" s="162"/>
      <c r="AT186" s="162"/>
      <c r="AU186" s="162"/>
      <c r="AV186" s="162"/>
      <c r="AW186" s="162"/>
      <c r="AX186" s="162"/>
      <c r="AY186" s="162"/>
      <c r="AZ186" s="162"/>
      <c r="BA186" s="162"/>
      <c r="BB186" s="162"/>
      <c r="BC186" s="162"/>
      <c r="BD186" s="162"/>
      <c r="BE186" s="162"/>
      <c r="BF186" s="162"/>
      <c r="BG186" s="162"/>
      <c r="BH186" s="162"/>
      <c r="BI186" s="162"/>
      <c r="BJ186" s="162"/>
      <c r="BK186" s="162"/>
      <c r="BL186" s="162"/>
    </row>
    <row r="187" spans="1:64" ht="15">
      <c r="A187" s="169">
        <v>27</v>
      </c>
      <c r="B187" s="234" t="s">
        <v>408</v>
      </c>
      <c r="C187" s="160" t="s">
        <v>409</v>
      </c>
      <c r="D187" s="237">
        <f>+D185+D186</f>
        <v>0</v>
      </c>
      <c r="E187" s="168"/>
      <c r="F187" s="168" t="s">
        <v>154</v>
      </c>
      <c r="G187" s="179" t="s">
        <v>154</v>
      </c>
      <c r="H187" s="168"/>
      <c r="I187" s="237">
        <f>+I185+I186</f>
        <v>0</v>
      </c>
      <c r="J187" s="168"/>
      <c r="K187" s="141"/>
      <c r="L187" s="202"/>
      <c r="M187" s="203"/>
      <c r="N187" s="181"/>
      <c r="O187" s="203"/>
      <c r="P187" s="206"/>
      <c r="Q187" s="203"/>
      <c r="R187" s="181"/>
      <c r="S187" s="181"/>
      <c r="T187" s="181"/>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2"/>
      <c r="AY187" s="162"/>
      <c r="AZ187" s="162"/>
      <c r="BA187" s="162"/>
      <c r="BB187" s="162"/>
      <c r="BC187" s="162"/>
      <c r="BD187" s="162"/>
      <c r="BE187" s="162"/>
      <c r="BF187" s="162"/>
      <c r="BG187" s="162"/>
      <c r="BH187" s="162"/>
      <c r="BI187" s="162"/>
      <c r="BJ187" s="162"/>
      <c r="BK187" s="162"/>
      <c r="BL187" s="162"/>
    </row>
    <row r="188" spans="1:64" ht="15">
      <c r="A188" s="169" t="s">
        <v>154</v>
      </c>
      <c r="C188" s="238"/>
      <c r="D188" s="168"/>
      <c r="E188" s="168"/>
      <c r="F188" s="168"/>
      <c r="G188" s="179"/>
      <c r="H188" s="168"/>
      <c r="I188" s="168"/>
      <c r="J188" s="168"/>
      <c r="K188" s="168"/>
      <c r="L188" s="202"/>
      <c r="M188" s="203"/>
      <c r="N188" s="181"/>
      <c r="O188" s="203"/>
      <c r="P188" s="203"/>
      <c r="Q188" s="201"/>
      <c r="R188" s="181"/>
      <c r="S188" s="181"/>
      <c r="T188" s="181"/>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2"/>
      <c r="AY188" s="162"/>
      <c r="AZ188" s="162"/>
      <c r="BA188" s="162"/>
      <c r="BB188" s="162"/>
      <c r="BC188" s="162"/>
      <c r="BD188" s="162"/>
      <c r="BE188" s="162"/>
      <c r="BF188" s="162"/>
      <c r="BG188" s="162"/>
      <c r="BH188" s="162"/>
      <c r="BI188" s="162"/>
      <c r="BJ188" s="162"/>
      <c r="BK188" s="162"/>
      <c r="BL188" s="162"/>
    </row>
    <row r="189" spans="1:64" ht="15">
      <c r="A189" s="169">
        <v>28</v>
      </c>
      <c r="B189" s="163" t="s">
        <v>410</v>
      </c>
      <c r="C189" s="216"/>
      <c r="D189" s="168">
        <f>+$I250*D122</f>
        <v>456190.1057924644</v>
      </c>
      <c r="E189" s="168"/>
      <c r="F189" s="168" t="s">
        <v>339</v>
      </c>
      <c r="G189" s="233"/>
      <c r="H189" s="168"/>
      <c r="I189" s="168">
        <f>+$I250*I122</f>
        <v>4651.0511380894814</v>
      </c>
      <c r="J189" s="168"/>
      <c r="K189" s="141"/>
      <c r="L189" s="202"/>
      <c r="M189" s="201"/>
      <c r="N189" s="181"/>
      <c r="O189" s="203"/>
      <c r="P189" s="206"/>
      <c r="Q189" s="203"/>
      <c r="R189" s="181"/>
      <c r="S189" s="181"/>
      <c r="T189" s="181"/>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2"/>
      <c r="AY189" s="162"/>
      <c r="AZ189" s="162"/>
      <c r="BA189" s="162"/>
      <c r="BB189" s="162"/>
      <c r="BC189" s="162"/>
      <c r="BD189" s="162"/>
      <c r="BE189" s="162"/>
      <c r="BF189" s="162"/>
      <c r="BG189" s="162"/>
      <c r="BH189" s="162"/>
      <c r="BI189" s="162"/>
      <c r="BJ189" s="162"/>
      <c r="BK189" s="162"/>
      <c r="BL189" s="162"/>
    </row>
    <row r="190" spans="1:64" ht="15">
      <c r="A190" s="169"/>
      <c r="B190" s="234" t="s">
        <v>411</v>
      </c>
      <c r="C190" s="141"/>
      <c r="D190" s="168"/>
      <c r="E190" s="168"/>
      <c r="F190" s="168"/>
      <c r="G190" s="233"/>
      <c r="H190" s="168"/>
      <c r="I190" s="168"/>
      <c r="J190" s="168"/>
      <c r="K190" s="216"/>
      <c r="L190" s="202"/>
      <c r="M190" s="182"/>
      <c r="N190" s="181"/>
      <c r="O190" s="203"/>
      <c r="P190" s="206"/>
      <c r="Q190" s="203"/>
      <c r="R190" s="181"/>
      <c r="S190" s="181"/>
      <c r="T190" s="181"/>
      <c r="U190" s="162"/>
      <c r="V190" s="162"/>
      <c r="W190" s="162"/>
      <c r="X190" s="162"/>
      <c r="Y190" s="162"/>
      <c r="Z190" s="162"/>
      <c r="AA190" s="162"/>
      <c r="AB190" s="162"/>
      <c r="AC190" s="162"/>
      <c r="AD190" s="162"/>
      <c r="AE190" s="162"/>
      <c r="AF190" s="162"/>
      <c r="AG190" s="162"/>
      <c r="AH190" s="162"/>
      <c r="AI190" s="162"/>
      <c r="AJ190" s="162"/>
      <c r="AK190" s="162"/>
      <c r="AL190" s="162"/>
      <c r="AM190" s="162"/>
      <c r="AN190" s="162"/>
      <c r="AO190" s="162"/>
      <c r="AP190" s="162"/>
      <c r="AQ190" s="162"/>
      <c r="AR190" s="162"/>
      <c r="AS190" s="162"/>
      <c r="AT190" s="162"/>
      <c r="AU190" s="162"/>
      <c r="AV190" s="162"/>
      <c r="AW190" s="162"/>
      <c r="AX190" s="162"/>
      <c r="AY190" s="162"/>
      <c r="AZ190" s="162"/>
      <c r="BA190" s="162"/>
      <c r="BB190" s="162"/>
      <c r="BC190" s="162"/>
      <c r="BD190" s="162"/>
      <c r="BE190" s="162"/>
      <c r="BF190" s="162"/>
      <c r="BG190" s="162"/>
      <c r="BH190" s="162"/>
      <c r="BI190" s="162"/>
      <c r="BJ190" s="162"/>
      <c r="BK190" s="162"/>
      <c r="BL190" s="162"/>
    </row>
    <row r="191" spans="1:64" ht="15">
      <c r="A191" s="169"/>
      <c r="B191" s="163"/>
      <c r="C191" s="141"/>
      <c r="D191" s="292"/>
      <c r="E191" s="168"/>
      <c r="F191" s="168"/>
      <c r="G191" s="233"/>
      <c r="H191" s="168"/>
      <c r="I191" s="292"/>
      <c r="J191" s="168"/>
      <c r="K191" s="216"/>
      <c r="L191" s="202"/>
      <c r="M191" s="182"/>
      <c r="N191" s="181"/>
      <c r="O191" s="203"/>
      <c r="P191" s="206"/>
      <c r="Q191" s="203"/>
      <c r="R191" s="181"/>
      <c r="S191" s="181"/>
      <c r="T191" s="181"/>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2"/>
      <c r="AY191" s="162"/>
      <c r="AZ191" s="162"/>
      <c r="BA191" s="162"/>
      <c r="BB191" s="162"/>
      <c r="BC191" s="162"/>
      <c r="BD191" s="162"/>
      <c r="BE191" s="162"/>
      <c r="BF191" s="162"/>
      <c r="BG191" s="162"/>
      <c r="BH191" s="162"/>
      <c r="BI191" s="162"/>
      <c r="BJ191" s="162"/>
      <c r="BK191" s="162"/>
      <c r="BL191" s="162"/>
    </row>
    <row r="192" spans="1:64" ht="15">
      <c r="A192" s="169">
        <v>29</v>
      </c>
      <c r="B192" s="163" t="s">
        <v>412</v>
      </c>
      <c r="C192" s="168"/>
      <c r="D192" s="293">
        <f>+D189+D187+D175+D164+D158</f>
        <v>1136848.8075187474</v>
      </c>
      <c r="E192" s="168"/>
      <c r="F192" s="168"/>
      <c r="G192" s="168"/>
      <c r="H192" s="168"/>
      <c r="I192" s="293">
        <f>+I189+I187+I175+I164+I158</f>
        <v>67022.331427092955</v>
      </c>
      <c r="J192" s="164"/>
      <c r="K192" s="164"/>
      <c r="L192" s="161"/>
      <c r="M192" s="182"/>
      <c r="N192" s="181"/>
      <c r="O192" s="182"/>
      <c r="P192" s="223"/>
      <c r="Q192" s="201"/>
      <c r="R192" s="181"/>
      <c r="S192" s="181"/>
      <c r="T192" s="181"/>
      <c r="U192" s="162"/>
      <c r="V192" s="162"/>
      <c r="W192" s="162"/>
      <c r="X192" s="162"/>
      <c r="Y192" s="162"/>
      <c r="Z192" s="162"/>
      <c r="AA192" s="162"/>
      <c r="AB192" s="162"/>
      <c r="AC192" s="162"/>
      <c r="AD192" s="162"/>
      <c r="AE192" s="162"/>
      <c r="AF192" s="162"/>
      <c r="AG192" s="162"/>
      <c r="AH192" s="162"/>
      <c r="AI192" s="162"/>
      <c r="AJ192" s="162"/>
      <c r="AK192" s="162"/>
      <c r="AL192" s="162"/>
      <c r="AM192" s="162"/>
      <c r="AN192" s="162"/>
      <c r="AO192" s="162"/>
      <c r="AP192" s="162"/>
      <c r="AQ192" s="162"/>
      <c r="AR192" s="162"/>
      <c r="AS192" s="162"/>
      <c r="AT192" s="162"/>
      <c r="AU192" s="162"/>
      <c r="AV192" s="162"/>
      <c r="AW192" s="162"/>
      <c r="AX192" s="162"/>
      <c r="AY192" s="162"/>
      <c r="AZ192" s="162"/>
      <c r="BA192" s="162"/>
      <c r="BB192" s="162"/>
      <c r="BC192" s="162"/>
      <c r="BD192" s="162"/>
      <c r="BE192" s="162"/>
      <c r="BF192" s="162"/>
      <c r="BG192" s="162"/>
      <c r="BH192" s="162"/>
      <c r="BI192" s="162"/>
      <c r="BJ192" s="162"/>
      <c r="BK192" s="162"/>
      <c r="BL192" s="162"/>
    </row>
    <row r="193" spans="1:64" ht="15">
      <c r="A193" s="169"/>
      <c r="B193" s="141"/>
      <c r="C193" s="141"/>
      <c r="D193" s="141"/>
      <c r="E193" s="141"/>
      <c r="F193" s="141"/>
      <c r="G193" s="141"/>
      <c r="H193" s="141"/>
      <c r="I193" s="141"/>
      <c r="J193" s="168"/>
      <c r="K193" s="168"/>
      <c r="L193" s="202"/>
      <c r="M193" s="182"/>
      <c r="N193" s="181"/>
      <c r="O193" s="203"/>
      <c r="P193" s="206"/>
      <c r="Q193" s="203"/>
      <c r="R193" s="181"/>
      <c r="S193" s="181"/>
      <c r="T193" s="181"/>
      <c r="U193" s="162"/>
      <c r="V193" s="162"/>
      <c r="W193" s="162"/>
      <c r="X193" s="162"/>
      <c r="Y193" s="162"/>
      <c r="Z193" s="162"/>
      <c r="AA193" s="162"/>
      <c r="AB193" s="162"/>
      <c r="AC193" s="162"/>
      <c r="AD193" s="162"/>
      <c r="AE193" s="162"/>
      <c r="AF193" s="162"/>
      <c r="AG193" s="162"/>
      <c r="AH193" s="162"/>
      <c r="AI193" s="162"/>
      <c r="AJ193" s="162"/>
      <c r="AK193" s="162"/>
      <c r="AL193" s="162"/>
      <c r="AM193" s="162"/>
      <c r="AN193" s="162"/>
      <c r="AO193" s="162"/>
      <c r="AP193" s="162"/>
      <c r="AQ193" s="162"/>
      <c r="AR193" s="162"/>
      <c r="AS193" s="162"/>
      <c r="AT193" s="162"/>
      <c r="AU193" s="162"/>
      <c r="AV193" s="162"/>
      <c r="AW193" s="162"/>
      <c r="AX193" s="162"/>
      <c r="AY193" s="162"/>
      <c r="AZ193" s="162"/>
      <c r="BA193" s="162"/>
      <c r="BB193" s="162"/>
      <c r="BC193" s="162"/>
      <c r="BD193" s="162"/>
      <c r="BE193" s="162"/>
      <c r="BF193" s="162"/>
      <c r="BG193" s="162"/>
      <c r="BH193" s="162"/>
      <c r="BI193" s="162"/>
      <c r="BJ193" s="162"/>
      <c r="BK193" s="162"/>
      <c r="BL193" s="162"/>
    </row>
    <row r="194" spans="1:64" ht="15">
      <c r="A194" s="159">
        <v>30</v>
      </c>
      <c r="B194" s="295" t="s">
        <v>624</v>
      </c>
      <c r="C194" s="297"/>
      <c r="D194" s="177"/>
      <c r="E194" s="141"/>
      <c r="F194" s="141"/>
      <c r="G194" s="141"/>
      <c r="H194" s="141"/>
      <c r="I194" s="177"/>
      <c r="J194" s="168"/>
      <c r="K194" s="168"/>
      <c r="L194" s="202"/>
      <c r="M194" s="182"/>
      <c r="N194" s="181"/>
      <c r="O194" s="203"/>
      <c r="P194" s="206"/>
      <c r="Q194" s="203"/>
      <c r="R194" s="181"/>
      <c r="S194" s="181"/>
      <c r="T194" s="181"/>
      <c r="U194" s="162"/>
      <c r="V194" s="162"/>
      <c r="W194" s="162"/>
      <c r="X194" s="162"/>
      <c r="Y194" s="162"/>
      <c r="Z194" s="162"/>
      <c r="AA194" s="162"/>
      <c r="AB194" s="162"/>
      <c r="AC194" s="162"/>
      <c r="AD194" s="162"/>
      <c r="AE194" s="162"/>
      <c r="AF194" s="162"/>
      <c r="AG194" s="162"/>
      <c r="AH194" s="162"/>
      <c r="AI194" s="162"/>
      <c r="AJ194" s="162"/>
      <c r="AK194" s="162"/>
      <c r="AL194" s="162"/>
      <c r="AM194" s="162"/>
      <c r="AN194" s="162"/>
      <c r="AO194" s="162"/>
      <c r="AP194" s="162"/>
      <c r="AQ194" s="162"/>
      <c r="AR194" s="162"/>
      <c r="AS194" s="162"/>
      <c r="AT194" s="162"/>
      <c r="AU194" s="162"/>
      <c r="AV194" s="162"/>
      <c r="AW194" s="162"/>
      <c r="AX194" s="162"/>
      <c r="AY194" s="162"/>
      <c r="AZ194" s="162"/>
      <c r="BA194" s="162"/>
      <c r="BB194" s="162"/>
      <c r="BC194" s="162"/>
      <c r="BD194" s="162"/>
      <c r="BE194" s="162"/>
      <c r="BF194" s="162"/>
      <c r="BG194" s="162"/>
      <c r="BH194" s="162"/>
      <c r="BI194" s="162"/>
      <c r="BJ194" s="162"/>
      <c r="BK194" s="162"/>
      <c r="BL194" s="162"/>
    </row>
    <row r="195" spans="1:64" ht="15">
      <c r="A195" s="159"/>
      <c r="B195" s="295" t="s">
        <v>643</v>
      </c>
      <c r="C195" s="297"/>
      <c r="D195" s="141">
        <v>0</v>
      </c>
      <c r="E195" s="141"/>
      <c r="F195" s="141"/>
      <c r="G195" s="141"/>
      <c r="H195" s="141"/>
      <c r="I195" s="141">
        <v>0</v>
      </c>
      <c r="J195" s="168"/>
      <c r="K195" s="168"/>
      <c r="L195" s="202"/>
      <c r="M195" s="182"/>
      <c r="N195" s="181"/>
      <c r="O195" s="203"/>
      <c r="P195" s="206"/>
      <c r="Q195" s="203"/>
      <c r="R195" s="181"/>
      <c r="S195" s="181"/>
      <c r="T195" s="181"/>
      <c r="U195" s="162"/>
      <c r="V195" s="162"/>
      <c r="W195" s="162"/>
      <c r="X195" s="162"/>
      <c r="Y195" s="162"/>
      <c r="Z195" s="162"/>
      <c r="AA195" s="162"/>
      <c r="AB195" s="162"/>
      <c r="AC195" s="162"/>
      <c r="AD195" s="162"/>
      <c r="AE195" s="162"/>
      <c r="AF195" s="162"/>
      <c r="AG195" s="162"/>
      <c r="AH195" s="162"/>
      <c r="AI195" s="162"/>
      <c r="AJ195" s="162"/>
      <c r="AK195" s="162"/>
      <c r="AL195" s="162"/>
      <c r="AM195" s="162"/>
      <c r="AN195" s="162"/>
      <c r="AO195" s="162"/>
      <c r="AP195" s="162"/>
      <c r="AQ195" s="162"/>
      <c r="AR195" s="162"/>
      <c r="AS195" s="162"/>
      <c r="AT195" s="162"/>
      <c r="AU195" s="162"/>
      <c r="AV195" s="162"/>
      <c r="AW195" s="162"/>
      <c r="AX195" s="162"/>
      <c r="AY195" s="162"/>
      <c r="AZ195" s="162"/>
      <c r="BA195" s="162"/>
      <c r="BB195" s="162"/>
      <c r="BC195" s="162"/>
      <c r="BD195" s="162"/>
      <c r="BE195" s="162"/>
      <c r="BF195" s="162"/>
      <c r="BG195" s="162"/>
      <c r="BH195" s="162"/>
      <c r="BI195" s="162"/>
      <c r="BJ195" s="162"/>
      <c r="BK195" s="162"/>
      <c r="BL195" s="162"/>
    </row>
    <row r="196" spans="1:64" ht="15">
      <c r="A196" s="159"/>
      <c r="B196" s="301" t="s">
        <v>625</v>
      </c>
      <c r="C196" s="301"/>
      <c r="D196" s="141"/>
      <c r="E196" s="141"/>
      <c r="F196" s="141"/>
      <c r="G196" s="141"/>
      <c r="H196" s="141"/>
      <c r="I196" s="141"/>
      <c r="J196" s="168"/>
      <c r="K196" s="168"/>
      <c r="L196" s="202"/>
      <c r="M196" s="182"/>
      <c r="N196" s="181"/>
      <c r="O196" s="203"/>
      <c r="P196" s="206"/>
      <c r="Q196" s="203"/>
      <c r="R196" s="181"/>
      <c r="S196" s="181"/>
      <c r="T196" s="181"/>
      <c r="U196" s="162"/>
      <c r="V196" s="162"/>
      <c r="W196" s="162"/>
      <c r="X196" s="162"/>
      <c r="Y196" s="162"/>
      <c r="Z196" s="162"/>
      <c r="AA196" s="162"/>
      <c r="AB196" s="162"/>
      <c r="AC196" s="162"/>
      <c r="AD196" s="162"/>
      <c r="AE196" s="162"/>
      <c r="AF196" s="162"/>
      <c r="AG196" s="162"/>
      <c r="AH196" s="162"/>
      <c r="AI196" s="162"/>
      <c r="AJ196" s="162"/>
      <c r="AK196" s="162"/>
      <c r="AL196" s="162"/>
      <c r="AM196" s="162"/>
      <c r="AN196" s="162"/>
      <c r="AO196" s="162"/>
      <c r="AP196" s="162"/>
      <c r="AQ196" s="162"/>
      <c r="AR196" s="162"/>
      <c r="AS196" s="162"/>
      <c r="AT196" s="162"/>
      <c r="AU196" s="162"/>
      <c r="AV196" s="162"/>
      <c r="AW196" s="162"/>
      <c r="AX196" s="162"/>
      <c r="AY196" s="162"/>
      <c r="AZ196" s="162"/>
      <c r="BA196" s="162"/>
      <c r="BB196" s="162"/>
      <c r="BC196" s="162"/>
      <c r="BD196" s="162"/>
      <c r="BE196" s="162"/>
      <c r="BF196" s="162"/>
      <c r="BG196" s="162"/>
      <c r="BH196" s="162"/>
      <c r="BI196" s="162"/>
      <c r="BJ196" s="162"/>
      <c r="BK196" s="162"/>
      <c r="BL196" s="162"/>
    </row>
    <row r="197" spans="1:64" ht="15">
      <c r="A197" s="159"/>
      <c r="B197" s="301"/>
      <c r="C197" s="301"/>
      <c r="D197" s="141"/>
      <c r="E197" s="141"/>
      <c r="F197" s="141"/>
      <c r="G197" s="141"/>
      <c r="H197" s="141"/>
      <c r="I197" s="141"/>
      <c r="J197" s="168"/>
      <c r="K197" s="168"/>
      <c r="L197" s="202"/>
      <c r="M197" s="182"/>
      <c r="N197" s="181"/>
      <c r="O197" s="203"/>
      <c r="P197" s="206"/>
      <c r="Q197" s="203"/>
      <c r="R197" s="181"/>
      <c r="S197" s="181"/>
      <c r="T197" s="181"/>
      <c r="U197" s="162"/>
      <c r="V197" s="162"/>
      <c r="W197" s="162"/>
      <c r="X197" s="162"/>
      <c r="Y197" s="162"/>
      <c r="Z197" s="162"/>
      <c r="AA197" s="162"/>
      <c r="AB197" s="162"/>
      <c r="AC197" s="162"/>
      <c r="AD197" s="162"/>
      <c r="AE197" s="162"/>
      <c r="AF197" s="162"/>
      <c r="AG197" s="162"/>
      <c r="AH197" s="162"/>
      <c r="AI197" s="162"/>
      <c r="AJ197" s="162"/>
      <c r="AK197" s="162"/>
      <c r="AL197" s="162"/>
      <c r="AM197" s="162"/>
      <c r="AN197" s="162"/>
      <c r="AO197" s="162"/>
      <c r="AP197" s="162"/>
      <c r="AQ197" s="162"/>
      <c r="AR197" s="162"/>
      <c r="AS197" s="162"/>
      <c r="AT197" s="162"/>
      <c r="AU197" s="162"/>
      <c r="AV197" s="162"/>
      <c r="AW197" s="162"/>
      <c r="AX197" s="162"/>
      <c r="AY197" s="162"/>
      <c r="AZ197" s="162"/>
      <c r="BA197" s="162"/>
      <c r="BB197" s="162"/>
      <c r="BC197" s="162"/>
      <c r="BD197" s="162"/>
      <c r="BE197" s="162"/>
      <c r="BF197" s="162"/>
      <c r="BG197" s="162"/>
      <c r="BH197" s="162"/>
      <c r="BI197" s="162"/>
      <c r="BJ197" s="162"/>
      <c r="BK197" s="162"/>
      <c r="BL197" s="162"/>
    </row>
    <row r="198" spans="1:64" ht="15.75">
      <c r="A198" s="341" t="s">
        <v>738</v>
      </c>
      <c r="B198" s="342" t="s">
        <v>739</v>
      </c>
      <c r="C198" s="340"/>
      <c r="D198" s="340"/>
      <c r="E198" s="301"/>
      <c r="F198" s="301"/>
      <c r="G198" s="301"/>
      <c r="H198" s="301"/>
      <c r="I198" s="301"/>
      <c r="J198" s="168"/>
      <c r="K198" s="168"/>
      <c r="L198" s="202"/>
      <c r="M198" s="182"/>
      <c r="N198" s="181"/>
      <c r="O198" s="203"/>
      <c r="P198" s="206"/>
      <c r="Q198" s="203"/>
      <c r="R198" s="181"/>
      <c r="S198" s="181"/>
      <c r="T198" s="181"/>
      <c r="U198" s="162"/>
      <c r="V198" s="162"/>
      <c r="W198" s="162"/>
      <c r="X198" s="162"/>
      <c r="Y198" s="162"/>
      <c r="Z198" s="162"/>
      <c r="AA198" s="162"/>
      <c r="AB198" s="162"/>
      <c r="AC198" s="162"/>
      <c r="AD198" s="162"/>
      <c r="AE198" s="162"/>
      <c r="AF198" s="162"/>
      <c r="AG198" s="162"/>
      <c r="AH198" s="162"/>
      <c r="AI198" s="162"/>
      <c r="AJ198" s="162"/>
      <c r="AK198" s="162"/>
      <c r="AL198" s="162"/>
      <c r="AM198" s="162"/>
      <c r="AN198" s="162"/>
      <c r="AO198" s="162"/>
      <c r="AP198" s="162"/>
      <c r="AQ198" s="162"/>
      <c r="AR198" s="162"/>
      <c r="AS198" s="162"/>
      <c r="AT198" s="162"/>
      <c r="AU198" s="162"/>
      <c r="AV198" s="162"/>
      <c r="AW198" s="162"/>
      <c r="AX198" s="162"/>
      <c r="AY198" s="162"/>
      <c r="AZ198" s="162"/>
      <c r="BA198" s="162"/>
      <c r="BB198" s="162"/>
      <c r="BC198" s="162"/>
      <c r="BD198" s="162"/>
      <c r="BE198" s="162"/>
      <c r="BF198" s="162"/>
      <c r="BG198" s="162"/>
      <c r="BH198" s="162"/>
      <c r="BI198" s="162"/>
      <c r="BJ198" s="162"/>
      <c r="BK198" s="162"/>
      <c r="BL198" s="162"/>
    </row>
    <row r="199" spans="1:64" ht="15.75">
      <c r="A199" s="159"/>
      <c r="B199" s="342" t="s">
        <v>740</v>
      </c>
      <c r="C199" s="340"/>
      <c r="D199" s="340"/>
      <c r="E199" s="340"/>
      <c r="F199" s="340"/>
      <c r="G199" s="340"/>
      <c r="H199" s="340"/>
      <c r="I199" s="340"/>
      <c r="J199" s="168"/>
      <c r="K199" s="168"/>
      <c r="L199" s="202"/>
      <c r="M199" s="182"/>
      <c r="N199" s="181"/>
      <c r="O199" s="203"/>
      <c r="P199" s="206"/>
      <c r="Q199" s="203"/>
      <c r="R199" s="181"/>
      <c r="S199" s="181"/>
      <c r="T199" s="181"/>
      <c r="U199" s="162"/>
      <c r="V199" s="162"/>
      <c r="W199" s="162"/>
      <c r="X199" s="162"/>
      <c r="Y199" s="162"/>
      <c r="Z199" s="162"/>
      <c r="AA199" s="162"/>
      <c r="AB199" s="162"/>
      <c r="AC199" s="162"/>
      <c r="AD199" s="162"/>
      <c r="AE199" s="162"/>
      <c r="AF199" s="162"/>
      <c r="AG199" s="162"/>
      <c r="AH199" s="162"/>
      <c r="AI199" s="162"/>
      <c r="AJ199" s="162"/>
      <c r="AK199" s="162"/>
      <c r="AL199" s="162"/>
      <c r="AM199" s="162"/>
      <c r="AN199" s="162"/>
      <c r="AO199" s="162"/>
      <c r="AP199" s="162"/>
      <c r="AQ199" s="162"/>
      <c r="AR199" s="162"/>
      <c r="AS199" s="162"/>
      <c r="AT199" s="162"/>
      <c r="AU199" s="162"/>
      <c r="AV199" s="162"/>
      <c r="AW199" s="162"/>
      <c r="AX199" s="162"/>
      <c r="AY199" s="162"/>
      <c r="AZ199" s="162"/>
      <c r="BA199" s="162"/>
      <c r="BB199" s="162"/>
      <c r="BC199" s="162"/>
      <c r="BD199" s="162"/>
      <c r="BE199" s="162"/>
      <c r="BF199" s="162"/>
      <c r="BG199" s="162"/>
      <c r="BH199" s="162"/>
      <c r="BI199" s="162"/>
      <c r="BJ199" s="162"/>
      <c r="BK199" s="162"/>
      <c r="BL199" s="162"/>
    </row>
    <row r="200" spans="1:64" ht="16.5" thickBot="1">
      <c r="A200" s="159"/>
      <c r="B200" s="342" t="s">
        <v>741</v>
      </c>
      <c r="C200" s="340"/>
      <c r="D200" s="344">
        <v>0</v>
      </c>
      <c r="E200" s="343"/>
      <c r="F200" s="343"/>
      <c r="G200" s="343"/>
      <c r="H200" s="343"/>
      <c r="I200" s="344">
        <v>0</v>
      </c>
      <c r="J200" s="168"/>
      <c r="K200" s="168"/>
      <c r="L200" s="202"/>
      <c r="M200" s="182"/>
      <c r="N200" s="181"/>
      <c r="O200" s="203"/>
      <c r="P200" s="206"/>
      <c r="Q200" s="203"/>
      <c r="R200" s="181"/>
      <c r="S200" s="181"/>
      <c r="T200" s="181"/>
      <c r="U200" s="162"/>
      <c r="V200" s="162"/>
      <c r="W200" s="162"/>
      <c r="X200" s="162"/>
      <c r="Y200" s="162"/>
      <c r="Z200" s="162"/>
      <c r="AA200" s="162"/>
      <c r="AB200" s="162"/>
      <c r="AC200" s="162"/>
      <c r="AD200" s="162"/>
      <c r="AE200" s="162"/>
      <c r="AF200" s="162"/>
      <c r="AG200" s="162"/>
      <c r="AH200" s="162"/>
      <c r="AI200" s="162"/>
      <c r="AJ200" s="162"/>
      <c r="AK200" s="162"/>
      <c r="AL200" s="162"/>
      <c r="AM200" s="162"/>
      <c r="AN200" s="162"/>
      <c r="AO200" s="162"/>
      <c r="AP200" s="162"/>
      <c r="AQ200" s="162"/>
      <c r="AR200" s="162"/>
      <c r="AS200" s="162"/>
      <c r="AT200" s="162"/>
      <c r="AU200" s="162"/>
      <c r="AV200" s="162"/>
      <c r="AW200" s="162"/>
      <c r="AX200" s="162"/>
      <c r="AY200" s="162"/>
      <c r="AZ200" s="162"/>
      <c r="BA200" s="162"/>
      <c r="BB200" s="162"/>
      <c r="BC200" s="162"/>
      <c r="BD200" s="162"/>
      <c r="BE200" s="162"/>
      <c r="BF200" s="162"/>
      <c r="BG200" s="162"/>
      <c r="BH200" s="162"/>
      <c r="BI200" s="162"/>
      <c r="BJ200" s="162"/>
      <c r="BK200" s="162"/>
      <c r="BL200" s="162"/>
    </row>
    <row r="201" spans="1:64" ht="15.75" thickBot="1">
      <c r="A201" s="159">
        <v>31</v>
      </c>
      <c r="B201" s="301" t="s">
        <v>626</v>
      </c>
      <c r="C201" s="301"/>
      <c r="D201" s="158">
        <f>D192-D195-D200</f>
        <v>1136848.8075187474</v>
      </c>
      <c r="E201" s="141"/>
      <c r="F201" s="141"/>
      <c r="G201" s="141"/>
      <c r="H201" s="141"/>
      <c r="I201" s="158">
        <f>I192-I195-I200</f>
        <v>67022.331427092955</v>
      </c>
      <c r="J201" s="168"/>
      <c r="K201" s="168"/>
      <c r="L201" s="202"/>
      <c r="M201" s="182"/>
      <c r="N201" s="181"/>
      <c r="O201" s="203"/>
      <c r="P201" s="206"/>
      <c r="Q201" s="203"/>
      <c r="R201" s="181"/>
      <c r="S201" s="181"/>
      <c r="T201" s="181"/>
      <c r="U201" s="162"/>
      <c r="V201" s="162"/>
      <c r="W201" s="162"/>
      <c r="X201" s="162"/>
      <c r="Y201" s="162"/>
      <c r="Z201" s="162"/>
      <c r="AA201" s="162"/>
      <c r="AB201" s="162"/>
      <c r="AC201" s="162"/>
      <c r="AD201" s="162"/>
      <c r="AE201" s="162"/>
      <c r="AF201" s="162"/>
      <c r="AG201" s="162"/>
      <c r="AH201" s="162"/>
      <c r="AI201" s="162"/>
      <c r="AJ201" s="162"/>
      <c r="AK201" s="162"/>
      <c r="AL201" s="162"/>
      <c r="AM201" s="162"/>
      <c r="AN201" s="162"/>
      <c r="AO201" s="162"/>
      <c r="AP201" s="162"/>
      <c r="AQ201" s="162"/>
      <c r="AR201" s="162"/>
      <c r="AS201" s="162"/>
      <c r="AT201" s="162"/>
      <c r="AU201" s="162"/>
      <c r="AV201" s="162"/>
      <c r="AW201" s="162"/>
      <c r="AX201" s="162"/>
      <c r="AY201" s="162"/>
      <c r="AZ201" s="162"/>
      <c r="BA201" s="162"/>
      <c r="BB201" s="162"/>
      <c r="BC201" s="162"/>
      <c r="BD201" s="162"/>
      <c r="BE201" s="162"/>
      <c r="BF201" s="162"/>
      <c r="BG201" s="162"/>
      <c r="BH201" s="162"/>
      <c r="BI201" s="162"/>
      <c r="BJ201" s="162"/>
      <c r="BK201" s="162"/>
      <c r="BL201" s="162"/>
    </row>
    <row r="202" spans="1:64" ht="15.75" thickTop="1">
      <c r="A202" s="159"/>
      <c r="B202" s="301" t="s">
        <v>627</v>
      </c>
      <c r="C202" s="301"/>
      <c r="D202" s="141"/>
      <c r="E202" s="141"/>
      <c r="F202" s="141"/>
      <c r="G202" s="141"/>
      <c r="H202" s="141"/>
      <c r="I202" s="141"/>
      <c r="J202" s="168"/>
      <c r="K202" s="168"/>
      <c r="L202" s="202"/>
      <c r="M202" s="182"/>
      <c r="N202" s="181"/>
      <c r="O202" s="203"/>
      <c r="P202" s="206"/>
      <c r="Q202" s="203"/>
      <c r="R202" s="181"/>
      <c r="S202" s="181"/>
      <c r="T202" s="181"/>
      <c r="U202" s="162"/>
      <c r="V202" s="162"/>
      <c r="W202" s="162"/>
      <c r="X202" s="162"/>
      <c r="Y202" s="162"/>
      <c r="Z202" s="162"/>
      <c r="AA202" s="162"/>
      <c r="AB202" s="162"/>
      <c r="AC202" s="162"/>
      <c r="AD202" s="162"/>
      <c r="AE202" s="162"/>
      <c r="AF202" s="162"/>
      <c r="AG202" s="162"/>
      <c r="AH202" s="162"/>
      <c r="AI202" s="162"/>
      <c r="AJ202" s="162"/>
      <c r="AK202" s="162"/>
      <c r="AL202" s="162"/>
      <c r="AM202" s="162"/>
      <c r="AN202" s="162"/>
      <c r="AO202" s="162"/>
      <c r="AP202" s="162"/>
      <c r="AQ202" s="162"/>
      <c r="AR202" s="162"/>
      <c r="AS202" s="162"/>
      <c r="AT202" s="162"/>
      <c r="AU202" s="162"/>
      <c r="AV202" s="162"/>
      <c r="AW202" s="162"/>
      <c r="AX202" s="162"/>
      <c r="AY202" s="162"/>
      <c r="AZ202" s="162"/>
      <c r="BA202" s="162"/>
      <c r="BB202" s="162"/>
      <c r="BC202" s="162"/>
      <c r="BD202" s="162"/>
      <c r="BE202" s="162"/>
      <c r="BF202" s="162"/>
      <c r="BG202" s="162"/>
      <c r="BH202" s="162"/>
      <c r="BI202" s="162"/>
      <c r="BJ202" s="162"/>
      <c r="BK202" s="162"/>
      <c r="BL202" s="162"/>
    </row>
    <row r="203" spans="1:64" ht="15">
      <c r="A203" s="159"/>
      <c r="B203" s="301"/>
      <c r="C203" s="301"/>
      <c r="D203" s="141"/>
      <c r="E203" s="141"/>
      <c r="F203" s="141"/>
      <c r="G203" s="141"/>
      <c r="H203" s="141"/>
      <c r="I203" s="141"/>
      <c r="J203" s="168"/>
      <c r="K203" s="168"/>
      <c r="L203" s="202"/>
      <c r="M203" s="182"/>
      <c r="N203" s="181"/>
      <c r="O203" s="203"/>
      <c r="P203" s="206"/>
      <c r="Q203" s="203"/>
      <c r="R203" s="181"/>
      <c r="S203" s="181"/>
      <c r="T203" s="181"/>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2"/>
      <c r="BC203" s="162"/>
      <c r="BD203" s="162"/>
      <c r="BE203" s="162"/>
      <c r="BF203" s="162"/>
      <c r="BG203" s="162"/>
      <c r="BH203" s="162"/>
      <c r="BI203" s="162"/>
      <c r="BJ203" s="162"/>
      <c r="BK203" s="162"/>
      <c r="BL203" s="162"/>
    </row>
    <row r="204" spans="1:64" ht="15">
      <c r="A204" s="159"/>
      <c r="B204" s="301"/>
      <c r="C204" s="301"/>
      <c r="D204" s="141"/>
      <c r="E204" s="141"/>
      <c r="F204" s="141"/>
      <c r="G204" s="141"/>
      <c r="H204" s="141"/>
      <c r="I204" s="141"/>
      <c r="J204" s="168"/>
      <c r="K204" s="168"/>
      <c r="L204" s="202"/>
      <c r="M204" s="182"/>
      <c r="N204" s="181"/>
      <c r="O204" s="203"/>
      <c r="P204" s="206"/>
      <c r="Q204" s="203"/>
      <c r="R204" s="181"/>
      <c r="S204" s="181"/>
      <c r="T204" s="181"/>
      <c r="U204" s="162"/>
      <c r="V204" s="162"/>
      <c r="W204" s="162"/>
      <c r="X204" s="162"/>
      <c r="Y204" s="162"/>
      <c r="Z204" s="162"/>
      <c r="AA204" s="162"/>
      <c r="AB204" s="162"/>
      <c r="AC204" s="162"/>
      <c r="AD204" s="162"/>
      <c r="AE204" s="162"/>
      <c r="AF204" s="162"/>
      <c r="AG204" s="162"/>
      <c r="AH204" s="162"/>
      <c r="AI204" s="162"/>
      <c r="AJ204" s="162"/>
      <c r="AK204" s="162"/>
      <c r="AL204" s="162"/>
      <c r="AM204" s="162"/>
      <c r="AN204" s="162"/>
      <c r="AO204" s="162"/>
      <c r="AP204" s="162"/>
      <c r="AQ204" s="162"/>
      <c r="AR204" s="162"/>
      <c r="AS204" s="162"/>
      <c r="AT204" s="162"/>
      <c r="AU204" s="162"/>
      <c r="AV204" s="162"/>
      <c r="AW204" s="162"/>
      <c r="AX204" s="162"/>
      <c r="AY204" s="162"/>
      <c r="AZ204" s="162"/>
      <c r="BA204" s="162"/>
      <c r="BB204" s="162"/>
      <c r="BC204" s="162"/>
      <c r="BD204" s="162"/>
      <c r="BE204" s="162"/>
      <c r="BF204" s="162"/>
      <c r="BG204" s="162"/>
      <c r="BH204" s="162"/>
      <c r="BI204" s="162"/>
      <c r="BJ204" s="162"/>
      <c r="BK204" s="162"/>
      <c r="BL204" s="162"/>
    </row>
    <row r="205" spans="1:64" s="386" customFormat="1" ht="15">
      <c r="A205" s="411"/>
      <c r="B205" s="412"/>
      <c r="C205" s="412"/>
      <c r="D205" s="403"/>
      <c r="E205" s="403"/>
      <c r="F205" s="403"/>
      <c r="G205" s="403"/>
      <c r="H205" s="328" t="str">
        <f>H138</f>
        <v>Attachment O-EIA Non-Levelized Generic</v>
      </c>
      <c r="I205" s="403"/>
      <c r="J205" s="393"/>
      <c r="K205" s="393"/>
      <c r="L205" s="406"/>
      <c r="M205" s="401"/>
      <c r="N205" s="400"/>
      <c r="O205" s="407"/>
      <c r="P205" s="409"/>
      <c r="Q205" s="407"/>
      <c r="R205" s="400"/>
      <c r="S205" s="400"/>
      <c r="T205" s="400"/>
      <c r="U205" s="388"/>
      <c r="V205" s="388"/>
      <c r="W205" s="388"/>
      <c r="X205" s="388"/>
      <c r="Y205" s="388"/>
      <c r="Z205" s="388"/>
      <c r="AA205" s="388"/>
      <c r="AB205" s="388"/>
      <c r="AC205" s="388"/>
      <c r="AD205" s="388"/>
      <c r="AE205" s="388"/>
      <c r="AF205" s="388"/>
      <c r="AG205" s="388"/>
      <c r="AH205" s="388"/>
      <c r="AI205" s="388"/>
      <c r="AJ205" s="388"/>
      <c r="AK205" s="388"/>
      <c r="AL205" s="388"/>
      <c r="AM205" s="388"/>
      <c r="AN205" s="388"/>
      <c r="AO205" s="388"/>
      <c r="AP205" s="388"/>
      <c r="AQ205" s="388"/>
      <c r="AR205" s="388"/>
      <c r="AS205" s="388"/>
      <c r="AT205" s="388"/>
      <c r="AU205" s="388"/>
      <c r="AV205" s="388"/>
      <c r="AW205" s="388"/>
      <c r="AX205" s="388"/>
      <c r="AY205" s="388"/>
      <c r="AZ205" s="388"/>
      <c r="BA205" s="388"/>
      <c r="BB205" s="388"/>
      <c r="BC205" s="388"/>
      <c r="BD205" s="388"/>
      <c r="BE205" s="388"/>
      <c r="BF205" s="388"/>
      <c r="BG205" s="388"/>
      <c r="BH205" s="388"/>
      <c r="BI205" s="388"/>
      <c r="BJ205" s="388"/>
      <c r="BK205" s="388"/>
      <c r="BL205" s="388"/>
    </row>
    <row r="206" spans="1:64" ht="15">
      <c r="B206" s="163"/>
      <c r="C206" s="163"/>
      <c r="D206" s="165"/>
      <c r="E206" s="163"/>
      <c r="F206" s="163"/>
      <c r="G206" s="163"/>
      <c r="H206" s="164"/>
      <c r="I206" s="164"/>
      <c r="J206" s="164"/>
      <c r="K206" s="654" t="s">
        <v>413</v>
      </c>
      <c r="L206" s="654"/>
      <c r="M206" s="201"/>
      <c r="N206" s="181"/>
      <c r="O206" s="182"/>
      <c r="P206" s="182"/>
      <c r="Q206" s="182"/>
      <c r="R206" s="181"/>
      <c r="S206" s="181"/>
      <c r="T206" s="181"/>
      <c r="U206" s="162"/>
      <c r="V206" s="162"/>
      <c r="W206" s="162"/>
      <c r="X206" s="162"/>
      <c r="Y206" s="162"/>
      <c r="Z206" s="162"/>
      <c r="AA206" s="162"/>
      <c r="AB206" s="162"/>
      <c r="AC206" s="162"/>
      <c r="AD206" s="162"/>
      <c r="AE206" s="162"/>
      <c r="AF206" s="162"/>
      <c r="AG206" s="162"/>
      <c r="AH206" s="162"/>
      <c r="AI206" s="162"/>
      <c r="AJ206" s="162"/>
      <c r="AK206" s="162"/>
      <c r="AL206" s="162"/>
      <c r="AM206" s="162"/>
      <c r="AN206" s="162"/>
      <c r="AO206" s="162"/>
      <c r="AP206" s="162"/>
      <c r="AQ206" s="162"/>
      <c r="AR206" s="162"/>
      <c r="AS206" s="162"/>
      <c r="AT206" s="162"/>
      <c r="AU206" s="162"/>
      <c r="AV206" s="162"/>
      <c r="AW206" s="162"/>
      <c r="AX206" s="162"/>
      <c r="AY206" s="162"/>
      <c r="AZ206" s="162"/>
      <c r="BA206" s="162"/>
      <c r="BB206" s="162"/>
      <c r="BC206" s="162"/>
      <c r="BD206" s="162"/>
      <c r="BE206" s="162"/>
      <c r="BF206" s="162"/>
      <c r="BG206" s="162"/>
      <c r="BH206" s="162"/>
      <c r="BI206" s="162"/>
      <c r="BJ206" s="162"/>
      <c r="BK206" s="162"/>
      <c r="BL206" s="162"/>
    </row>
    <row r="207" spans="1:64" ht="15">
      <c r="A207" s="169"/>
      <c r="B207" s="141"/>
      <c r="C207" s="141"/>
      <c r="D207" s="141"/>
      <c r="E207" s="141"/>
      <c r="F207" s="141"/>
      <c r="G207" s="141"/>
      <c r="H207" s="141"/>
      <c r="I207" s="141"/>
      <c r="J207" s="168"/>
      <c r="K207" s="168"/>
      <c r="L207" s="202"/>
      <c r="M207" s="201"/>
      <c r="N207" s="181"/>
      <c r="O207" s="203"/>
      <c r="P207" s="206"/>
      <c r="Q207" s="203"/>
      <c r="R207" s="181"/>
      <c r="S207" s="181"/>
      <c r="T207" s="181"/>
      <c r="U207" s="162"/>
      <c r="V207" s="162"/>
      <c r="W207" s="162"/>
      <c r="X207" s="162"/>
      <c r="Y207" s="162"/>
      <c r="Z207" s="162"/>
      <c r="AA207" s="162"/>
      <c r="AB207" s="162"/>
      <c r="AC207" s="162"/>
      <c r="AD207" s="162"/>
      <c r="AE207" s="162"/>
      <c r="AF207" s="162"/>
      <c r="AG207" s="162"/>
      <c r="AH207" s="162"/>
      <c r="AI207" s="162"/>
      <c r="AJ207" s="162"/>
      <c r="AK207" s="162"/>
      <c r="AL207" s="162"/>
      <c r="AM207" s="162"/>
      <c r="AN207" s="162"/>
      <c r="AO207" s="162"/>
      <c r="AP207" s="162"/>
      <c r="AQ207" s="162"/>
      <c r="AR207" s="162"/>
      <c r="AS207" s="162"/>
      <c r="AT207" s="162"/>
      <c r="AU207" s="162"/>
      <c r="AV207" s="162"/>
      <c r="AW207" s="162"/>
      <c r="AX207" s="162"/>
      <c r="AY207" s="162"/>
      <c r="AZ207" s="162"/>
      <c r="BA207" s="162"/>
      <c r="BB207" s="162"/>
      <c r="BC207" s="162"/>
      <c r="BD207" s="162"/>
      <c r="BE207" s="162"/>
      <c r="BF207" s="162"/>
      <c r="BG207" s="162"/>
      <c r="BH207" s="162"/>
      <c r="BI207" s="162"/>
      <c r="BJ207" s="162"/>
      <c r="BK207" s="162"/>
      <c r="BL207" s="162"/>
    </row>
    <row r="208" spans="1:64" ht="15">
      <c r="A208" s="169"/>
      <c r="B208" s="163" t="str">
        <f>B4</f>
        <v xml:space="preserve">Formula Rate - Non-Levelized </v>
      </c>
      <c r="C208" s="141"/>
      <c r="D208" s="141" t="str">
        <f>D4</f>
        <v xml:space="preserve">   Rate Formula Template</v>
      </c>
      <c r="E208" s="141"/>
      <c r="F208" s="141"/>
      <c r="G208" s="141"/>
      <c r="H208" s="141"/>
      <c r="I208" s="141" t="str">
        <f>I4</f>
        <v>For the 12 months ended 12/31/14</v>
      </c>
      <c r="J208" s="168"/>
      <c r="K208" s="168"/>
      <c r="L208" s="202"/>
      <c r="M208" s="201"/>
      <c r="N208" s="181"/>
      <c r="O208" s="203"/>
      <c r="P208" s="203"/>
      <c r="Q208" s="201"/>
      <c r="R208" s="181"/>
      <c r="S208" s="181"/>
      <c r="T208" s="181"/>
      <c r="U208" s="162"/>
      <c r="V208" s="162"/>
      <c r="W208" s="162"/>
      <c r="X208" s="162"/>
      <c r="Y208" s="162"/>
      <c r="Z208" s="162"/>
      <c r="AA208" s="162"/>
      <c r="AB208" s="162"/>
      <c r="AC208" s="162"/>
      <c r="AD208" s="162"/>
      <c r="AE208" s="162"/>
      <c r="AF208" s="162"/>
      <c r="AG208" s="162"/>
      <c r="AH208" s="162"/>
      <c r="AI208" s="162"/>
      <c r="AJ208" s="162"/>
      <c r="AK208" s="162"/>
      <c r="AL208" s="162"/>
      <c r="AM208" s="162"/>
      <c r="AN208" s="162"/>
      <c r="AO208" s="162"/>
      <c r="AP208" s="162"/>
      <c r="AQ208" s="162"/>
      <c r="AR208" s="162"/>
      <c r="AS208" s="162"/>
      <c r="AT208" s="162"/>
      <c r="AU208" s="162"/>
      <c r="AV208" s="162"/>
      <c r="AW208" s="162"/>
      <c r="AX208" s="162"/>
      <c r="AY208" s="162"/>
      <c r="AZ208" s="162"/>
      <c r="BA208" s="162"/>
      <c r="BB208" s="162"/>
      <c r="BC208" s="162"/>
      <c r="BD208" s="162"/>
      <c r="BE208" s="162"/>
      <c r="BF208" s="162"/>
      <c r="BG208" s="162"/>
      <c r="BH208" s="162"/>
      <c r="BI208" s="162"/>
      <c r="BJ208" s="162"/>
      <c r="BK208" s="162"/>
      <c r="BL208" s="162"/>
    </row>
    <row r="209" spans="1:64" ht="15">
      <c r="A209" s="169"/>
      <c r="B209" s="163"/>
      <c r="C209" s="141"/>
      <c r="D209" s="141" t="str">
        <f>D5</f>
        <v>Utilizing EIA 412 Form Data</v>
      </c>
      <c r="E209" s="141"/>
      <c r="F209" s="141"/>
      <c r="G209" s="141"/>
      <c r="H209" s="141"/>
      <c r="I209" s="141"/>
      <c r="J209" s="168"/>
      <c r="K209" s="168"/>
      <c r="L209" s="202"/>
      <c r="M209" s="201"/>
      <c r="N209" s="181"/>
      <c r="O209" s="203"/>
      <c r="P209" s="203"/>
      <c r="Q209" s="201"/>
      <c r="R209" s="181"/>
      <c r="S209" s="181"/>
      <c r="T209" s="181"/>
      <c r="U209" s="162"/>
      <c r="V209" s="162"/>
      <c r="W209" s="162"/>
      <c r="X209" s="162"/>
      <c r="Y209" s="162"/>
      <c r="Z209" s="162"/>
      <c r="AA209" s="162"/>
      <c r="AB209" s="162"/>
      <c r="AC209" s="162"/>
      <c r="AD209" s="162"/>
      <c r="AE209" s="162"/>
      <c r="AF209" s="162"/>
      <c r="AG209" s="162"/>
      <c r="AH209" s="162"/>
      <c r="AI209" s="162"/>
      <c r="AJ209" s="162"/>
      <c r="AK209" s="162"/>
      <c r="AL209" s="162"/>
      <c r="AM209" s="162"/>
      <c r="AN209" s="162"/>
      <c r="AO209" s="162"/>
      <c r="AP209" s="162"/>
      <c r="AQ209" s="162"/>
      <c r="AR209" s="162"/>
      <c r="AS209" s="162"/>
      <c r="AT209" s="162"/>
      <c r="AU209" s="162"/>
      <c r="AV209" s="162"/>
      <c r="AW209" s="162"/>
      <c r="AX209" s="162"/>
      <c r="AY209" s="162"/>
      <c r="AZ209" s="162"/>
      <c r="BA209" s="162"/>
      <c r="BB209" s="162"/>
      <c r="BC209" s="162"/>
      <c r="BD209" s="162"/>
      <c r="BE209" s="162"/>
      <c r="BF209" s="162"/>
      <c r="BG209" s="162"/>
      <c r="BH209" s="162"/>
      <c r="BI209" s="162"/>
      <c r="BJ209" s="162"/>
      <c r="BK209" s="162"/>
      <c r="BL209" s="162"/>
    </row>
    <row r="210" spans="1:64" ht="15">
      <c r="A210" s="169"/>
      <c r="B210" s="141"/>
      <c r="C210" s="141"/>
      <c r="D210" s="141"/>
      <c r="E210" s="141"/>
      <c r="F210" s="141"/>
      <c r="G210" s="141"/>
      <c r="H210" s="141"/>
      <c r="I210" s="141"/>
      <c r="J210" s="168"/>
      <c r="K210" s="168"/>
      <c r="L210" s="202"/>
      <c r="M210" s="201"/>
      <c r="N210" s="181"/>
      <c r="O210" s="203"/>
      <c r="P210" s="203"/>
      <c r="Q210" s="201"/>
      <c r="R210" s="181"/>
      <c r="S210" s="181"/>
      <c r="T210" s="181"/>
      <c r="U210" s="162"/>
      <c r="V210" s="162"/>
      <c r="W210" s="162"/>
      <c r="X210" s="162"/>
      <c r="Y210" s="162"/>
      <c r="Z210" s="162"/>
      <c r="AA210" s="162"/>
      <c r="AB210" s="162"/>
      <c r="AC210" s="162"/>
      <c r="AD210" s="162"/>
      <c r="AE210" s="162"/>
      <c r="AF210" s="162"/>
      <c r="AG210" s="162"/>
      <c r="AH210" s="162"/>
      <c r="AI210" s="162"/>
      <c r="AJ210" s="162"/>
      <c r="AK210" s="162"/>
      <c r="AL210" s="162"/>
      <c r="AM210" s="162"/>
      <c r="AN210" s="162"/>
      <c r="AO210" s="162"/>
      <c r="AP210" s="162"/>
      <c r="AQ210" s="162"/>
      <c r="AR210" s="162"/>
      <c r="AS210" s="162"/>
      <c r="AT210" s="162"/>
      <c r="AU210" s="162"/>
      <c r="AV210" s="162"/>
      <c r="AW210" s="162"/>
      <c r="AX210" s="162"/>
      <c r="AY210" s="162"/>
      <c r="AZ210" s="162"/>
      <c r="BA210" s="162"/>
      <c r="BB210" s="162"/>
      <c r="BC210" s="162"/>
      <c r="BD210" s="162"/>
      <c r="BE210" s="162"/>
      <c r="BF210" s="162"/>
      <c r="BG210" s="162"/>
      <c r="BH210" s="162"/>
      <c r="BI210" s="162"/>
      <c r="BJ210" s="162"/>
      <c r="BK210" s="162"/>
      <c r="BL210" s="162"/>
    </row>
    <row r="211" spans="1:64" ht="15">
      <c r="A211" s="169"/>
      <c r="C211" s="141"/>
      <c r="D211" s="141" t="str">
        <f>D7</f>
        <v>Windom</v>
      </c>
      <c r="E211" s="141"/>
      <c r="F211" s="141"/>
      <c r="G211" s="141"/>
      <c r="H211" s="141"/>
      <c r="I211" s="141"/>
      <c r="J211" s="168"/>
      <c r="K211" s="168"/>
      <c r="L211" s="202"/>
      <c r="M211" s="201"/>
      <c r="N211" s="181"/>
      <c r="O211" s="203"/>
      <c r="P211" s="203"/>
      <c r="Q211" s="201"/>
      <c r="R211" s="181"/>
      <c r="S211" s="181"/>
      <c r="T211" s="181"/>
      <c r="U211" s="162"/>
      <c r="V211" s="162"/>
      <c r="W211" s="162"/>
      <c r="X211" s="162"/>
      <c r="Y211" s="162"/>
      <c r="Z211" s="162"/>
      <c r="AA211" s="162"/>
      <c r="AB211" s="162"/>
      <c r="AC211" s="162"/>
      <c r="AD211" s="162"/>
      <c r="AE211" s="162"/>
      <c r="AF211" s="162"/>
      <c r="AG211" s="162"/>
      <c r="AH211" s="162"/>
      <c r="AI211" s="162"/>
      <c r="AJ211" s="162"/>
      <c r="AK211" s="162"/>
      <c r="AL211" s="162"/>
      <c r="AM211" s="162"/>
      <c r="AN211" s="162"/>
      <c r="AO211" s="162"/>
      <c r="AP211" s="162"/>
      <c r="AQ211" s="162"/>
      <c r="AR211" s="162"/>
      <c r="AS211" s="162"/>
      <c r="AT211" s="162"/>
      <c r="AU211" s="162"/>
      <c r="AV211" s="162"/>
      <c r="AW211" s="162"/>
      <c r="AX211" s="162"/>
      <c r="AY211" s="162"/>
      <c r="AZ211" s="162"/>
      <c r="BA211" s="162"/>
      <c r="BB211" s="162"/>
      <c r="BC211" s="162"/>
      <c r="BD211" s="162"/>
      <c r="BE211" s="162"/>
      <c r="BF211" s="162"/>
      <c r="BG211" s="162"/>
      <c r="BH211" s="162"/>
      <c r="BI211" s="162"/>
      <c r="BJ211" s="162"/>
      <c r="BK211" s="162"/>
      <c r="BL211" s="162"/>
    </row>
    <row r="212" spans="1:64" ht="15.75">
      <c r="A212" s="169" t="s">
        <v>3</v>
      </c>
      <c r="C212" s="163" t="s">
        <v>154</v>
      </c>
      <c r="D212" s="163"/>
      <c r="E212" s="163"/>
      <c r="F212" s="163"/>
      <c r="G212" s="163"/>
      <c r="H212" s="163"/>
      <c r="I212" s="163"/>
      <c r="J212" s="163"/>
      <c r="K212" s="163"/>
      <c r="L212" s="200"/>
      <c r="M212" s="239"/>
      <c r="N212" s="181"/>
      <c r="O212" s="201"/>
      <c r="P212" s="201"/>
      <c r="Q212" s="201"/>
      <c r="R212" s="181"/>
      <c r="S212" s="181"/>
      <c r="T212" s="181"/>
      <c r="U212" s="162"/>
      <c r="V212" s="162"/>
      <c r="W212" s="162"/>
      <c r="X212" s="162"/>
      <c r="Y212" s="162"/>
      <c r="Z212" s="162"/>
      <c r="AA212" s="162"/>
      <c r="AB212" s="162"/>
      <c r="AC212" s="162"/>
      <c r="AD212" s="162"/>
      <c r="AE212" s="162"/>
      <c r="AF212" s="162"/>
      <c r="AG212" s="162"/>
      <c r="AH212" s="162"/>
      <c r="AI212" s="162"/>
      <c r="AJ212" s="162"/>
      <c r="AK212" s="162"/>
      <c r="AL212" s="162"/>
      <c r="AM212" s="162"/>
      <c r="AN212" s="162"/>
      <c r="AO212" s="162"/>
      <c r="AP212" s="162"/>
      <c r="AQ212" s="162"/>
      <c r="AR212" s="162"/>
      <c r="AS212" s="162"/>
      <c r="AT212" s="162"/>
      <c r="AU212" s="162"/>
      <c r="AV212" s="162"/>
      <c r="AW212" s="162"/>
      <c r="AX212" s="162"/>
      <c r="AY212" s="162"/>
      <c r="AZ212" s="162"/>
      <c r="BA212" s="162"/>
      <c r="BB212" s="162"/>
      <c r="BC212" s="162"/>
      <c r="BD212" s="162"/>
      <c r="BE212" s="162"/>
      <c r="BF212" s="162"/>
      <c r="BG212" s="162"/>
      <c r="BH212" s="162"/>
      <c r="BI212" s="162"/>
      <c r="BJ212" s="162"/>
      <c r="BK212" s="162"/>
      <c r="BL212" s="162"/>
    </row>
    <row r="213" spans="1:64" ht="16.5" thickBot="1">
      <c r="A213" s="173" t="s">
        <v>4</v>
      </c>
      <c r="B213" s="141"/>
      <c r="C213" s="212" t="s">
        <v>414</v>
      </c>
      <c r="E213" s="164"/>
      <c r="F213" s="164"/>
      <c r="G213" s="164"/>
      <c r="H213" s="164"/>
      <c r="I213" s="164"/>
      <c r="J213" s="168"/>
      <c r="K213" s="168"/>
      <c r="L213" s="202"/>
      <c r="M213" s="239"/>
      <c r="N213" s="181"/>
      <c r="O213" s="182"/>
      <c r="P213" s="203"/>
      <c r="Q213" s="201"/>
      <c r="R213" s="181"/>
      <c r="S213" s="181"/>
      <c r="T213" s="181"/>
      <c r="U213" s="162"/>
      <c r="V213" s="162"/>
      <c r="W213" s="162"/>
      <c r="X213" s="162"/>
      <c r="Y213" s="162"/>
      <c r="Z213" s="162"/>
      <c r="AA213" s="162"/>
      <c r="AB213" s="162"/>
      <c r="AC213" s="162"/>
      <c r="AD213" s="162"/>
      <c r="AE213" s="162"/>
      <c r="AF213" s="162"/>
      <c r="AG213" s="162"/>
      <c r="AH213" s="162"/>
      <c r="AI213" s="162"/>
      <c r="AJ213" s="162"/>
      <c r="AK213" s="162"/>
      <c r="AL213" s="162"/>
      <c r="AM213" s="162"/>
      <c r="AN213" s="162"/>
      <c r="AO213" s="162"/>
      <c r="AP213" s="162"/>
      <c r="AQ213" s="162"/>
      <c r="AR213" s="162"/>
      <c r="AS213" s="162"/>
      <c r="AT213" s="162"/>
      <c r="AU213" s="162"/>
      <c r="AV213" s="162"/>
      <c r="AW213" s="162"/>
      <c r="AX213" s="162"/>
      <c r="AY213" s="162"/>
      <c r="AZ213" s="162"/>
      <c r="BA213" s="162"/>
      <c r="BB213" s="162"/>
      <c r="BC213" s="162"/>
      <c r="BD213" s="162"/>
      <c r="BE213" s="162"/>
      <c r="BF213" s="162"/>
      <c r="BG213" s="162"/>
      <c r="BH213" s="162"/>
      <c r="BI213" s="162"/>
      <c r="BJ213" s="162"/>
      <c r="BK213" s="162"/>
      <c r="BL213" s="162"/>
    </row>
    <row r="214" spans="1:64" ht="15">
      <c r="A214" s="169"/>
      <c r="B214" s="163" t="s">
        <v>415</v>
      </c>
      <c r="C214" s="164"/>
      <c r="D214" s="164"/>
      <c r="E214" s="164"/>
      <c r="F214" s="164"/>
      <c r="G214" s="164"/>
      <c r="H214" s="164"/>
      <c r="I214" s="164"/>
      <c r="J214" s="168"/>
      <c r="K214" s="168"/>
      <c r="L214" s="202"/>
      <c r="M214" s="201"/>
      <c r="N214" s="181"/>
      <c r="O214" s="182"/>
      <c r="P214" s="203"/>
      <c r="Q214" s="201"/>
      <c r="R214" s="181"/>
      <c r="S214" s="181"/>
      <c r="T214" s="181"/>
      <c r="U214" s="162"/>
      <c r="V214" s="162"/>
      <c r="W214" s="162"/>
      <c r="X214" s="162"/>
      <c r="Y214" s="162"/>
      <c r="Z214" s="162"/>
      <c r="AA214" s="162"/>
      <c r="AB214" s="162"/>
      <c r="AC214" s="162"/>
      <c r="AD214" s="162"/>
      <c r="AE214" s="162"/>
      <c r="AF214" s="162"/>
      <c r="AG214" s="162"/>
      <c r="AH214" s="162"/>
      <c r="AI214" s="162"/>
      <c r="AJ214" s="162"/>
      <c r="AK214" s="162"/>
      <c r="AL214" s="162"/>
      <c r="AM214" s="162"/>
      <c r="AN214" s="162"/>
      <c r="AO214" s="162"/>
      <c r="AP214" s="162"/>
      <c r="AQ214" s="162"/>
      <c r="AR214" s="162"/>
      <c r="AS214" s="162"/>
      <c r="AT214" s="162"/>
      <c r="AU214" s="162"/>
      <c r="AV214" s="162"/>
      <c r="AW214" s="162"/>
      <c r="AX214" s="162"/>
      <c r="AY214" s="162"/>
      <c r="AZ214" s="162"/>
      <c r="BA214" s="162"/>
      <c r="BB214" s="162"/>
      <c r="BC214" s="162"/>
      <c r="BD214" s="162"/>
      <c r="BE214" s="162"/>
      <c r="BF214" s="162"/>
      <c r="BG214" s="162"/>
      <c r="BH214" s="162"/>
      <c r="BI214" s="162"/>
      <c r="BJ214" s="162"/>
      <c r="BK214" s="162"/>
      <c r="BL214" s="162"/>
    </row>
    <row r="215" spans="1:64" ht="15">
      <c r="A215" s="169">
        <v>1</v>
      </c>
      <c r="B215" s="164" t="s">
        <v>416</v>
      </c>
      <c r="C215" s="164"/>
      <c r="D215" s="168"/>
      <c r="E215" s="168"/>
      <c r="F215" s="168"/>
      <c r="G215" s="168"/>
      <c r="H215" s="168"/>
      <c r="I215" s="168">
        <f>D84</f>
        <v>351712.28</v>
      </c>
      <c r="J215" s="168"/>
      <c r="K215" s="168"/>
      <c r="L215" s="202"/>
      <c r="M215" s="201"/>
      <c r="N215" s="181"/>
      <c r="O215" s="182"/>
      <c r="P215" s="203"/>
      <c r="Q215" s="201"/>
      <c r="R215" s="181"/>
      <c r="S215" s="181"/>
      <c r="T215" s="181"/>
      <c r="U215" s="162"/>
      <c r="V215" s="162"/>
      <c r="W215" s="162"/>
      <c r="X215" s="162"/>
      <c r="Y215" s="162"/>
      <c r="Z215" s="162"/>
      <c r="AA215" s="162"/>
      <c r="AB215" s="162"/>
      <c r="AC215" s="162"/>
      <c r="AD215" s="162"/>
      <c r="AE215" s="162"/>
      <c r="AF215" s="162"/>
      <c r="AG215" s="162"/>
      <c r="AH215" s="162"/>
      <c r="AI215" s="162"/>
      <c r="AJ215" s="162"/>
      <c r="AK215" s="162"/>
      <c r="AL215" s="162"/>
      <c r="AM215" s="162"/>
      <c r="AN215" s="162"/>
      <c r="AO215" s="162"/>
      <c r="AP215" s="162"/>
      <c r="AQ215" s="162"/>
      <c r="AR215" s="162"/>
      <c r="AS215" s="162"/>
      <c r="AT215" s="162"/>
      <c r="AU215" s="162"/>
      <c r="AV215" s="162"/>
      <c r="AW215" s="162"/>
      <c r="AX215" s="162"/>
      <c r="AY215" s="162"/>
      <c r="AZ215" s="162"/>
      <c r="BA215" s="162"/>
      <c r="BB215" s="162"/>
      <c r="BC215" s="162"/>
      <c r="BD215" s="162"/>
      <c r="BE215" s="162"/>
      <c r="BF215" s="162"/>
      <c r="BG215" s="162"/>
      <c r="BH215" s="162"/>
      <c r="BI215" s="162"/>
      <c r="BJ215" s="162"/>
      <c r="BK215" s="162"/>
      <c r="BL215" s="162"/>
    </row>
    <row r="216" spans="1:64" ht="15">
      <c r="A216" s="169">
        <v>2</v>
      </c>
      <c r="B216" s="164" t="s">
        <v>417</v>
      </c>
      <c r="C216" s="141"/>
      <c r="D216" s="141"/>
      <c r="E216" s="141"/>
      <c r="F216" s="141"/>
      <c r="G216" s="141"/>
      <c r="H216" s="141"/>
      <c r="I216" s="217">
        <v>0</v>
      </c>
      <c r="J216" s="168"/>
      <c r="K216" s="168"/>
      <c r="L216" s="202"/>
      <c r="S216" s="181"/>
      <c r="T216" s="181"/>
      <c r="U216" s="162"/>
      <c r="V216" s="162"/>
      <c r="W216" s="162"/>
      <c r="X216" s="162"/>
      <c r="Y216" s="162"/>
      <c r="Z216" s="162"/>
      <c r="AA216" s="162"/>
      <c r="AB216" s="162"/>
      <c r="AC216" s="162"/>
      <c r="AD216" s="162"/>
      <c r="AE216" s="162"/>
      <c r="AF216" s="162"/>
      <c r="AG216" s="162"/>
      <c r="AH216" s="162"/>
      <c r="AI216" s="162"/>
      <c r="AJ216" s="162"/>
      <c r="AK216" s="162"/>
      <c r="AL216" s="162"/>
      <c r="AM216" s="162"/>
      <c r="AN216" s="162"/>
      <c r="AO216" s="162"/>
      <c r="AP216" s="162"/>
      <c r="AQ216" s="162"/>
      <c r="AR216" s="162"/>
      <c r="AS216" s="162"/>
      <c r="AT216" s="162"/>
      <c r="AU216" s="162"/>
      <c r="AV216" s="162"/>
      <c r="AW216" s="162"/>
      <c r="AX216" s="162"/>
      <c r="AY216" s="162"/>
      <c r="AZ216" s="162"/>
      <c r="BA216" s="162"/>
      <c r="BB216" s="162"/>
      <c r="BC216" s="162"/>
      <c r="BD216" s="162"/>
      <c r="BE216" s="162"/>
      <c r="BF216" s="162"/>
      <c r="BG216" s="162"/>
      <c r="BH216" s="162"/>
      <c r="BI216" s="162"/>
      <c r="BJ216" s="162"/>
      <c r="BK216" s="162"/>
      <c r="BL216" s="162"/>
    </row>
    <row r="217" spans="1:64" ht="15.75" thickBot="1">
      <c r="A217" s="169">
        <v>3</v>
      </c>
      <c r="B217" s="240" t="s">
        <v>418</v>
      </c>
      <c r="C217" s="240"/>
      <c r="D217" s="185"/>
      <c r="E217" s="168"/>
      <c r="F217" s="168"/>
      <c r="G217" s="241"/>
      <c r="H217" s="168"/>
      <c r="I217" s="215">
        <v>0</v>
      </c>
      <c r="J217" s="168"/>
      <c r="K217" s="168"/>
      <c r="L217" s="202"/>
      <c r="S217" s="181"/>
      <c r="T217" s="181"/>
      <c r="U217" s="162"/>
      <c r="V217" s="162"/>
      <c r="W217" s="162"/>
      <c r="X217" s="162"/>
      <c r="Y217" s="162"/>
      <c r="Z217" s="162"/>
      <c r="AA217" s="162"/>
      <c r="AB217" s="162"/>
      <c r="AC217" s="162"/>
      <c r="AD217" s="162"/>
      <c r="AE217" s="162"/>
      <c r="AF217" s="162"/>
      <c r="AG217" s="162"/>
      <c r="AH217" s="162"/>
      <c r="AI217" s="162"/>
      <c r="AJ217" s="162"/>
      <c r="AK217" s="162"/>
      <c r="AL217" s="162"/>
      <c r="AM217" s="162"/>
      <c r="AN217" s="162"/>
      <c r="AO217" s="162"/>
      <c r="AP217" s="162"/>
      <c r="AQ217" s="162"/>
      <c r="AR217" s="162"/>
      <c r="AS217" s="162"/>
      <c r="AT217" s="162"/>
      <c r="AU217" s="162"/>
      <c r="AV217" s="162"/>
      <c r="AW217" s="162"/>
      <c r="AX217" s="162"/>
      <c r="AY217" s="162"/>
      <c r="AZ217" s="162"/>
      <c r="BA217" s="162"/>
      <c r="BB217" s="162"/>
      <c r="BC217" s="162"/>
      <c r="BD217" s="162"/>
      <c r="BE217" s="162"/>
      <c r="BF217" s="162"/>
      <c r="BG217" s="162"/>
      <c r="BH217" s="162"/>
      <c r="BI217" s="162"/>
      <c r="BJ217" s="162"/>
      <c r="BK217" s="162"/>
      <c r="BL217" s="162"/>
    </row>
    <row r="218" spans="1:64" ht="15">
      <c r="A218" s="169">
        <v>4</v>
      </c>
      <c r="B218" s="164" t="s">
        <v>419</v>
      </c>
      <c r="C218" s="164"/>
      <c r="D218" s="168"/>
      <c r="E218" s="168"/>
      <c r="F218" s="168"/>
      <c r="G218" s="241"/>
      <c r="H218" s="168"/>
      <c r="I218" s="168">
        <f>I215-I216-I217</f>
        <v>351712.28</v>
      </c>
      <c r="J218" s="168"/>
      <c r="K218" s="168"/>
      <c r="L218" s="202"/>
      <c r="S218" s="181"/>
      <c r="T218" s="181"/>
      <c r="U218" s="162"/>
      <c r="V218" s="162"/>
      <c r="W218" s="162"/>
      <c r="X218" s="162"/>
      <c r="Y218" s="162"/>
      <c r="Z218" s="162"/>
      <c r="AA218" s="162"/>
      <c r="AB218" s="162"/>
      <c r="AC218" s="162"/>
      <c r="AD218" s="162"/>
      <c r="AE218" s="162"/>
      <c r="AF218" s="162"/>
      <c r="AG218" s="162"/>
      <c r="AH218" s="162"/>
      <c r="AI218" s="162"/>
      <c r="AJ218" s="162"/>
      <c r="AK218" s="162"/>
      <c r="AL218" s="162"/>
      <c r="AM218" s="162"/>
      <c r="AN218" s="162"/>
      <c r="AO218" s="162"/>
      <c r="AP218" s="162"/>
      <c r="AQ218" s="162"/>
      <c r="AR218" s="162"/>
      <c r="AS218" s="162"/>
      <c r="AT218" s="162"/>
      <c r="AU218" s="162"/>
      <c r="AV218" s="162"/>
      <c r="AW218" s="162"/>
      <c r="AX218" s="162"/>
      <c r="AY218" s="162"/>
      <c r="AZ218" s="162"/>
      <c r="BA218" s="162"/>
      <c r="BB218" s="162"/>
      <c r="BC218" s="162"/>
      <c r="BD218" s="162"/>
      <c r="BE218" s="162"/>
      <c r="BF218" s="162"/>
      <c r="BG218" s="162"/>
      <c r="BH218" s="162"/>
      <c r="BI218" s="162"/>
      <c r="BJ218" s="162"/>
      <c r="BK218" s="162"/>
      <c r="BL218" s="162"/>
    </row>
    <row r="219" spans="1:64" ht="15">
      <c r="A219" s="169"/>
      <c r="B219" s="141"/>
      <c r="C219" s="164"/>
      <c r="D219" s="168"/>
      <c r="E219" s="168"/>
      <c r="F219" s="168"/>
      <c r="G219" s="241"/>
      <c r="H219" s="168"/>
      <c r="J219" s="168"/>
      <c r="K219" s="168"/>
      <c r="L219" s="202"/>
      <c r="S219" s="181"/>
      <c r="T219" s="181"/>
      <c r="U219" s="162"/>
      <c r="V219" s="162"/>
      <c r="W219" s="162"/>
      <c r="X219" s="162"/>
      <c r="Y219" s="162"/>
      <c r="Z219" s="162"/>
      <c r="AA219" s="162"/>
      <c r="AB219" s="162"/>
      <c r="AC219" s="162"/>
      <c r="AD219" s="162"/>
      <c r="AE219" s="162"/>
      <c r="AF219" s="162"/>
      <c r="AG219" s="162"/>
      <c r="AH219" s="162"/>
      <c r="AI219" s="162"/>
      <c r="AJ219" s="162"/>
      <c r="AK219" s="162"/>
      <c r="AL219" s="162"/>
      <c r="AM219" s="162"/>
      <c r="AN219" s="162"/>
      <c r="AO219" s="162"/>
      <c r="AP219" s="162"/>
      <c r="AQ219" s="162"/>
      <c r="AR219" s="162"/>
      <c r="AS219" s="162"/>
      <c r="AT219" s="162"/>
      <c r="AU219" s="162"/>
      <c r="AV219" s="162"/>
      <c r="AW219" s="162"/>
      <c r="AX219" s="162"/>
      <c r="AY219" s="162"/>
      <c r="AZ219" s="162"/>
      <c r="BA219" s="162"/>
      <c r="BB219" s="162"/>
      <c r="BC219" s="162"/>
      <c r="BD219" s="162"/>
      <c r="BE219" s="162"/>
      <c r="BF219" s="162"/>
      <c r="BG219" s="162"/>
      <c r="BH219" s="162"/>
      <c r="BI219" s="162"/>
      <c r="BJ219" s="162"/>
      <c r="BK219" s="162"/>
      <c r="BL219" s="162"/>
    </row>
    <row r="220" spans="1:64" ht="15.75">
      <c r="A220" s="169">
        <v>5</v>
      </c>
      <c r="B220" s="164" t="s">
        <v>420</v>
      </c>
      <c r="C220" s="171"/>
      <c r="D220" s="242"/>
      <c r="E220" s="242"/>
      <c r="F220" s="242"/>
      <c r="G220" s="205"/>
      <c r="H220" s="168" t="s">
        <v>421</v>
      </c>
      <c r="I220" s="220">
        <f>IF(I215&gt;0,I218/I215,0)</f>
        <v>1</v>
      </c>
      <c r="J220" s="168"/>
      <c r="K220" s="168"/>
      <c r="L220" s="202"/>
      <c r="M220" s="303"/>
      <c r="R220" s="303"/>
      <c r="S220" s="181"/>
      <c r="T220" s="181"/>
      <c r="U220" s="162"/>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2"/>
      <c r="AY220" s="162"/>
      <c r="AZ220" s="162"/>
      <c r="BA220" s="162"/>
      <c r="BB220" s="162"/>
      <c r="BC220" s="162"/>
      <c r="BD220" s="162"/>
      <c r="BE220" s="162"/>
      <c r="BF220" s="162"/>
      <c r="BG220" s="162"/>
      <c r="BH220" s="162"/>
      <c r="BI220" s="162"/>
      <c r="BJ220" s="162"/>
      <c r="BK220" s="162"/>
      <c r="BL220" s="162"/>
    </row>
    <row r="221" spans="1:64" ht="15.75">
      <c r="B221" s="160" t="s">
        <v>154</v>
      </c>
      <c r="J221" s="168"/>
      <c r="K221" s="168"/>
      <c r="L221" s="202"/>
      <c r="N221" s="310" t="s">
        <v>644</v>
      </c>
      <c r="O221" s="303"/>
      <c r="P221" s="303"/>
      <c r="Q221" s="303"/>
      <c r="S221" s="181"/>
      <c r="T221" s="181"/>
      <c r="U221" s="162"/>
      <c r="V221" s="162"/>
      <c r="W221" s="162"/>
      <c r="X221" s="162"/>
      <c r="Y221" s="162"/>
      <c r="Z221" s="162"/>
      <c r="AA221" s="162"/>
      <c r="AB221" s="162"/>
      <c r="AC221" s="162"/>
      <c r="AD221" s="162"/>
      <c r="AE221" s="162"/>
      <c r="AF221" s="162"/>
      <c r="AG221" s="162"/>
      <c r="AH221" s="162"/>
      <c r="AI221" s="162"/>
      <c r="AJ221" s="162"/>
      <c r="AK221" s="162"/>
      <c r="AL221" s="162"/>
      <c r="AM221" s="162"/>
      <c r="AN221" s="162"/>
      <c r="AO221" s="162"/>
      <c r="AP221" s="162"/>
      <c r="AQ221" s="162"/>
      <c r="AR221" s="162"/>
      <c r="AS221" s="162"/>
      <c r="AT221" s="162"/>
      <c r="AU221" s="162"/>
      <c r="AV221" s="162"/>
      <c r="AW221" s="162"/>
      <c r="AX221" s="162"/>
      <c r="AY221" s="162"/>
      <c r="AZ221" s="162"/>
      <c r="BA221" s="162"/>
      <c r="BB221" s="162"/>
      <c r="BC221" s="162"/>
      <c r="BD221" s="162"/>
      <c r="BE221" s="162"/>
      <c r="BF221" s="162"/>
      <c r="BG221" s="162"/>
      <c r="BH221" s="162"/>
      <c r="BI221" s="162"/>
      <c r="BJ221" s="162"/>
      <c r="BK221" s="162"/>
      <c r="BL221" s="162"/>
    </row>
    <row r="222" spans="1:64" ht="15">
      <c r="B222" s="163" t="s">
        <v>422</v>
      </c>
      <c r="J222" s="168"/>
      <c r="K222" s="168"/>
      <c r="L222" s="202"/>
      <c r="S222" s="181"/>
      <c r="T222" s="181"/>
      <c r="U222" s="162"/>
      <c r="V222" s="162"/>
      <c r="W222" s="162"/>
      <c r="X222" s="162"/>
      <c r="Y222" s="162"/>
      <c r="Z222" s="162"/>
      <c r="AA222" s="162"/>
      <c r="AB222" s="162"/>
      <c r="AC222" s="162"/>
      <c r="AD222" s="162"/>
      <c r="AE222" s="162"/>
      <c r="AF222" s="162"/>
      <c r="AG222" s="162"/>
      <c r="AH222" s="162"/>
      <c r="AI222" s="162"/>
      <c r="AJ222" s="162"/>
      <c r="AK222" s="162"/>
      <c r="AL222" s="162"/>
      <c r="AM222" s="162"/>
      <c r="AN222" s="162"/>
      <c r="AO222" s="162"/>
      <c r="AP222" s="162"/>
      <c r="AQ222" s="162"/>
      <c r="AR222" s="162"/>
      <c r="AS222" s="162"/>
      <c r="AT222" s="162"/>
      <c r="AU222" s="162"/>
      <c r="AV222" s="162"/>
      <c r="AW222" s="162"/>
      <c r="AX222" s="162"/>
      <c r="AY222" s="162"/>
      <c r="AZ222" s="162"/>
      <c r="BA222" s="162"/>
      <c r="BB222" s="162"/>
      <c r="BC222" s="162"/>
      <c r="BD222" s="162"/>
      <c r="BE222" s="162"/>
      <c r="BF222" s="162"/>
      <c r="BG222" s="162"/>
      <c r="BH222" s="162"/>
      <c r="BI222" s="162"/>
      <c r="BJ222" s="162"/>
      <c r="BK222" s="162"/>
      <c r="BL222" s="162"/>
    </row>
    <row r="223" spans="1:64" ht="15.75">
      <c r="A223" s="169">
        <v>6</v>
      </c>
      <c r="B223" s="141" t="s">
        <v>423</v>
      </c>
      <c r="C223" s="141"/>
      <c r="D223" s="164"/>
      <c r="E223" s="164"/>
      <c r="F223" s="164"/>
      <c r="G223" s="166"/>
      <c r="H223" s="164"/>
      <c r="I223" s="168">
        <f>D149</f>
        <v>19055.217506499903</v>
      </c>
      <c r="J223" s="168"/>
      <c r="K223" s="168"/>
      <c r="L223" s="202"/>
      <c r="M223" s="364" t="s">
        <v>654</v>
      </c>
      <c r="N223" s="365"/>
      <c r="O223" s="365"/>
      <c r="P223" s="365"/>
      <c r="Q223" s="339"/>
      <c r="R223" s="338"/>
      <c r="S223" s="181"/>
      <c r="T223" s="181"/>
      <c r="U223" s="162"/>
      <c r="V223" s="162"/>
      <c r="W223" s="162"/>
      <c r="X223" s="162"/>
      <c r="Y223" s="162"/>
      <c r="Z223" s="162"/>
      <c r="AA223" s="162"/>
      <c r="AB223" s="162"/>
      <c r="AC223" s="162"/>
      <c r="AD223" s="162"/>
      <c r="AE223" s="162"/>
      <c r="AF223" s="162"/>
      <c r="AG223" s="162"/>
      <c r="AH223" s="162"/>
      <c r="AI223" s="162"/>
      <c r="AJ223" s="162"/>
      <c r="AK223" s="162"/>
      <c r="AL223" s="162"/>
      <c r="AM223" s="162"/>
      <c r="AN223" s="162"/>
      <c r="AO223" s="162"/>
      <c r="AP223" s="162"/>
      <c r="AQ223" s="162"/>
      <c r="AR223" s="162"/>
      <c r="AS223" s="162"/>
      <c r="AT223" s="162"/>
      <c r="AU223" s="162"/>
      <c r="AV223" s="162"/>
      <c r="AW223" s="162"/>
      <c r="AX223" s="162"/>
      <c r="AY223" s="162"/>
      <c r="AZ223" s="162"/>
      <c r="BA223" s="162"/>
      <c r="BB223" s="162"/>
      <c r="BC223" s="162"/>
      <c r="BD223" s="162"/>
      <c r="BE223" s="162"/>
      <c r="BF223" s="162"/>
      <c r="BG223" s="162"/>
      <c r="BH223" s="162"/>
      <c r="BI223" s="162"/>
      <c r="BJ223" s="162"/>
      <c r="BK223" s="162"/>
      <c r="BL223" s="162"/>
    </row>
    <row r="224" spans="1:64" ht="16.5" thickBot="1">
      <c r="A224" s="169">
        <v>7</v>
      </c>
      <c r="B224" s="240" t="s">
        <v>424</v>
      </c>
      <c r="C224" s="240"/>
      <c r="D224" s="185"/>
      <c r="E224" s="185"/>
      <c r="F224" s="168"/>
      <c r="G224" s="168"/>
      <c r="H224" s="168"/>
      <c r="I224" s="215">
        <v>0</v>
      </c>
      <c r="J224" s="168"/>
      <c r="K224" s="168"/>
      <c r="L224" s="202"/>
      <c r="M224" s="346">
        <f>+J223</f>
        <v>0</v>
      </c>
      <c r="N224" s="347" t="s">
        <v>645</v>
      </c>
      <c r="O224" s="311"/>
      <c r="P224" s="345"/>
      <c r="Q224" s="348"/>
      <c r="R224" s="349"/>
      <c r="S224" s="181"/>
      <c r="T224" s="181"/>
      <c r="U224" s="162"/>
      <c r="V224" s="162"/>
      <c r="W224" s="162"/>
      <c r="X224" s="162"/>
      <c r="Y224" s="162"/>
      <c r="Z224" s="162"/>
      <c r="AA224" s="162"/>
      <c r="AB224" s="162"/>
      <c r="AC224" s="162"/>
      <c r="AD224" s="162"/>
      <c r="AE224" s="162"/>
      <c r="AF224" s="162"/>
      <c r="AG224" s="162"/>
      <c r="AH224" s="162"/>
      <c r="AI224" s="162"/>
      <c r="AJ224" s="162"/>
      <c r="AK224" s="162"/>
      <c r="AL224" s="162"/>
      <c r="AM224" s="162"/>
      <c r="AN224" s="162"/>
      <c r="AO224" s="162"/>
      <c r="AP224" s="162"/>
      <c r="AQ224" s="162"/>
      <c r="AR224" s="162"/>
      <c r="AS224" s="162"/>
      <c r="AT224" s="162"/>
      <c r="AU224" s="162"/>
      <c r="AV224" s="162"/>
      <c r="AW224" s="162"/>
      <c r="AX224" s="162"/>
      <c r="AY224" s="162"/>
      <c r="AZ224" s="162"/>
      <c r="BA224" s="162"/>
      <c r="BB224" s="162"/>
      <c r="BC224" s="162"/>
      <c r="BD224" s="162"/>
      <c r="BE224" s="162"/>
      <c r="BF224" s="162"/>
      <c r="BG224" s="162"/>
      <c r="BH224" s="162"/>
      <c r="BI224" s="162"/>
      <c r="BJ224" s="162"/>
      <c r="BK224" s="162"/>
      <c r="BL224" s="162"/>
    </row>
    <row r="225" spans="1:64" ht="15.75">
      <c r="A225" s="169">
        <v>8</v>
      </c>
      <c r="B225" s="164" t="s">
        <v>655</v>
      </c>
      <c r="C225" s="171"/>
      <c r="D225" s="242"/>
      <c r="E225" s="242"/>
      <c r="F225" s="242"/>
      <c r="G225" s="205"/>
      <c r="H225" s="242"/>
      <c r="I225" s="168">
        <f>+I223-I224</f>
        <v>19055.217506499903</v>
      </c>
      <c r="J225" s="168"/>
      <c r="K225" s="168"/>
      <c r="L225" s="202"/>
      <c r="M225" s="350">
        <v>0</v>
      </c>
      <c r="N225" s="351" t="s">
        <v>646</v>
      </c>
      <c r="O225" s="352"/>
      <c r="P225" s="352"/>
      <c r="Q225" s="352"/>
      <c r="R225" s="349"/>
      <c r="S225" s="181"/>
      <c r="T225" s="181"/>
      <c r="U225" s="162"/>
      <c r="V225" s="162"/>
      <c r="W225" s="162"/>
      <c r="X225" s="162"/>
      <c r="Y225" s="162"/>
      <c r="Z225" s="162"/>
      <c r="AA225" s="162"/>
      <c r="AB225" s="162"/>
      <c r="AC225" s="162"/>
      <c r="AD225" s="162"/>
      <c r="AE225" s="162"/>
      <c r="AF225" s="162"/>
      <c r="AG225" s="162"/>
      <c r="AH225" s="162"/>
      <c r="AI225" s="162"/>
      <c r="AJ225" s="162"/>
      <c r="AK225" s="162"/>
      <c r="AL225" s="162"/>
      <c r="AM225" s="162"/>
      <c r="AN225" s="162"/>
      <c r="AO225" s="162"/>
      <c r="AP225" s="162"/>
      <c r="AQ225" s="162"/>
      <c r="AR225" s="162"/>
      <c r="AS225" s="162"/>
      <c r="AT225" s="162"/>
      <c r="AU225" s="162"/>
      <c r="AV225" s="162"/>
      <c r="AW225" s="162"/>
      <c r="AX225" s="162"/>
      <c r="AY225" s="162"/>
      <c r="AZ225" s="162"/>
      <c r="BA225" s="162"/>
      <c r="BB225" s="162"/>
      <c r="BC225" s="162"/>
      <c r="BD225" s="162"/>
      <c r="BE225" s="162"/>
      <c r="BF225" s="162"/>
      <c r="BG225" s="162"/>
      <c r="BH225" s="162"/>
      <c r="BI225" s="162"/>
      <c r="BJ225" s="162"/>
      <c r="BK225" s="162"/>
      <c r="BL225" s="162"/>
    </row>
    <row r="226" spans="1:64" ht="15.75">
      <c r="A226" s="169"/>
      <c r="B226" s="164"/>
      <c r="C226" s="164"/>
      <c r="D226" s="168"/>
      <c r="E226" s="168"/>
      <c r="F226" s="168"/>
      <c r="G226" s="168"/>
      <c r="H226" s="141"/>
      <c r="J226" s="168"/>
      <c r="K226" s="168"/>
      <c r="L226" s="202"/>
      <c r="M226" s="346">
        <f>M224-M225</f>
        <v>0</v>
      </c>
      <c r="N226" s="351" t="s">
        <v>647</v>
      </c>
      <c r="O226" s="352"/>
      <c r="P226" s="352"/>
      <c r="Q226" s="352"/>
      <c r="R226" s="349"/>
      <c r="S226" s="181"/>
      <c r="T226" s="181"/>
      <c r="U226" s="162"/>
      <c r="V226" s="162"/>
      <c r="W226" s="162"/>
      <c r="X226" s="162"/>
      <c r="Y226" s="162"/>
      <c r="Z226" s="162"/>
      <c r="AA226" s="162"/>
      <c r="AB226" s="162"/>
      <c r="AC226" s="162"/>
      <c r="AD226" s="162"/>
      <c r="AE226" s="162"/>
      <c r="AF226" s="162"/>
      <c r="AG226" s="162"/>
      <c r="AH226" s="162"/>
      <c r="AI226" s="162"/>
      <c r="AJ226" s="162"/>
      <c r="AK226" s="162"/>
      <c r="AL226" s="162"/>
      <c r="AM226" s="162"/>
      <c r="AN226" s="162"/>
      <c r="AO226" s="162"/>
      <c r="AP226" s="162"/>
      <c r="AQ226" s="162"/>
      <c r="AR226" s="162"/>
      <c r="AS226" s="162"/>
      <c r="AT226" s="162"/>
      <c r="AU226" s="162"/>
      <c r="AV226" s="162"/>
      <c r="AW226" s="162"/>
      <c r="AX226" s="162"/>
      <c r="AY226" s="162"/>
      <c r="AZ226" s="162"/>
      <c r="BA226" s="162"/>
      <c r="BB226" s="162"/>
      <c r="BC226" s="162"/>
      <c r="BD226" s="162"/>
      <c r="BE226" s="162"/>
      <c r="BF226" s="162"/>
      <c r="BG226" s="162"/>
      <c r="BH226" s="162"/>
      <c r="BI226" s="162"/>
      <c r="BJ226" s="162"/>
      <c r="BK226" s="162"/>
      <c r="BL226" s="162"/>
    </row>
    <row r="227" spans="1:64" ht="15.75">
      <c r="A227" s="169">
        <v>9</v>
      </c>
      <c r="B227" s="164" t="s">
        <v>425</v>
      </c>
      <c r="C227" s="164"/>
      <c r="D227" s="168"/>
      <c r="E227" s="168"/>
      <c r="F227" s="168"/>
      <c r="G227" s="168"/>
      <c r="H227" s="168"/>
      <c r="I227" s="214">
        <f>IF(I223&gt;0,I225/I223,0)</f>
        <v>1</v>
      </c>
      <c r="J227" s="168"/>
      <c r="K227" s="168"/>
      <c r="L227" s="202"/>
      <c r="M227" s="353"/>
      <c r="N227" s="354" t="s">
        <v>648</v>
      </c>
      <c r="O227" s="355"/>
      <c r="P227" s="355"/>
      <c r="Q227" s="355"/>
      <c r="R227" s="356"/>
      <c r="S227" s="181"/>
      <c r="T227" s="181"/>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2"/>
      <c r="BC227" s="162"/>
      <c r="BD227" s="162"/>
      <c r="BE227" s="162"/>
      <c r="BF227" s="162"/>
      <c r="BG227" s="162"/>
      <c r="BH227" s="162"/>
      <c r="BI227" s="162"/>
      <c r="BJ227" s="162"/>
      <c r="BK227" s="162"/>
      <c r="BL227" s="162"/>
    </row>
    <row r="228" spans="1:64" ht="15.75">
      <c r="A228" s="169">
        <v>10</v>
      </c>
      <c r="B228" s="164" t="s">
        <v>426</v>
      </c>
      <c r="C228" s="164"/>
      <c r="D228" s="168"/>
      <c r="E228" s="168"/>
      <c r="F228" s="168"/>
      <c r="G228" s="168"/>
      <c r="H228" s="164" t="s">
        <v>292</v>
      </c>
      <c r="I228" s="243">
        <f>I220</f>
        <v>1</v>
      </c>
      <c r="J228" s="168"/>
      <c r="K228" s="168"/>
      <c r="L228" s="202"/>
      <c r="M228" s="357">
        <v>0</v>
      </c>
      <c r="N228" s="358" t="s">
        <v>649</v>
      </c>
      <c r="O228" s="345"/>
      <c r="P228" s="348"/>
      <c r="Q228" s="352"/>
      <c r="R228" s="349"/>
      <c r="S228" s="181"/>
      <c r="T228" s="181"/>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2"/>
      <c r="AY228" s="162"/>
      <c r="AZ228" s="162"/>
      <c r="BA228" s="162"/>
      <c r="BB228" s="162"/>
      <c r="BC228" s="162"/>
      <c r="BD228" s="162"/>
      <c r="BE228" s="162"/>
      <c r="BF228" s="162"/>
      <c r="BG228" s="162"/>
      <c r="BH228" s="162"/>
      <c r="BI228" s="162"/>
      <c r="BJ228" s="162"/>
      <c r="BK228" s="162"/>
      <c r="BL228" s="162"/>
    </row>
    <row r="229" spans="1:64" ht="15.75">
      <c r="A229" s="169">
        <v>11</v>
      </c>
      <c r="B229" s="164" t="s">
        <v>427</v>
      </c>
      <c r="C229" s="164"/>
      <c r="D229" s="164"/>
      <c r="E229" s="164"/>
      <c r="F229" s="164"/>
      <c r="G229" s="164"/>
      <c r="H229" s="164" t="s">
        <v>428</v>
      </c>
      <c r="I229" s="244">
        <f>+I228*I227</f>
        <v>1</v>
      </c>
      <c r="J229" s="168"/>
      <c r="K229" s="168"/>
      <c r="L229" s="202"/>
      <c r="M229" s="357">
        <v>0</v>
      </c>
      <c r="N229" s="358" t="s">
        <v>650</v>
      </c>
      <c r="O229" s="345"/>
      <c r="P229" s="348"/>
      <c r="Q229" s="352"/>
      <c r="R229" s="349"/>
      <c r="S229" s="181"/>
      <c r="T229" s="181"/>
      <c r="U229" s="162"/>
      <c r="V229" s="162"/>
      <c r="W229" s="162"/>
      <c r="X229" s="162"/>
      <c r="Y229" s="162"/>
      <c r="Z229" s="162"/>
      <c r="AA229" s="162"/>
      <c r="AB229" s="162"/>
      <c r="AC229" s="162"/>
      <c r="AD229" s="162"/>
      <c r="AE229" s="162"/>
      <c r="AF229" s="162"/>
      <c r="AG229" s="162"/>
      <c r="AH229" s="162"/>
      <c r="AI229" s="162"/>
      <c r="AJ229" s="162"/>
      <c r="AK229" s="162"/>
      <c r="AL229" s="162"/>
      <c r="AM229" s="162"/>
      <c r="AN229" s="162"/>
      <c r="AO229" s="162"/>
      <c r="AP229" s="162"/>
      <c r="AQ229" s="162"/>
      <c r="AR229" s="162"/>
      <c r="AS229" s="162"/>
      <c r="AT229" s="162"/>
      <c r="AU229" s="162"/>
      <c r="AV229" s="162"/>
      <c r="AW229" s="162"/>
      <c r="AX229" s="162"/>
      <c r="AY229" s="162"/>
      <c r="AZ229" s="162"/>
      <c r="BA229" s="162"/>
      <c r="BB229" s="162"/>
      <c r="BC229" s="162"/>
      <c r="BD229" s="162"/>
      <c r="BE229" s="162"/>
      <c r="BF229" s="162"/>
      <c r="BG229" s="162"/>
      <c r="BH229" s="162"/>
      <c r="BI229" s="162"/>
      <c r="BJ229" s="162"/>
      <c r="BK229" s="162"/>
      <c r="BL229" s="162"/>
    </row>
    <row r="230" spans="1:64" ht="15.75">
      <c r="J230" s="141"/>
      <c r="K230" s="141"/>
      <c r="L230" s="202"/>
      <c r="M230" s="350">
        <v>0</v>
      </c>
      <c r="N230" s="358" t="s">
        <v>651</v>
      </c>
      <c r="O230" s="345"/>
      <c r="P230" s="348"/>
      <c r="Q230" s="352"/>
      <c r="R230" s="349"/>
      <c r="S230" s="181"/>
      <c r="T230" s="181"/>
      <c r="U230" s="162"/>
      <c r="V230" s="162"/>
      <c r="W230" s="162"/>
      <c r="X230" s="162"/>
      <c r="Y230" s="162"/>
      <c r="Z230" s="162"/>
      <c r="AA230" s="162"/>
      <c r="AB230" s="162"/>
      <c r="AC230" s="162"/>
      <c r="AD230" s="162"/>
      <c r="AE230" s="162"/>
      <c r="AF230" s="162"/>
      <c r="AG230" s="162"/>
      <c r="AH230" s="162"/>
      <c r="AI230" s="162"/>
      <c r="AJ230" s="162"/>
      <c r="AK230" s="162"/>
      <c r="AL230" s="162"/>
      <c r="AM230" s="162"/>
      <c r="AN230" s="162"/>
      <c r="AO230" s="162"/>
      <c r="AP230" s="162"/>
      <c r="AQ230" s="162"/>
      <c r="AR230" s="162"/>
      <c r="AS230" s="162"/>
      <c r="AT230" s="162"/>
      <c r="AU230" s="162"/>
      <c r="AV230" s="162"/>
      <c r="AW230" s="162"/>
      <c r="AX230" s="162"/>
      <c r="AY230" s="162"/>
      <c r="AZ230" s="162"/>
      <c r="BA230" s="162"/>
      <c r="BB230" s="162"/>
      <c r="BC230" s="162"/>
      <c r="BD230" s="162"/>
      <c r="BE230" s="162"/>
      <c r="BF230" s="162"/>
      <c r="BG230" s="162"/>
      <c r="BH230" s="162"/>
      <c r="BI230" s="162"/>
      <c r="BJ230" s="162"/>
      <c r="BK230" s="162"/>
      <c r="BL230" s="162"/>
    </row>
    <row r="231" spans="1:64" ht="16.5" thickBot="1">
      <c r="A231" s="169" t="s">
        <v>154</v>
      </c>
      <c r="B231" s="163" t="s">
        <v>429</v>
      </c>
      <c r="C231" s="185"/>
      <c r="D231" s="245" t="s">
        <v>430</v>
      </c>
      <c r="E231" s="245" t="s">
        <v>292</v>
      </c>
      <c r="F231" s="168"/>
      <c r="G231" s="245" t="s">
        <v>431</v>
      </c>
      <c r="H231" s="168"/>
      <c r="I231" s="168"/>
      <c r="J231" s="168"/>
      <c r="K231" s="168"/>
      <c r="L231" s="202"/>
      <c r="M231" s="359">
        <f>SUM(M228:M230)</f>
        <v>0</v>
      </c>
      <c r="N231" s="351" t="s">
        <v>652</v>
      </c>
      <c r="O231" s="352"/>
      <c r="P231" s="352"/>
      <c r="Q231" s="352"/>
      <c r="R231" s="349"/>
      <c r="S231" s="181"/>
      <c r="T231" s="181"/>
      <c r="U231" s="162"/>
      <c r="V231" s="162"/>
      <c r="W231" s="162"/>
      <c r="X231" s="162"/>
      <c r="Y231" s="162"/>
      <c r="Z231" s="162"/>
      <c r="AA231" s="162"/>
      <c r="AB231" s="162"/>
      <c r="AC231" s="162"/>
      <c r="AD231" s="162"/>
      <c r="AE231" s="162"/>
      <c r="AF231" s="162"/>
      <c r="AG231" s="162"/>
      <c r="AH231" s="162"/>
      <c r="AI231" s="162"/>
      <c r="AJ231" s="162"/>
      <c r="AK231" s="162"/>
      <c r="AL231" s="162"/>
      <c r="AM231" s="162"/>
      <c r="AN231" s="162"/>
      <c r="AO231" s="162"/>
      <c r="AP231" s="162"/>
      <c r="AQ231" s="162"/>
      <c r="AR231" s="162"/>
      <c r="AS231" s="162"/>
      <c r="AT231" s="162"/>
      <c r="AU231" s="162"/>
      <c r="AV231" s="162"/>
      <c r="AW231" s="162"/>
      <c r="AX231" s="162"/>
      <c r="AY231" s="162"/>
      <c r="AZ231" s="162"/>
      <c r="BA231" s="162"/>
      <c r="BB231" s="162"/>
      <c r="BC231" s="162"/>
      <c r="BD231" s="162"/>
      <c r="BE231" s="162"/>
      <c r="BF231" s="162"/>
      <c r="BG231" s="162"/>
      <c r="BH231" s="162"/>
      <c r="BI231" s="162"/>
      <c r="BJ231" s="162"/>
      <c r="BK231" s="162"/>
      <c r="BL231" s="162"/>
    </row>
    <row r="232" spans="1:64" ht="15.75">
      <c r="A232" s="169">
        <v>12</v>
      </c>
      <c r="B232" s="163" t="s">
        <v>338</v>
      </c>
      <c r="C232" s="168"/>
      <c r="D232" s="217">
        <f>'WAGE SALARY'!C6</f>
        <v>25188.642000000003</v>
      </c>
      <c r="E232" s="246">
        <v>0</v>
      </c>
      <c r="F232" s="246"/>
      <c r="G232" s="168">
        <f>D232*E232</f>
        <v>0</v>
      </c>
      <c r="H232" s="168"/>
      <c r="I232" s="168"/>
      <c r="J232" s="168"/>
      <c r="K232" s="168"/>
      <c r="L232" s="202"/>
      <c r="M232" s="360">
        <f>M226-M231</f>
        <v>0</v>
      </c>
      <c r="N232" s="361" t="s">
        <v>653</v>
      </c>
      <c r="O232" s="362"/>
      <c r="P232" s="362"/>
      <c r="Q232" s="362"/>
      <c r="R232" s="363"/>
      <c r="S232" s="181"/>
      <c r="T232" s="181"/>
      <c r="U232" s="162"/>
      <c r="V232" s="162"/>
      <c r="W232" s="162"/>
      <c r="X232" s="162"/>
      <c r="Y232" s="162"/>
      <c r="Z232" s="162"/>
      <c r="AA232" s="162"/>
      <c r="AB232" s="162"/>
      <c r="AC232" s="162"/>
      <c r="AD232" s="162"/>
      <c r="AE232" s="162"/>
      <c r="AF232" s="162"/>
      <c r="AG232" s="162"/>
      <c r="AH232" s="162"/>
      <c r="AI232" s="162"/>
      <c r="AJ232" s="162"/>
      <c r="AK232" s="162"/>
      <c r="AL232" s="162"/>
      <c r="AM232" s="162"/>
      <c r="AN232" s="162"/>
      <c r="AO232" s="162"/>
      <c r="AP232" s="162"/>
      <c r="AQ232" s="162"/>
      <c r="AR232" s="162"/>
      <c r="AS232" s="162"/>
      <c r="AT232" s="162"/>
      <c r="AU232" s="162"/>
      <c r="AV232" s="162"/>
      <c r="AW232" s="162"/>
      <c r="AX232" s="162"/>
      <c r="AY232" s="162"/>
      <c r="AZ232" s="162"/>
      <c r="BA232" s="162"/>
      <c r="BB232" s="162"/>
      <c r="BC232" s="162"/>
      <c r="BD232" s="162"/>
      <c r="BE232" s="162"/>
      <c r="BF232" s="162"/>
      <c r="BG232" s="162"/>
      <c r="BH232" s="162"/>
      <c r="BI232" s="162"/>
      <c r="BJ232" s="162"/>
      <c r="BK232" s="162"/>
      <c r="BL232" s="162"/>
    </row>
    <row r="233" spans="1:64" ht="15">
      <c r="A233" s="169">
        <v>13</v>
      </c>
      <c r="B233" s="163" t="s">
        <v>340</v>
      </c>
      <c r="C233" s="168"/>
      <c r="D233" s="217">
        <f>'WAGE SALARY'!C7</f>
        <v>12966.059000000001</v>
      </c>
      <c r="E233" s="246">
        <f>+I220</f>
        <v>1</v>
      </c>
      <c r="F233" s="246"/>
      <c r="G233" s="168">
        <f>D233*E233</f>
        <v>12966.059000000001</v>
      </c>
      <c r="H233" s="168"/>
      <c r="I233" s="168"/>
      <c r="J233" s="168"/>
      <c r="K233" s="168"/>
      <c r="L233" s="161"/>
      <c r="M233" s="201"/>
      <c r="N233" s="181"/>
      <c r="O233" s="203"/>
      <c r="P233" s="203"/>
      <c r="Q233" s="201"/>
      <c r="R233" s="181"/>
      <c r="S233" s="181"/>
      <c r="T233" s="181"/>
      <c r="U233" s="162"/>
      <c r="V233" s="162"/>
      <c r="W233" s="162"/>
      <c r="X233" s="162"/>
      <c r="Y233" s="162"/>
      <c r="Z233" s="162"/>
      <c r="AA233" s="162"/>
      <c r="AB233" s="162"/>
      <c r="AC233" s="162"/>
      <c r="AD233" s="162"/>
      <c r="AE233" s="162"/>
      <c r="AF233" s="162"/>
      <c r="AG233" s="162"/>
      <c r="AH233" s="162"/>
      <c r="AI233" s="162"/>
      <c r="AJ233" s="162"/>
      <c r="AK233" s="162"/>
      <c r="AL233" s="162"/>
      <c r="AM233" s="162"/>
      <c r="AN233" s="162"/>
      <c r="AO233" s="162"/>
      <c r="AP233" s="162"/>
      <c r="AQ233" s="162"/>
      <c r="AR233" s="162"/>
      <c r="AS233" s="162"/>
      <c r="AT233" s="162"/>
      <c r="AU233" s="162"/>
      <c r="AV233" s="162"/>
      <c r="AW233" s="162"/>
      <c r="AX233" s="162"/>
      <c r="AY233" s="162"/>
      <c r="AZ233" s="162"/>
      <c r="BA233" s="162"/>
      <c r="BB233" s="162"/>
      <c r="BC233" s="162"/>
      <c r="BD233" s="162"/>
      <c r="BE233" s="162"/>
      <c r="BF233" s="162"/>
      <c r="BG233" s="162"/>
      <c r="BH233" s="162"/>
      <c r="BI233" s="162"/>
      <c r="BJ233" s="162"/>
      <c r="BK233" s="162"/>
      <c r="BL233" s="162"/>
    </row>
    <row r="234" spans="1:64" ht="15">
      <c r="A234" s="169">
        <v>14</v>
      </c>
      <c r="B234" s="163" t="s">
        <v>341</v>
      </c>
      <c r="C234" s="168"/>
      <c r="D234" s="217">
        <f>'WAGE SALARY'!C8</f>
        <v>134996.93999999994</v>
      </c>
      <c r="E234" s="246">
        <v>0</v>
      </c>
      <c r="F234" s="246"/>
      <c r="G234" s="168">
        <f>D234*E234</f>
        <v>0</v>
      </c>
      <c r="H234" s="168"/>
      <c r="I234" s="247" t="s">
        <v>432</v>
      </c>
      <c r="J234" s="168"/>
      <c r="K234" s="168"/>
      <c r="L234" s="202"/>
      <c r="M234" s="201"/>
      <c r="N234" s="181"/>
      <c r="O234" s="203"/>
      <c r="P234" s="203"/>
      <c r="Q234" s="201"/>
      <c r="R234" s="181"/>
      <c r="S234" s="181"/>
      <c r="T234" s="181"/>
      <c r="U234" s="162"/>
      <c r="V234" s="162"/>
      <c r="W234" s="162"/>
      <c r="X234" s="162"/>
      <c r="Y234" s="162"/>
      <c r="Z234" s="162"/>
      <c r="AA234" s="162"/>
      <c r="AB234" s="162"/>
      <c r="AC234" s="162"/>
      <c r="AD234" s="162"/>
      <c r="AE234" s="162"/>
      <c r="AF234" s="162"/>
      <c r="AG234" s="162"/>
      <c r="AH234" s="162"/>
      <c r="AI234" s="162"/>
      <c r="AJ234" s="162"/>
      <c r="AK234" s="162"/>
      <c r="AL234" s="162"/>
      <c r="AM234" s="162"/>
      <c r="AN234" s="162"/>
      <c r="AO234" s="162"/>
      <c r="AP234" s="162"/>
      <c r="AQ234" s="162"/>
      <c r="AR234" s="162"/>
      <c r="AS234" s="162"/>
      <c r="AT234" s="162"/>
      <c r="AU234" s="162"/>
      <c r="AV234" s="162"/>
      <c r="AW234" s="162"/>
      <c r="AX234" s="162"/>
      <c r="AY234" s="162"/>
      <c r="AZ234" s="162"/>
      <c r="BA234" s="162"/>
      <c r="BB234" s="162"/>
      <c r="BC234" s="162"/>
      <c r="BD234" s="162"/>
      <c r="BE234" s="162"/>
      <c r="BF234" s="162"/>
      <c r="BG234" s="162"/>
      <c r="BH234" s="162"/>
      <c r="BI234" s="162"/>
      <c r="BJ234" s="162"/>
      <c r="BK234" s="162"/>
      <c r="BL234" s="162"/>
    </row>
    <row r="235" spans="1:64" ht="15.75" thickBot="1">
      <c r="A235" s="169">
        <v>15</v>
      </c>
      <c r="B235" s="163" t="s">
        <v>433</v>
      </c>
      <c r="C235" s="168"/>
      <c r="D235" s="217">
        <f>'WAGE SALARY'!C9</f>
        <v>2177.9</v>
      </c>
      <c r="E235" s="246">
        <v>0</v>
      </c>
      <c r="F235" s="246"/>
      <c r="G235" s="185">
        <f>D235*E235</f>
        <v>0</v>
      </c>
      <c r="H235" s="168"/>
      <c r="I235" s="173" t="s">
        <v>434</v>
      </c>
      <c r="J235" s="168"/>
      <c r="K235" s="168"/>
      <c r="L235" s="202"/>
      <c r="M235" s="201"/>
      <c r="N235" s="181"/>
      <c r="O235" s="203"/>
      <c r="P235" s="203"/>
      <c r="Q235" s="201"/>
      <c r="R235" s="181"/>
      <c r="S235" s="181"/>
      <c r="T235" s="181"/>
      <c r="U235" s="162"/>
      <c r="V235" s="162"/>
      <c r="W235" s="162"/>
      <c r="X235" s="162"/>
      <c r="Y235" s="162"/>
      <c r="Z235" s="162"/>
      <c r="AA235" s="162"/>
      <c r="AB235" s="162"/>
      <c r="AC235" s="162"/>
      <c r="AD235" s="162"/>
      <c r="AE235" s="162"/>
      <c r="AF235" s="162"/>
      <c r="AG235" s="162"/>
      <c r="AH235" s="162"/>
      <c r="AI235" s="162"/>
      <c r="AJ235" s="162"/>
      <c r="AK235" s="162"/>
      <c r="AL235" s="162"/>
      <c r="AM235" s="162"/>
      <c r="AN235" s="162"/>
      <c r="AO235" s="162"/>
      <c r="AP235" s="162"/>
      <c r="AQ235" s="162"/>
      <c r="AR235" s="162"/>
      <c r="AS235" s="162"/>
      <c r="AT235" s="162"/>
      <c r="AU235" s="162"/>
      <c r="AV235" s="162"/>
      <c r="AW235" s="162"/>
      <c r="AX235" s="162"/>
      <c r="AY235" s="162"/>
      <c r="AZ235" s="162"/>
      <c r="BA235" s="162"/>
      <c r="BB235" s="162"/>
      <c r="BC235" s="162"/>
      <c r="BD235" s="162"/>
      <c r="BE235" s="162"/>
      <c r="BF235" s="162"/>
      <c r="BG235" s="162"/>
      <c r="BH235" s="162"/>
      <c r="BI235" s="162"/>
      <c r="BJ235" s="162"/>
      <c r="BK235" s="162"/>
      <c r="BL235" s="162"/>
    </row>
    <row r="236" spans="1:64" ht="15">
      <c r="A236" s="169">
        <v>16</v>
      </c>
      <c r="B236" s="163" t="s">
        <v>435</v>
      </c>
      <c r="C236" s="168"/>
      <c r="D236" s="168">
        <f>SUM(D232:D235)</f>
        <v>175329.54099999994</v>
      </c>
      <c r="E236" s="168"/>
      <c r="F236" s="168"/>
      <c r="G236" s="168">
        <f>SUM(G232:G235)</f>
        <v>12966.059000000001</v>
      </c>
      <c r="H236" s="166" t="s">
        <v>436</v>
      </c>
      <c r="I236" s="214">
        <f>IF(G236&gt;0,G233/D236,0)</f>
        <v>7.3952506383393804E-2</v>
      </c>
      <c r="J236" s="168" t="s">
        <v>437</v>
      </c>
      <c r="K236" s="168" t="s">
        <v>343</v>
      </c>
      <c r="L236" s="202"/>
      <c r="M236" s="201"/>
      <c r="N236" s="181"/>
      <c r="O236" s="203"/>
      <c r="P236" s="203"/>
      <c r="Q236" s="201"/>
      <c r="R236" s="181"/>
      <c r="S236" s="181"/>
      <c r="T236" s="181"/>
      <c r="U236" s="162"/>
      <c r="V236" s="162"/>
      <c r="W236" s="162"/>
      <c r="X236" s="162"/>
      <c r="Y236" s="162"/>
      <c r="Z236" s="162"/>
      <c r="AA236" s="162"/>
      <c r="AB236" s="162"/>
      <c r="AC236" s="162"/>
      <c r="AD236" s="162"/>
      <c r="AE236" s="162"/>
      <c r="AF236" s="162"/>
      <c r="AG236" s="162"/>
      <c r="AH236" s="162"/>
      <c r="AI236" s="162"/>
      <c r="AJ236" s="162"/>
      <c r="AK236" s="162"/>
      <c r="AL236" s="162"/>
      <c r="AM236" s="162"/>
      <c r="AN236" s="162"/>
      <c r="AO236" s="162"/>
      <c r="AP236" s="162"/>
      <c r="AQ236" s="162"/>
      <c r="AR236" s="162"/>
      <c r="AS236" s="162"/>
      <c r="AT236" s="162"/>
      <c r="AU236" s="162"/>
      <c r="AV236" s="162"/>
      <c r="AW236" s="162"/>
      <c r="AX236" s="162"/>
      <c r="AY236" s="162"/>
      <c r="AZ236" s="162"/>
      <c r="BA236" s="162"/>
      <c r="BB236" s="162"/>
      <c r="BC236" s="162"/>
      <c r="BD236" s="162"/>
      <c r="BE236" s="162"/>
      <c r="BF236" s="162"/>
      <c r="BG236" s="162"/>
      <c r="BH236" s="162"/>
      <c r="BI236" s="162"/>
      <c r="BJ236" s="162"/>
      <c r="BK236" s="162"/>
      <c r="BL236" s="162"/>
    </row>
    <row r="237" spans="1:64" s="386" customFormat="1" ht="15">
      <c r="A237" s="394"/>
      <c r="B237" s="389"/>
      <c r="C237" s="393"/>
      <c r="D237" s="393"/>
      <c r="E237" s="393"/>
      <c r="F237" s="393"/>
      <c r="G237" s="393"/>
      <c r="H237" s="391"/>
      <c r="I237" s="410"/>
      <c r="J237" s="393"/>
      <c r="K237" s="393"/>
      <c r="L237" s="406"/>
      <c r="M237" s="405"/>
      <c r="N237" s="400"/>
      <c r="O237" s="407"/>
      <c r="P237" s="407"/>
      <c r="Q237" s="405"/>
      <c r="R237" s="400"/>
      <c r="S237" s="400"/>
      <c r="T237" s="400"/>
      <c r="U237" s="388"/>
      <c r="V237" s="388"/>
      <c r="W237" s="388"/>
      <c r="X237" s="388"/>
      <c r="Y237" s="388"/>
      <c r="Z237" s="388"/>
      <c r="AA237" s="388"/>
      <c r="AB237" s="388"/>
      <c r="AC237" s="388"/>
      <c r="AD237" s="388"/>
      <c r="AE237" s="388"/>
      <c r="AF237" s="388"/>
      <c r="AG237" s="388"/>
      <c r="AH237" s="388"/>
      <c r="AI237" s="388"/>
      <c r="AJ237" s="388"/>
      <c r="AK237" s="388"/>
      <c r="AL237" s="388"/>
      <c r="AM237" s="388"/>
      <c r="AN237" s="388"/>
      <c r="AO237" s="388"/>
      <c r="AP237" s="388"/>
      <c r="AQ237" s="388"/>
      <c r="AR237" s="388"/>
      <c r="AS237" s="388"/>
      <c r="AT237" s="388"/>
      <c r="AU237" s="388"/>
      <c r="AV237" s="388"/>
      <c r="AW237" s="388"/>
      <c r="AX237" s="388"/>
      <c r="AY237" s="388"/>
      <c r="AZ237" s="388"/>
      <c r="BA237" s="388"/>
      <c r="BB237" s="388"/>
      <c r="BC237" s="388"/>
      <c r="BD237" s="388"/>
      <c r="BE237" s="388"/>
      <c r="BF237" s="388"/>
      <c r="BG237" s="388"/>
      <c r="BH237" s="388"/>
      <c r="BI237" s="388"/>
      <c r="BJ237" s="388"/>
      <c r="BK237" s="388"/>
      <c r="BL237" s="388"/>
    </row>
    <row r="238" spans="1:64" ht="15.75">
      <c r="A238" s="169"/>
      <c r="B238" s="163" t="s">
        <v>438</v>
      </c>
      <c r="C238" s="168"/>
      <c r="D238" s="207" t="s">
        <v>430</v>
      </c>
      <c r="E238" s="168"/>
      <c r="F238" s="168"/>
      <c r="G238" s="241" t="s">
        <v>439</v>
      </c>
      <c r="H238" s="233" t="s">
        <v>154</v>
      </c>
      <c r="I238" s="216" t="s">
        <v>440</v>
      </c>
      <c r="J238" s="168"/>
      <c r="K238" s="168"/>
      <c r="L238" s="202"/>
      <c r="M238" s="201"/>
      <c r="N238" s="181"/>
      <c r="O238" s="203"/>
      <c r="P238" s="203"/>
      <c r="Q238" s="201"/>
      <c r="R238" s="181"/>
      <c r="S238" s="181"/>
      <c r="T238" s="181"/>
      <c r="U238" s="162"/>
      <c r="V238" s="162"/>
      <c r="W238" s="162"/>
      <c r="X238" s="162"/>
      <c r="Y238" s="162"/>
      <c r="Z238" s="162"/>
      <c r="AA238" s="162"/>
      <c r="AB238" s="162"/>
      <c r="AC238" s="162"/>
      <c r="AD238" s="162"/>
      <c r="AE238" s="162"/>
      <c r="AF238" s="162"/>
      <c r="AG238" s="162"/>
      <c r="AH238" s="162"/>
      <c r="AI238" s="162"/>
      <c r="AJ238" s="162"/>
      <c r="AK238" s="162"/>
      <c r="AL238" s="162"/>
      <c r="AM238" s="162"/>
      <c r="AN238" s="162"/>
      <c r="AO238" s="162"/>
      <c r="AP238" s="162"/>
      <c r="AQ238" s="162"/>
      <c r="AR238" s="162"/>
      <c r="AS238" s="162"/>
      <c r="AT238" s="162"/>
      <c r="AU238" s="162"/>
      <c r="AV238" s="162"/>
      <c r="AW238" s="162"/>
      <c r="AX238" s="162"/>
      <c r="AY238" s="162"/>
      <c r="AZ238" s="162"/>
      <c r="BA238" s="162"/>
      <c r="BB238" s="162"/>
      <c r="BC238" s="162"/>
      <c r="BD238" s="162"/>
      <c r="BE238" s="162"/>
      <c r="BF238" s="162"/>
      <c r="BG238" s="162"/>
      <c r="BH238" s="162"/>
      <c r="BI238" s="162"/>
      <c r="BJ238" s="162"/>
      <c r="BK238" s="162"/>
      <c r="BL238" s="162"/>
    </row>
    <row r="239" spans="1:64" s="386" customFormat="1" ht="15">
      <c r="A239" s="169">
        <v>17</v>
      </c>
      <c r="B239" s="163" t="s">
        <v>441</v>
      </c>
      <c r="C239" s="168"/>
      <c r="D239" s="217">
        <f>D88</f>
        <v>11419350.339999998</v>
      </c>
      <c r="E239" s="393"/>
      <c r="F239" s="393"/>
      <c r="G239" s="169" t="s">
        <v>442</v>
      </c>
      <c r="H239" s="233"/>
      <c r="I239" s="169" t="s">
        <v>443</v>
      </c>
      <c r="J239" s="168"/>
      <c r="K239" s="166" t="s">
        <v>345</v>
      </c>
      <c r="L239" s="406"/>
      <c r="M239" s="405"/>
      <c r="N239" s="400"/>
      <c r="O239" s="407"/>
      <c r="P239" s="407"/>
      <c r="Q239" s="405"/>
      <c r="R239" s="400"/>
      <c r="S239" s="400"/>
      <c r="T239" s="400"/>
      <c r="U239" s="388"/>
      <c r="V239" s="388"/>
      <c r="W239" s="388"/>
      <c r="X239" s="388"/>
      <c r="Y239" s="388"/>
      <c r="Z239" s="388"/>
      <c r="AA239" s="388"/>
      <c r="AB239" s="388"/>
      <c r="AC239" s="388"/>
      <c r="AD239" s="388"/>
      <c r="AE239" s="388"/>
      <c r="AF239" s="388"/>
      <c r="AG239" s="388"/>
      <c r="AH239" s="388"/>
      <c r="AI239" s="388"/>
      <c r="AJ239" s="388"/>
      <c r="AK239" s="388"/>
      <c r="AL239" s="388"/>
      <c r="AM239" s="388"/>
      <c r="AN239" s="388"/>
      <c r="AO239" s="388"/>
      <c r="AP239" s="388"/>
      <c r="AQ239" s="388"/>
      <c r="AR239" s="388"/>
      <c r="AS239" s="388"/>
      <c r="AT239" s="388"/>
      <c r="AU239" s="388"/>
      <c r="AV239" s="388"/>
      <c r="AW239" s="388"/>
      <c r="AX239" s="388"/>
      <c r="AY239" s="388"/>
      <c r="AZ239" s="388"/>
      <c r="BA239" s="388"/>
      <c r="BB239" s="388"/>
      <c r="BC239" s="388"/>
      <c r="BD239" s="388"/>
      <c r="BE239" s="388"/>
      <c r="BF239" s="388"/>
      <c r="BG239" s="388"/>
      <c r="BH239" s="388"/>
      <c r="BI239" s="388"/>
      <c r="BJ239" s="388"/>
      <c r="BK239" s="388"/>
      <c r="BL239" s="388"/>
    </row>
    <row r="240" spans="1:64" ht="15">
      <c r="A240" s="169">
        <v>18</v>
      </c>
      <c r="B240" s="163" t="s">
        <v>444</v>
      </c>
      <c r="C240" s="168"/>
      <c r="D240" s="217">
        <v>0</v>
      </c>
      <c r="E240" s="168"/>
      <c r="F240" s="141"/>
      <c r="G240" s="179">
        <f>IF(D242&gt;0,D239/D242,0)</f>
        <v>1</v>
      </c>
      <c r="H240" s="241" t="s">
        <v>445</v>
      </c>
      <c r="I240" s="179">
        <f>I236</f>
        <v>7.3952506383393804E-2</v>
      </c>
      <c r="J240" s="233" t="s">
        <v>436</v>
      </c>
      <c r="K240" s="179">
        <f>I240*G240</f>
        <v>7.3952506383393804E-2</v>
      </c>
      <c r="L240" s="202"/>
      <c r="M240" s="201"/>
      <c r="N240" s="181"/>
      <c r="O240" s="203"/>
      <c r="P240" s="203"/>
      <c r="Q240" s="201"/>
      <c r="R240" s="181"/>
      <c r="S240" s="181"/>
      <c r="T240" s="181"/>
      <c r="U240" s="162"/>
      <c r="V240" s="162"/>
      <c r="W240" s="162"/>
      <c r="X240" s="162"/>
      <c r="Y240" s="162"/>
      <c r="Z240" s="162"/>
      <c r="AA240" s="162"/>
      <c r="AB240" s="162"/>
      <c r="AC240" s="162"/>
      <c r="AD240" s="162"/>
      <c r="AE240" s="162"/>
      <c r="AF240" s="162"/>
      <c r="AG240" s="162"/>
      <c r="AH240" s="162"/>
      <c r="AI240" s="162"/>
      <c r="AJ240" s="162"/>
      <c r="AK240" s="162"/>
      <c r="AL240" s="162"/>
      <c r="AM240" s="162"/>
      <c r="AN240" s="162"/>
      <c r="AO240" s="162"/>
      <c r="AP240" s="162"/>
      <c r="AQ240" s="162"/>
      <c r="AR240" s="162"/>
      <c r="AS240" s="162"/>
      <c r="AT240" s="162"/>
      <c r="AU240" s="162"/>
      <c r="AV240" s="162"/>
      <c r="AW240" s="162"/>
      <c r="AX240" s="162"/>
      <c r="AY240" s="162"/>
      <c r="AZ240" s="162"/>
      <c r="BA240" s="162"/>
      <c r="BB240" s="162"/>
      <c r="BC240" s="162"/>
      <c r="BD240" s="162"/>
      <c r="BE240" s="162"/>
      <c r="BF240" s="162"/>
      <c r="BG240" s="162"/>
      <c r="BH240" s="162"/>
      <c r="BI240" s="162"/>
      <c r="BJ240" s="162"/>
      <c r="BK240" s="162"/>
      <c r="BL240" s="162"/>
    </row>
    <row r="241" spans="1:64" ht="15.75" thickBot="1">
      <c r="A241" s="169">
        <v>19</v>
      </c>
      <c r="B241" s="248" t="s">
        <v>446</v>
      </c>
      <c r="C241" s="185"/>
      <c r="D241" s="215">
        <v>0</v>
      </c>
      <c r="E241" s="168"/>
      <c r="F241" s="141"/>
      <c r="L241" s="202"/>
      <c r="M241" s="201"/>
      <c r="N241" s="181"/>
      <c r="O241" s="203"/>
      <c r="P241" s="203"/>
      <c r="Q241" s="201"/>
      <c r="R241" s="181"/>
      <c r="S241" s="181"/>
      <c r="T241" s="181"/>
      <c r="U241" s="162"/>
      <c r="V241" s="162"/>
      <c r="W241" s="162"/>
      <c r="X241" s="162"/>
      <c r="Y241" s="162"/>
      <c r="Z241" s="162"/>
      <c r="AA241" s="162"/>
      <c r="AB241" s="162"/>
      <c r="AC241" s="162"/>
      <c r="AD241" s="162"/>
      <c r="AE241" s="162"/>
      <c r="AF241" s="162"/>
      <c r="AG241" s="162"/>
      <c r="AH241" s="162"/>
      <c r="AI241" s="162"/>
      <c r="AJ241" s="162"/>
      <c r="AK241" s="162"/>
      <c r="AL241" s="162"/>
      <c r="AM241" s="162"/>
      <c r="AN241" s="162"/>
      <c r="AO241" s="162"/>
      <c r="AP241" s="162"/>
      <c r="AQ241" s="162"/>
      <c r="AR241" s="162"/>
      <c r="AS241" s="162"/>
      <c r="AT241" s="162"/>
      <c r="AU241" s="162"/>
      <c r="AV241" s="162"/>
      <c r="AW241" s="162"/>
      <c r="AX241" s="162"/>
      <c r="AY241" s="162"/>
      <c r="AZ241" s="162"/>
      <c r="BA241" s="162"/>
      <c r="BB241" s="162"/>
      <c r="BC241" s="162"/>
      <c r="BD241" s="162"/>
      <c r="BE241" s="162"/>
      <c r="BF241" s="162"/>
      <c r="BG241" s="162"/>
      <c r="BH241" s="162"/>
      <c r="BI241" s="162"/>
      <c r="BJ241" s="162"/>
      <c r="BK241" s="162"/>
      <c r="BL241" s="162"/>
    </row>
    <row r="242" spans="1:64" ht="15">
      <c r="A242" s="169">
        <v>20</v>
      </c>
      <c r="B242" s="163" t="s">
        <v>447</v>
      </c>
      <c r="C242" s="168"/>
      <c r="D242" s="168">
        <f>D239+D240+D241</f>
        <v>11419350.339999998</v>
      </c>
      <c r="E242" s="168"/>
      <c r="F242" s="168"/>
      <c r="G242" s="168" t="s">
        <v>154</v>
      </c>
      <c r="H242" s="168"/>
      <c r="I242" s="168"/>
      <c r="J242" s="168"/>
      <c r="K242" s="168"/>
      <c r="L242" s="202"/>
      <c r="M242" s="201"/>
      <c r="N242" s="181"/>
      <c r="O242" s="203"/>
      <c r="P242" s="203"/>
      <c r="Q242" s="201"/>
      <c r="R242" s="181"/>
      <c r="S242" s="181"/>
      <c r="T242" s="181"/>
      <c r="U242" s="162"/>
      <c r="V242" s="162"/>
      <c r="W242" s="162"/>
      <c r="X242" s="162"/>
      <c r="Y242" s="162"/>
      <c r="Z242" s="162"/>
      <c r="AA242" s="162"/>
      <c r="AB242" s="162"/>
      <c r="AC242" s="162"/>
      <c r="AD242" s="162"/>
      <c r="AE242" s="162"/>
      <c r="AF242" s="162"/>
      <c r="AG242" s="162"/>
      <c r="AH242" s="162"/>
      <c r="AI242" s="162"/>
      <c r="AJ242" s="162"/>
      <c r="AK242" s="162"/>
      <c r="AL242" s="162"/>
      <c r="AM242" s="162"/>
      <c r="AN242" s="162"/>
      <c r="AO242" s="162"/>
      <c r="AP242" s="162"/>
      <c r="AQ242" s="162"/>
      <c r="AR242" s="162"/>
      <c r="AS242" s="162"/>
      <c r="AT242" s="162"/>
      <c r="AU242" s="162"/>
      <c r="AV242" s="162"/>
      <c r="AW242" s="162"/>
      <c r="AX242" s="162"/>
      <c r="AY242" s="162"/>
      <c r="AZ242" s="162"/>
      <c r="BA242" s="162"/>
      <c r="BB242" s="162"/>
      <c r="BC242" s="162"/>
      <c r="BD242" s="162"/>
      <c r="BE242" s="162"/>
      <c r="BF242" s="162"/>
      <c r="BG242" s="162"/>
      <c r="BH242" s="162"/>
      <c r="BI242" s="162"/>
      <c r="BJ242" s="162"/>
      <c r="BK242" s="162"/>
      <c r="BL242" s="162"/>
    </row>
    <row r="243" spans="1:64" ht="15">
      <c r="E243" s="168"/>
      <c r="F243" s="168"/>
      <c r="G243" s="168"/>
      <c r="H243" s="168"/>
      <c r="I243" s="168"/>
      <c r="J243" s="168"/>
      <c r="K243" s="168"/>
      <c r="L243" s="202"/>
      <c r="M243" s="201"/>
      <c r="N243" s="181"/>
      <c r="O243" s="203"/>
      <c r="P243" s="203"/>
      <c r="Q243" s="201"/>
      <c r="R243" s="181"/>
      <c r="S243" s="181"/>
      <c r="T243" s="181"/>
      <c r="U243" s="162"/>
      <c r="V243" s="162"/>
      <c r="W243" s="162"/>
      <c r="X243" s="162"/>
      <c r="Y243" s="162"/>
      <c r="Z243" s="162"/>
      <c r="AA243" s="162"/>
      <c r="AB243" s="162"/>
      <c r="AC243" s="162"/>
      <c r="AD243" s="162"/>
      <c r="AE243" s="162"/>
      <c r="AF243" s="162"/>
      <c r="AG243" s="162"/>
      <c r="AH243" s="162"/>
      <c r="AI243" s="162"/>
      <c r="AJ243" s="162"/>
      <c r="AK243" s="162"/>
      <c r="AL243" s="162"/>
      <c r="AM243" s="162"/>
      <c r="AN243" s="162"/>
      <c r="AO243" s="162"/>
      <c r="AP243" s="162"/>
      <c r="AQ243" s="162"/>
      <c r="AR243" s="162"/>
      <c r="AS243" s="162"/>
      <c r="AT243" s="162"/>
      <c r="AU243" s="162"/>
      <c r="AV243" s="162"/>
      <c r="AW243" s="162"/>
      <c r="AX243" s="162"/>
      <c r="AY243" s="162"/>
      <c r="AZ243" s="162"/>
      <c r="BA243" s="162"/>
      <c r="BB243" s="162"/>
      <c r="BC243" s="162"/>
      <c r="BD243" s="162"/>
      <c r="BE243" s="162"/>
      <c r="BF243" s="162"/>
      <c r="BG243" s="162"/>
      <c r="BH243" s="162"/>
      <c r="BI243" s="162"/>
      <c r="BJ243" s="162"/>
      <c r="BK243" s="162"/>
      <c r="BL243" s="162"/>
    </row>
    <row r="244" spans="1:64" ht="15.75" thickBot="1">
      <c r="A244" s="169"/>
      <c r="B244" s="163" t="s">
        <v>448</v>
      </c>
      <c r="C244" s="168"/>
      <c r="D244" s="245" t="s">
        <v>430</v>
      </c>
      <c r="E244" s="168"/>
      <c r="F244" s="168"/>
      <c r="G244" s="168"/>
      <c r="H244" s="168"/>
      <c r="J244" s="168"/>
      <c r="K244" s="168"/>
      <c r="L244" s="202"/>
      <c r="M244" s="201"/>
      <c r="N244" s="181"/>
      <c r="O244" s="203"/>
      <c r="P244" s="203"/>
      <c r="Q244" s="201"/>
      <c r="R244" s="181"/>
      <c r="S244" s="181"/>
      <c r="T244" s="181"/>
      <c r="U244" s="162"/>
      <c r="V244" s="162"/>
      <c r="W244" s="162"/>
      <c r="X244" s="162"/>
      <c r="Y244" s="162"/>
      <c r="Z244" s="162"/>
      <c r="AA244" s="162"/>
      <c r="AB244" s="162"/>
      <c r="AC244" s="162"/>
      <c r="AD244" s="162"/>
      <c r="AE244" s="162"/>
      <c r="AF244" s="162"/>
      <c r="AG244" s="162"/>
      <c r="AH244" s="162"/>
      <c r="AI244" s="162"/>
      <c r="AJ244" s="162"/>
      <c r="AK244" s="162"/>
      <c r="AL244" s="162"/>
      <c r="AM244" s="162"/>
      <c r="AN244" s="162"/>
      <c r="AO244" s="162"/>
      <c r="AP244" s="162"/>
      <c r="AQ244" s="162"/>
      <c r="AR244" s="162"/>
      <c r="AS244" s="162"/>
      <c r="AT244" s="162"/>
      <c r="AU244" s="162"/>
      <c r="AV244" s="162"/>
      <c r="AW244" s="162"/>
      <c r="AX244" s="162"/>
      <c r="AY244" s="162"/>
      <c r="AZ244" s="162"/>
      <c r="BA244" s="162"/>
      <c r="BB244" s="162"/>
      <c r="BC244" s="162"/>
      <c r="BD244" s="162"/>
      <c r="BE244" s="162"/>
      <c r="BF244" s="162"/>
      <c r="BG244" s="162"/>
      <c r="BH244" s="162"/>
      <c r="BI244" s="162"/>
      <c r="BJ244" s="162"/>
      <c r="BK244" s="162"/>
      <c r="BL244" s="162"/>
    </row>
    <row r="245" spans="1:64" ht="15">
      <c r="A245" s="169">
        <v>21</v>
      </c>
      <c r="B245" s="168" t="s">
        <v>449</v>
      </c>
      <c r="C245" s="227" t="s">
        <v>656</v>
      </c>
      <c r="D245" s="249">
        <v>0</v>
      </c>
      <c r="E245" s="168"/>
      <c r="F245" s="168"/>
      <c r="G245" s="168"/>
      <c r="H245" s="168"/>
      <c r="I245" s="168"/>
      <c r="J245" s="168"/>
      <c r="K245" s="168"/>
      <c r="L245" s="202"/>
      <c r="M245" s="201"/>
      <c r="N245" s="181"/>
      <c r="O245" s="203"/>
      <c r="P245" s="203"/>
      <c r="Q245" s="201"/>
      <c r="R245" s="181"/>
      <c r="S245" s="181"/>
      <c r="T245" s="181"/>
      <c r="U245" s="162"/>
      <c r="V245" s="162"/>
      <c r="W245" s="162"/>
      <c r="X245" s="162"/>
      <c r="Y245" s="162"/>
      <c r="Z245" s="162"/>
      <c r="AA245" s="162"/>
      <c r="AB245" s="162"/>
      <c r="AC245" s="162"/>
      <c r="AD245" s="162"/>
      <c r="AE245" s="162"/>
      <c r="AF245" s="162"/>
      <c r="AG245" s="162"/>
      <c r="AH245" s="162"/>
      <c r="AI245" s="162"/>
      <c r="AJ245" s="162"/>
      <c r="AK245" s="162"/>
      <c r="AL245" s="162"/>
      <c r="AM245" s="162"/>
      <c r="AN245" s="162"/>
      <c r="AO245" s="162"/>
      <c r="AP245" s="162"/>
      <c r="AQ245" s="162"/>
      <c r="AR245" s="162"/>
      <c r="AS245" s="162"/>
      <c r="AT245" s="162"/>
      <c r="AU245" s="162"/>
      <c r="AV245" s="162"/>
      <c r="AW245" s="162"/>
      <c r="AX245" s="162"/>
      <c r="AY245" s="162"/>
      <c r="AZ245" s="162"/>
      <c r="BA245" s="162"/>
      <c r="BB245" s="162"/>
      <c r="BC245" s="162"/>
      <c r="BD245" s="162"/>
      <c r="BE245" s="162"/>
      <c r="BF245" s="162"/>
      <c r="BG245" s="162"/>
      <c r="BH245" s="162"/>
      <c r="BI245" s="162"/>
      <c r="BJ245" s="162"/>
      <c r="BK245" s="162"/>
      <c r="BL245" s="162"/>
    </row>
    <row r="246" spans="1:64" ht="15">
      <c r="A246" s="169"/>
      <c r="B246" s="163"/>
      <c r="D246" s="168"/>
      <c r="E246" s="168"/>
      <c r="F246" s="168"/>
      <c r="G246" s="241" t="s">
        <v>450</v>
      </c>
      <c r="H246" s="168"/>
      <c r="I246" s="168"/>
      <c r="J246" s="168"/>
      <c r="K246" s="168"/>
      <c r="L246" s="202"/>
      <c r="M246" s="201"/>
      <c r="N246" s="181"/>
      <c r="O246" s="203"/>
      <c r="P246" s="203"/>
      <c r="Q246" s="201"/>
      <c r="R246" s="181"/>
      <c r="S246" s="181"/>
      <c r="T246" s="181"/>
      <c r="U246" s="162"/>
      <c r="V246" s="162"/>
      <c r="W246" s="162"/>
      <c r="X246" s="162"/>
      <c r="Y246" s="162"/>
      <c r="Z246" s="162"/>
      <c r="AA246" s="162"/>
      <c r="AB246" s="162"/>
      <c r="AC246" s="162"/>
      <c r="AD246" s="162"/>
      <c r="AE246" s="162"/>
      <c r="AF246" s="162"/>
      <c r="AG246" s="162"/>
      <c r="AH246" s="162"/>
      <c r="AI246" s="162"/>
      <c r="AJ246" s="162"/>
      <c r="AK246" s="162"/>
      <c r="AL246" s="162"/>
      <c r="AM246" s="162"/>
      <c r="AN246" s="162"/>
      <c r="AO246" s="162"/>
      <c r="AP246" s="162"/>
      <c r="AQ246" s="162"/>
      <c r="AR246" s="162"/>
      <c r="AS246" s="162"/>
      <c r="AT246" s="162"/>
      <c r="AU246" s="162"/>
      <c r="AV246" s="162"/>
      <c r="AW246" s="162"/>
      <c r="AX246" s="162"/>
      <c r="AY246" s="162"/>
      <c r="AZ246" s="162"/>
      <c r="BA246" s="162"/>
      <c r="BB246" s="162"/>
      <c r="BC246" s="162"/>
      <c r="BD246" s="162"/>
      <c r="BE246" s="162"/>
      <c r="BF246" s="162"/>
      <c r="BG246" s="162"/>
      <c r="BH246" s="162"/>
      <c r="BI246" s="162"/>
      <c r="BJ246" s="162"/>
      <c r="BK246" s="162"/>
      <c r="BL246" s="162"/>
    </row>
    <row r="247" spans="1:64" ht="15.75" thickBot="1">
      <c r="A247" s="169"/>
      <c r="B247" s="163"/>
      <c r="C247" s="227"/>
      <c r="D247" s="174" t="s">
        <v>430</v>
      </c>
      <c r="E247" s="174" t="s">
        <v>451</v>
      </c>
      <c r="F247" s="168"/>
      <c r="G247" s="174" t="s">
        <v>452</v>
      </c>
      <c r="H247" s="168"/>
      <c r="I247" s="174" t="s">
        <v>453</v>
      </c>
      <c r="J247" s="168"/>
      <c r="K247" s="168"/>
      <c r="L247" s="202"/>
      <c r="M247" s="201"/>
      <c r="N247" s="181"/>
      <c r="O247" s="203"/>
      <c r="P247" s="203"/>
      <c r="Q247" s="201"/>
      <c r="R247" s="181"/>
      <c r="S247" s="181"/>
      <c r="T247" s="181"/>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2"/>
      <c r="AY247" s="162"/>
      <c r="AZ247" s="162"/>
      <c r="BA247" s="162"/>
      <c r="BB247" s="162"/>
      <c r="BC247" s="162"/>
      <c r="BD247" s="162"/>
      <c r="BE247" s="162"/>
      <c r="BF247" s="162"/>
      <c r="BG247" s="162"/>
      <c r="BH247" s="162"/>
      <c r="BI247" s="162"/>
      <c r="BJ247" s="162"/>
      <c r="BK247" s="162"/>
      <c r="BL247" s="162"/>
    </row>
    <row r="248" spans="1:64" ht="15">
      <c r="A248" s="169">
        <v>22</v>
      </c>
      <c r="B248" s="163" t="s">
        <v>454</v>
      </c>
      <c r="C248" s="161" t="s">
        <v>657</v>
      </c>
      <c r="D248" s="217">
        <v>0</v>
      </c>
      <c r="E248" s="250">
        <f>D248/D250</f>
        <v>0</v>
      </c>
      <c r="F248" s="251"/>
      <c r="G248" s="252">
        <f>IF(D248&gt;0,D245/D248,0)</f>
        <v>0</v>
      </c>
      <c r="I248" s="251">
        <f>G248*E248</f>
        <v>0</v>
      </c>
      <c r="J248" s="253" t="s">
        <v>455</v>
      </c>
      <c r="L248" s="202"/>
      <c r="M248" s="201"/>
      <c r="N248" s="181"/>
      <c r="O248" s="203"/>
      <c r="P248" s="203"/>
      <c r="Q248" s="201"/>
      <c r="R248" s="181"/>
      <c r="S248" s="181"/>
      <c r="T248" s="181"/>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2"/>
      <c r="AY248" s="162"/>
      <c r="AZ248" s="162"/>
      <c r="BA248" s="162"/>
      <c r="BB248" s="162"/>
      <c r="BC248" s="162"/>
      <c r="BD248" s="162"/>
      <c r="BE248" s="162"/>
      <c r="BF248" s="162"/>
      <c r="BG248" s="162"/>
      <c r="BH248" s="162"/>
      <c r="BI248" s="162"/>
      <c r="BJ248" s="162"/>
      <c r="BK248" s="162"/>
      <c r="BL248" s="162"/>
    </row>
    <row r="249" spans="1:64" ht="15.75" thickBot="1">
      <c r="A249" s="169">
        <v>23</v>
      </c>
      <c r="B249" s="163" t="s">
        <v>456</v>
      </c>
      <c r="C249" s="161" t="s">
        <v>658</v>
      </c>
      <c r="D249" s="215">
        <f>'EIA412 Balance sheet'!F15-'ELECTRIC PLANT SUMMARY'!P306</f>
        <v>9834370.2599999998</v>
      </c>
      <c r="E249" s="250">
        <f>D249/D250</f>
        <v>1</v>
      </c>
      <c r="F249" s="251"/>
      <c r="G249" s="254">
        <f>I252</f>
        <v>0.12379999999999999</v>
      </c>
      <c r="I249" s="255">
        <f>G249*E249</f>
        <v>0.12379999999999999</v>
      </c>
      <c r="J249" s="168"/>
      <c r="L249" s="202"/>
      <c r="M249" s="201"/>
      <c r="N249" s="181"/>
      <c r="O249" s="203"/>
      <c r="P249" s="203"/>
      <c r="Q249" s="201"/>
      <c r="R249" s="181"/>
      <c r="S249" s="181"/>
      <c r="T249" s="181"/>
      <c r="U249" s="162"/>
      <c r="V249" s="162"/>
      <c r="W249" s="162"/>
      <c r="X249" s="162"/>
      <c r="Y249" s="162"/>
      <c r="Z249" s="162"/>
      <c r="AA249" s="162"/>
      <c r="AB249" s="162"/>
      <c r="AC249" s="162"/>
      <c r="AD249" s="162"/>
      <c r="AE249" s="162"/>
      <c r="AF249" s="162"/>
      <c r="AG249" s="162"/>
      <c r="AH249" s="162"/>
      <c r="AI249" s="162"/>
      <c r="AJ249" s="162"/>
      <c r="AK249" s="162"/>
      <c r="AL249" s="162"/>
      <c r="AM249" s="162"/>
      <c r="AN249" s="162"/>
      <c r="AO249" s="162"/>
      <c r="AP249" s="162"/>
      <c r="AQ249" s="162"/>
      <c r="AR249" s="162"/>
      <c r="AS249" s="162"/>
      <c r="AT249" s="162"/>
      <c r="AU249" s="162"/>
      <c r="AV249" s="162"/>
      <c r="AW249" s="162"/>
      <c r="AX249" s="162"/>
      <c r="AY249" s="162"/>
      <c r="AZ249" s="162"/>
      <c r="BA249" s="162"/>
      <c r="BB249" s="162"/>
      <c r="BC249" s="162"/>
      <c r="BD249" s="162"/>
      <c r="BE249" s="162"/>
      <c r="BF249" s="162"/>
      <c r="BG249" s="162"/>
      <c r="BH249" s="162"/>
      <c r="BI249" s="162"/>
      <c r="BJ249" s="162"/>
      <c r="BK249" s="162"/>
      <c r="BL249" s="162"/>
    </row>
    <row r="250" spans="1:64" ht="15">
      <c r="A250" s="169">
        <v>24</v>
      </c>
      <c r="B250" s="163" t="s">
        <v>457</v>
      </c>
      <c r="C250" s="227"/>
      <c r="D250" s="168">
        <f>SUM(D248:D249)</f>
        <v>9834370.2599999998</v>
      </c>
      <c r="E250" s="250">
        <f>SUM(E248:E249)</f>
        <v>1</v>
      </c>
      <c r="F250" s="251"/>
      <c r="G250" s="251"/>
      <c r="I250" s="251">
        <f>SUM(I248:I249)</f>
        <v>0.12379999999999999</v>
      </c>
      <c r="J250" s="253" t="s">
        <v>458</v>
      </c>
      <c r="L250" s="202"/>
      <c r="M250" s="201"/>
      <c r="N250" s="181"/>
      <c r="O250" s="203"/>
      <c r="P250" s="203"/>
      <c r="Q250" s="201"/>
      <c r="R250" s="181"/>
      <c r="S250" s="181"/>
      <c r="T250" s="181"/>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2"/>
      <c r="BC250" s="162"/>
      <c r="BD250" s="162"/>
      <c r="BE250" s="162"/>
      <c r="BF250" s="162"/>
      <c r="BG250" s="162"/>
      <c r="BH250" s="162"/>
      <c r="BI250" s="162"/>
      <c r="BJ250" s="162"/>
      <c r="BK250" s="162"/>
      <c r="BL250" s="162"/>
    </row>
    <row r="251" spans="1:64" ht="15">
      <c r="A251" s="169" t="s">
        <v>154</v>
      </c>
      <c r="B251" s="163"/>
      <c r="D251" s="168"/>
      <c r="E251" s="168" t="s">
        <v>154</v>
      </c>
      <c r="F251" s="168"/>
      <c r="G251" s="168"/>
      <c r="H251" s="168"/>
      <c r="I251" s="251"/>
      <c r="L251" s="202"/>
      <c r="M251" s="201"/>
      <c r="N251" s="181"/>
      <c r="O251" s="203"/>
      <c r="P251" s="203"/>
      <c r="Q251" s="201"/>
      <c r="R251" s="181"/>
      <c r="S251" s="181"/>
      <c r="T251" s="181"/>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2"/>
      <c r="AY251" s="162"/>
      <c r="AZ251" s="162"/>
      <c r="BA251" s="162"/>
      <c r="BB251" s="162"/>
      <c r="BC251" s="162"/>
      <c r="BD251" s="162"/>
      <c r="BE251" s="162"/>
      <c r="BF251" s="162"/>
      <c r="BG251" s="162"/>
      <c r="BH251" s="162"/>
      <c r="BI251" s="162"/>
      <c r="BJ251" s="162"/>
      <c r="BK251" s="162"/>
      <c r="BL251" s="162"/>
    </row>
    <row r="252" spans="1:64" ht="15">
      <c r="A252" s="169">
        <v>25</v>
      </c>
      <c r="D252" s="160" t="s">
        <v>459</v>
      </c>
      <c r="E252" s="168"/>
      <c r="F252" s="168"/>
      <c r="G252" s="168"/>
      <c r="H252" s="168"/>
      <c r="I252" s="256">
        <v>0.12379999999999999</v>
      </c>
      <c r="L252" s="202"/>
      <c r="M252" s="201"/>
      <c r="N252" s="181"/>
      <c r="O252" s="203"/>
      <c r="P252" s="203"/>
      <c r="Q252" s="201"/>
      <c r="R252" s="181"/>
      <c r="S252" s="181"/>
      <c r="T252" s="181"/>
      <c r="U252" s="162"/>
      <c r="V252" s="162"/>
      <c r="W252" s="162"/>
      <c r="X252" s="162"/>
      <c r="Y252" s="162"/>
      <c r="Z252" s="162"/>
      <c r="AA252" s="162"/>
      <c r="AB252" s="162"/>
      <c r="AC252" s="162"/>
      <c r="AD252" s="162"/>
      <c r="AE252" s="162"/>
      <c r="AF252" s="162"/>
      <c r="AG252" s="162"/>
      <c r="AH252" s="162"/>
      <c r="AI252" s="162"/>
      <c r="AJ252" s="162"/>
      <c r="AK252" s="162"/>
      <c r="AL252" s="162"/>
      <c r="AM252" s="162"/>
      <c r="AN252" s="162"/>
      <c r="AO252" s="162"/>
      <c r="AP252" s="162"/>
      <c r="AQ252" s="162"/>
      <c r="AR252" s="162"/>
      <c r="AS252" s="162"/>
      <c r="AT252" s="162"/>
      <c r="AU252" s="162"/>
      <c r="AV252" s="162"/>
      <c r="AW252" s="162"/>
      <c r="AX252" s="162"/>
      <c r="AY252" s="162"/>
      <c r="AZ252" s="162"/>
      <c r="BA252" s="162"/>
      <c r="BB252" s="162"/>
      <c r="BC252" s="162"/>
      <c r="BD252" s="162"/>
      <c r="BE252" s="162"/>
      <c r="BF252" s="162"/>
      <c r="BG252" s="162"/>
      <c r="BH252" s="162"/>
      <c r="BI252" s="162"/>
      <c r="BJ252" s="162"/>
      <c r="BK252" s="162"/>
      <c r="BL252" s="162"/>
    </row>
    <row r="253" spans="1:64" ht="15">
      <c r="A253" s="169">
        <v>26</v>
      </c>
      <c r="B253" s="141"/>
      <c r="D253" s="141"/>
      <c r="E253" s="141"/>
      <c r="F253" s="141"/>
      <c r="G253" s="141" t="s">
        <v>460</v>
      </c>
      <c r="H253" s="141"/>
      <c r="I253" s="246">
        <f>IF(G248&gt;0,I250/G248,0)</f>
        <v>0</v>
      </c>
      <c r="J253" s="141"/>
      <c r="K253" s="168"/>
      <c r="L253" s="202"/>
      <c r="M253" s="201"/>
      <c r="N253" s="181"/>
      <c r="O253" s="203"/>
      <c r="P253" s="203"/>
      <c r="Q253" s="201"/>
      <c r="R253" s="181"/>
      <c r="S253" s="181"/>
      <c r="T253" s="181"/>
      <c r="U253" s="162"/>
      <c r="V253" s="162"/>
      <c r="W253" s="162"/>
      <c r="X253" s="162"/>
      <c r="Y253" s="162"/>
      <c r="Z253" s="162"/>
      <c r="AA253" s="162"/>
      <c r="AB253" s="162"/>
      <c r="AC253" s="162"/>
      <c r="AD253" s="162"/>
      <c r="AE253" s="162"/>
      <c r="AF253" s="162"/>
      <c r="AG253" s="162"/>
      <c r="AH253" s="162"/>
      <c r="AI253" s="162"/>
      <c r="AJ253" s="162"/>
      <c r="AK253" s="162"/>
      <c r="AL253" s="162"/>
      <c r="AM253" s="162"/>
      <c r="AN253" s="162"/>
      <c r="AO253" s="162"/>
      <c r="AP253" s="162"/>
      <c r="AQ253" s="162"/>
      <c r="AR253" s="162"/>
      <c r="AS253" s="162"/>
      <c r="AT253" s="162"/>
      <c r="AU253" s="162"/>
      <c r="AV253" s="162"/>
      <c r="AW253" s="162"/>
      <c r="AX253" s="162"/>
      <c r="AY253" s="162"/>
      <c r="AZ253" s="162"/>
      <c r="BA253" s="162"/>
      <c r="BB253" s="162"/>
      <c r="BC253" s="162"/>
      <c r="BD253" s="162"/>
      <c r="BE253" s="162"/>
      <c r="BF253" s="162"/>
      <c r="BG253" s="162"/>
      <c r="BH253" s="162"/>
      <c r="BI253" s="162"/>
      <c r="BJ253" s="162"/>
      <c r="BK253" s="162"/>
      <c r="BL253" s="162"/>
    </row>
    <row r="254" spans="1:64" ht="15">
      <c r="A254" s="169"/>
      <c r="B254" s="163" t="s">
        <v>461</v>
      </c>
      <c r="C254" s="164"/>
      <c r="D254" s="164"/>
      <c r="E254" s="164"/>
      <c r="F254" s="164"/>
      <c r="G254" s="164"/>
      <c r="H254" s="164"/>
      <c r="I254" s="164"/>
      <c r="J254" s="164"/>
      <c r="K254" s="164"/>
      <c r="L254" s="168"/>
      <c r="M254" s="201"/>
      <c r="N254" s="181"/>
      <c r="O254" s="257"/>
      <c r="P254" s="203"/>
      <c r="Q254" s="201"/>
      <c r="R254" s="181"/>
      <c r="S254" s="181"/>
      <c r="T254" s="181"/>
      <c r="U254" s="162"/>
      <c r="V254" s="162"/>
      <c r="W254" s="162"/>
      <c r="X254" s="162"/>
      <c r="Y254" s="162"/>
      <c r="Z254" s="162"/>
      <c r="AA254" s="162"/>
      <c r="AB254" s="162"/>
      <c r="AC254" s="162"/>
      <c r="AD254" s="162"/>
      <c r="AE254" s="162"/>
      <c r="AF254" s="162"/>
      <c r="AG254" s="162"/>
      <c r="AH254" s="162"/>
      <c r="AI254" s="162"/>
      <c r="AJ254" s="162"/>
      <c r="AK254" s="162"/>
      <c r="AL254" s="162"/>
      <c r="AM254" s="162"/>
      <c r="AN254" s="162"/>
      <c r="AO254" s="162"/>
      <c r="AP254" s="162"/>
      <c r="AQ254" s="162"/>
      <c r="AR254" s="162"/>
      <c r="AS254" s="162"/>
      <c r="AT254" s="162"/>
      <c r="AU254" s="162"/>
      <c r="AV254" s="162"/>
      <c r="AW254" s="162"/>
      <c r="AX254" s="162"/>
      <c r="AY254" s="162"/>
      <c r="AZ254" s="162"/>
      <c r="BA254" s="162"/>
      <c r="BB254" s="162"/>
      <c r="BC254" s="162"/>
      <c r="BD254" s="162"/>
      <c r="BE254" s="162"/>
      <c r="BF254" s="162"/>
      <c r="BG254" s="162"/>
      <c r="BH254" s="162"/>
      <c r="BI254" s="162"/>
      <c r="BJ254" s="162"/>
      <c r="BK254" s="162"/>
      <c r="BL254" s="162"/>
    </row>
    <row r="255" spans="1:64" ht="15.75" thickBot="1">
      <c r="A255" s="169"/>
      <c r="B255" s="163"/>
      <c r="C255" s="163"/>
      <c r="D255" s="163"/>
      <c r="E255" s="163"/>
      <c r="F255" s="163"/>
      <c r="G255" s="163"/>
      <c r="H255" s="163"/>
      <c r="I255" s="174" t="s">
        <v>462</v>
      </c>
      <c r="J255" s="163"/>
      <c r="K255" s="163"/>
      <c r="L255" s="163"/>
      <c r="M255" s="201"/>
      <c r="N255" s="181"/>
      <c r="O255" s="258"/>
      <c r="P255" s="203"/>
      <c r="Q255" s="201"/>
      <c r="R255" s="181"/>
      <c r="S255" s="181"/>
      <c r="T255" s="181"/>
      <c r="U255" s="162"/>
      <c r="V255" s="162"/>
      <c r="W255" s="162"/>
      <c r="X255" s="162"/>
      <c r="Y255" s="162"/>
      <c r="Z255" s="162"/>
      <c r="AA255" s="162"/>
      <c r="AB255" s="162"/>
      <c r="AC255" s="162"/>
      <c r="AD255" s="162"/>
      <c r="AE255" s="162"/>
      <c r="AF255" s="162"/>
      <c r="AG255" s="162"/>
      <c r="AH255" s="162"/>
      <c r="AI255" s="162"/>
      <c r="AJ255" s="162"/>
      <c r="AK255" s="162"/>
      <c r="AL255" s="162"/>
      <c r="AM255" s="162"/>
      <c r="AN255" s="162"/>
      <c r="AO255" s="162"/>
      <c r="AP255" s="162"/>
      <c r="AQ255" s="162"/>
      <c r="AR255" s="162"/>
      <c r="AS255" s="162"/>
      <c r="AT255" s="162"/>
      <c r="AU255" s="162"/>
      <c r="AV255" s="162"/>
      <c r="AW255" s="162"/>
      <c r="AX255" s="162"/>
      <c r="AY255" s="162"/>
      <c r="AZ255" s="162"/>
      <c r="BA255" s="162"/>
      <c r="BB255" s="162"/>
      <c r="BC255" s="162"/>
      <c r="BD255" s="162"/>
      <c r="BE255" s="162"/>
      <c r="BF255" s="162"/>
      <c r="BG255" s="162"/>
      <c r="BH255" s="162"/>
      <c r="BI255" s="162"/>
      <c r="BJ255" s="162"/>
      <c r="BK255" s="162"/>
      <c r="BL255" s="162"/>
    </row>
    <row r="256" spans="1:64" ht="15">
      <c r="A256" s="169"/>
      <c r="B256" s="163" t="s">
        <v>463</v>
      </c>
      <c r="C256" s="164"/>
      <c r="D256" s="164"/>
      <c r="E256" s="164"/>
      <c r="F256" s="164"/>
      <c r="G256" s="188" t="s">
        <v>154</v>
      </c>
      <c r="H256" s="259"/>
      <c r="I256" s="260"/>
      <c r="J256" s="163"/>
      <c r="K256" s="163"/>
      <c r="L256" s="163"/>
      <c r="M256" s="201"/>
      <c r="N256" s="181"/>
      <c r="O256" s="258"/>
      <c r="P256" s="203"/>
      <c r="Q256" s="201"/>
      <c r="R256" s="181"/>
      <c r="S256" s="181"/>
      <c r="T256" s="181"/>
      <c r="U256" s="162"/>
      <c r="V256" s="162"/>
      <c r="W256" s="162"/>
      <c r="X256" s="162"/>
      <c r="Y256" s="162"/>
      <c r="Z256" s="162"/>
      <c r="AA256" s="162"/>
      <c r="AB256" s="162"/>
      <c r="AC256" s="162"/>
      <c r="AD256" s="162"/>
      <c r="AE256" s="162"/>
      <c r="AF256" s="162"/>
      <c r="AG256" s="162"/>
      <c r="AH256" s="162"/>
      <c r="AI256" s="162"/>
      <c r="AJ256" s="162"/>
      <c r="AK256" s="162"/>
      <c r="AL256" s="162"/>
      <c r="AM256" s="162"/>
      <c r="AN256" s="162"/>
      <c r="AO256" s="162"/>
      <c r="AP256" s="162"/>
      <c r="AQ256" s="162"/>
      <c r="AR256" s="162"/>
      <c r="AS256" s="162"/>
      <c r="AT256" s="162"/>
      <c r="AU256" s="162"/>
      <c r="AV256" s="162"/>
      <c r="AW256" s="162"/>
      <c r="AX256" s="162"/>
      <c r="AY256" s="162"/>
      <c r="AZ256" s="162"/>
      <c r="BA256" s="162"/>
      <c r="BB256" s="162"/>
      <c r="BC256" s="162"/>
      <c r="BD256" s="162"/>
      <c r="BE256" s="162"/>
      <c r="BF256" s="162"/>
      <c r="BG256" s="162"/>
      <c r="BH256" s="162"/>
      <c r="BI256" s="162"/>
      <c r="BJ256" s="162"/>
      <c r="BK256" s="162"/>
      <c r="BL256" s="162"/>
    </row>
    <row r="257" spans="1:64" ht="15">
      <c r="A257" s="169">
        <v>27</v>
      </c>
      <c r="B257" s="160" t="s">
        <v>464</v>
      </c>
      <c r="C257" s="164"/>
      <c r="D257" s="164"/>
      <c r="E257" s="164" t="s">
        <v>465</v>
      </c>
      <c r="F257" s="164"/>
      <c r="G257" s="141"/>
      <c r="H257" s="259"/>
      <c r="I257" s="261">
        <v>0</v>
      </c>
      <c r="J257" s="163"/>
      <c r="K257" s="163"/>
      <c r="L257" s="163"/>
      <c r="M257" s="201"/>
      <c r="N257" s="181"/>
      <c r="O257" s="258"/>
      <c r="P257" s="203"/>
      <c r="Q257" s="201"/>
      <c r="R257" s="181"/>
      <c r="S257" s="181"/>
      <c r="T257" s="181"/>
      <c r="U257" s="162"/>
      <c r="V257" s="162"/>
      <c r="W257" s="162"/>
      <c r="X257" s="162"/>
      <c r="Y257" s="162"/>
      <c r="Z257" s="162"/>
      <c r="AA257" s="162"/>
      <c r="AB257" s="162"/>
      <c r="AC257" s="162"/>
      <c r="AD257" s="162"/>
      <c r="AE257" s="162"/>
      <c r="AF257" s="162"/>
      <c r="AG257" s="162"/>
      <c r="AH257" s="162"/>
      <c r="AI257" s="162"/>
      <c r="AJ257" s="162"/>
      <c r="AK257" s="162"/>
      <c r="AL257" s="162"/>
      <c r="AM257" s="162"/>
      <c r="AN257" s="162"/>
      <c r="AO257" s="162"/>
      <c r="AP257" s="162"/>
      <c r="AQ257" s="162"/>
      <c r="AR257" s="162"/>
      <c r="AS257" s="162"/>
      <c r="AT257" s="162"/>
      <c r="AU257" s="162"/>
      <c r="AV257" s="162"/>
      <c r="AW257" s="162"/>
      <c r="AX257" s="162"/>
      <c r="AY257" s="162"/>
      <c r="AZ257" s="162"/>
      <c r="BA257" s="162"/>
      <c r="BB257" s="162"/>
      <c r="BC257" s="162"/>
      <c r="BD257" s="162"/>
      <c r="BE257" s="162"/>
      <c r="BF257" s="162"/>
      <c r="BG257" s="162"/>
      <c r="BH257" s="162"/>
      <c r="BI257" s="162"/>
      <c r="BJ257" s="162"/>
      <c r="BK257" s="162"/>
      <c r="BL257" s="162"/>
    </row>
    <row r="258" spans="1:64" ht="15.75" thickBot="1">
      <c r="A258" s="169">
        <v>28</v>
      </c>
      <c r="B258" s="262" t="s">
        <v>466</v>
      </c>
      <c r="C258" s="240"/>
      <c r="D258" s="262"/>
      <c r="E258" s="240"/>
      <c r="F258" s="240"/>
      <c r="G258" s="240"/>
      <c r="H258" s="164"/>
      <c r="I258" s="263">
        <v>0</v>
      </c>
      <c r="J258" s="163"/>
      <c r="K258" s="163"/>
      <c r="L258" s="163"/>
      <c r="M258" s="180"/>
      <c r="N258" s="181"/>
      <c r="O258" s="258"/>
      <c r="P258" s="203"/>
      <c r="Q258" s="201"/>
      <c r="R258" s="181"/>
      <c r="S258" s="181"/>
      <c r="T258" s="181"/>
      <c r="U258" s="162"/>
      <c r="V258" s="162"/>
      <c r="W258" s="162"/>
      <c r="X258" s="162"/>
      <c r="Y258" s="162"/>
      <c r="Z258" s="162"/>
      <c r="AA258" s="162"/>
      <c r="AB258" s="162"/>
      <c r="AC258" s="162"/>
      <c r="AD258" s="162"/>
      <c r="AE258" s="162"/>
      <c r="AF258" s="162"/>
      <c r="AG258" s="162"/>
      <c r="AH258" s="162"/>
      <c r="AI258" s="162"/>
      <c r="AJ258" s="162"/>
      <c r="AK258" s="162"/>
      <c r="AL258" s="162"/>
      <c r="AM258" s="162"/>
      <c r="AN258" s="162"/>
      <c r="AO258" s="162"/>
      <c r="AP258" s="162"/>
      <c r="AQ258" s="162"/>
      <c r="AR258" s="162"/>
      <c r="AS258" s="162"/>
      <c r="AT258" s="162"/>
      <c r="AU258" s="162"/>
      <c r="AV258" s="162"/>
      <c r="AW258" s="162"/>
      <c r="AX258" s="162"/>
      <c r="AY258" s="162"/>
      <c r="AZ258" s="162"/>
      <c r="BA258" s="162"/>
      <c r="BB258" s="162"/>
      <c r="BC258" s="162"/>
      <c r="BD258" s="162"/>
      <c r="BE258" s="162"/>
      <c r="BF258" s="162"/>
      <c r="BG258" s="162"/>
      <c r="BH258" s="162"/>
      <c r="BI258" s="162"/>
      <c r="BJ258" s="162"/>
      <c r="BK258" s="162"/>
      <c r="BL258" s="162"/>
    </row>
    <row r="259" spans="1:64" ht="15">
      <c r="A259" s="169">
        <v>29</v>
      </c>
      <c r="B259" s="141" t="s">
        <v>467</v>
      </c>
      <c r="C259" s="164"/>
      <c r="D259" s="141"/>
      <c r="E259" s="164"/>
      <c r="F259" s="164"/>
      <c r="G259" s="164"/>
      <c r="H259" s="164"/>
      <c r="I259" s="261">
        <f>+I257-I258</f>
        <v>0</v>
      </c>
      <c r="J259" s="163"/>
      <c r="K259" s="163"/>
      <c r="L259" s="163"/>
      <c r="M259" s="180"/>
      <c r="N259" s="181"/>
      <c r="O259" s="258"/>
      <c r="P259" s="203"/>
      <c r="Q259" s="201"/>
      <c r="R259" s="181"/>
      <c r="S259" s="181"/>
      <c r="T259" s="181"/>
      <c r="U259" s="162"/>
      <c r="V259" s="162"/>
      <c r="W259" s="162"/>
      <c r="X259" s="162"/>
      <c r="Y259" s="162"/>
      <c r="Z259" s="162"/>
      <c r="AA259" s="162"/>
      <c r="AB259" s="162"/>
      <c r="AC259" s="162"/>
      <c r="AD259" s="162"/>
      <c r="AE259" s="162"/>
      <c r="AF259" s="162"/>
      <c r="AG259" s="162"/>
      <c r="AH259" s="162"/>
      <c r="AI259" s="162"/>
      <c r="AJ259" s="162"/>
      <c r="AK259" s="162"/>
      <c r="AL259" s="162"/>
      <c r="AM259" s="162"/>
      <c r="AN259" s="162"/>
      <c r="AO259" s="162"/>
      <c r="AP259" s="162"/>
      <c r="AQ259" s="162"/>
      <c r="AR259" s="162"/>
      <c r="AS259" s="162"/>
      <c r="AT259" s="162"/>
      <c r="AU259" s="162"/>
      <c r="AV259" s="162"/>
      <c r="AW259" s="162"/>
      <c r="AX259" s="162"/>
      <c r="AY259" s="162"/>
      <c r="AZ259" s="162"/>
      <c r="BA259" s="162"/>
      <c r="BB259" s="162"/>
      <c r="BC259" s="162"/>
      <c r="BD259" s="162"/>
      <c r="BE259" s="162"/>
      <c r="BF259" s="162"/>
      <c r="BG259" s="162"/>
      <c r="BH259" s="162"/>
      <c r="BI259" s="162"/>
      <c r="BJ259" s="162"/>
      <c r="BK259" s="162"/>
      <c r="BL259" s="162"/>
    </row>
    <row r="260" spans="1:64" ht="15">
      <c r="A260" s="169"/>
      <c r="B260" s="141"/>
      <c r="C260" s="164"/>
      <c r="D260" s="141"/>
      <c r="E260" s="164"/>
      <c r="F260" s="164"/>
      <c r="G260" s="164"/>
      <c r="H260" s="164"/>
      <c r="I260" s="264"/>
      <c r="J260" s="163"/>
      <c r="K260" s="163"/>
      <c r="L260" s="163"/>
      <c r="M260" s="180"/>
      <c r="N260" s="181"/>
      <c r="O260" s="258"/>
      <c r="P260" s="203"/>
      <c r="Q260" s="201"/>
      <c r="R260" s="181"/>
      <c r="S260" s="181"/>
      <c r="T260" s="181"/>
      <c r="U260" s="162"/>
      <c r="V260" s="162"/>
      <c r="W260" s="162"/>
      <c r="X260" s="162"/>
      <c r="Y260" s="162"/>
      <c r="Z260" s="162"/>
      <c r="AA260" s="162"/>
      <c r="AB260" s="162"/>
      <c r="AC260" s="162"/>
      <c r="AD260" s="162"/>
      <c r="AE260" s="162"/>
      <c r="AF260" s="162"/>
      <c r="AG260" s="162"/>
      <c r="AH260" s="162"/>
      <c r="AI260" s="162"/>
      <c r="AJ260" s="162"/>
      <c r="AK260" s="162"/>
      <c r="AL260" s="162"/>
      <c r="AM260" s="162"/>
      <c r="AN260" s="162"/>
      <c r="AO260" s="162"/>
      <c r="AP260" s="162"/>
      <c r="AQ260" s="162"/>
      <c r="AR260" s="162"/>
      <c r="AS260" s="162"/>
      <c r="AT260" s="162"/>
      <c r="AU260" s="162"/>
      <c r="AV260" s="162"/>
      <c r="AW260" s="162"/>
      <c r="AX260" s="162"/>
      <c r="AY260" s="162"/>
      <c r="AZ260" s="162"/>
      <c r="BA260" s="162"/>
      <c r="BB260" s="162"/>
      <c r="BC260" s="162"/>
      <c r="BD260" s="162"/>
      <c r="BE260" s="162"/>
      <c r="BF260" s="162"/>
      <c r="BG260" s="162"/>
      <c r="BH260" s="162"/>
      <c r="BI260" s="162"/>
      <c r="BJ260" s="162"/>
      <c r="BK260" s="162"/>
      <c r="BL260" s="162"/>
    </row>
    <row r="261" spans="1:64" ht="15">
      <c r="A261" s="169">
        <v>30</v>
      </c>
      <c r="B261" s="163" t="s">
        <v>468</v>
      </c>
      <c r="C261" s="164"/>
      <c r="D261" s="141"/>
      <c r="E261" s="164"/>
      <c r="F261" s="164"/>
      <c r="G261" s="265"/>
      <c r="H261" s="164"/>
      <c r="I261" s="266">
        <v>0</v>
      </c>
      <c r="J261" s="163"/>
      <c r="K261" s="163"/>
      <c r="L261" s="163"/>
      <c r="M261" s="267"/>
      <c r="N261" s="181"/>
      <c r="O261" s="258"/>
      <c r="P261" s="203"/>
      <c r="Q261" s="201"/>
      <c r="R261" s="181"/>
      <c r="S261" s="181"/>
      <c r="T261" s="181"/>
      <c r="U261" s="162"/>
      <c r="V261" s="162"/>
      <c r="W261" s="162"/>
      <c r="X261" s="162"/>
      <c r="Y261" s="162"/>
      <c r="Z261" s="162"/>
      <c r="AA261" s="162"/>
      <c r="AB261" s="162"/>
      <c r="AC261" s="162"/>
      <c r="AD261" s="162"/>
      <c r="AE261" s="162"/>
      <c r="AF261" s="162"/>
      <c r="AG261" s="162"/>
      <c r="AH261" s="162"/>
      <c r="AI261" s="162"/>
      <c r="AJ261" s="162"/>
      <c r="AK261" s="162"/>
      <c r="AL261" s="162"/>
      <c r="AM261" s="162"/>
      <c r="AN261" s="162"/>
      <c r="AO261" s="162"/>
      <c r="AP261" s="162"/>
      <c r="AQ261" s="162"/>
      <c r="AR261" s="162"/>
      <c r="AS261" s="162"/>
      <c r="AT261" s="162"/>
      <c r="AU261" s="162"/>
      <c r="AV261" s="162"/>
      <c r="AW261" s="162"/>
      <c r="AX261" s="162"/>
      <c r="AY261" s="162"/>
      <c r="AZ261" s="162"/>
      <c r="BA261" s="162"/>
      <c r="BB261" s="162"/>
      <c r="BC261" s="162"/>
      <c r="BD261" s="162"/>
      <c r="BE261" s="162"/>
      <c r="BF261" s="162"/>
      <c r="BG261" s="162"/>
      <c r="BH261" s="162"/>
      <c r="BI261" s="162"/>
      <c r="BJ261" s="162"/>
      <c r="BK261" s="162"/>
      <c r="BL261" s="162"/>
    </row>
    <row r="262" spans="1:64" ht="15">
      <c r="A262" s="169"/>
      <c r="C262" s="164"/>
      <c r="D262" s="164"/>
      <c r="E262" s="164"/>
      <c r="F262" s="164"/>
      <c r="G262" s="164"/>
      <c r="H262" s="164"/>
      <c r="I262" s="264"/>
      <c r="J262" s="163"/>
      <c r="K262" s="163"/>
      <c r="L262" s="163"/>
      <c r="M262" s="257"/>
      <c r="N262" s="181"/>
      <c r="O262" s="258"/>
      <c r="P262" s="203"/>
      <c r="Q262" s="201"/>
      <c r="R262" s="181"/>
      <c r="S262" s="181"/>
      <c r="T262" s="181"/>
      <c r="U262" s="162"/>
      <c r="V262" s="162"/>
      <c r="W262" s="162"/>
      <c r="X262" s="162"/>
      <c r="Y262" s="162"/>
      <c r="Z262" s="162"/>
      <c r="AA262" s="162"/>
      <c r="AB262" s="162"/>
      <c r="AC262" s="162"/>
      <c r="AD262" s="162"/>
      <c r="AE262" s="162"/>
      <c r="AF262" s="162"/>
      <c r="AG262" s="162"/>
      <c r="AH262" s="162"/>
      <c r="AI262" s="162"/>
      <c r="AJ262" s="162"/>
      <c r="AK262" s="162"/>
      <c r="AL262" s="162"/>
      <c r="AM262" s="162"/>
      <c r="AN262" s="162"/>
      <c r="AO262" s="162"/>
      <c r="AP262" s="162"/>
      <c r="AQ262" s="162"/>
      <c r="AR262" s="162"/>
      <c r="AS262" s="162"/>
      <c r="AT262" s="162"/>
      <c r="AU262" s="162"/>
      <c r="AV262" s="162"/>
      <c r="AW262" s="162"/>
      <c r="AX262" s="162"/>
      <c r="AY262" s="162"/>
      <c r="AZ262" s="162"/>
      <c r="BA262" s="162"/>
      <c r="BB262" s="162"/>
      <c r="BC262" s="162"/>
      <c r="BD262" s="162"/>
      <c r="BE262" s="162"/>
      <c r="BF262" s="162"/>
      <c r="BG262" s="162"/>
      <c r="BH262" s="162"/>
      <c r="BI262" s="162"/>
      <c r="BJ262" s="162"/>
      <c r="BK262" s="162"/>
      <c r="BL262" s="162"/>
    </row>
    <row r="263" spans="1:64" ht="15">
      <c r="B263" s="163" t="s">
        <v>708</v>
      </c>
      <c r="C263" s="164"/>
      <c r="D263" s="164"/>
      <c r="E263" s="164"/>
      <c r="F263" s="164"/>
      <c r="G263" s="164"/>
      <c r="H263" s="164"/>
      <c r="J263" s="163"/>
      <c r="K263" s="163"/>
      <c r="L263" s="163"/>
      <c r="M263" s="257"/>
      <c r="N263" s="181"/>
      <c r="O263" s="258"/>
      <c r="P263" s="203"/>
      <c r="Q263" s="201"/>
      <c r="R263" s="181"/>
      <c r="S263" s="181"/>
      <c r="T263" s="181"/>
      <c r="U263" s="162"/>
      <c r="V263" s="162"/>
      <c r="W263" s="162"/>
      <c r="X263" s="162"/>
      <c r="Y263" s="162"/>
      <c r="Z263" s="162"/>
      <c r="AA263" s="162"/>
      <c r="AB263" s="162"/>
      <c r="AC263" s="162"/>
      <c r="AD263" s="162"/>
      <c r="AE263" s="162"/>
      <c r="AF263" s="162"/>
      <c r="AG263" s="162"/>
      <c r="AH263" s="162"/>
      <c r="AI263" s="162"/>
      <c r="AJ263" s="162"/>
      <c r="AK263" s="162"/>
      <c r="AL263" s="162"/>
      <c r="AM263" s="162"/>
      <c r="AN263" s="162"/>
      <c r="AO263" s="162"/>
      <c r="AP263" s="162"/>
      <c r="AQ263" s="162"/>
      <c r="AR263" s="162"/>
      <c r="AS263" s="162"/>
      <c r="AT263" s="162"/>
      <c r="AU263" s="162"/>
      <c r="AV263" s="162"/>
      <c r="AW263" s="162"/>
      <c r="AX263" s="162"/>
      <c r="AY263" s="162"/>
      <c r="AZ263" s="162"/>
      <c r="BA263" s="162"/>
      <c r="BB263" s="162"/>
      <c r="BC263" s="162"/>
      <c r="BD263" s="162"/>
      <c r="BE263" s="162"/>
      <c r="BF263" s="162"/>
      <c r="BG263" s="162"/>
      <c r="BH263" s="162"/>
      <c r="BI263" s="162"/>
      <c r="BJ263" s="162"/>
      <c r="BK263" s="162"/>
      <c r="BL263" s="162"/>
    </row>
    <row r="264" spans="1:64" ht="15.75">
      <c r="A264" s="169">
        <v>31</v>
      </c>
      <c r="B264" s="163" t="s">
        <v>469</v>
      </c>
      <c r="C264" s="168"/>
      <c r="D264" s="168"/>
      <c r="E264" s="168"/>
      <c r="F264" s="168"/>
      <c r="G264" s="168"/>
      <c r="H264" s="168"/>
      <c r="I264" s="268">
        <f>'TARIFF REVENUE'!AA47</f>
        <v>53391.8</v>
      </c>
      <c r="J264" s="163"/>
      <c r="K264" s="163"/>
      <c r="L264" s="163"/>
      <c r="M264" s="312" t="s">
        <v>659</v>
      </c>
      <c r="N264" s="303"/>
      <c r="O264" s="309"/>
      <c r="P264" s="305"/>
      <c r="Q264" s="304"/>
      <c r="R264" s="181"/>
      <c r="S264" s="181"/>
      <c r="T264" s="181"/>
      <c r="U264" s="162"/>
      <c r="V264" s="162"/>
      <c r="W264" s="162"/>
      <c r="X264" s="162"/>
      <c r="Y264" s="162"/>
      <c r="Z264" s="162"/>
      <c r="AA264" s="162"/>
      <c r="AB264" s="162"/>
      <c r="AC264" s="162"/>
      <c r="AD264" s="162"/>
      <c r="AE264" s="162"/>
      <c r="AF264" s="162"/>
      <c r="AG264" s="162"/>
      <c r="AH264" s="162"/>
      <c r="AI264" s="162"/>
      <c r="AJ264" s="162"/>
      <c r="AK264" s="162"/>
      <c r="AL264" s="162"/>
      <c r="AM264" s="162"/>
      <c r="AN264" s="162"/>
      <c r="AO264" s="162"/>
      <c r="AP264" s="162"/>
      <c r="AQ264" s="162"/>
      <c r="AR264" s="162"/>
      <c r="AS264" s="162"/>
      <c r="AT264" s="162"/>
      <c r="AU264" s="162"/>
      <c r="AV264" s="162"/>
      <c r="AW264" s="162"/>
      <c r="AX264" s="162"/>
      <c r="AY264" s="162"/>
      <c r="AZ264" s="162"/>
      <c r="BA264" s="162"/>
      <c r="BB264" s="162"/>
      <c r="BC264" s="162"/>
      <c r="BD264" s="162"/>
      <c r="BE264" s="162"/>
      <c r="BF264" s="162"/>
      <c r="BG264" s="162"/>
      <c r="BH264" s="162"/>
      <c r="BI264" s="162"/>
      <c r="BJ264" s="162"/>
      <c r="BK264" s="162"/>
      <c r="BL264" s="162"/>
    </row>
    <row r="265" spans="1:64" ht="15.75">
      <c r="A265" s="169">
        <v>32</v>
      </c>
      <c r="B265" s="317" t="s">
        <v>470</v>
      </c>
      <c r="C265" s="318"/>
      <c r="D265" s="318"/>
      <c r="E265" s="318"/>
      <c r="F265" s="318"/>
      <c r="G265" s="164"/>
      <c r="H265" s="164"/>
      <c r="I265" s="268">
        <f>'TARIFF REVENUE'!AA45</f>
        <v>52419.29</v>
      </c>
      <c r="J265" s="163"/>
      <c r="K265" s="163"/>
      <c r="L265" s="163"/>
      <c r="M265" s="312" t="s">
        <v>660</v>
      </c>
      <c r="N265" s="313"/>
      <c r="O265" s="314"/>
      <c r="P265" s="315"/>
      <c r="Q265" s="316"/>
      <c r="R265" s="181"/>
      <c r="S265" s="181"/>
      <c r="T265" s="181"/>
      <c r="U265" s="162"/>
      <c r="V265" s="162"/>
      <c r="W265" s="162"/>
      <c r="X265" s="162"/>
      <c r="Y265" s="162"/>
      <c r="Z265" s="162"/>
      <c r="AA265" s="162"/>
      <c r="AB265" s="162"/>
      <c r="AC265" s="162"/>
      <c r="AD265" s="162"/>
      <c r="AE265" s="162"/>
      <c r="AF265" s="162"/>
      <c r="AG265" s="162"/>
      <c r="AH265" s="162"/>
      <c r="AI265" s="162"/>
      <c r="AJ265" s="162"/>
      <c r="AK265" s="162"/>
      <c r="AL265" s="162"/>
      <c r="AM265" s="162"/>
      <c r="AN265" s="162"/>
      <c r="AO265" s="162"/>
      <c r="AP265" s="162"/>
      <c r="AQ265" s="162"/>
      <c r="AR265" s="162"/>
      <c r="AS265" s="162"/>
      <c r="AT265" s="162"/>
      <c r="AU265" s="162"/>
      <c r="AV265" s="162"/>
      <c r="AW265" s="162"/>
      <c r="AX265" s="162"/>
      <c r="AY265" s="162"/>
      <c r="AZ265" s="162"/>
      <c r="BA265" s="162"/>
      <c r="BB265" s="162"/>
      <c r="BC265" s="162"/>
      <c r="BD265" s="162"/>
      <c r="BE265" s="162"/>
      <c r="BF265" s="162"/>
      <c r="BG265" s="162"/>
      <c r="BH265" s="162"/>
      <c r="BI265" s="162"/>
      <c r="BJ265" s="162"/>
      <c r="BK265" s="162"/>
      <c r="BL265" s="162"/>
    </row>
    <row r="266" spans="1:64" ht="15.75">
      <c r="A266" s="169" t="s">
        <v>744</v>
      </c>
      <c r="B266" s="317" t="s">
        <v>1142</v>
      </c>
      <c r="C266" s="318"/>
      <c r="D266" s="318"/>
      <c r="E266" s="318"/>
      <c r="F266" s="318"/>
      <c r="G266" s="164"/>
      <c r="H266" s="164"/>
      <c r="I266" s="268">
        <v>0</v>
      </c>
      <c r="J266" s="163"/>
      <c r="K266" s="163"/>
      <c r="L266" s="163"/>
      <c r="M266" s="312"/>
      <c r="N266" s="313"/>
      <c r="O266" s="314"/>
      <c r="P266" s="315"/>
      <c r="Q266" s="316"/>
      <c r="R266" s="181"/>
      <c r="S266" s="181"/>
      <c r="T266" s="181"/>
      <c r="U266" s="162"/>
      <c r="V266" s="162"/>
      <c r="W266" s="162"/>
      <c r="X266" s="162"/>
      <c r="Y266" s="162"/>
      <c r="Z266" s="162"/>
      <c r="AA266" s="162"/>
      <c r="AB266" s="162"/>
      <c r="AC266" s="162"/>
      <c r="AD266" s="162"/>
      <c r="AE266" s="162"/>
      <c r="AF266" s="162"/>
      <c r="AG266" s="162"/>
      <c r="AH266" s="162"/>
      <c r="AI266" s="162"/>
      <c r="AJ266" s="162"/>
      <c r="AK266" s="162"/>
      <c r="AL266" s="162"/>
      <c r="AM266" s="162"/>
      <c r="AN266" s="162"/>
      <c r="AO266" s="162"/>
      <c r="AP266" s="162"/>
      <c r="AQ266" s="162"/>
      <c r="AR266" s="162"/>
      <c r="AS266" s="162"/>
      <c r="AT266" s="162"/>
      <c r="AU266" s="162"/>
      <c r="AV266" s="162"/>
      <c r="AW266" s="162"/>
      <c r="AX266" s="162"/>
      <c r="AY266" s="162"/>
      <c r="AZ266" s="162"/>
      <c r="BA266" s="162"/>
      <c r="BB266" s="162"/>
      <c r="BC266" s="162"/>
      <c r="BD266" s="162"/>
      <c r="BE266" s="162"/>
      <c r="BF266" s="162"/>
      <c r="BG266" s="162"/>
      <c r="BH266" s="162"/>
      <c r="BI266" s="162"/>
      <c r="BJ266" s="162"/>
      <c r="BK266" s="162"/>
      <c r="BL266" s="162"/>
    </row>
    <row r="267" spans="1:64" ht="16.5" thickBot="1">
      <c r="A267" s="169" t="s">
        <v>742</v>
      </c>
      <c r="B267" s="317" t="s">
        <v>1143</v>
      </c>
      <c r="C267" s="318"/>
      <c r="D267" s="318"/>
      <c r="E267" s="318"/>
      <c r="F267" s="318"/>
      <c r="G267" s="164"/>
      <c r="H267" s="164"/>
      <c r="I267" s="269">
        <v>0</v>
      </c>
      <c r="J267" s="163"/>
      <c r="K267" s="163"/>
      <c r="L267" s="163"/>
      <c r="M267" s="312"/>
      <c r="N267" s="313"/>
      <c r="O267" s="314"/>
      <c r="P267" s="315"/>
      <c r="Q267" s="316"/>
      <c r="R267" s="181"/>
      <c r="S267" s="181"/>
      <c r="T267" s="181"/>
      <c r="U267" s="162"/>
      <c r="V267" s="162"/>
      <c r="W267" s="162"/>
      <c r="X267" s="162"/>
      <c r="Y267" s="162"/>
      <c r="Z267" s="162"/>
      <c r="AA267" s="162"/>
      <c r="AB267" s="162"/>
      <c r="AC267" s="162"/>
      <c r="AD267" s="162"/>
      <c r="AE267" s="162"/>
      <c r="AF267" s="162"/>
      <c r="AG267" s="162"/>
      <c r="AH267" s="162"/>
      <c r="AI267" s="162"/>
      <c r="AJ267" s="162"/>
      <c r="AK267" s="162"/>
      <c r="AL267" s="162"/>
      <c r="AM267" s="162"/>
      <c r="AN267" s="162"/>
      <c r="AO267" s="162"/>
      <c r="AP267" s="162"/>
      <c r="AQ267" s="162"/>
      <c r="AR267" s="162"/>
      <c r="AS267" s="162"/>
      <c r="AT267" s="162"/>
      <c r="AU267" s="162"/>
      <c r="AV267" s="162"/>
      <c r="AW267" s="162"/>
      <c r="AX267" s="162"/>
      <c r="AY267" s="162"/>
      <c r="AZ267" s="162"/>
      <c r="BA267" s="162"/>
      <c r="BB267" s="162"/>
      <c r="BC267" s="162"/>
      <c r="BD267" s="162"/>
      <c r="BE267" s="162"/>
      <c r="BF267" s="162"/>
      <c r="BG267" s="162"/>
      <c r="BH267" s="162"/>
      <c r="BI267" s="162"/>
      <c r="BJ267" s="162"/>
      <c r="BK267" s="162"/>
      <c r="BL267" s="162"/>
    </row>
    <row r="268" spans="1:64" ht="15">
      <c r="A268" s="169">
        <v>33</v>
      </c>
      <c r="B268" s="270" t="s">
        <v>743</v>
      </c>
      <c r="C268" s="166"/>
      <c r="D268" s="168"/>
      <c r="E268" s="168"/>
      <c r="F268" s="168"/>
      <c r="G268" s="168"/>
      <c r="H268" s="164"/>
      <c r="I268" s="271">
        <f>I264-I265-I266-I267</f>
        <v>972.51000000000204</v>
      </c>
      <c r="J268" s="163"/>
      <c r="K268" s="163"/>
      <c r="L268" s="163"/>
      <c r="M268" s="182"/>
      <c r="N268" s="181"/>
      <c r="O268" s="258"/>
      <c r="P268" s="182"/>
      <c r="Q268" s="201"/>
      <c r="R268" s="181"/>
      <c r="S268" s="181"/>
      <c r="T268" s="181"/>
      <c r="U268" s="162"/>
      <c r="V268" s="162"/>
      <c r="W268" s="162"/>
      <c r="X268" s="162"/>
      <c r="Y268" s="162"/>
      <c r="Z268" s="162"/>
      <c r="AA268" s="162"/>
      <c r="AB268" s="162"/>
      <c r="AC268" s="162"/>
      <c r="AD268" s="162"/>
      <c r="AE268" s="162"/>
      <c r="AF268" s="162"/>
      <c r="AG268" s="162"/>
      <c r="AH268" s="162"/>
      <c r="AI268" s="162"/>
      <c r="AJ268" s="162"/>
      <c r="AK268" s="162"/>
      <c r="AL268" s="162"/>
      <c r="AM268" s="162"/>
      <c r="AN268" s="162"/>
      <c r="AO268" s="162"/>
      <c r="AP268" s="162"/>
      <c r="AQ268" s="162"/>
      <c r="AR268" s="162"/>
      <c r="AS268" s="162"/>
      <c r="AT268" s="162"/>
      <c r="AU268" s="162"/>
      <c r="AV268" s="162"/>
      <c r="AW268" s="162"/>
      <c r="AX268" s="162"/>
      <c r="AY268" s="162"/>
      <c r="AZ268" s="162"/>
      <c r="BA268" s="162"/>
      <c r="BB268" s="162"/>
      <c r="BC268" s="162"/>
      <c r="BD268" s="162"/>
      <c r="BE268" s="162"/>
      <c r="BF268" s="162"/>
      <c r="BG268" s="162"/>
      <c r="BH268" s="162"/>
      <c r="BI268" s="162"/>
      <c r="BJ268" s="162"/>
      <c r="BK268" s="162"/>
      <c r="BL268" s="162"/>
    </row>
    <row r="269" spans="1:64" ht="15">
      <c r="A269" s="169"/>
      <c r="B269" s="270"/>
      <c r="C269" s="166"/>
      <c r="D269" s="168"/>
      <c r="E269" s="168"/>
      <c r="F269" s="168"/>
      <c r="G269" s="168"/>
      <c r="H269" s="164"/>
      <c r="I269" s="271"/>
      <c r="J269" s="163"/>
      <c r="K269" s="163"/>
      <c r="L269" s="163"/>
      <c r="M269" s="182"/>
      <c r="N269" s="181"/>
      <c r="O269" s="258"/>
      <c r="P269" s="182"/>
      <c r="Q269" s="201"/>
      <c r="R269" s="181"/>
      <c r="S269" s="181"/>
      <c r="T269" s="181"/>
      <c r="U269" s="162"/>
      <c r="V269" s="162"/>
      <c r="W269" s="162"/>
      <c r="X269" s="162"/>
      <c r="Y269" s="162"/>
      <c r="Z269" s="162"/>
      <c r="AA269" s="162"/>
      <c r="AB269" s="162"/>
      <c r="AC269" s="162"/>
      <c r="AD269" s="162"/>
      <c r="AE269" s="162"/>
      <c r="AF269" s="162"/>
      <c r="AG269" s="162"/>
      <c r="AH269" s="162"/>
      <c r="AI269" s="162"/>
      <c r="AJ269" s="162"/>
      <c r="AK269" s="162"/>
      <c r="AL269" s="162"/>
      <c r="AM269" s="162"/>
      <c r="AN269" s="162"/>
      <c r="AO269" s="162"/>
      <c r="AP269" s="162"/>
      <c r="AQ269" s="162"/>
      <c r="AR269" s="162"/>
      <c r="AS269" s="162"/>
      <c r="AT269" s="162"/>
      <c r="AU269" s="162"/>
      <c r="AV269" s="162"/>
      <c r="AW269" s="162"/>
      <c r="AX269" s="162"/>
      <c r="AY269" s="162"/>
      <c r="AZ269" s="162"/>
      <c r="BA269" s="162"/>
      <c r="BB269" s="162"/>
      <c r="BC269" s="162"/>
      <c r="BD269" s="162"/>
      <c r="BE269" s="162"/>
      <c r="BF269" s="162"/>
      <c r="BG269" s="162"/>
      <c r="BH269" s="162"/>
      <c r="BI269" s="162"/>
      <c r="BJ269" s="162"/>
      <c r="BK269" s="162"/>
      <c r="BL269" s="162"/>
    </row>
    <row r="270" spans="1:64" customFormat="1"/>
    <row r="271" spans="1:64" customFormat="1"/>
    <row r="272" spans="1:64" s="386" customFormat="1" ht="15.75">
      <c r="A272" s="319"/>
      <c r="B272" s="626"/>
      <c r="C272" s="319"/>
      <c r="D272" s="413"/>
      <c r="E272" s="413"/>
      <c r="F272" s="413"/>
      <c r="G272" s="413"/>
      <c r="H272" s="627"/>
      <c r="I272" s="628"/>
      <c r="J272" s="309"/>
      <c r="K272" s="629" t="s">
        <v>779</v>
      </c>
      <c r="L272" s="384"/>
      <c r="M272" s="401"/>
      <c r="N272" s="400"/>
      <c r="O272" s="401"/>
      <c r="P272" s="401"/>
      <c r="Q272" s="401"/>
      <c r="R272" s="400"/>
      <c r="S272" s="400"/>
      <c r="T272" s="400"/>
      <c r="U272" s="388"/>
      <c r="V272" s="388"/>
      <c r="W272" s="388"/>
      <c r="X272" s="388"/>
      <c r="Y272" s="388"/>
      <c r="Z272" s="388"/>
      <c r="AA272" s="388"/>
      <c r="AB272" s="388"/>
      <c r="AC272" s="388"/>
      <c r="AD272" s="388"/>
      <c r="AE272" s="388"/>
      <c r="AF272" s="388"/>
      <c r="AG272" s="388"/>
      <c r="AH272" s="388"/>
      <c r="AI272" s="388"/>
      <c r="AJ272" s="388"/>
      <c r="AK272" s="388"/>
      <c r="AL272" s="388"/>
      <c r="AM272" s="388"/>
      <c r="AN272" s="388"/>
      <c r="AO272" s="388"/>
      <c r="AP272" s="388"/>
      <c r="AQ272" s="388"/>
      <c r="AR272" s="388"/>
      <c r="AS272" s="388"/>
      <c r="AT272" s="388"/>
      <c r="AU272" s="388"/>
      <c r="AV272" s="388"/>
      <c r="AW272" s="388"/>
      <c r="AX272" s="388"/>
      <c r="AY272" s="388"/>
      <c r="AZ272" s="388"/>
      <c r="BA272" s="388"/>
      <c r="BB272" s="388"/>
      <c r="BC272" s="388"/>
      <c r="BD272" s="388"/>
      <c r="BE272" s="388"/>
      <c r="BF272" s="388"/>
      <c r="BG272" s="388"/>
      <c r="BH272" s="388"/>
      <c r="BI272" s="388"/>
      <c r="BJ272" s="388"/>
      <c r="BK272" s="388"/>
      <c r="BL272" s="388"/>
    </row>
    <row r="273" spans="1:64" s="386" customFormat="1" ht="15.75">
      <c r="A273" s="303"/>
      <c r="B273" s="309"/>
      <c r="C273" s="309"/>
      <c r="D273" s="303"/>
      <c r="E273" s="309"/>
      <c r="F273" s="309"/>
      <c r="G273" s="309"/>
      <c r="H273" s="627"/>
      <c r="I273" s="627"/>
      <c r="J273" s="303"/>
      <c r="K273" s="307" t="s">
        <v>471</v>
      </c>
      <c r="L273" s="566"/>
      <c r="M273" s="401"/>
      <c r="N273" s="400"/>
      <c r="O273" s="401"/>
      <c r="P273" s="401"/>
      <c r="Q273" s="401"/>
      <c r="R273" s="400"/>
      <c r="S273" s="400"/>
      <c r="T273" s="400"/>
      <c r="U273" s="388"/>
      <c r="V273" s="388"/>
      <c r="W273" s="388"/>
      <c r="X273" s="388"/>
      <c r="Y273" s="388"/>
      <c r="Z273" s="388"/>
      <c r="AA273" s="388"/>
      <c r="AB273" s="388"/>
      <c r="AC273" s="388"/>
      <c r="AD273" s="388"/>
      <c r="AE273" s="388"/>
      <c r="AF273" s="388"/>
      <c r="AG273" s="388"/>
      <c r="AH273" s="388"/>
      <c r="AI273" s="388"/>
      <c r="AJ273" s="388"/>
      <c r="AK273" s="388"/>
      <c r="AL273" s="388"/>
      <c r="AM273" s="388"/>
      <c r="AN273" s="388"/>
      <c r="AO273" s="388"/>
      <c r="AP273" s="388"/>
      <c r="AQ273" s="388"/>
      <c r="AR273" s="388"/>
      <c r="AS273" s="388"/>
      <c r="AT273" s="388"/>
      <c r="AU273" s="388"/>
      <c r="AV273" s="388"/>
      <c r="AW273" s="388"/>
      <c r="AX273" s="388"/>
      <c r="AY273" s="388"/>
      <c r="AZ273" s="388"/>
      <c r="BA273" s="388"/>
      <c r="BB273" s="388"/>
      <c r="BC273" s="388"/>
      <c r="BD273" s="388"/>
      <c r="BE273" s="388"/>
      <c r="BF273" s="388"/>
      <c r="BG273" s="388"/>
      <c r="BH273" s="388"/>
      <c r="BI273" s="388"/>
      <c r="BJ273" s="388"/>
      <c r="BK273" s="388"/>
      <c r="BL273" s="388"/>
    </row>
    <row r="274" spans="1:64" s="386" customFormat="1" ht="15.75">
      <c r="A274" s="319"/>
      <c r="B274" s="626" t="str">
        <f>B4</f>
        <v xml:space="preserve">Formula Rate - Non-Levelized </v>
      </c>
      <c r="C274" s="655" t="str">
        <f>D4</f>
        <v xml:space="preserve">   Rate Formula Template</v>
      </c>
      <c r="D274" s="655"/>
      <c r="E274" s="630"/>
      <c r="F274" s="630"/>
      <c r="G274" s="630"/>
      <c r="H274" s="631"/>
      <c r="I274" s="656" t="str">
        <f>I4</f>
        <v>For the 12 months ended 12/31/14</v>
      </c>
      <c r="J274" s="656"/>
      <c r="K274" s="656"/>
      <c r="L274" s="385"/>
      <c r="M274" s="401"/>
      <c r="N274" s="400"/>
      <c r="O274" s="272"/>
      <c r="P274" s="401"/>
      <c r="Q274" s="405"/>
      <c r="R274" s="400"/>
      <c r="S274" s="400"/>
      <c r="T274" s="400"/>
      <c r="U274" s="388"/>
      <c r="V274" s="388"/>
      <c r="W274" s="388"/>
      <c r="X274" s="388"/>
      <c r="Y274" s="388"/>
      <c r="Z274" s="388"/>
      <c r="AA274" s="388"/>
      <c r="AB274" s="388"/>
      <c r="AC274" s="388"/>
      <c r="AD274" s="388"/>
      <c r="AE274" s="388"/>
      <c r="AF274" s="388"/>
      <c r="AG274" s="388"/>
      <c r="AH274" s="388"/>
      <c r="AI274" s="388"/>
      <c r="AJ274" s="388"/>
      <c r="AK274" s="388"/>
      <c r="AL274" s="388"/>
      <c r="AM274" s="388"/>
      <c r="AN274" s="388"/>
      <c r="AO274" s="388"/>
      <c r="AP274" s="388"/>
      <c r="AQ274" s="388"/>
      <c r="AR274" s="388"/>
      <c r="AS274" s="388"/>
      <c r="AT274" s="388"/>
      <c r="AU274" s="388"/>
      <c r="AV274" s="388"/>
      <c r="AW274" s="388"/>
      <c r="AX274" s="388"/>
      <c r="AY274" s="388"/>
      <c r="AZ274" s="388"/>
      <c r="BA274" s="388"/>
      <c r="BB274" s="388"/>
      <c r="BC274" s="388"/>
      <c r="BD274" s="388"/>
      <c r="BE274" s="388"/>
      <c r="BF274" s="388"/>
      <c r="BG274" s="388"/>
      <c r="BH274" s="388"/>
      <c r="BI274" s="388"/>
      <c r="BJ274" s="388"/>
      <c r="BK274" s="388"/>
      <c r="BL274" s="388"/>
    </row>
    <row r="275" spans="1:64" s="386" customFormat="1" ht="15.75">
      <c r="A275" s="319"/>
      <c r="B275" s="626"/>
      <c r="C275" s="319"/>
      <c r="D275" s="630" t="str">
        <f>D5</f>
        <v>Utilizing EIA 412 Form Data</v>
      </c>
      <c r="E275" s="630"/>
      <c r="F275" s="630"/>
      <c r="G275" s="630"/>
      <c r="H275" s="627"/>
      <c r="I275" s="632"/>
      <c r="J275" s="633"/>
      <c r="K275" s="634"/>
      <c r="L275" s="385"/>
      <c r="M275" s="401"/>
      <c r="N275" s="400"/>
      <c r="O275" s="272"/>
      <c r="P275" s="401"/>
      <c r="Q275" s="405"/>
      <c r="R275" s="400"/>
      <c r="S275" s="400"/>
      <c r="T275" s="400"/>
      <c r="U275" s="388"/>
      <c r="V275" s="388"/>
      <c r="W275" s="388"/>
      <c r="X275" s="388"/>
      <c r="Y275" s="388"/>
      <c r="Z275" s="388"/>
      <c r="AA275" s="388"/>
      <c r="AB275" s="388"/>
      <c r="AC275" s="388"/>
      <c r="AD275" s="388"/>
      <c r="AE275" s="388"/>
      <c r="AF275" s="388"/>
      <c r="AG275" s="388"/>
      <c r="AH275" s="388"/>
      <c r="AI275" s="388"/>
      <c r="AJ275" s="388"/>
      <c r="AK275" s="388"/>
      <c r="AL275" s="388"/>
      <c r="AM275" s="388"/>
      <c r="AN275" s="388"/>
      <c r="AO275" s="388"/>
      <c r="AP275" s="388"/>
      <c r="AQ275" s="388"/>
      <c r="AR275" s="388"/>
      <c r="AS275" s="388"/>
      <c r="AT275" s="388"/>
      <c r="AU275" s="388"/>
      <c r="AV275" s="388"/>
      <c r="AW275" s="388"/>
      <c r="AX275" s="388"/>
      <c r="AY275" s="388"/>
      <c r="AZ275" s="388"/>
      <c r="BA275" s="388"/>
      <c r="BB275" s="388"/>
      <c r="BC275" s="388"/>
      <c r="BD275" s="388"/>
      <c r="BE275" s="388"/>
      <c r="BF275" s="388"/>
      <c r="BG275" s="388"/>
      <c r="BH275" s="388"/>
      <c r="BI275" s="388"/>
      <c r="BJ275" s="388"/>
      <c r="BK275" s="388"/>
      <c r="BL275" s="388"/>
    </row>
    <row r="276" spans="1:64" s="386" customFormat="1" ht="15.75">
      <c r="A276" s="319"/>
      <c r="B276" s="626"/>
      <c r="C276" s="319"/>
      <c r="D276" s="630" t="str">
        <f>D7</f>
        <v>Windom</v>
      </c>
      <c r="E276" s="630"/>
      <c r="F276" s="630"/>
      <c r="G276" s="630"/>
      <c r="H276" s="627"/>
      <c r="I276" s="632"/>
      <c r="J276" s="633"/>
      <c r="K276" s="634"/>
      <c r="L276" s="385"/>
      <c r="M276" s="401"/>
      <c r="N276" s="400"/>
      <c r="O276" s="272"/>
      <c r="P276" s="401"/>
      <c r="Q276" s="401"/>
      <c r="R276" s="400"/>
      <c r="S276" s="400"/>
      <c r="T276" s="400"/>
      <c r="U276" s="388"/>
      <c r="V276" s="388"/>
      <c r="W276" s="388"/>
      <c r="X276" s="388"/>
      <c r="Y276" s="388"/>
      <c r="Z276" s="388"/>
      <c r="AA276" s="388"/>
      <c r="AB276" s="388"/>
      <c r="AC276" s="388"/>
      <c r="AD276" s="388"/>
      <c r="AE276" s="388"/>
      <c r="AF276" s="388"/>
      <c r="AG276" s="388"/>
      <c r="AH276" s="388"/>
      <c r="AI276" s="388"/>
      <c r="AJ276" s="388"/>
      <c r="AK276" s="388"/>
      <c r="AL276" s="388"/>
      <c r="AM276" s="388"/>
      <c r="AN276" s="388"/>
      <c r="AO276" s="388"/>
      <c r="AP276" s="388"/>
      <c r="AQ276" s="388"/>
      <c r="AR276" s="388"/>
      <c r="AS276" s="388"/>
      <c r="AT276" s="388"/>
      <c r="AU276" s="388"/>
      <c r="AV276" s="388"/>
      <c r="AW276" s="388"/>
      <c r="AX276" s="388"/>
      <c r="AY276" s="388"/>
      <c r="AZ276" s="388"/>
      <c r="BA276" s="388"/>
      <c r="BB276" s="388"/>
      <c r="BC276" s="388"/>
      <c r="BD276" s="388"/>
      <c r="BE276" s="388"/>
      <c r="BF276" s="388"/>
      <c r="BG276" s="388"/>
      <c r="BH276" s="388"/>
      <c r="BI276" s="388"/>
      <c r="BJ276" s="388"/>
      <c r="BK276" s="388"/>
      <c r="BL276" s="388"/>
    </row>
    <row r="277" spans="1:64" s="386" customFormat="1" ht="20.25">
      <c r="A277" s="319"/>
      <c r="B277" s="309" t="s">
        <v>472</v>
      </c>
      <c r="C277" s="319"/>
      <c r="D277" s="630"/>
      <c r="E277" s="630"/>
      <c r="F277" s="630"/>
      <c r="G277" s="630"/>
      <c r="H277" s="627"/>
      <c r="I277" s="630"/>
      <c r="J277" s="633"/>
      <c r="K277" s="634"/>
      <c r="L277" s="273"/>
      <c r="M277" s="401"/>
      <c r="N277" s="400"/>
      <c r="O277" s="274"/>
      <c r="P277" s="401"/>
      <c r="Q277" s="401"/>
      <c r="R277" s="400"/>
      <c r="S277" s="400"/>
      <c r="T277" s="400"/>
      <c r="U277" s="388"/>
      <c r="V277" s="388"/>
      <c r="W277" s="388"/>
      <c r="X277" s="388"/>
      <c r="Y277" s="388"/>
      <c r="Z277" s="388"/>
      <c r="AA277" s="388"/>
      <c r="AB277" s="388"/>
      <c r="AC277" s="388"/>
      <c r="AD277" s="388"/>
      <c r="AE277" s="388"/>
      <c r="AF277" s="388"/>
      <c r="AG277" s="388"/>
      <c r="AH277" s="388"/>
      <c r="AI277" s="388"/>
      <c r="AJ277" s="388"/>
      <c r="AK277" s="388"/>
      <c r="AL277" s="388"/>
      <c r="AM277" s="388"/>
      <c r="AN277" s="388"/>
      <c r="AO277" s="388"/>
      <c r="AP277" s="388"/>
      <c r="AQ277" s="388"/>
      <c r="AR277" s="388"/>
      <c r="AS277" s="388"/>
      <c r="AT277" s="388"/>
      <c r="AU277" s="388"/>
      <c r="AV277" s="388"/>
      <c r="AW277" s="388"/>
      <c r="AX277" s="388"/>
      <c r="AY277" s="388"/>
      <c r="AZ277" s="388"/>
      <c r="BA277" s="388"/>
      <c r="BB277" s="388"/>
      <c r="BC277" s="388"/>
      <c r="BD277" s="388"/>
      <c r="BE277" s="388"/>
      <c r="BF277" s="388"/>
      <c r="BG277" s="388"/>
      <c r="BH277" s="388"/>
      <c r="BI277" s="388"/>
      <c r="BJ277" s="388"/>
      <c r="BK277" s="388"/>
      <c r="BL277" s="388"/>
    </row>
    <row r="278" spans="1:64" s="386" customFormat="1" ht="20.25">
      <c r="A278" s="319"/>
      <c r="B278" s="635" t="s">
        <v>1800</v>
      </c>
      <c r="C278" s="319"/>
      <c r="D278" s="630"/>
      <c r="E278" s="630"/>
      <c r="F278" s="630"/>
      <c r="G278" s="630"/>
      <c r="H278" s="627"/>
      <c r="I278" s="630"/>
      <c r="J278" s="627"/>
      <c r="K278" s="630"/>
      <c r="L278" s="273"/>
      <c r="M278" s="401"/>
      <c r="N278" s="400"/>
      <c r="O278" s="274"/>
      <c r="P278" s="401"/>
      <c r="Q278" s="401"/>
      <c r="R278" s="400"/>
      <c r="S278" s="400"/>
      <c r="T278" s="400"/>
      <c r="U278" s="388"/>
      <c r="V278" s="388"/>
      <c r="W278" s="388"/>
      <c r="X278" s="388"/>
      <c r="Y278" s="388"/>
      <c r="Z278" s="388"/>
      <c r="AA278" s="388"/>
      <c r="AB278" s="388"/>
      <c r="AC278" s="388"/>
      <c r="AD278" s="388"/>
      <c r="AE278" s="388"/>
      <c r="AF278" s="388"/>
      <c r="AG278" s="388"/>
      <c r="AH278" s="388"/>
      <c r="AI278" s="388"/>
      <c r="AJ278" s="388"/>
      <c r="AK278" s="388"/>
      <c r="AL278" s="388"/>
      <c r="AM278" s="388"/>
      <c r="AN278" s="388"/>
      <c r="AO278" s="388"/>
      <c r="AP278" s="388"/>
      <c r="AQ278" s="388"/>
      <c r="AR278" s="388"/>
      <c r="AS278" s="388"/>
      <c r="AT278" s="388"/>
      <c r="AU278" s="388"/>
      <c r="AV278" s="388"/>
      <c r="AW278" s="388"/>
      <c r="AX278" s="388"/>
      <c r="AY278" s="388"/>
      <c r="AZ278" s="388"/>
      <c r="BA278" s="388"/>
      <c r="BB278" s="388"/>
      <c r="BC278" s="388"/>
      <c r="BD278" s="388"/>
      <c r="BE278" s="388"/>
      <c r="BF278" s="388"/>
      <c r="BG278" s="388"/>
      <c r="BH278" s="388"/>
      <c r="BI278" s="388"/>
      <c r="BJ278" s="388"/>
      <c r="BK278" s="388"/>
      <c r="BL278" s="388"/>
    </row>
    <row r="279" spans="1:64" s="386" customFormat="1" ht="20.25">
      <c r="A279" s="303"/>
      <c r="B279" s="635" t="s">
        <v>1801</v>
      </c>
      <c r="C279" s="319"/>
      <c r="D279" s="630"/>
      <c r="E279" s="630"/>
      <c r="F279" s="630"/>
      <c r="G279" s="630"/>
      <c r="H279" s="627"/>
      <c r="I279" s="630"/>
      <c r="J279" s="627"/>
      <c r="K279" s="630"/>
      <c r="L279" s="273"/>
      <c r="M279" s="401"/>
      <c r="N279" s="400"/>
      <c r="O279" s="274"/>
      <c r="P279" s="401"/>
      <c r="Q279" s="401"/>
      <c r="R279" s="400"/>
      <c r="S279" s="400"/>
      <c r="T279" s="400"/>
      <c r="U279" s="388"/>
      <c r="V279" s="388"/>
      <c r="W279" s="388"/>
      <c r="X279" s="388"/>
      <c r="Y279" s="388"/>
      <c r="Z279" s="388"/>
      <c r="AA279" s="388"/>
      <c r="AB279" s="388"/>
      <c r="AC279" s="388"/>
      <c r="AD279" s="388"/>
      <c r="AE279" s="388"/>
      <c r="AF279" s="388"/>
      <c r="AG279" s="388"/>
      <c r="AH279" s="388"/>
      <c r="AI279" s="388"/>
      <c r="AJ279" s="388"/>
      <c r="AK279" s="388"/>
      <c r="AL279" s="388"/>
      <c r="AM279" s="388"/>
      <c r="AN279" s="388"/>
      <c r="AO279" s="388"/>
      <c r="AP279" s="388"/>
      <c r="AQ279" s="388"/>
      <c r="AR279" s="388"/>
      <c r="AS279" s="388"/>
      <c r="AT279" s="388"/>
      <c r="AU279" s="388"/>
      <c r="AV279" s="388"/>
      <c r="AW279" s="388"/>
      <c r="AX279" s="388"/>
      <c r="AY279" s="388"/>
      <c r="AZ279" s="388"/>
      <c r="BA279" s="388"/>
      <c r="BB279" s="388"/>
      <c r="BC279" s="388"/>
      <c r="BD279" s="388"/>
      <c r="BE279" s="388"/>
      <c r="BF279" s="388"/>
      <c r="BG279" s="388"/>
      <c r="BH279" s="388"/>
      <c r="BI279" s="388"/>
      <c r="BJ279" s="388"/>
      <c r="BK279" s="388"/>
      <c r="BL279" s="388"/>
    </row>
    <row r="280" spans="1:64" s="386" customFormat="1" ht="20.25">
      <c r="A280" s="319" t="s">
        <v>473</v>
      </c>
      <c r="B280" s="309" t="s">
        <v>1802</v>
      </c>
      <c r="C280" s="627"/>
      <c r="D280" s="630"/>
      <c r="E280" s="630"/>
      <c r="F280" s="630"/>
      <c r="G280" s="636"/>
      <c r="H280" s="627"/>
      <c r="I280" s="630"/>
      <c r="J280" s="627"/>
      <c r="K280" s="630"/>
      <c r="L280" s="273"/>
      <c r="M280" s="401"/>
      <c r="N280" s="400"/>
      <c r="O280" s="274"/>
      <c r="P280" s="401"/>
      <c r="Q280" s="401"/>
      <c r="R280" s="400"/>
      <c r="S280" s="400"/>
      <c r="T280" s="400"/>
      <c r="U280" s="388"/>
      <c r="V280" s="388"/>
      <c r="W280" s="388"/>
      <c r="X280" s="388"/>
      <c r="Y280" s="388"/>
      <c r="Z280" s="388"/>
      <c r="AA280" s="388"/>
      <c r="AB280" s="388"/>
      <c r="AC280" s="388"/>
      <c r="AD280" s="388"/>
      <c r="AE280" s="388"/>
      <c r="AF280" s="388"/>
      <c r="AG280" s="388"/>
      <c r="AH280" s="388"/>
      <c r="AI280" s="388"/>
      <c r="AJ280" s="388"/>
      <c r="AK280" s="388"/>
      <c r="AL280" s="388"/>
      <c r="AM280" s="388"/>
      <c r="AN280" s="388"/>
      <c r="AO280" s="388"/>
      <c r="AP280" s="388"/>
      <c r="AQ280" s="388"/>
      <c r="AR280" s="388"/>
      <c r="AS280" s="388"/>
      <c r="AT280" s="388"/>
      <c r="AU280" s="388"/>
      <c r="AV280" s="388"/>
      <c r="AW280" s="388"/>
      <c r="AX280" s="388"/>
      <c r="AY280" s="388"/>
      <c r="AZ280" s="388"/>
      <c r="BA280" s="388"/>
      <c r="BB280" s="388"/>
      <c r="BC280" s="388"/>
      <c r="BD280" s="388"/>
      <c r="BE280" s="388"/>
      <c r="BF280" s="388"/>
      <c r="BG280" s="388"/>
      <c r="BH280" s="388"/>
      <c r="BI280" s="388"/>
      <c r="BJ280" s="388"/>
      <c r="BK280" s="388"/>
      <c r="BL280" s="388"/>
    </row>
    <row r="281" spans="1:64" s="386" customFormat="1" ht="21" thickBot="1">
      <c r="A281" s="637" t="s">
        <v>474</v>
      </c>
      <c r="B281" s="303"/>
      <c r="C281" s="627"/>
      <c r="D281" s="630"/>
      <c r="E281" s="630"/>
      <c r="F281" s="630"/>
      <c r="G281" s="630"/>
      <c r="H281" s="627"/>
      <c r="I281" s="630"/>
      <c r="J281" s="627"/>
      <c r="K281" s="630"/>
      <c r="L281" s="273"/>
      <c r="M281" s="401"/>
      <c r="N281" s="400"/>
      <c r="O281" s="274"/>
      <c r="P281" s="401"/>
      <c r="Q281" s="401"/>
      <c r="R281" s="400"/>
      <c r="S281" s="400"/>
      <c r="T281" s="400"/>
      <c r="U281" s="388"/>
      <c r="V281" s="388"/>
      <c r="W281" s="388"/>
      <c r="X281" s="388"/>
      <c r="Y281" s="388"/>
      <c r="Z281" s="388"/>
      <c r="AA281" s="388"/>
      <c r="AB281" s="388"/>
      <c r="AC281" s="388"/>
      <c r="AD281" s="388"/>
      <c r="AE281" s="388"/>
      <c r="AF281" s="388"/>
      <c r="AG281" s="388"/>
      <c r="AH281" s="388"/>
      <c r="AI281" s="388"/>
      <c r="AJ281" s="388"/>
      <c r="AK281" s="388"/>
      <c r="AL281" s="388"/>
      <c r="AM281" s="388"/>
      <c r="AN281" s="388"/>
      <c r="AO281" s="388"/>
      <c r="AP281" s="388"/>
      <c r="AQ281" s="388"/>
      <c r="AR281" s="388"/>
      <c r="AS281" s="388"/>
      <c r="AT281" s="388"/>
      <c r="AU281" s="388"/>
      <c r="AV281" s="388"/>
      <c r="AW281" s="388"/>
      <c r="AX281" s="388"/>
      <c r="AY281" s="388"/>
      <c r="AZ281" s="388"/>
      <c r="BA281" s="388"/>
      <c r="BB281" s="388"/>
      <c r="BC281" s="388"/>
      <c r="BD281" s="388"/>
      <c r="BE281" s="388"/>
      <c r="BF281" s="388"/>
      <c r="BG281" s="388"/>
      <c r="BH281" s="388"/>
      <c r="BI281" s="388"/>
      <c r="BJ281" s="388"/>
      <c r="BK281" s="388"/>
      <c r="BL281" s="388"/>
    </row>
    <row r="282" spans="1:64" s="386" customFormat="1" ht="42" customHeight="1">
      <c r="A282" s="366" t="s">
        <v>475</v>
      </c>
      <c r="B282" s="652" t="s">
        <v>1803</v>
      </c>
      <c r="C282" s="652"/>
      <c r="D282" s="652"/>
      <c r="E282" s="652"/>
      <c r="F282" s="652"/>
      <c r="G282" s="652"/>
      <c r="H282" s="652"/>
      <c r="I282" s="652"/>
      <c r="J282" s="652"/>
      <c r="K282" s="652"/>
      <c r="L282" s="273"/>
      <c r="M282" s="401"/>
      <c r="N282" s="400"/>
      <c r="O282" s="274"/>
      <c r="P282" s="401"/>
      <c r="Q282" s="401"/>
      <c r="R282" s="400"/>
      <c r="S282" s="400"/>
      <c r="T282" s="400"/>
      <c r="U282" s="388"/>
      <c r="V282" s="388"/>
      <c r="W282" s="388"/>
      <c r="X282" s="388"/>
      <c r="Y282" s="388"/>
      <c r="Z282" s="388"/>
      <c r="AA282" s="388"/>
      <c r="AB282" s="388"/>
      <c r="AC282" s="388"/>
      <c r="AD282" s="388"/>
      <c r="AE282" s="388"/>
      <c r="AF282" s="388"/>
      <c r="AG282" s="388"/>
      <c r="AH282" s="388"/>
      <c r="AI282" s="388"/>
      <c r="AJ282" s="388"/>
      <c r="AK282" s="388"/>
      <c r="AL282" s="388"/>
      <c r="AM282" s="388"/>
      <c r="AN282" s="388"/>
      <c r="AO282" s="388"/>
      <c r="AP282" s="388"/>
      <c r="AQ282" s="388"/>
      <c r="AR282" s="388"/>
      <c r="AS282" s="388"/>
      <c r="AT282" s="388"/>
      <c r="AU282" s="388"/>
      <c r="AV282" s="388"/>
      <c r="AW282" s="388"/>
      <c r="AX282" s="388"/>
      <c r="AY282" s="388"/>
      <c r="AZ282" s="388"/>
      <c r="BA282" s="388"/>
      <c r="BB282" s="388"/>
      <c r="BC282" s="388"/>
      <c r="BD282" s="388"/>
      <c r="BE282" s="388"/>
      <c r="BF282" s="388"/>
      <c r="BG282" s="388"/>
      <c r="BH282" s="388"/>
      <c r="BI282" s="388"/>
      <c r="BJ282" s="388"/>
      <c r="BK282" s="388"/>
      <c r="BL282" s="388"/>
    </row>
    <row r="283" spans="1:64" s="386" customFormat="1" ht="60.75" customHeight="1">
      <c r="A283" s="366" t="s">
        <v>476</v>
      </c>
      <c r="B283" s="652" t="s">
        <v>1804</v>
      </c>
      <c r="C283" s="652"/>
      <c r="D283" s="652"/>
      <c r="E283" s="652"/>
      <c r="F283" s="652"/>
      <c r="G283" s="652"/>
      <c r="H283" s="652"/>
      <c r="I283" s="652"/>
      <c r="J283" s="652"/>
      <c r="K283" s="652"/>
      <c r="L283" s="273"/>
      <c r="M283" s="401"/>
      <c r="N283" s="400"/>
      <c r="O283" s="274"/>
      <c r="P283" s="275"/>
      <c r="Q283" s="401"/>
      <c r="R283" s="400"/>
      <c r="S283" s="400"/>
      <c r="T283" s="400"/>
      <c r="U283" s="388"/>
      <c r="V283" s="388"/>
      <c r="W283" s="388"/>
      <c r="X283" s="388"/>
      <c r="Y283" s="388"/>
      <c r="Z283" s="388"/>
      <c r="AA283" s="388"/>
      <c r="AB283" s="388"/>
      <c r="AC283" s="388"/>
      <c r="AD283" s="388"/>
      <c r="AE283" s="388"/>
      <c r="AF283" s="388"/>
      <c r="AG283" s="388"/>
      <c r="AH283" s="388"/>
      <c r="AI283" s="388"/>
      <c r="AJ283" s="388"/>
      <c r="AK283" s="388"/>
      <c r="AL283" s="388"/>
      <c r="AM283" s="388"/>
      <c r="AN283" s="388"/>
      <c r="AO283" s="388"/>
      <c r="AP283" s="388"/>
      <c r="AQ283" s="388"/>
      <c r="AR283" s="388"/>
      <c r="AS283" s="388"/>
      <c r="AT283" s="388"/>
      <c r="AU283" s="388"/>
      <c r="AV283" s="388"/>
      <c r="AW283" s="388"/>
      <c r="AX283" s="388"/>
      <c r="AY283" s="388"/>
      <c r="AZ283" s="388"/>
      <c r="BA283" s="388"/>
      <c r="BB283" s="388"/>
      <c r="BC283" s="388"/>
      <c r="BD283" s="388"/>
      <c r="BE283" s="388"/>
      <c r="BF283" s="388"/>
      <c r="BG283" s="388"/>
      <c r="BH283" s="388"/>
      <c r="BI283" s="388"/>
      <c r="BJ283" s="388"/>
      <c r="BK283" s="388"/>
      <c r="BL283" s="388"/>
    </row>
    <row r="284" spans="1:64" s="386" customFormat="1" ht="20.25">
      <c r="A284" s="366" t="s">
        <v>477</v>
      </c>
      <c r="B284" s="652" t="s">
        <v>1805</v>
      </c>
      <c r="C284" s="652"/>
      <c r="D284" s="652"/>
      <c r="E284" s="652"/>
      <c r="F284" s="652"/>
      <c r="G284" s="652"/>
      <c r="H284" s="652"/>
      <c r="I284" s="652"/>
      <c r="J284" s="652"/>
      <c r="K284" s="652"/>
      <c r="L284" s="273"/>
      <c r="M284" s="401"/>
      <c r="N284" s="400"/>
      <c r="O284" s="274"/>
      <c r="P284" s="401"/>
      <c r="Q284" s="401"/>
      <c r="R284" s="400"/>
      <c r="S284" s="400"/>
      <c r="T284" s="400"/>
      <c r="U284" s="388"/>
      <c r="V284" s="388"/>
      <c r="W284" s="388"/>
      <c r="X284" s="388"/>
      <c r="Y284" s="388"/>
      <c r="Z284" s="388"/>
      <c r="AA284" s="388"/>
      <c r="AB284" s="388"/>
      <c r="AC284" s="388"/>
      <c r="AD284" s="388"/>
      <c r="AE284" s="388"/>
      <c r="AF284" s="388"/>
      <c r="AG284" s="388"/>
      <c r="AH284" s="388"/>
      <c r="AI284" s="388"/>
      <c r="AJ284" s="388"/>
      <c r="AK284" s="388"/>
      <c r="AL284" s="388"/>
      <c r="AM284" s="388"/>
      <c r="AN284" s="388"/>
      <c r="AO284" s="388"/>
      <c r="AP284" s="388"/>
      <c r="AQ284" s="388"/>
      <c r="AR284" s="388"/>
      <c r="AS284" s="388"/>
      <c r="AT284" s="388"/>
      <c r="AU284" s="388"/>
      <c r="AV284" s="388"/>
      <c r="AW284" s="388"/>
      <c r="AX284" s="388"/>
      <c r="AY284" s="388"/>
      <c r="AZ284" s="388"/>
      <c r="BA284" s="388"/>
      <c r="BB284" s="388"/>
      <c r="BC284" s="388"/>
      <c r="BD284" s="388"/>
      <c r="BE284" s="388"/>
      <c r="BF284" s="388"/>
      <c r="BG284" s="388"/>
      <c r="BH284" s="388"/>
      <c r="BI284" s="388"/>
      <c r="BJ284" s="388"/>
      <c r="BK284" s="388"/>
      <c r="BL284" s="388"/>
    </row>
    <row r="285" spans="1:64" s="386" customFormat="1" ht="20.25">
      <c r="A285" s="366" t="s">
        <v>478</v>
      </c>
      <c r="B285" s="652" t="s">
        <v>1805</v>
      </c>
      <c r="C285" s="652"/>
      <c r="D285" s="652"/>
      <c r="E285" s="652"/>
      <c r="F285" s="652"/>
      <c r="G285" s="652"/>
      <c r="H285" s="652"/>
      <c r="I285" s="652"/>
      <c r="J285" s="652"/>
      <c r="K285" s="652"/>
      <c r="L285" s="273"/>
      <c r="M285" s="401"/>
      <c r="N285" s="400"/>
      <c r="O285" s="274"/>
      <c r="P285" s="401"/>
      <c r="Q285" s="401"/>
      <c r="R285" s="400"/>
      <c r="S285" s="400"/>
      <c r="T285" s="400"/>
      <c r="U285" s="388"/>
      <c r="V285" s="388"/>
      <c r="W285" s="388"/>
      <c r="X285" s="388"/>
      <c r="Y285" s="388"/>
      <c r="Z285" s="388"/>
      <c r="AA285" s="388"/>
      <c r="AB285" s="388"/>
      <c r="AC285" s="388"/>
      <c r="AD285" s="388"/>
      <c r="AE285" s="388"/>
      <c r="AF285" s="388"/>
      <c r="AG285" s="388"/>
      <c r="AH285" s="388"/>
      <c r="AI285" s="388"/>
      <c r="AJ285" s="388"/>
      <c r="AK285" s="388"/>
      <c r="AL285" s="388"/>
      <c r="AM285" s="388"/>
      <c r="AN285" s="388"/>
      <c r="AO285" s="388"/>
      <c r="AP285" s="388"/>
      <c r="AQ285" s="388"/>
      <c r="AR285" s="388"/>
      <c r="AS285" s="388"/>
      <c r="AT285" s="388"/>
      <c r="AU285" s="388"/>
      <c r="AV285" s="388"/>
      <c r="AW285" s="388"/>
      <c r="AX285" s="388"/>
      <c r="AY285" s="388"/>
      <c r="AZ285" s="388"/>
      <c r="BA285" s="388"/>
      <c r="BB285" s="388"/>
      <c r="BC285" s="388"/>
      <c r="BD285" s="388"/>
      <c r="BE285" s="388"/>
      <c r="BF285" s="388"/>
      <c r="BG285" s="388"/>
      <c r="BH285" s="388"/>
      <c r="BI285" s="388"/>
      <c r="BJ285" s="388"/>
      <c r="BK285" s="388"/>
      <c r="BL285" s="388"/>
    </row>
    <row r="286" spans="1:64" s="386" customFormat="1" ht="20.25">
      <c r="A286" s="366" t="s">
        <v>479</v>
      </c>
      <c r="B286" s="652" t="s">
        <v>1806</v>
      </c>
      <c r="C286" s="652"/>
      <c r="D286" s="652"/>
      <c r="E286" s="652"/>
      <c r="F286" s="652"/>
      <c r="G286" s="652"/>
      <c r="H286" s="652"/>
      <c r="I286" s="652"/>
      <c r="J286" s="652"/>
      <c r="K286" s="652"/>
      <c r="L286" s="273"/>
      <c r="M286" s="401"/>
      <c r="N286" s="400"/>
      <c r="O286" s="274"/>
      <c r="P286" s="401"/>
      <c r="Q286" s="401"/>
      <c r="R286" s="400"/>
      <c r="S286" s="400"/>
      <c r="T286" s="400"/>
      <c r="U286" s="388"/>
      <c r="V286" s="388"/>
      <c r="W286" s="388"/>
      <c r="X286" s="388"/>
      <c r="Y286" s="388"/>
      <c r="Z286" s="388"/>
      <c r="AA286" s="388"/>
      <c r="AB286" s="388"/>
      <c r="AC286" s="388"/>
      <c r="AD286" s="388"/>
      <c r="AE286" s="388"/>
      <c r="AF286" s="388"/>
      <c r="AG286" s="388"/>
      <c r="AH286" s="388"/>
      <c r="AI286" s="388"/>
      <c r="AJ286" s="388"/>
      <c r="AK286" s="388"/>
      <c r="AL286" s="388"/>
      <c r="AM286" s="388"/>
      <c r="AN286" s="388"/>
      <c r="AO286" s="388"/>
      <c r="AP286" s="388"/>
      <c r="AQ286" s="388"/>
      <c r="AR286" s="388"/>
      <c r="AS286" s="388"/>
      <c r="AT286" s="388"/>
      <c r="AU286" s="388"/>
      <c r="AV286" s="388"/>
      <c r="AW286" s="388"/>
      <c r="AX286" s="388"/>
      <c r="AY286" s="388"/>
      <c r="AZ286" s="388"/>
      <c r="BA286" s="388"/>
      <c r="BB286" s="388"/>
      <c r="BC286" s="388"/>
      <c r="BD286" s="388"/>
      <c r="BE286" s="388"/>
      <c r="BF286" s="388"/>
      <c r="BG286" s="388"/>
      <c r="BH286" s="388"/>
      <c r="BI286" s="388"/>
      <c r="BJ286" s="388"/>
      <c r="BK286" s="388"/>
      <c r="BL286" s="388"/>
    </row>
    <row r="287" spans="1:64" s="386" customFormat="1" ht="38.25" customHeight="1">
      <c r="A287" s="366" t="s">
        <v>480</v>
      </c>
      <c r="B287" s="651" t="s">
        <v>1807</v>
      </c>
      <c r="C287" s="651"/>
      <c r="D287" s="651"/>
      <c r="E287" s="651"/>
      <c r="F287" s="651"/>
      <c r="G287" s="651"/>
      <c r="H287" s="651"/>
      <c r="I287" s="651"/>
      <c r="J287" s="651"/>
      <c r="K287" s="651"/>
      <c r="L287" s="273"/>
      <c r="M287" s="401"/>
      <c r="N287" s="400"/>
      <c r="O287" s="274"/>
      <c r="P287" s="401"/>
      <c r="Q287" s="401"/>
      <c r="R287" s="400"/>
      <c r="S287" s="400"/>
      <c r="T287" s="400"/>
      <c r="U287" s="388"/>
      <c r="V287" s="388"/>
      <c r="W287" s="388"/>
      <c r="X287" s="388"/>
      <c r="Y287" s="388"/>
      <c r="Z287" s="388"/>
      <c r="AA287" s="388"/>
      <c r="AB287" s="388"/>
      <c r="AC287" s="388"/>
      <c r="AD287" s="388"/>
      <c r="AE287" s="388"/>
      <c r="AF287" s="388"/>
      <c r="AG287" s="388"/>
      <c r="AH287" s="388"/>
      <c r="AI287" s="388"/>
      <c r="AJ287" s="388"/>
      <c r="AK287" s="388"/>
      <c r="AL287" s="388"/>
      <c r="AM287" s="388"/>
      <c r="AN287" s="388"/>
      <c r="AO287" s="388"/>
      <c r="AP287" s="388"/>
      <c r="AQ287" s="388"/>
      <c r="AR287" s="388"/>
      <c r="AS287" s="388"/>
      <c r="AT287" s="388"/>
      <c r="AU287" s="388"/>
      <c r="AV287" s="388"/>
      <c r="AW287" s="388"/>
      <c r="AX287" s="388"/>
      <c r="AY287" s="388"/>
      <c r="AZ287" s="388"/>
      <c r="BA287" s="388"/>
      <c r="BB287" s="388"/>
      <c r="BC287" s="388"/>
      <c r="BD287" s="388"/>
      <c r="BE287" s="388"/>
      <c r="BF287" s="388"/>
      <c r="BG287" s="388"/>
      <c r="BH287" s="388"/>
      <c r="BI287" s="388"/>
      <c r="BJ287" s="388"/>
      <c r="BK287" s="388"/>
      <c r="BL287" s="388"/>
    </row>
    <row r="288" spans="1:64" s="386" customFormat="1" ht="20.25">
      <c r="A288" s="366" t="s">
        <v>481</v>
      </c>
      <c r="B288" s="651" t="s">
        <v>482</v>
      </c>
      <c r="C288" s="651"/>
      <c r="D288" s="651"/>
      <c r="E288" s="651"/>
      <c r="F288" s="651"/>
      <c r="G288" s="651"/>
      <c r="H288" s="651"/>
      <c r="I288" s="651"/>
      <c r="J288" s="651"/>
      <c r="K288" s="651"/>
      <c r="L288" s="273"/>
      <c r="M288" s="401"/>
      <c r="N288" s="400"/>
      <c r="O288" s="274"/>
      <c r="P288" s="401"/>
      <c r="Q288" s="401"/>
      <c r="R288" s="400"/>
      <c r="S288" s="400"/>
      <c r="T288" s="400"/>
      <c r="U288" s="388"/>
      <c r="V288" s="388"/>
      <c r="W288" s="388"/>
      <c r="X288" s="388"/>
      <c r="Y288" s="388"/>
      <c r="Z288" s="388"/>
      <c r="AA288" s="388"/>
      <c r="AB288" s="388"/>
      <c r="AC288" s="388"/>
      <c r="AD288" s="388"/>
      <c r="AE288" s="388"/>
      <c r="AF288" s="388"/>
      <c r="AG288" s="388"/>
      <c r="AH288" s="388"/>
      <c r="AI288" s="388"/>
      <c r="AJ288" s="388"/>
      <c r="AK288" s="388"/>
      <c r="AL288" s="388"/>
      <c r="AM288" s="388"/>
      <c r="AN288" s="388"/>
      <c r="AO288" s="388"/>
      <c r="AP288" s="388"/>
      <c r="AQ288" s="388"/>
      <c r="AR288" s="388"/>
      <c r="AS288" s="388"/>
      <c r="AT288" s="388"/>
      <c r="AU288" s="388"/>
      <c r="AV288" s="388"/>
      <c r="AW288" s="388"/>
      <c r="AX288" s="388"/>
      <c r="AY288" s="388"/>
      <c r="AZ288" s="388"/>
      <c r="BA288" s="388"/>
      <c r="BB288" s="388"/>
      <c r="BC288" s="388"/>
      <c r="BD288" s="388"/>
      <c r="BE288" s="388"/>
      <c r="BF288" s="388"/>
      <c r="BG288" s="388"/>
      <c r="BH288" s="388"/>
      <c r="BI288" s="388"/>
      <c r="BJ288" s="388"/>
      <c r="BK288" s="388"/>
      <c r="BL288" s="388"/>
    </row>
    <row r="289" spans="1:64" s="386" customFormat="1" ht="42" customHeight="1">
      <c r="A289" s="366" t="s">
        <v>483</v>
      </c>
      <c r="B289" s="651" t="s">
        <v>1808</v>
      </c>
      <c r="C289" s="651"/>
      <c r="D289" s="651"/>
      <c r="E289" s="651"/>
      <c r="F289" s="651"/>
      <c r="G289" s="651"/>
      <c r="H289" s="651"/>
      <c r="I289" s="651"/>
      <c r="J289" s="651"/>
      <c r="K289" s="651"/>
      <c r="L289" s="273"/>
      <c r="M289" s="401"/>
      <c r="N289" s="400"/>
      <c r="O289" s="274"/>
      <c r="P289" s="401"/>
      <c r="Q289" s="401"/>
      <c r="R289" s="400"/>
      <c r="S289" s="400"/>
      <c r="T289" s="400"/>
      <c r="U289" s="388"/>
      <c r="V289" s="388"/>
      <c r="W289" s="388"/>
      <c r="X289" s="388"/>
      <c r="Y289" s="388"/>
      <c r="Z289" s="388"/>
      <c r="AA289" s="388"/>
      <c r="AB289" s="388"/>
      <c r="AC289" s="388"/>
      <c r="AD289" s="388"/>
      <c r="AE289" s="388"/>
      <c r="AF289" s="388"/>
      <c r="AG289" s="388"/>
      <c r="AH289" s="388"/>
      <c r="AI289" s="388"/>
      <c r="AJ289" s="388"/>
      <c r="AK289" s="388"/>
      <c r="AL289" s="388"/>
      <c r="AM289" s="388"/>
      <c r="AN289" s="388"/>
      <c r="AO289" s="388"/>
      <c r="AP289" s="388"/>
      <c r="AQ289" s="388"/>
      <c r="AR289" s="388"/>
      <c r="AS289" s="388"/>
      <c r="AT289" s="388"/>
      <c r="AU289" s="388"/>
      <c r="AV289" s="388"/>
      <c r="AW289" s="388"/>
      <c r="AX289" s="388"/>
      <c r="AY289" s="388"/>
      <c r="AZ289" s="388"/>
      <c r="BA289" s="388"/>
      <c r="BB289" s="388"/>
      <c r="BC289" s="388"/>
      <c r="BD289" s="388"/>
      <c r="BE289" s="388"/>
      <c r="BF289" s="388"/>
      <c r="BG289" s="388"/>
      <c r="BH289" s="388"/>
      <c r="BI289" s="388"/>
      <c r="BJ289" s="388"/>
      <c r="BK289" s="388"/>
      <c r="BL289" s="388"/>
    </row>
    <row r="290" spans="1:64" s="386" customFormat="1" ht="41.25" customHeight="1">
      <c r="A290" s="366" t="s">
        <v>484</v>
      </c>
      <c r="B290" s="652" t="s">
        <v>1809</v>
      </c>
      <c r="C290" s="652"/>
      <c r="D290" s="652"/>
      <c r="E290" s="652"/>
      <c r="F290" s="652"/>
      <c r="G290" s="652"/>
      <c r="H290" s="652"/>
      <c r="I290" s="652"/>
      <c r="J290" s="652"/>
      <c r="K290" s="652"/>
      <c r="L290" s="273"/>
      <c r="M290" s="401"/>
      <c r="N290" s="400"/>
      <c r="O290" s="274"/>
      <c r="P290" s="401"/>
      <c r="Q290" s="401"/>
      <c r="R290" s="400"/>
      <c r="S290" s="400"/>
      <c r="T290" s="400"/>
      <c r="U290" s="388"/>
      <c r="V290" s="388"/>
      <c r="W290" s="388"/>
      <c r="X290" s="388"/>
      <c r="Y290" s="388"/>
      <c r="Z290" s="388"/>
      <c r="AA290" s="388"/>
      <c r="AB290" s="388"/>
      <c r="AC290" s="388"/>
      <c r="AD290" s="388"/>
      <c r="AE290" s="388"/>
      <c r="AF290" s="388"/>
      <c r="AG290" s="388"/>
      <c r="AH290" s="388"/>
      <c r="AI290" s="388"/>
      <c r="AJ290" s="388"/>
      <c r="AK290" s="388"/>
      <c r="AL290" s="388"/>
      <c r="AM290" s="388"/>
      <c r="AN290" s="388"/>
      <c r="AO290" s="388"/>
      <c r="AP290" s="388"/>
      <c r="AQ290" s="388"/>
      <c r="AR290" s="388"/>
      <c r="AS290" s="388"/>
      <c r="AT290" s="388"/>
      <c r="AU290" s="388"/>
      <c r="AV290" s="388"/>
      <c r="AW290" s="388"/>
      <c r="AX290" s="388"/>
      <c r="AY290" s="388"/>
      <c r="AZ290" s="388"/>
      <c r="BA290" s="388"/>
      <c r="BB290" s="388"/>
      <c r="BC290" s="388"/>
      <c r="BD290" s="388"/>
      <c r="BE290" s="388"/>
      <c r="BF290" s="388"/>
      <c r="BG290" s="388"/>
      <c r="BH290" s="388"/>
      <c r="BI290" s="388"/>
      <c r="BJ290" s="388"/>
      <c r="BK290" s="388"/>
      <c r="BL290" s="388"/>
    </row>
    <row r="291" spans="1:64" s="386" customFormat="1" ht="39.75" customHeight="1">
      <c r="A291" s="366" t="s">
        <v>485</v>
      </c>
      <c r="B291" s="651" t="s">
        <v>1810</v>
      </c>
      <c r="C291" s="651"/>
      <c r="D291" s="651"/>
      <c r="E291" s="651"/>
      <c r="F291" s="651"/>
      <c r="G291" s="651"/>
      <c r="H291" s="651"/>
      <c r="I291" s="651"/>
      <c r="J291" s="651"/>
      <c r="K291" s="651"/>
      <c r="L291" s="273"/>
      <c r="M291" s="401"/>
      <c r="N291" s="400"/>
      <c r="O291" s="274"/>
      <c r="P291" s="401"/>
      <c r="Q291" s="401"/>
      <c r="R291" s="400"/>
      <c r="S291" s="400"/>
      <c r="T291" s="400"/>
      <c r="U291" s="388"/>
      <c r="V291" s="388"/>
      <c r="W291" s="388"/>
      <c r="X291" s="388"/>
      <c r="Y291" s="388"/>
      <c r="Z291" s="388"/>
      <c r="AA291" s="388"/>
      <c r="AB291" s="388"/>
      <c r="AC291" s="388"/>
      <c r="AD291" s="388"/>
      <c r="AE291" s="388"/>
      <c r="AF291" s="388"/>
      <c r="AG291" s="388"/>
      <c r="AH291" s="388"/>
      <c r="AI291" s="388"/>
      <c r="AJ291" s="388"/>
      <c r="AK291" s="388"/>
      <c r="AL291" s="388"/>
      <c r="AM291" s="388"/>
      <c r="AN291" s="388"/>
      <c r="AO291" s="388"/>
      <c r="AP291" s="388"/>
      <c r="AQ291" s="388"/>
      <c r="AR291" s="388"/>
      <c r="AS291" s="388"/>
      <c r="AT291" s="388"/>
      <c r="AU291" s="388"/>
      <c r="AV291" s="388"/>
      <c r="AW291" s="388"/>
      <c r="AX291" s="388"/>
      <c r="AY291" s="388"/>
      <c r="AZ291" s="388"/>
      <c r="BA291" s="388"/>
      <c r="BB291" s="388"/>
      <c r="BC291" s="388"/>
      <c r="BD291" s="388"/>
      <c r="BE291" s="388"/>
      <c r="BF291" s="388"/>
      <c r="BG291" s="388"/>
      <c r="BH291" s="388"/>
      <c r="BI291" s="388"/>
      <c r="BJ291" s="388"/>
      <c r="BK291" s="388"/>
      <c r="BL291" s="388"/>
    </row>
    <row r="292" spans="1:64" s="386" customFormat="1" ht="67.5" customHeight="1">
      <c r="A292" s="366" t="s">
        <v>486</v>
      </c>
      <c r="B292" s="651" t="s">
        <v>1811</v>
      </c>
      <c r="C292" s="651"/>
      <c r="D292" s="651"/>
      <c r="E292" s="651"/>
      <c r="F292" s="651"/>
      <c r="G292" s="651"/>
      <c r="H292" s="651"/>
      <c r="I292" s="651"/>
      <c r="J292" s="651"/>
      <c r="K292" s="651"/>
      <c r="L292" s="273"/>
      <c r="M292" s="401"/>
      <c r="N292" s="400"/>
      <c r="O292" s="274"/>
      <c r="P292" s="401"/>
      <c r="Q292" s="401"/>
      <c r="R292" s="400"/>
      <c r="S292" s="400"/>
      <c r="T292" s="400"/>
      <c r="U292" s="388"/>
      <c r="V292" s="388"/>
      <c r="W292" s="388"/>
      <c r="X292" s="388"/>
      <c r="Y292" s="388"/>
      <c r="Z292" s="388"/>
      <c r="AA292" s="388"/>
      <c r="AB292" s="388"/>
      <c r="AC292" s="388"/>
      <c r="AD292" s="388"/>
      <c r="AE292" s="388"/>
      <c r="AF292" s="388"/>
      <c r="AG292" s="388"/>
      <c r="AH292" s="388"/>
      <c r="AI292" s="388"/>
      <c r="AJ292" s="388"/>
      <c r="AK292" s="388"/>
      <c r="AL292" s="388"/>
      <c r="AM292" s="388"/>
      <c r="AN292" s="388"/>
      <c r="AO292" s="388"/>
      <c r="AP292" s="388"/>
      <c r="AQ292" s="388"/>
      <c r="AR292" s="388"/>
      <c r="AS292" s="388"/>
      <c r="AT292" s="388"/>
      <c r="AU292" s="388"/>
      <c r="AV292" s="388"/>
      <c r="AW292" s="388"/>
      <c r="AX292" s="388"/>
      <c r="AY292" s="388"/>
      <c r="AZ292" s="388"/>
      <c r="BA292" s="388"/>
      <c r="BB292" s="388"/>
      <c r="BC292" s="388"/>
      <c r="BD292" s="388"/>
      <c r="BE292" s="388"/>
      <c r="BF292" s="388"/>
      <c r="BG292" s="388"/>
      <c r="BH292" s="388"/>
      <c r="BI292" s="388"/>
      <c r="BJ292" s="388"/>
      <c r="BK292" s="388"/>
      <c r="BL292" s="388"/>
    </row>
    <row r="293" spans="1:64" s="386" customFormat="1" ht="20.25">
      <c r="A293" s="366" t="s">
        <v>154</v>
      </c>
      <c r="B293" s="638" t="s">
        <v>1812</v>
      </c>
      <c r="C293" s="639" t="s">
        <v>487</v>
      </c>
      <c r="D293" s="640">
        <v>0</v>
      </c>
      <c r="E293" s="639"/>
      <c r="F293" s="641"/>
      <c r="G293" s="641"/>
      <c r="H293" s="320"/>
      <c r="I293" s="641"/>
      <c r="J293" s="320"/>
      <c r="K293" s="641"/>
      <c r="L293" s="273"/>
      <c r="M293" s="401"/>
      <c r="N293" s="400"/>
      <c r="O293" s="274"/>
      <c r="P293" s="401"/>
      <c r="Q293" s="401"/>
      <c r="R293" s="400"/>
      <c r="S293" s="400"/>
      <c r="T293" s="400"/>
      <c r="U293" s="388"/>
      <c r="V293" s="388"/>
      <c r="W293" s="388"/>
      <c r="X293" s="388"/>
      <c r="Y293" s="388"/>
      <c r="Z293" s="388"/>
      <c r="AA293" s="388"/>
      <c r="AB293" s="388"/>
      <c r="AC293" s="388"/>
      <c r="AD293" s="388"/>
      <c r="AE293" s="388"/>
      <c r="AF293" s="388"/>
      <c r="AG293" s="388"/>
      <c r="AH293" s="388"/>
      <c r="AI293" s="388"/>
      <c r="AJ293" s="388"/>
      <c r="AK293" s="388"/>
      <c r="AL293" s="388"/>
      <c r="AM293" s="388"/>
      <c r="AN293" s="388"/>
      <c r="AO293" s="388"/>
      <c r="AP293" s="388"/>
      <c r="AQ293" s="388"/>
      <c r="AR293" s="388"/>
      <c r="AS293" s="388"/>
      <c r="AT293" s="388"/>
      <c r="AU293" s="388"/>
      <c r="AV293" s="388"/>
      <c r="AW293" s="388"/>
      <c r="AX293" s="388"/>
      <c r="AY293" s="388"/>
      <c r="AZ293" s="388"/>
      <c r="BA293" s="388"/>
      <c r="BB293" s="388"/>
      <c r="BC293" s="388"/>
      <c r="BD293" s="388"/>
      <c r="BE293" s="388"/>
      <c r="BF293" s="388"/>
      <c r="BG293" s="388"/>
      <c r="BH293" s="388"/>
      <c r="BI293" s="388"/>
      <c r="BJ293" s="388"/>
      <c r="BK293" s="388"/>
      <c r="BL293" s="388"/>
    </row>
    <row r="294" spans="1:64" s="386" customFormat="1" ht="20.25">
      <c r="A294" s="366"/>
      <c r="B294" s="639"/>
      <c r="C294" s="639" t="s">
        <v>488</v>
      </c>
      <c r="D294" s="640">
        <v>0</v>
      </c>
      <c r="E294" s="651" t="s">
        <v>489</v>
      </c>
      <c r="F294" s="651"/>
      <c r="G294" s="651"/>
      <c r="H294" s="651"/>
      <c r="I294" s="651"/>
      <c r="J294" s="651"/>
      <c r="K294" s="651"/>
      <c r="L294" s="273"/>
      <c r="M294" s="401"/>
      <c r="N294" s="400"/>
      <c r="O294" s="274"/>
      <c r="P294" s="401"/>
      <c r="Q294" s="401"/>
      <c r="R294" s="400"/>
      <c r="S294" s="400"/>
      <c r="T294" s="400"/>
      <c r="U294" s="388"/>
      <c r="V294" s="388"/>
      <c r="W294" s="388"/>
      <c r="X294" s="388"/>
      <c r="Y294" s="388"/>
      <c r="Z294" s="388"/>
      <c r="AA294" s="388"/>
      <c r="AB294" s="388"/>
      <c r="AC294" s="388"/>
      <c r="AD294" s="388"/>
      <c r="AE294" s="388"/>
      <c r="AF294" s="388"/>
      <c r="AG294" s="388"/>
      <c r="AH294" s="388"/>
      <c r="AI294" s="388"/>
      <c r="AJ294" s="388"/>
      <c r="AK294" s="388"/>
      <c r="AL294" s="388"/>
      <c r="AM294" s="388"/>
      <c r="AN294" s="388"/>
      <c r="AO294" s="388"/>
      <c r="AP294" s="388"/>
      <c r="AQ294" s="388"/>
      <c r="AR294" s="388"/>
      <c r="AS294" s="388"/>
      <c r="AT294" s="388"/>
      <c r="AU294" s="388"/>
      <c r="AV294" s="388"/>
      <c r="AW294" s="388"/>
      <c r="AX294" s="388"/>
      <c r="AY294" s="388"/>
      <c r="AZ294" s="388"/>
      <c r="BA294" s="388"/>
      <c r="BB294" s="388"/>
      <c r="BC294" s="388"/>
      <c r="BD294" s="388"/>
      <c r="BE294" s="388"/>
      <c r="BF294" s="388"/>
      <c r="BG294" s="388"/>
      <c r="BH294" s="388"/>
      <c r="BI294" s="388"/>
      <c r="BJ294" s="388"/>
      <c r="BK294" s="388"/>
      <c r="BL294" s="388"/>
    </row>
    <row r="295" spans="1:64" s="386" customFormat="1" ht="20.25">
      <c r="A295" s="366"/>
      <c r="B295" s="639"/>
      <c r="C295" s="639" t="s">
        <v>490</v>
      </c>
      <c r="D295" s="640">
        <v>0</v>
      </c>
      <c r="E295" s="651" t="s">
        <v>491</v>
      </c>
      <c r="F295" s="651"/>
      <c r="G295" s="651"/>
      <c r="H295" s="651"/>
      <c r="I295" s="651"/>
      <c r="J295" s="651"/>
      <c r="K295" s="651"/>
      <c r="L295" s="273"/>
      <c r="M295" s="401"/>
      <c r="N295" s="400"/>
      <c r="O295" s="274"/>
      <c r="P295" s="401"/>
      <c r="Q295" s="401"/>
      <c r="R295" s="400"/>
      <c r="S295" s="400"/>
      <c r="T295" s="400"/>
      <c r="U295" s="388"/>
      <c r="V295" s="388"/>
      <c r="W295" s="388"/>
      <c r="X295" s="388"/>
      <c r="Y295" s="388"/>
      <c r="Z295" s="388"/>
      <c r="AA295" s="388"/>
      <c r="AB295" s="388"/>
      <c r="AC295" s="388"/>
      <c r="AD295" s="388"/>
      <c r="AE295" s="388"/>
      <c r="AF295" s="388"/>
      <c r="AG295" s="388"/>
      <c r="AH295" s="388"/>
      <c r="AI295" s="388"/>
      <c r="AJ295" s="388"/>
      <c r="AK295" s="388"/>
      <c r="AL295" s="388"/>
      <c r="AM295" s="388"/>
      <c r="AN295" s="388"/>
      <c r="AO295" s="388"/>
      <c r="AP295" s="388"/>
      <c r="AQ295" s="388"/>
      <c r="AR295" s="388"/>
      <c r="AS295" s="388"/>
      <c r="AT295" s="388"/>
      <c r="AU295" s="388"/>
      <c r="AV295" s="388"/>
      <c r="AW295" s="388"/>
      <c r="AX295" s="388"/>
      <c r="AY295" s="388"/>
      <c r="AZ295" s="388"/>
      <c r="BA295" s="388"/>
      <c r="BB295" s="388"/>
      <c r="BC295" s="388"/>
      <c r="BD295" s="388"/>
      <c r="BE295" s="388"/>
      <c r="BF295" s="388"/>
      <c r="BG295" s="388"/>
      <c r="BH295" s="388"/>
      <c r="BI295" s="388"/>
      <c r="BJ295" s="388"/>
      <c r="BK295" s="388"/>
      <c r="BL295" s="388"/>
    </row>
    <row r="296" spans="1:64" s="386" customFormat="1" ht="20.25">
      <c r="A296" s="366" t="s">
        <v>492</v>
      </c>
      <c r="B296" s="651" t="s">
        <v>661</v>
      </c>
      <c r="C296" s="651"/>
      <c r="D296" s="651"/>
      <c r="E296" s="651"/>
      <c r="F296" s="651"/>
      <c r="G296" s="651"/>
      <c r="H296" s="651"/>
      <c r="I296" s="651"/>
      <c r="J296" s="651"/>
      <c r="K296" s="651"/>
      <c r="L296" s="273"/>
      <c r="M296" s="401"/>
      <c r="N296" s="400"/>
      <c r="O296" s="274"/>
      <c r="P296" s="223"/>
      <c r="Q296" s="401"/>
      <c r="R296" s="400"/>
      <c r="S296" s="400"/>
      <c r="T296" s="400"/>
      <c r="U296" s="388"/>
      <c r="V296" s="388"/>
      <c r="W296" s="388"/>
      <c r="X296" s="388"/>
      <c r="Y296" s="388"/>
      <c r="Z296" s="388"/>
      <c r="AA296" s="388"/>
      <c r="AB296" s="388"/>
      <c r="AC296" s="388"/>
      <c r="AD296" s="388"/>
      <c r="AE296" s="388"/>
      <c r="AF296" s="388"/>
      <c r="AG296" s="388"/>
      <c r="AH296" s="388"/>
      <c r="AI296" s="388"/>
      <c r="AJ296" s="388"/>
      <c r="AK296" s="388"/>
      <c r="AL296" s="388"/>
      <c r="AM296" s="388"/>
      <c r="AN296" s="388"/>
      <c r="AO296" s="388"/>
      <c r="AP296" s="388"/>
      <c r="AQ296" s="388"/>
      <c r="AR296" s="388"/>
      <c r="AS296" s="388"/>
      <c r="AT296" s="388"/>
      <c r="AU296" s="388"/>
      <c r="AV296" s="388"/>
      <c r="AW296" s="388"/>
      <c r="AX296" s="388"/>
      <c r="AY296" s="388"/>
      <c r="AZ296" s="388"/>
      <c r="BA296" s="388"/>
      <c r="BB296" s="388"/>
      <c r="BC296" s="388"/>
      <c r="BD296" s="388"/>
      <c r="BE296" s="388"/>
      <c r="BF296" s="388"/>
      <c r="BG296" s="388"/>
      <c r="BH296" s="388"/>
      <c r="BI296" s="388"/>
      <c r="BJ296" s="388"/>
      <c r="BK296" s="388"/>
      <c r="BL296" s="388"/>
    </row>
    <row r="297" spans="1:64" s="386" customFormat="1" ht="22.5" customHeight="1">
      <c r="A297" s="366" t="s">
        <v>493</v>
      </c>
      <c r="B297" s="651" t="s">
        <v>1813</v>
      </c>
      <c r="C297" s="651"/>
      <c r="D297" s="651"/>
      <c r="E297" s="651"/>
      <c r="F297" s="651"/>
      <c r="G297" s="651"/>
      <c r="H297" s="651"/>
      <c r="I297" s="651"/>
      <c r="J297" s="651"/>
      <c r="K297" s="651"/>
      <c r="L297" s="273"/>
      <c r="M297" s="401"/>
      <c r="N297" s="400"/>
      <c r="O297" s="274"/>
      <c r="P297" s="223"/>
      <c r="Q297" s="401"/>
      <c r="R297" s="400"/>
      <c r="S297" s="400"/>
      <c r="T297" s="400"/>
      <c r="U297" s="388"/>
      <c r="V297" s="388"/>
      <c r="W297" s="388"/>
      <c r="X297" s="388"/>
      <c r="Y297" s="388"/>
      <c r="Z297" s="388"/>
      <c r="AA297" s="388"/>
      <c r="AB297" s="388"/>
      <c r="AC297" s="388"/>
      <c r="AD297" s="388"/>
      <c r="AE297" s="388"/>
      <c r="AF297" s="388"/>
      <c r="AG297" s="388"/>
      <c r="AH297" s="388"/>
      <c r="AI297" s="388"/>
      <c r="AJ297" s="388"/>
      <c r="AK297" s="388"/>
      <c r="AL297" s="388"/>
      <c r="AM297" s="388"/>
      <c r="AN297" s="388"/>
      <c r="AO297" s="388"/>
      <c r="AP297" s="388"/>
      <c r="AQ297" s="388"/>
      <c r="AR297" s="388"/>
      <c r="AS297" s="388"/>
      <c r="AT297" s="388"/>
      <c r="AU297" s="388"/>
      <c r="AV297" s="388"/>
      <c r="AW297" s="388"/>
      <c r="AX297" s="388"/>
      <c r="AY297" s="388"/>
      <c r="AZ297" s="388"/>
      <c r="BA297" s="388"/>
      <c r="BB297" s="388"/>
      <c r="BC297" s="388"/>
      <c r="BD297" s="388"/>
      <c r="BE297" s="388"/>
      <c r="BF297" s="388"/>
      <c r="BG297" s="388"/>
      <c r="BH297" s="388"/>
      <c r="BI297" s="388"/>
      <c r="BJ297" s="388"/>
      <c r="BK297" s="388"/>
      <c r="BL297" s="388"/>
    </row>
    <row r="298" spans="1:64" s="386" customFormat="1" ht="40.5" customHeight="1">
      <c r="A298" s="366" t="s">
        <v>494</v>
      </c>
      <c r="B298" s="651" t="s">
        <v>662</v>
      </c>
      <c r="C298" s="651"/>
      <c r="D298" s="651"/>
      <c r="E298" s="651"/>
      <c r="F298" s="651"/>
      <c r="G298" s="651"/>
      <c r="H298" s="651"/>
      <c r="I298" s="651"/>
      <c r="J298" s="651"/>
      <c r="K298" s="651"/>
      <c r="L298" s="273"/>
      <c r="M298" s="401"/>
      <c r="N298" s="400"/>
      <c r="O298" s="274"/>
      <c r="P298" s="401"/>
      <c r="Q298" s="401"/>
      <c r="R298" s="400"/>
      <c r="S298" s="400"/>
      <c r="T298" s="400"/>
      <c r="U298" s="388"/>
      <c r="V298" s="388"/>
      <c r="W298" s="388"/>
      <c r="X298" s="388"/>
      <c r="Y298" s="388"/>
      <c r="Z298" s="388"/>
      <c r="AA298" s="388"/>
      <c r="AB298" s="388"/>
      <c r="AC298" s="388"/>
      <c r="AD298" s="388"/>
      <c r="AE298" s="388"/>
      <c r="AF298" s="388"/>
      <c r="AG298" s="388"/>
      <c r="AH298" s="388"/>
      <c r="AI298" s="388"/>
      <c r="AJ298" s="388"/>
      <c r="AK298" s="388"/>
      <c r="AL298" s="388"/>
      <c r="AM298" s="388"/>
      <c r="AN298" s="388"/>
      <c r="AO298" s="388"/>
      <c r="AP298" s="388"/>
      <c r="AQ298" s="388"/>
      <c r="AR298" s="388"/>
      <c r="AS298" s="388"/>
      <c r="AT298" s="388"/>
      <c r="AU298" s="388"/>
      <c r="AV298" s="388"/>
      <c r="AW298" s="388"/>
      <c r="AX298" s="388"/>
      <c r="AY298" s="388"/>
      <c r="AZ298" s="388"/>
      <c r="BA298" s="388"/>
      <c r="BB298" s="388"/>
      <c r="BC298" s="388"/>
      <c r="BD298" s="388"/>
      <c r="BE298" s="388"/>
      <c r="BF298" s="388"/>
      <c r="BG298" s="388"/>
      <c r="BH298" s="388"/>
      <c r="BI298" s="388"/>
      <c r="BJ298" s="388"/>
      <c r="BK298" s="388"/>
      <c r="BL298" s="388"/>
    </row>
    <row r="299" spans="1:64" s="386" customFormat="1" ht="20.25">
      <c r="A299" s="366" t="s">
        <v>495</v>
      </c>
      <c r="B299" s="651" t="s">
        <v>496</v>
      </c>
      <c r="C299" s="651"/>
      <c r="D299" s="651"/>
      <c r="E299" s="651"/>
      <c r="F299" s="651"/>
      <c r="G299" s="651"/>
      <c r="H299" s="651"/>
      <c r="I299" s="651"/>
      <c r="J299" s="651"/>
      <c r="K299" s="651"/>
      <c r="L299" s="273"/>
      <c r="M299" s="401"/>
      <c r="N299" s="400"/>
      <c r="O299" s="274"/>
      <c r="P299" s="401"/>
      <c r="Q299" s="401"/>
      <c r="R299" s="400"/>
      <c r="S299" s="400"/>
      <c r="T299" s="400"/>
      <c r="U299" s="388"/>
      <c r="V299" s="388"/>
      <c r="W299" s="388"/>
      <c r="X299" s="388"/>
      <c r="Y299" s="388"/>
      <c r="Z299" s="388"/>
      <c r="AA299" s="388"/>
      <c r="AB299" s="388"/>
      <c r="AC299" s="388"/>
      <c r="AD299" s="388"/>
      <c r="AE299" s="388"/>
      <c r="AF299" s="388"/>
      <c r="AG299" s="388"/>
      <c r="AH299" s="388"/>
      <c r="AI299" s="388"/>
      <c r="AJ299" s="388"/>
      <c r="AK299" s="388"/>
      <c r="AL299" s="388"/>
      <c r="AM299" s="388"/>
      <c r="AN299" s="388"/>
      <c r="AO299" s="388"/>
      <c r="AP299" s="388"/>
      <c r="AQ299" s="388"/>
      <c r="AR299" s="388"/>
      <c r="AS299" s="388"/>
      <c r="AT299" s="388"/>
      <c r="AU299" s="388"/>
      <c r="AV299" s="388"/>
      <c r="AW299" s="388"/>
      <c r="AX299" s="388"/>
      <c r="AY299" s="388"/>
      <c r="AZ299" s="388"/>
      <c r="BA299" s="388"/>
      <c r="BB299" s="388"/>
      <c r="BC299" s="388"/>
      <c r="BD299" s="388"/>
      <c r="BE299" s="388"/>
      <c r="BF299" s="388"/>
      <c r="BG299" s="388"/>
      <c r="BH299" s="388"/>
      <c r="BI299" s="388"/>
      <c r="BJ299" s="388"/>
      <c r="BK299" s="388"/>
      <c r="BL299" s="388"/>
    </row>
    <row r="300" spans="1:64" s="386" customFormat="1" ht="142.5" customHeight="1">
      <c r="A300" s="366" t="s">
        <v>497</v>
      </c>
      <c r="B300" s="652" t="s">
        <v>1814</v>
      </c>
      <c r="C300" s="652"/>
      <c r="D300" s="652"/>
      <c r="E300" s="652"/>
      <c r="F300" s="652"/>
      <c r="G300" s="652"/>
      <c r="H300" s="652"/>
      <c r="I300" s="652"/>
      <c r="J300" s="652"/>
      <c r="K300" s="652"/>
      <c r="L300" s="273"/>
      <c r="M300" s="401"/>
      <c r="N300" s="400"/>
      <c r="O300" s="274"/>
      <c r="P300" s="401"/>
      <c r="Q300" s="401"/>
      <c r="R300" s="400"/>
      <c r="S300" s="400"/>
      <c r="T300" s="400"/>
      <c r="U300" s="388"/>
      <c r="V300" s="388"/>
      <c r="W300" s="388"/>
      <c r="X300" s="388"/>
      <c r="Y300" s="388"/>
      <c r="Z300" s="388"/>
      <c r="AA300" s="388"/>
      <c r="AB300" s="388"/>
      <c r="AC300" s="388"/>
      <c r="AD300" s="388"/>
      <c r="AE300" s="388"/>
      <c r="AF300" s="388"/>
      <c r="AG300" s="388"/>
      <c r="AH300" s="388"/>
      <c r="AI300" s="388"/>
      <c r="AJ300" s="388"/>
      <c r="AK300" s="388"/>
      <c r="AL300" s="388"/>
      <c r="AM300" s="388"/>
      <c r="AN300" s="388"/>
      <c r="AO300" s="388"/>
      <c r="AP300" s="388"/>
      <c r="AQ300" s="388"/>
      <c r="AR300" s="388"/>
      <c r="AS300" s="388"/>
      <c r="AT300" s="388"/>
      <c r="AU300" s="388"/>
      <c r="AV300" s="388"/>
      <c r="AW300" s="388"/>
      <c r="AX300" s="388"/>
      <c r="AY300" s="388"/>
      <c r="AZ300" s="388"/>
      <c r="BA300" s="388"/>
      <c r="BB300" s="388"/>
      <c r="BC300" s="388"/>
      <c r="BD300" s="388"/>
      <c r="BE300" s="388"/>
      <c r="BF300" s="388"/>
      <c r="BG300" s="388"/>
      <c r="BH300" s="388"/>
      <c r="BI300" s="388"/>
      <c r="BJ300" s="388"/>
      <c r="BK300" s="388"/>
      <c r="BL300" s="388"/>
    </row>
    <row r="301" spans="1:64" s="386" customFormat="1" ht="20.25">
      <c r="A301" s="366" t="s">
        <v>498</v>
      </c>
      <c r="B301" s="651" t="s">
        <v>663</v>
      </c>
      <c r="C301" s="651"/>
      <c r="D301" s="651"/>
      <c r="E301" s="651"/>
      <c r="F301" s="651"/>
      <c r="G301" s="651"/>
      <c r="H301" s="651"/>
      <c r="I301" s="651"/>
      <c r="J301" s="651"/>
      <c r="K301" s="651"/>
      <c r="L301" s="273"/>
      <c r="M301" s="401"/>
      <c r="N301" s="400"/>
      <c r="O301" s="274"/>
      <c r="P301" s="401"/>
      <c r="Q301" s="401"/>
      <c r="R301" s="400"/>
      <c r="S301" s="400"/>
      <c r="T301" s="400"/>
      <c r="U301" s="388"/>
      <c r="V301" s="388"/>
      <c r="W301" s="388"/>
      <c r="X301" s="388"/>
      <c r="Y301" s="388"/>
      <c r="Z301" s="388"/>
      <c r="AA301" s="388"/>
      <c r="AB301" s="388"/>
      <c r="AC301" s="388"/>
      <c r="AD301" s="388"/>
      <c r="AE301" s="388"/>
      <c r="AF301" s="388"/>
      <c r="AG301" s="388"/>
      <c r="AH301" s="388"/>
      <c r="AI301" s="388"/>
      <c r="AJ301" s="388"/>
      <c r="AK301" s="388"/>
      <c r="AL301" s="388"/>
      <c r="AM301" s="388"/>
      <c r="AN301" s="388"/>
      <c r="AO301" s="388"/>
      <c r="AP301" s="388"/>
      <c r="AQ301" s="388"/>
      <c r="AR301" s="388"/>
      <c r="AS301" s="388"/>
      <c r="AT301" s="388"/>
      <c r="AU301" s="388"/>
      <c r="AV301" s="388"/>
      <c r="AW301" s="388"/>
      <c r="AX301" s="388"/>
      <c r="AY301" s="388"/>
      <c r="AZ301" s="388"/>
      <c r="BA301" s="388"/>
      <c r="BB301" s="388"/>
      <c r="BC301" s="388"/>
      <c r="BD301" s="388"/>
      <c r="BE301" s="388"/>
      <c r="BF301" s="388"/>
      <c r="BG301" s="388"/>
      <c r="BH301" s="388"/>
      <c r="BI301" s="388"/>
      <c r="BJ301" s="388"/>
      <c r="BK301" s="388"/>
      <c r="BL301" s="388"/>
    </row>
    <row r="302" spans="1:64" s="386" customFormat="1" ht="20.25">
      <c r="A302" s="366" t="s">
        <v>499</v>
      </c>
      <c r="B302" s="651" t="s">
        <v>500</v>
      </c>
      <c r="C302" s="651"/>
      <c r="D302" s="651"/>
      <c r="E302" s="651"/>
      <c r="F302" s="651"/>
      <c r="G302" s="651"/>
      <c r="H302" s="651"/>
      <c r="I302" s="651"/>
      <c r="J302" s="651"/>
      <c r="K302" s="651"/>
      <c r="L302" s="273"/>
      <c r="M302" s="401"/>
      <c r="N302" s="400"/>
      <c r="O302" s="274"/>
      <c r="P302" s="401"/>
      <c r="Q302" s="401"/>
      <c r="R302" s="400"/>
      <c r="S302" s="400"/>
      <c r="T302" s="400"/>
      <c r="U302" s="388"/>
      <c r="V302" s="388"/>
      <c r="W302" s="388"/>
      <c r="X302" s="388"/>
      <c r="Y302" s="388"/>
      <c r="Z302" s="388"/>
      <c r="AA302" s="388"/>
      <c r="AB302" s="388"/>
      <c r="AC302" s="388"/>
      <c r="AD302" s="388"/>
      <c r="AE302" s="388"/>
      <c r="AF302" s="388"/>
      <c r="AG302" s="388"/>
      <c r="AH302" s="388"/>
      <c r="AI302" s="388"/>
      <c r="AJ302" s="388"/>
      <c r="AK302" s="388"/>
      <c r="AL302" s="388"/>
      <c r="AM302" s="388"/>
      <c r="AN302" s="388"/>
      <c r="AO302" s="388"/>
      <c r="AP302" s="388"/>
      <c r="AQ302" s="388"/>
      <c r="AR302" s="388"/>
      <c r="AS302" s="388"/>
      <c r="AT302" s="388"/>
      <c r="AU302" s="388"/>
      <c r="AV302" s="388"/>
      <c r="AW302" s="388"/>
      <c r="AX302" s="388"/>
      <c r="AY302" s="388"/>
      <c r="AZ302" s="388"/>
      <c r="BA302" s="388"/>
      <c r="BB302" s="388"/>
      <c r="BC302" s="388"/>
      <c r="BD302" s="388"/>
      <c r="BE302" s="388"/>
      <c r="BF302" s="388"/>
      <c r="BG302" s="388"/>
      <c r="BH302" s="388"/>
      <c r="BI302" s="388"/>
      <c r="BJ302" s="388"/>
      <c r="BK302" s="388"/>
      <c r="BL302" s="388"/>
    </row>
    <row r="303" spans="1:64" s="386" customFormat="1" ht="41.25" customHeight="1">
      <c r="A303" s="366" t="s">
        <v>501</v>
      </c>
      <c r="B303" s="651" t="s">
        <v>1815</v>
      </c>
      <c r="C303" s="651"/>
      <c r="D303" s="651"/>
      <c r="E303" s="651"/>
      <c r="F303" s="651"/>
      <c r="G303" s="651"/>
      <c r="H303" s="651"/>
      <c r="I303" s="651"/>
      <c r="J303" s="651"/>
      <c r="K303" s="651"/>
      <c r="L303" s="273"/>
      <c r="M303" s="401"/>
      <c r="N303" s="400"/>
      <c r="O303" s="274"/>
      <c r="P303" s="401"/>
      <c r="Q303" s="401"/>
      <c r="R303" s="400"/>
      <c r="S303" s="400"/>
      <c r="T303" s="400"/>
      <c r="U303" s="388"/>
      <c r="V303" s="388"/>
      <c r="W303" s="388"/>
      <c r="X303" s="388"/>
      <c r="Y303" s="388"/>
      <c r="Z303" s="388"/>
      <c r="AA303" s="388"/>
      <c r="AB303" s="388"/>
      <c r="AC303" s="388"/>
      <c r="AD303" s="388"/>
      <c r="AE303" s="388"/>
      <c r="AF303" s="388"/>
      <c r="AG303" s="388"/>
      <c r="AH303" s="388"/>
      <c r="AI303" s="388"/>
      <c r="AJ303" s="388"/>
      <c r="AK303" s="388"/>
      <c r="AL303" s="388"/>
      <c r="AM303" s="388"/>
      <c r="AN303" s="388"/>
      <c r="AO303" s="388"/>
      <c r="AP303" s="388"/>
      <c r="AQ303" s="388"/>
      <c r="AR303" s="388"/>
      <c r="AS303" s="388"/>
      <c r="AT303" s="388"/>
      <c r="AU303" s="388"/>
      <c r="AV303" s="388"/>
      <c r="AW303" s="388"/>
      <c r="AX303" s="388"/>
      <c r="AY303" s="388"/>
      <c r="AZ303" s="388"/>
      <c r="BA303" s="388"/>
      <c r="BB303" s="388"/>
      <c r="BC303" s="388"/>
      <c r="BD303" s="388"/>
      <c r="BE303" s="388"/>
      <c r="BF303" s="388"/>
      <c r="BG303" s="388"/>
      <c r="BH303" s="388"/>
      <c r="BI303" s="388"/>
      <c r="BJ303" s="388"/>
      <c r="BK303" s="388"/>
      <c r="BL303" s="388"/>
    </row>
    <row r="304" spans="1:64" s="386" customFormat="1" ht="60.75" customHeight="1">
      <c r="A304" s="321" t="s">
        <v>502</v>
      </c>
      <c r="B304" s="650" t="s">
        <v>664</v>
      </c>
      <c r="C304" s="650"/>
      <c r="D304" s="650"/>
      <c r="E304" s="650"/>
      <c r="F304" s="650"/>
      <c r="G304" s="650"/>
      <c r="H304" s="650"/>
      <c r="I304" s="650"/>
      <c r="J304" s="650"/>
      <c r="K304" s="650"/>
      <c r="L304" s="273"/>
      <c r="M304" s="401"/>
      <c r="N304" s="400"/>
      <c r="O304" s="274"/>
      <c r="P304" s="401"/>
      <c r="Q304" s="401"/>
      <c r="R304" s="400"/>
      <c r="S304" s="400"/>
      <c r="T304" s="400"/>
      <c r="U304" s="388"/>
      <c r="V304" s="388"/>
      <c r="W304" s="388"/>
      <c r="X304" s="388"/>
      <c r="Y304" s="388"/>
      <c r="Z304" s="388"/>
      <c r="AA304" s="388"/>
      <c r="AB304" s="388"/>
      <c r="AC304" s="388"/>
      <c r="AD304" s="388"/>
      <c r="AE304" s="388"/>
      <c r="AF304" s="388"/>
      <c r="AG304" s="388"/>
      <c r="AH304" s="388"/>
      <c r="AI304" s="388"/>
      <c r="AJ304" s="388"/>
      <c r="AK304" s="388"/>
      <c r="AL304" s="388"/>
      <c r="AM304" s="388"/>
      <c r="AN304" s="388"/>
      <c r="AO304" s="388"/>
      <c r="AP304" s="388"/>
      <c r="AQ304" s="388"/>
      <c r="AR304" s="388"/>
      <c r="AS304" s="388"/>
      <c r="AT304" s="388"/>
      <c r="AU304" s="388"/>
      <c r="AV304" s="388"/>
      <c r="AW304" s="388"/>
      <c r="AX304" s="388"/>
      <c r="AY304" s="388"/>
      <c r="AZ304" s="388"/>
      <c r="BA304" s="388"/>
      <c r="BB304" s="388"/>
      <c r="BC304" s="388"/>
      <c r="BD304" s="388"/>
      <c r="BE304" s="388"/>
      <c r="BF304" s="388"/>
      <c r="BG304" s="388"/>
      <c r="BH304" s="388"/>
      <c r="BI304" s="388"/>
      <c r="BJ304" s="388"/>
      <c r="BK304" s="388"/>
      <c r="BL304" s="388"/>
    </row>
    <row r="305" spans="1:64" s="386" customFormat="1" ht="20.25">
      <c r="A305" s="321" t="s">
        <v>503</v>
      </c>
      <c r="B305" s="650" t="s">
        <v>745</v>
      </c>
      <c r="C305" s="650"/>
      <c r="D305" s="650"/>
      <c r="E305" s="650"/>
      <c r="F305" s="650"/>
      <c r="G305" s="650"/>
      <c r="H305" s="650"/>
      <c r="I305" s="650"/>
      <c r="J305" s="650"/>
      <c r="K305" s="650"/>
      <c r="L305" s="273"/>
      <c r="M305" s="401"/>
      <c r="N305" s="400"/>
      <c r="O305" s="274"/>
      <c r="P305" s="401"/>
      <c r="Q305" s="401"/>
      <c r="R305" s="400"/>
      <c r="S305" s="400"/>
      <c r="T305" s="400"/>
      <c r="U305" s="388"/>
      <c r="V305" s="388"/>
      <c r="W305" s="388"/>
      <c r="X305" s="388"/>
      <c r="Y305" s="388"/>
      <c r="Z305" s="388"/>
      <c r="AA305" s="388"/>
      <c r="AB305" s="388"/>
      <c r="AC305" s="388"/>
      <c r="AD305" s="388"/>
      <c r="AE305" s="388"/>
      <c r="AF305" s="388"/>
      <c r="AG305" s="388"/>
      <c r="AH305" s="388"/>
      <c r="AI305" s="388"/>
      <c r="AJ305" s="388"/>
      <c r="AK305" s="388"/>
      <c r="AL305" s="388"/>
      <c r="AM305" s="388"/>
      <c r="AN305" s="388"/>
      <c r="AO305" s="388"/>
      <c r="AP305" s="388"/>
      <c r="AQ305" s="388"/>
      <c r="AR305" s="388"/>
      <c r="AS305" s="388"/>
      <c r="AT305" s="388"/>
      <c r="AU305" s="388"/>
      <c r="AV305" s="388"/>
      <c r="AW305" s="388"/>
      <c r="AX305" s="388"/>
      <c r="AY305" s="388"/>
      <c r="AZ305" s="388"/>
      <c r="BA305" s="388"/>
      <c r="BB305" s="388"/>
      <c r="BC305" s="388"/>
      <c r="BD305" s="388"/>
      <c r="BE305" s="388"/>
      <c r="BF305" s="388"/>
      <c r="BG305" s="388"/>
      <c r="BH305" s="388"/>
      <c r="BI305" s="388"/>
      <c r="BJ305" s="388"/>
      <c r="BK305" s="388"/>
      <c r="BL305" s="388"/>
    </row>
    <row r="306" spans="1:64" s="386" customFormat="1" ht="20.25">
      <c r="A306" s="367" t="s">
        <v>665</v>
      </c>
      <c r="B306" s="650" t="s">
        <v>746</v>
      </c>
      <c r="C306" s="650"/>
      <c r="D306" s="650"/>
      <c r="E306" s="650"/>
      <c r="F306" s="650"/>
      <c r="G306" s="650"/>
      <c r="H306" s="650"/>
      <c r="I306" s="650"/>
      <c r="J306" s="650"/>
      <c r="K306" s="650"/>
      <c r="L306" s="273"/>
      <c r="M306" s="399"/>
      <c r="N306" s="400"/>
      <c r="O306" s="274"/>
      <c r="P306" s="401"/>
      <c r="Q306" s="401"/>
      <c r="R306" s="400"/>
      <c r="S306" s="400"/>
      <c r="T306" s="400"/>
      <c r="U306" s="388"/>
      <c r="V306" s="388"/>
      <c r="W306" s="388"/>
      <c r="X306" s="388"/>
      <c r="Y306" s="388"/>
      <c r="Z306" s="388"/>
      <c r="AA306" s="388"/>
      <c r="AB306" s="388"/>
      <c r="AC306" s="388"/>
      <c r="AD306" s="388"/>
      <c r="AE306" s="388"/>
      <c r="AF306" s="388"/>
      <c r="AG306" s="388"/>
      <c r="AH306" s="388"/>
      <c r="AI306" s="388"/>
      <c r="AJ306" s="388"/>
      <c r="AK306" s="388"/>
      <c r="AL306" s="388"/>
      <c r="AM306" s="388"/>
      <c r="AN306" s="388"/>
      <c r="AO306" s="388"/>
      <c r="AP306" s="388"/>
      <c r="AQ306" s="388"/>
      <c r="AR306" s="388"/>
      <c r="AS306" s="388"/>
      <c r="AT306" s="388"/>
      <c r="AU306" s="388"/>
      <c r="AV306" s="388"/>
      <c r="AW306" s="388"/>
      <c r="AX306" s="388"/>
      <c r="AY306" s="388"/>
      <c r="AZ306" s="388"/>
      <c r="BA306" s="388"/>
      <c r="BB306" s="388"/>
      <c r="BC306" s="388"/>
      <c r="BD306" s="388"/>
      <c r="BE306" s="388"/>
      <c r="BF306" s="388"/>
      <c r="BG306" s="388"/>
      <c r="BH306" s="388"/>
      <c r="BI306" s="388"/>
      <c r="BJ306" s="388"/>
      <c r="BK306" s="388"/>
      <c r="BL306" s="388"/>
    </row>
    <row r="307" spans="1:64" s="386" customFormat="1" ht="20.25">
      <c r="A307" s="367" t="s">
        <v>666</v>
      </c>
      <c r="B307" s="650" t="s">
        <v>1816</v>
      </c>
      <c r="C307" s="650"/>
      <c r="D307" s="650"/>
      <c r="E307" s="650"/>
      <c r="F307" s="650"/>
      <c r="G307" s="650"/>
      <c r="H307" s="650"/>
      <c r="I307" s="650"/>
      <c r="J307" s="650"/>
      <c r="K307" s="650"/>
      <c r="L307" s="273"/>
      <c r="M307" s="401"/>
      <c r="N307" s="400"/>
      <c r="O307" s="274"/>
      <c r="P307" s="401"/>
      <c r="Q307" s="401"/>
      <c r="R307" s="400"/>
      <c r="S307" s="400"/>
      <c r="T307" s="400"/>
      <c r="U307" s="388"/>
      <c r="V307" s="388"/>
      <c r="W307" s="388"/>
      <c r="X307" s="388"/>
      <c r="Y307" s="388"/>
      <c r="Z307" s="388"/>
      <c r="AA307" s="388"/>
      <c r="AB307" s="388"/>
      <c r="AC307" s="388"/>
      <c r="AD307" s="388"/>
      <c r="AE307" s="388"/>
      <c r="AF307" s="388"/>
      <c r="AG307" s="388"/>
      <c r="AH307" s="388"/>
      <c r="AI307" s="388"/>
      <c r="AJ307" s="388"/>
      <c r="AK307" s="388"/>
      <c r="AL307" s="388"/>
      <c r="AM307" s="388"/>
      <c r="AN307" s="388"/>
      <c r="AO307" s="388"/>
      <c r="AP307" s="388"/>
      <c r="AQ307" s="388"/>
      <c r="AR307" s="388"/>
      <c r="AS307" s="388"/>
      <c r="AT307" s="388"/>
      <c r="AU307" s="388"/>
      <c r="AV307" s="388"/>
      <c r="AW307" s="388"/>
      <c r="AX307" s="388"/>
      <c r="AY307" s="388"/>
      <c r="AZ307" s="388"/>
      <c r="BA307" s="388"/>
      <c r="BB307" s="388"/>
      <c r="BC307" s="388"/>
      <c r="BD307" s="388"/>
      <c r="BE307" s="388"/>
      <c r="BF307" s="388"/>
      <c r="BG307" s="388"/>
      <c r="BH307" s="388"/>
      <c r="BI307" s="388"/>
      <c r="BJ307" s="388"/>
      <c r="BK307" s="388"/>
      <c r="BL307" s="388"/>
    </row>
    <row r="308" spans="1:64" s="386" customFormat="1" ht="42" customHeight="1">
      <c r="A308" s="321" t="s">
        <v>0</v>
      </c>
      <c r="B308" s="650" t="s">
        <v>1817</v>
      </c>
      <c r="C308" s="650"/>
      <c r="D308" s="650"/>
      <c r="E308" s="650"/>
      <c r="F308" s="650"/>
      <c r="G308" s="650"/>
      <c r="H308" s="650"/>
      <c r="I308" s="650"/>
      <c r="J308" s="650"/>
      <c r="K308" s="650"/>
      <c r="L308" s="273"/>
      <c r="M308" s="401"/>
      <c r="N308" s="400"/>
      <c r="O308" s="274"/>
      <c r="P308" s="401"/>
      <c r="Q308" s="401"/>
      <c r="R308" s="400"/>
      <c r="S308" s="400"/>
      <c r="T308" s="400"/>
      <c r="U308" s="388"/>
      <c r="V308" s="388"/>
      <c r="W308" s="388"/>
      <c r="X308" s="388"/>
      <c r="Y308" s="388"/>
      <c r="Z308" s="388"/>
      <c r="AA308" s="388"/>
      <c r="AB308" s="388"/>
      <c r="AC308" s="388"/>
      <c r="AD308" s="388"/>
      <c r="AE308" s="388"/>
      <c r="AF308" s="388"/>
      <c r="AG308" s="388"/>
      <c r="AH308" s="388"/>
      <c r="AI308" s="388"/>
      <c r="AJ308" s="388"/>
      <c r="AK308" s="388"/>
      <c r="AL308" s="388"/>
      <c r="AM308" s="388"/>
      <c r="AN308" s="388"/>
      <c r="AO308" s="388"/>
      <c r="AP308" s="388"/>
      <c r="AQ308" s="388"/>
      <c r="AR308" s="388"/>
      <c r="AS308" s="388"/>
      <c r="AT308" s="388"/>
      <c r="AU308" s="388"/>
      <c r="AV308" s="388"/>
      <c r="AW308" s="388"/>
      <c r="AX308" s="388"/>
      <c r="AY308" s="388"/>
      <c r="AZ308" s="388"/>
      <c r="BA308" s="388"/>
      <c r="BB308" s="388"/>
      <c r="BC308" s="388"/>
      <c r="BD308" s="388"/>
      <c r="BE308" s="388"/>
      <c r="BF308" s="388"/>
      <c r="BG308" s="388"/>
      <c r="BH308" s="388"/>
      <c r="BI308" s="388"/>
      <c r="BJ308" s="388"/>
      <c r="BK308" s="388"/>
      <c r="BL308" s="388"/>
    </row>
    <row r="309" spans="1:64" s="386" customFormat="1" ht="20.25">
      <c r="A309" s="367" t="s">
        <v>747</v>
      </c>
      <c r="B309" s="650" t="s">
        <v>1818</v>
      </c>
      <c r="C309" s="650"/>
      <c r="D309" s="650"/>
      <c r="E309" s="650"/>
      <c r="F309" s="650"/>
      <c r="G309" s="650"/>
      <c r="H309" s="650"/>
      <c r="I309" s="650"/>
      <c r="J309" s="650"/>
      <c r="K309" s="650"/>
      <c r="L309" s="273"/>
      <c r="M309" s="276"/>
      <c r="N309" s="400"/>
      <c r="O309" s="274"/>
      <c r="P309" s="401"/>
      <c r="Q309" s="401"/>
      <c r="R309" s="400"/>
      <c r="S309" s="400"/>
      <c r="T309" s="400"/>
      <c r="U309" s="388"/>
      <c r="V309" s="388"/>
      <c r="W309" s="388"/>
      <c r="X309" s="388"/>
      <c r="Y309" s="388"/>
      <c r="Z309" s="388"/>
      <c r="AA309" s="388"/>
      <c r="AB309" s="388"/>
      <c r="AC309" s="388"/>
      <c r="AD309" s="388"/>
      <c r="AE309" s="388"/>
      <c r="AF309" s="388"/>
      <c r="AG309" s="388"/>
      <c r="AH309" s="388"/>
      <c r="AI309" s="388"/>
      <c r="AJ309" s="388"/>
      <c r="AK309" s="388"/>
      <c r="AL309" s="388"/>
      <c r="AM309" s="388"/>
      <c r="AN309" s="388"/>
      <c r="AO309" s="388"/>
      <c r="AP309" s="388"/>
      <c r="AQ309" s="388"/>
      <c r="AR309" s="388"/>
      <c r="AS309" s="388"/>
      <c r="AT309" s="388"/>
      <c r="AU309" s="388"/>
      <c r="AV309" s="388"/>
      <c r="AW309" s="388"/>
      <c r="AX309" s="388"/>
      <c r="AY309" s="388"/>
      <c r="AZ309" s="388"/>
      <c r="BA309" s="388"/>
      <c r="BB309" s="388"/>
      <c r="BC309" s="388"/>
      <c r="BD309" s="388"/>
      <c r="BE309" s="388"/>
      <c r="BF309" s="388"/>
      <c r="BG309" s="388"/>
      <c r="BH309" s="388"/>
      <c r="BI309" s="388"/>
      <c r="BJ309" s="388"/>
      <c r="BK309" s="388"/>
      <c r="BL309" s="388"/>
    </row>
    <row r="310" spans="1:64" s="386" customFormat="1" ht="39.75" customHeight="1">
      <c r="A310" s="321" t="s">
        <v>748</v>
      </c>
      <c r="B310" s="650" t="s">
        <v>1819</v>
      </c>
      <c r="C310" s="650"/>
      <c r="D310" s="650"/>
      <c r="E310" s="650"/>
      <c r="F310" s="650"/>
      <c r="G310" s="650"/>
      <c r="H310" s="650"/>
      <c r="I310" s="650"/>
      <c r="J310" s="650"/>
      <c r="K310" s="650"/>
      <c r="L310" s="273"/>
      <c r="M310" s="401"/>
      <c r="N310" s="400"/>
      <c r="O310" s="274"/>
      <c r="P310" s="401"/>
      <c r="Q310" s="401"/>
      <c r="R310" s="400"/>
      <c r="S310" s="400"/>
      <c r="T310" s="400"/>
      <c r="U310" s="388"/>
      <c r="V310" s="388"/>
      <c r="W310" s="388"/>
      <c r="X310" s="388"/>
      <c r="Y310" s="388"/>
      <c r="Z310" s="388"/>
      <c r="AA310" s="388"/>
      <c r="AB310" s="388"/>
      <c r="AC310" s="388"/>
      <c r="AD310" s="388"/>
      <c r="AE310" s="388"/>
      <c r="AF310" s="388"/>
      <c r="AG310" s="388"/>
      <c r="AH310" s="388"/>
      <c r="AI310" s="388"/>
      <c r="AJ310" s="388"/>
      <c r="AK310" s="388"/>
      <c r="AL310" s="388"/>
      <c r="AM310" s="388"/>
      <c r="AN310" s="388"/>
      <c r="AO310" s="388"/>
      <c r="AP310" s="388"/>
      <c r="AQ310" s="388"/>
      <c r="AR310" s="388"/>
      <c r="AS310" s="388"/>
      <c r="AT310" s="388"/>
      <c r="AU310" s="388"/>
      <c r="AV310" s="388"/>
      <c r="AW310" s="388"/>
      <c r="AX310" s="388"/>
      <c r="AY310" s="388"/>
      <c r="AZ310" s="388"/>
      <c r="BA310" s="388"/>
      <c r="BB310" s="388"/>
      <c r="BC310" s="388"/>
      <c r="BD310" s="388"/>
      <c r="BE310" s="388"/>
      <c r="BF310" s="388"/>
      <c r="BG310" s="388"/>
      <c r="BH310" s="388"/>
      <c r="BI310" s="388"/>
      <c r="BJ310" s="388"/>
      <c r="BK310" s="388"/>
      <c r="BL310" s="388"/>
    </row>
    <row r="311" spans="1:64" s="386" customFormat="1" ht="18.75" customHeight="1">
      <c r="A311" s="321" t="s">
        <v>749</v>
      </c>
      <c r="B311" s="642" t="s">
        <v>750</v>
      </c>
      <c r="C311" s="323"/>
      <c r="D311" s="323"/>
      <c r="E311" s="323"/>
      <c r="F311" s="323"/>
      <c r="G311" s="323"/>
      <c r="H311" s="323"/>
      <c r="I311" s="323"/>
      <c r="J311" s="323"/>
      <c r="K311" s="323"/>
      <c r="L311" s="303"/>
      <c r="M311" s="319"/>
      <c r="N311" s="400"/>
      <c r="O311" s="274"/>
      <c r="P311" s="401"/>
      <c r="Q311" s="401"/>
      <c r="R311" s="400"/>
      <c r="S311" s="400"/>
      <c r="T311" s="400"/>
      <c r="U311" s="388"/>
      <c r="V311" s="388"/>
      <c r="W311" s="388"/>
      <c r="X311" s="388"/>
      <c r="Y311" s="388"/>
      <c r="Z311" s="388"/>
      <c r="AA311" s="388"/>
      <c r="AB311" s="388"/>
      <c r="AC311" s="388"/>
      <c r="AD311" s="388"/>
      <c r="AE311" s="388"/>
      <c r="AF311" s="388"/>
      <c r="AG311" s="388"/>
      <c r="AH311" s="388"/>
      <c r="AI311" s="388"/>
      <c r="AJ311" s="388"/>
      <c r="AK311" s="388"/>
      <c r="AL311" s="388"/>
      <c r="AM311" s="388"/>
      <c r="AN311" s="388"/>
      <c r="AO311" s="388"/>
      <c r="AP311" s="388"/>
      <c r="AQ311" s="388"/>
      <c r="AR311" s="388"/>
      <c r="AS311" s="388"/>
      <c r="AT311" s="388"/>
      <c r="AU311" s="388"/>
      <c r="AV311" s="388"/>
      <c r="AW311" s="388"/>
      <c r="AX311" s="388"/>
      <c r="AY311" s="388"/>
      <c r="AZ311" s="388"/>
      <c r="BA311" s="388"/>
      <c r="BB311" s="388"/>
      <c r="BC311" s="388"/>
      <c r="BD311" s="388"/>
      <c r="BE311" s="388"/>
      <c r="BF311" s="388"/>
      <c r="BG311" s="388"/>
      <c r="BH311" s="388"/>
      <c r="BI311" s="388"/>
      <c r="BJ311" s="388"/>
      <c r="BK311" s="388"/>
      <c r="BL311" s="388"/>
    </row>
    <row r="312" spans="1:64" s="386" customFormat="1" ht="21.75" customHeight="1">
      <c r="A312" s="321" t="s">
        <v>751</v>
      </c>
      <c r="B312" s="643" t="s">
        <v>752</v>
      </c>
      <c r="C312" s="323"/>
      <c r="D312" s="323"/>
      <c r="E312" s="323"/>
      <c r="F312" s="323"/>
      <c r="G312" s="323"/>
      <c r="H312" s="323"/>
      <c r="I312" s="323"/>
      <c r="J312" s="323"/>
      <c r="K312" s="323"/>
      <c r="L312" s="303"/>
      <c r="M312" s="319"/>
      <c r="N312" s="400"/>
      <c r="O312" s="274"/>
      <c r="P312" s="223"/>
      <c r="Q312" s="401"/>
      <c r="R312" s="400"/>
      <c r="S312" s="400"/>
      <c r="T312" s="400"/>
      <c r="U312" s="388"/>
      <c r="V312" s="388"/>
      <c r="W312" s="388"/>
      <c r="X312" s="388"/>
      <c r="Y312" s="388"/>
      <c r="Z312" s="388"/>
      <c r="AA312" s="388"/>
      <c r="AB312" s="388"/>
      <c r="AC312" s="388"/>
      <c r="AD312" s="388"/>
      <c r="AE312" s="388"/>
      <c r="AF312" s="388"/>
      <c r="AG312" s="388"/>
      <c r="AH312" s="388"/>
      <c r="AI312" s="388"/>
      <c r="AJ312" s="388"/>
      <c r="AK312" s="388"/>
      <c r="AL312" s="388"/>
      <c r="AM312" s="388"/>
      <c r="AN312" s="388"/>
      <c r="AO312" s="388"/>
      <c r="AP312" s="388"/>
      <c r="AQ312" s="388"/>
      <c r="AR312" s="388"/>
      <c r="AS312" s="388"/>
      <c r="AT312" s="388"/>
      <c r="AU312" s="388"/>
      <c r="AV312" s="388"/>
      <c r="AW312" s="388"/>
      <c r="AX312" s="388"/>
      <c r="AY312" s="388"/>
      <c r="AZ312" s="388"/>
      <c r="BA312" s="388"/>
      <c r="BB312" s="388"/>
      <c r="BC312" s="388"/>
      <c r="BD312" s="388"/>
      <c r="BE312" s="388"/>
      <c r="BF312" s="388"/>
      <c r="BG312" s="388"/>
      <c r="BH312" s="388"/>
      <c r="BI312" s="388"/>
      <c r="BJ312" s="388"/>
      <c r="BK312" s="388"/>
      <c r="BL312" s="388"/>
    </row>
    <row r="313" spans="1:64" s="386" customFormat="1" ht="20.25" customHeight="1">
      <c r="A313" s="644" t="s">
        <v>1820</v>
      </c>
      <c r="B313" s="645" t="s">
        <v>1821</v>
      </c>
      <c r="C313" s="303"/>
      <c r="D313" s="320"/>
      <c r="E313" s="320"/>
      <c r="F313" s="320"/>
      <c r="G313" s="320"/>
      <c r="H313" s="320"/>
      <c r="I313" s="320"/>
      <c r="J313" s="320"/>
      <c r="K313" s="320"/>
      <c r="L313" s="303"/>
      <c r="M313" s="319"/>
      <c r="N313" s="400"/>
      <c r="O313" s="274"/>
      <c r="P313" s="223"/>
      <c r="Q313" s="401"/>
      <c r="R313" s="400"/>
      <c r="S313" s="400"/>
      <c r="T313" s="400"/>
      <c r="U313" s="388"/>
      <c r="V313" s="388"/>
      <c r="W313" s="388"/>
      <c r="X313" s="388"/>
      <c r="Y313" s="388"/>
      <c r="Z313" s="388"/>
      <c r="AA313" s="388"/>
      <c r="AB313" s="388"/>
      <c r="AC313" s="388"/>
      <c r="AD313" s="388"/>
      <c r="AE313" s="388"/>
      <c r="AF313" s="388"/>
      <c r="AG313" s="388"/>
      <c r="AH313" s="388"/>
      <c r="AI313" s="388"/>
      <c r="AJ313" s="388"/>
      <c r="AK313" s="388"/>
      <c r="AL313" s="388"/>
      <c r="AM313" s="388"/>
      <c r="AN313" s="388"/>
      <c r="AO313" s="388"/>
      <c r="AP313" s="388"/>
      <c r="AQ313" s="388"/>
      <c r="AR313" s="388"/>
      <c r="AS313" s="388"/>
      <c r="AT313" s="388"/>
      <c r="AU313" s="388"/>
      <c r="AV313" s="388"/>
      <c r="AW313" s="388"/>
      <c r="AX313" s="388"/>
      <c r="AY313" s="388"/>
      <c r="AZ313" s="388"/>
      <c r="BA313" s="388"/>
      <c r="BB313" s="388"/>
      <c r="BC313" s="388"/>
      <c r="BD313" s="388"/>
      <c r="BE313" s="388"/>
      <c r="BF313" s="388"/>
      <c r="BG313" s="388"/>
      <c r="BH313" s="388"/>
      <c r="BI313" s="388"/>
      <c r="BJ313" s="388"/>
      <c r="BK313" s="388"/>
      <c r="BL313" s="388"/>
    </row>
    <row r="314" spans="1:64" s="386" customFormat="1" ht="18.75">
      <c r="A314" s="644"/>
      <c r="B314" s="645" t="s">
        <v>1822</v>
      </c>
      <c r="C314" s="303"/>
      <c r="D314" s="320"/>
      <c r="E314" s="320"/>
      <c r="F314" s="320"/>
      <c r="G314" s="320"/>
      <c r="H314" s="320"/>
      <c r="I314" s="320"/>
      <c r="J314" s="320"/>
      <c r="K314" s="320"/>
      <c r="L314" s="303"/>
      <c r="M314" s="319"/>
      <c r="N314" s="400"/>
      <c r="O314" s="274"/>
      <c r="P314" s="223"/>
      <c r="Q314" s="401"/>
      <c r="R314" s="400"/>
      <c r="S314" s="400"/>
      <c r="T314" s="400"/>
      <c r="U314" s="388"/>
      <c r="V314" s="388"/>
      <c r="W314" s="388"/>
      <c r="X314" s="388"/>
      <c r="Y314" s="388"/>
      <c r="Z314" s="388"/>
      <c r="AA314" s="388"/>
      <c r="AB314" s="388"/>
      <c r="AC314" s="388"/>
      <c r="AD314" s="388"/>
      <c r="AE314" s="388"/>
      <c r="AF314" s="388"/>
      <c r="AG314" s="388"/>
      <c r="AH314" s="388"/>
      <c r="AI314" s="388"/>
      <c r="AJ314" s="388"/>
      <c r="AK314" s="388"/>
      <c r="AL314" s="388"/>
      <c r="AM314" s="388"/>
      <c r="AN314" s="388"/>
      <c r="AO314" s="388"/>
      <c r="AP314" s="388"/>
      <c r="AQ314" s="388"/>
      <c r="AR314" s="388"/>
      <c r="AS314" s="388"/>
      <c r="AT314" s="388"/>
      <c r="AU314" s="388"/>
      <c r="AV314" s="388"/>
      <c r="AW314" s="388"/>
      <c r="AX314" s="388"/>
      <c r="AY314" s="388"/>
      <c r="AZ314" s="388"/>
      <c r="BA314" s="388"/>
      <c r="BB314" s="388"/>
      <c r="BC314" s="388"/>
      <c r="BD314" s="388"/>
      <c r="BE314" s="388"/>
      <c r="BF314" s="388"/>
      <c r="BG314" s="388"/>
      <c r="BH314" s="388"/>
      <c r="BI314" s="388"/>
      <c r="BJ314" s="388"/>
      <c r="BK314" s="388"/>
      <c r="BL314" s="388"/>
    </row>
    <row r="315" spans="1:64" s="386" customFormat="1" ht="23.25" customHeight="1">
      <c r="A315" s="644" t="s">
        <v>1823</v>
      </c>
      <c r="B315" s="645" t="s">
        <v>1824</v>
      </c>
      <c r="C315" s="303"/>
      <c r="D315" s="627"/>
      <c r="E315" s="627"/>
      <c r="F315" s="627"/>
      <c r="G315" s="627"/>
      <c r="H315" s="627"/>
      <c r="I315" s="627"/>
      <c r="J315" s="627"/>
      <c r="K315" s="627"/>
      <c r="L315" s="303"/>
      <c r="M315" s="319"/>
      <c r="N315" s="400"/>
      <c r="O315" s="274"/>
      <c r="P315" s="223"/>
      <c r="Q315" s="401"/>
      <c r="R315" s="400"/>
      <c r="S315" s="400"/>
      <c r="T315" s="400"/>
      <c r="U315" s="388"/>
      <c r="V315" s="388"/>
      <c r="W315" s="388"/>
      <c r="X315" s="388"/>
      <c r="Y315" s="388"/>
      <c r="Z315" s="388"/>
      <c r="AA315" s="388"/>
      <c r="AB315" s="388"/>
      <c r="AC315" s="388"/>
      <c r="AD315" s="388"/>
      <c r="AE315" s="388"/>
      <c r="AF315" s="388"/>
      <c r="AG315" s="388"/>
      <c r="AH315" s="388"/>
      <c r="AI315" s="388"/>
      <c r="AJ315" s="388"/>
      <c r="AK315" s="388"/>
      <c r="AL315" s="388"/>
      <c r="AM315" s="388"/>
      <c r="AN315" s="388"/>
      <c r="AO315" s="388"/>
      <c r="AP315" s="388"/>
      <c r="AQ315" s="388"/>
      <c r="AR315" s="388"/>
      <c r="AS315" s="388"/>
      <c r="AT315" s="388"/>
      <c r="AU315" s="388"/>
      <c r="AV315" s="388"/>
      <c r="AW315" s="388"/>
      <c r="AX315" s="388"/>
      <c r="AY315" s="388"/>
      <c r="AZ315" s="388"/>
      <c r="BA315" s="388"/>
      <c r="BB315" s="388"/>
      <c r="BC315" s="388"/>
      <c r="BD315" s="388"/>
      <c r="BE315" s="388"/>
      <c r="BF315" s="388"/>
      <c r="BG315" s="388"/>
      <c r="BH315" s="388"/>
      <c r="BI315" s="388"/>
      <c r="BJ315" s="388"/>
      <c r="BK315" s="388"/>
      <c r="BL315" s="388"/>
    </row>
    <row r="316" spans="1:64" s="386" customFormat="1" ht="18.75" customHeight="1">
      <c r="A316" s="644"/>
      <c r="B316" s="645" t="s">
        <v>1825</v>
      </c>
      <c r="C316" s="303"/>
      <c r="D316" s="627"/>
      <c r="E316" s="627"/>
      <c r="F316" s="627"/>
      <c r="G316" s="627"/>
      <c r="H316" s="627"/>
      <c r="I316" s="627"/>
      <c r="J316" s="627"/>
      <c r="K316" s="627"/>
      <c r="L316" s="303"/>
      <c r="M316" s="319"/>
      <c r="N316" s="400"/>
      <c r="O316" s="274"/>
      <c r="P316" s="401"/>
      <c r="Q316" s="401"/>
      <c r="R316" s="400"/>
      <c r="S316" s="400"/>
      <c r="T316" s="400"/>
      <c r="U316" s="388"/>
      <c r="V316" s="388"/>
      <c r="W316" s="388"/>
      <c r="X316" s="388"/>
      <c r="Y316" s="388"/>
      <c r="Z316" s="388"/>
      <c r="AA316" s="388"/>
      <c r="AB316" s="388"/>
      <c r="AC316" s="388"/>
      <c r="AD316" s="388"/>
      <c r="AE316" s="388"/>
      <c r="AF316" s="388"/>
      <c r="AG316" s="388"/>
      <c r="AH316" s="388"/>
      <c r="AI316" s="388"/>
      <c r="AJ316" s="388"/>
      <c r="AK316" s="388"/>
      <c r="AL316" s="388"/>
      <c r="AM316" s="388"/>
      <c r="AN316" s="388"/>
      <c r="AO316" s="388"/>
      <c r="AP316" s="388"/>
      <c r="AQ316" s="388"/>
      <c r="AR316" s="388"/>
      <c r="AS316" s="388"/>
      <c r="AT316" s="388"/>
      <c r="AU316" s="388"/>
      <c r="AV316" s="388"/>
      <c r="AW316" s="388"/>
      <c r="AX316" s="388"/>
      <c r="AY316" s="388"/>
      <c r="AZ316" s="388"/>
      <c r="BA316" s="388"/>
      <c r="BB316" s="388"/>
      <c r="BC316" s="388"/>
      <c r="BD316" s="388"/>
      <c r="BE316" s="388"/>
      <c r="BF316" s="388"/>
      <c r="BG316" s="388"/>
      <c r="BH316" s="388"/>
      <c r="BI316" s="388"/>
      <c r="BJ316" s="388"/>
      <c r="BK316" s="388"/>
      <c r="BL316" s="388"/>
    </row>
    <row r="317" spans="1:64" customFormat="1"/>
    <row r="318" spans="1:64" customFormat="1" ht="35.25" customHeight="1"/>
    <row r="319" spans="1:64" customFormat="1" ht="41.25" customHeight="1"/>
    <row r="320" spans="1:64" customFormat="1" ht="45.75" customHeight="1"/>
    <row r="321" spans="1:64" customFormat="1" ht="36" customHeight="1"/>
    <row r="322" spans="1:64" customFormat="1" ht="32.25" customHeight="1"/>
    <row r="323" spans="1:64" customFormat="1" ht="39" customHeight="1"/>
    <row r="324" spans="1:64" customFormat="1" ht="60.75" customHeight="1"/>
    <row r="325" spans="1:64" customFormat="1" ht="56.25" customHeight="1"/>
    <row r="326" spans="1:64" customFormat="1" ht="21.75" customHeight="1"/>
    <row r="327" spans="1:64" customFormat="1" ht="28.5" customHeight="1"/>
    <row r="328" spans="1:64" customFormat="1" ht="34.5" customHeight="1"/>
    <row r="329" spans="1:64" customFormat="1" ht="35.25" customHeight="1"/>
    <row r="330" spans="1:64" customFormat="1" ht="36.75" customHeight="1"/>
    <row r="331" spans="1:64" customFormat="1"/>
    <row r="332" spans="1:64" customFormat="1"/>
    <row r="333" spans="1:64" ht="18.75">
      <c r="A333" s="322"/>
      <c r="B333" s="323"/>
      <c r="C333" s="323"/>
      <c r="D333" s="323"/>
      <c r="E333" s="323"/>
      <c r="F333" s="323"/>
      <c r="G333" s="323"/>
      <c r="H333" s="323"/>
      <c r="I333" s="323"/>
      <c r="J333" s="323"/>
      <c r="K333" s="315"/>
      <c r="L333" s="313"/>
      <c r="M333" s="324"/>
      <c r="N333" s="278"/>
      <c r="O333" s="274"/>
      <c r="P333" s="182"/>
      <c r="Q333" s="182"/>
      <c r="R333" s="181"/>
      <c r="S333" s="181"/>
      <c r="T333" s="181"/>
      <c r="U333" s="162"/>
      <c r="V333" s="162"/>
      <c r="W333" s="162"/>
      <c r="X333" s="162"/>
      <c r="Y333" s="162"/>
      <c r="Z333" s="162"/>
      <c r="AA333" s="162"/>
      <c r="AB333" s="162"/>
      <c r="AC333" s="162"/>
      <c r="AD333" s="162"/>
      <c r="AE333" s="162"/>
      <c r="AF333" s="162"/>
      <c r="AG333" s="162"/>
      <c r="AH333" s="162"/>
      <c r="AI333" s="162"/>
      <c r="AJ333" s="162"/>
      <c r="AK333" s="162"/>
      <c r="AL333" s="162"/>
      <c r="AM333" s="162"/>
      <c r="AN333" s="162"/>
      <c r="AO333" s="162"/>
      <c r="AP333" s="162"/>
      <c r="AQ333" s="162"/>
      <c r="AR333" s="162"/>
      <c r="AS333" s="162"/>
      <c r="AT333" s="162"/>
      <c r="AU333" s="162"/>
      <c r="AV333" s="162"/>
      <c r="AW333" s="162"/>
      <c r="AX333" s="162"/>
      <c r="AY333" s="162"/>
      <c r="AZ333" s="162"/>
      <c r="BA333" s="162"/>
      <c r="BB333" s="162"/>
      <c r="BC333" s="162"/>
      <c r="BD333" s="162"/>
      <c r="BE333" s="162"/>
      <c r="BF333" s="162"/>
      <c r="BG333" s="162"/>
      <c r="BH333" s="162"/>
      <c r="BI333" s="162"/>
      <c r="BJ333" s="162"/>
      <c r="BK333" s="162"/>
      <c r="BL333" s="162"/>
    </row>
    <row r="334" spans="1:64" ht="18.75">
      <c r="A334" s="322"/>
      <c r="B334" s="323"/>
      <c r="C334" s="323"/>
      <c r="D334" s="323"/>
      <c r="E334" s="323"/>
      <c r="F334" s="323"/>
      <c r="G334" s="323"/>
      <c r="H334" s="323"/>
      <c r="I334" s="323"/>
      <c r="J334" s="323"/>
      <c r="K334" s="315"/>
      <c r="L334" s="313"/>
      <c r="M334" s="324"/>
      <c r="N334" s="278"/>
      <c r="O334" s="274"/>
      <c r="P334" s="182"/>
      <c r="Q334" s="182"/>
      <c r="R334" s="181"/>
      <c r="S334" s="181"/>
      <c r="T334" s="181"/>
      <c r="U334" s="162"/>
      <c r="V334" s="162"/>
      <c r="W334" s="162"/>
      <c r="X334" s="162"/>
      <c r="Y334" s="162"/>
      <c r="Z334" s="162"/>
      <c r="AA334" s="162"/>
      <c r="AB334" s="162"/>
      <c r="AC334" s="162"/>
      <c r="AD334" s="162"/>
      <c r="AE334" s="162"/>
      <c r="AF334" s="162"/>
      <c r="AG334" s="162"/>
      <c r="AH334" s="162"/>
      <c r="AI334" s="162"/>
      <c r="AJ334" s="162"/>
      <c r="AK334" s="162"/>
      <c r="AL334" s="162"/>
      <c r="AM334" s="162"/>
      <c r="AN334" s="162"/>
      <c r="AO334" s="162"/>
      <c r="AP334" s="162"/>
      <c r="AQ334" s="162"/>
      <c r="AR334" s="162"/>
      <c r="AS334" s="162"/>
      <c r="AT334" s="162"/>
      <c r="AU334" s="162"/>
      <c r="AV334" s="162"/>
      <c r="AW334" s="162"/>
      <c r="AX334" s="162"/>
      <c r="AY334" s="162"/>
      <c r="AZ334" s="162"/>
      <c r="BA334" s="162"/>
      <c r="BB334" s="162"/>
      <c r="BC334" s="162"/>
      <c r="BD334" s="162"/>
      <c r="BE334" s="162"/>
      <c r="BF334" s="162"/>
      <c r="BG334" s="162"/>
      <c r="BH334" s="162"/>
      <c r="BI334" s="162"/>
      <c r="BJ334" s="162"/>
      <c r="BK334" s="162"/>
      <c r="BL334" s="162"/>
    </row>
    <row r="335" spans="1:64" ht="18.75">
      <c r="A335" s="321"/>
      <c r="B335" s="320"/>
      <c r="C335" s="320"/>
      <c r="D335" s="320"/>
      <c r="E335" s="320"/>
      <c r="F335" s="320"/>
      <c r="G335" s="320"/>
      <c r="H335" s="320"/>
      <c r="I335" s="320"/>
      <c r="J335" s="320"/>
      <c r="K335" s="315"/>
      <c r="L335" s="313"/>
      <c r="M335" s="324"/>
      <c r="N335" s="278"/>
      <c r="O335" s="279"/>
      <c r="P335" s="182"/>
      <c r="Q335" s="182"/>
      <c r="R335" s="181"/>
      <c r="S335" s="181"/>
      <c r="T335" s="181"/>
      <c r="U335" s="162"/>
      <c r="V335" s="162"/>
      <c r="W335" s="162"/>
      <c r="X335" s="162"/>
      <c r="Y335" s="162"/>
      <c r="Z335" s="162"/>
      <c r="AA335" s="162"/>
      <c r="AB335" s="162"/>
      <c r="AC335" s="162"/>
      <c r="AD335" s="162"/>
      <c r="AE335" s="162"/>
      <c r="AF335" s="162"/>
      <c r="AG335" s="162"/>
      <c r="AH335" s="162"/>
      <c r="AI335" s="162"/>
      <c r="AJ335" s="162"/>
      <c r="AK335" s="162"/>
      <c r="AL335" s="162"/>
      <c r="AM335" s="162"/>
      <c r="AN335" s="162"/>
      <c r="AO335" s="162"/>
      <c r="AP335" s="162"/>
      <c r="AQ335" s="162"/>
      <c r="AR335" s="162"/>
      <c r="AS335" s="162"/>
      <c r="AT335" s="162"/>
      <c r="AU335" s="162"/>
      <c r="AV335" s="162"/>
      <c r="AW335" s="162"/>
      <c r="AX335" s="162"/>
      <c r="AY335" s="162"/>
      <c r="AZ335" s="162"/>
      <c r="BA335" s="162"/>
      <c r="BB335" s="162"/>
      <c r="BC335" s="162"/>
      <c r="BD335" s="162"/>
      <c r="BE335" s="162"/>
      <c r="BF335" s="162"/>
      <c r="BG335" s="162"/>
      <c r="BH335" s="162"/>
      <c r="BI335" s="162"/>
      <c r="BJ335" s="162"/>
      <c r="BK335" s="162"/>
      <c r="BL335" s="162"/>
    </row>
    <row r="336" spans="1:64" ht="18.75">
      <c r="A336" s="321"/>
      <c r="B336" s="320"/>
      <c r="C336" s="320"/>
      <c r="D336" s="320"/>
      <c r="E336" s="320"/>
      <c r="F336" s="320"/>
      <c r="G336" s="320"/>
      <c r="H336" s="320"/>
      <c r="I336" s="320"/>
      <c r="J336" s="320"/>
      <c r="K336" s="305"/>
      <c r="L336" s="303"/>
      <c r="M336" s="319"/>
      <c r="N336" s="278"/>
      <c r="O336" s="279"/>
      <c r="P336" s="182"/>
      <c r="Q336" s="182"/>
      <c r="R336" s="181"/>
      <c r="S336" s="181"/>
      <c r="T336" s="181"/>
      <c r="U336" s="162"/>
      <c r="V336" s="162"/>
      <c r="W336" s="162"/>
      <c r="X336" s="162"/>
      <c r="Y336" s="162"/>
      <c r="Z336" s="162"/>
      <c r="AA336" s="162"/>
      <c r="AB336" s="162"/>
      <c r="AC336" s="162"/>
      <c r="AD336" s="162"/>
      <c r="AE336" s="162"/>
      <c r="AF336" s="162"/>
      <c r="AG336" s="162"/>
      <c r="AH336" s="162"/>
      <c r="AI336" s="162"/>
      <c r="AJ336" s="162"/>
      <c r="AK336" s="162"/>
      <c r="AL336" s="162"/>
      <c r="AM336" s="162"/>
      <c r="AN336" s="162"/>
      <c r="AO336" s="162"/>
      <c r="AP336" s="162"/>
      <c r="AQ336" s="162"/>
      <c r="AR336" s="162"/>
      <c r="AS336" s="162"/>
      <c r="AT336" s="162"/>
      <c r="AU336" s="162"/>
      <c r="AV336" s="162"/>
      <c r="AW336" s="162"/>
      <c r="AX336" s="162"/>
      <c r="AY336" s="162"/>
      <c r="AZ336" s="162"/>
      <c r="BA336" s="162"/>
      <c r="BB336" s="162"/>
      <c r="BC336" s="162"/>
      <c r="BD336" s="162"/>
      <c r="BE336" s="162"/>
      <c r="BF336" s="162"/>
      <c r="BG336" s="162"/>
      <c r="BH336" s="162"/>
      <c r="BI336" s="162"/>
      <c r="BJ336" s="162"/>
      <c r="BK336" s="162"/>
      <c r="BL336" s="162"/>
    </row>
    <row r="337" spans="1:64" ht="18.75">
      <c r="A337" s="321"/>
      <c r="B337" s="320"/>
      <c r="C337" s="320"/>
      <c r="D337" s="320"/>
      <c r="E337" s="320"/>
      <c r="F337" s="320"/>
      <c r="G337" s="320"/>
      <c r="H337" s="320"/>
      <c r="I337" s="320"/>
      <c r="J337" s="320"/>
      <c r="K337" s="305"/>
      <c r="L337" s="303"/>
      <c r="M337" s="319"/>
      <c r="N337" s="278"/>
      <c r="O337" s="274"/>
      <c r="P337" s="182"/>
      <c r="Q337" s="182"/>
      <c r="R337" s="181"/>
      <c r="S337" s="181"/>
      <c r="T337" s="181"/>
      <c r="U337" s="162"/>
      <c r="V337" s="162"/>
      <c r="W337" s="162"/>
      <c r="X337" s="162"/>
      <c r="Y337" s="162"/>
      <c r="Z337" s="162"/>
      <c r="AA337" s="162"/>
      <c r="AB337" s="162"/>
      <c r="AC337" s="162"/>
      <c r="AD337" s="162"/>
      <c r="AE337" s="162"/>
      <c r="AF337" s="162"/>
      <c r="AG337" s="162"/>
      <c r="AH337" s="162"/>
      <c r="AI337" s="162"/>
      <c r="AJ337" s="162"/>
      <c r="AK337" s="162"/>
      <c r="AL337" s="162"/>
      <c r="AM337" s="162"/>
      <c r="AN337" s="162"/>
      <c r="AO337" s="162"/>
      <c r="AP337" s="162"/>
      <c r="AQ337" s="162"/>
      <c r="AR337" s="162"/>
      <c r="AS337" s="162"/>
      <c r="AT337" s="162"/>
      <c r="AU337" s="162"/>
      <c r="AV337" s="162"/>
      <c r="AW337" s="162"/>
      <c r="AX337" s="162"/>
      <c r="AY337" s="162"/>
      <c r="AZ337" s="162"/>
      <c r="BA337" s="162"/>
      <c r="BB337" s="162"/>
      <c r="BC337" s="162"/>
      <c r="BD337" s="162"/>
      <c r="BE337" s="162"/>
      <c r="BF337" s="162"/>
      <c r="BG337" s="162"/>
      <c r="BH337" s="162"/>
      <c r="BI337" s="162"/>
      <c r="BJ337" s="162"/>
      <c r="BK337" s="162"/>
      <c r="BL337" s="162"/>
    </row>
    <row r="338" spans="1:64" ht="18.75">
      <c r="A338"/>
      <c r="B338"/>
      <c r="C338"/>
      <c r="D338"/>
      <c r="E338"/>
      <c r="F338"/>
      <c r="G338"/>
      <c r="H338"/>
      <c r="I338"/>
      <c r="J338"/>
      <c r="K338"/>
      <c r="L338" s="303"/>
      <c r="M338" s="319"/>
      <c r="N338" s="278"/>
      <c r="O338" s="274"/>
      <c r="P338" s="182"/>
      <c r="Q338" s="182"/>
      <c r="R338" s="181"/>
      <c r="S338" s="181"/>
      <c r="T338" s="181"/>
      <c r="U338" s="162"/>
      <c r="V338" s="162"/>
      <c r="W338" s="162"/>
      <c r="X338" s="162"/>
      <c r="Y338" s="162"/>
      <c r="Z338" s="162"/>
      <c r="AA338" s="162"/>
      <c r="AB338" s="162"/>
      <c r="AC338" s="162"/>
      <c r="AD338" s="162"/>
      <c r="AE338" s="162"/>
      <c r="AF338" s="162"/>
      <c r="AG338" s="162"/>
      <c r="AH338" s="162"/>
      <c r="AI338" s="162"/>
      <c r="AJ338" s="162"/>
      <c r="AK338" s="162"/>
      <c r="AL338" s="162"/>
      <c r="AM338" s="162"/>
      <c r="AN338" s="162"/>
      <c r="AO338" s="162"/>
      <c r="AP338" s="162"/>
      <c r="AQ338" s="162"/>
      <c r="AR338" s="162"/>
      <c r="AS338" s="162"/>
      <c r="AT338" s="162"/>
      <c r="AU338" s="162"/>
      <c r="AV338" s="162"/>
      <c r="AW338" s="162"/>
      <c r="AX338" s="162"/>
      <c r="AY338" s="162"/>
      <c r="AZ338" s="162"/>
      <c r="BA338" s="162"/>
      <c r="BB338" s="162"/>
      <c r="BC338" s="162"/>
      <c r="BD338" s="162"/>
      <c r="BE338" s="162"/>
      <c r="BF338" s="162"/>
      <c r="BG338" s="162"/>
      <c r="BH338" s="162"/>
      <c r="BI338" s="162"/>
      <c r="BJ338" s="162"/>
      <c r="BK338" s="162"/>
      <c r="BL338" s="162"/>
    </row>
    <row r="339" spans="1:64" ht="18.75">
      <c r="A339"/>
      <c r="B339"/>
      <c r="C339"/>
      <c r="D339"/>
      <c r="E339"/>
      <c r="F339"/>
      <c r="G339"/>
      <c r="H339"/>
      <c r="I339"/>
      <c r="J339"/>
      <c r="K339"/>
      <c r="L339" s="303"/>
      <c r="M339" s="309"/>
      <c r="N339" s="278"/>
      <c r="O339" s="274"/>
      <c r="P339" s="182"/>
      <c r="Q339" s="182"/>
      <c r="R339" s="181"/>
      <c r="S339" s="181"/>
      <c r="T339" s="181"/>
      <c r="U339" s="162"/>
      <c r="V339" s="162"/>
      <c r="W339" s="162"/>
      <c r="X339" s="162"/>
      <c r="Y339" s="162"/>
      <c r="Z339" s="162"/>
      <c r="AA339" s="162"/>
      <c r="AB339" s="162"/>
      <c r="AC339" s="162"/>
      <c r="AD339" s="162"/>
      <c r="AE339" s="162"/>
      <c r="AF339" s="162"/>
      <c r="AG339" s="162"/>
      <c r="AH339" s="162"/>
      <c r="AI339" s="162"/>
      <c r="AJ339" s="162"/>
      <c r="AK339" s="162"/>
      <c r="AL339" s="162"/>
      <c r="AM339" s="162"/>
      <c r="AN339" s="162"/>
      <c r="AO339" s="162"/>
      <c r="AP339" s="162"/>
      <c r="AQ339" s="162"/>
      <c r="AR339" s="162"/>
      <c r="AS339" s="162"/>
      <c r="AT339" s="162"/>
      <c r="AU339" s="162"/>
      <c r="AV339" s="162"/>
      <c r="AW339" s="162"/>
      <c r="AX339" s="162"/>
      <c r="AY339" s="162"/>
      <c r="AZ339" s="162"/>
      <c r="BA339" s="162"/>
      <c r="BB339" s="162"/>
      <c r="BC339" s="162"/>
      <c r="BD339" s="162"/>
      <c r="BE339" s="162"/>
      <c r="BF339" s="162"/>
      <c r="BG339" s="162"/>
      <c r="BH339" s="162"/>
      <c r="BI339" s="162"/>
      <c r="BJ339" s="162"/>
      <c r="BK339" s="162"/>
      <c r="BL339" s="162"/>
    </row>
    <row r="340" spans="1:64" ht="20.25">
      <c r="A340" s="281"/>
      <c r="B340" s="280"/>
      <c r="C340" s="280"/>
      <c r="D340" s="280"/>
      <c r="E340" s="280"/>
      <c r="F340" s="280"/>
      <c r="G340" s="280"/>
      <c r="H340" s="280"/>
      <c r="I340" s="280"/>
      <c r="J340" s="273"/>
      <c r="K340" s="273"/>
      <c r="L340" s="273"/>
      <c r="M340" s="278"/>
      <c r="N340" s="278"/>
      <c r="O340" s="274"/>
      <c r="P340" s="182"/>
      <c r="Q340" s="182"/>
      <c r="R340" s="181"/>
      <c r="S340" s="181"/>
      <c r="T340" s="181"/>
      <c r="U340" s="162"/>
      <c r="V340" s="162"/>
      <c r="W340" s="162"/>
      <c r="X340" s="162"/>
      <c r="Y340" s="162"/>
      <c r="Z340" s="162"/>
      <c r="AA340" s="162"/>
      <c r="AB340" s="162"/>
      <c r="AC340" s="162"/>
      <c r="AD340" s="162"/>
      <c r="AE340" s="162"/>
      <c r="AF340" s="162"/>
      <c r="AG340" s="162"/>
      <c r="AH340" s="162"/>
      <c r="AI340" s="162"/>
      <c r="AJ340" s="162"/>
      <c r="AK340" s="162"/>
      <c r="AL340" s="162"/>
      <c r="AM340" s="162"/>
      <c r="AN340" s="162"/>
      <c r="AO340" s="162"/>
      <c r="AP340" s="162"/>
      <c r="AQ340" s="162"/>
      <c r="AR340" s="162"/>
      <c r="AS340" s="162"/>
      <c r="AT340" s="162"/>
      <c r="AU340" s="162"/>
      <c r="AV340" s="162"/>
      <c r="AW340" s="162"/>
      <c r="AX340" s="162"/>
      <c r="AY340" s="162"/>
      <c r="AZ340" s="162"/>
      <c r="BA340" s="162"/>
      <c r="BB340" s="162"/>
      <c r="BC340" s="162"/>
      <c r="BD340" s="162"/>
      <c r="BE340" s="162"/>
      <c r="BF340" s="162"/>
      <c r="BG340" s="162"/>
      <c r="BH340" s="162"/>
      <c r="BI340" s="162"/>
      <c r="BJ340" s="162"/>
      <c r="BK340" s="162"/>
      <c r="BL340" s="162"/>
    </row>
    <row r="341" spans="1:64" ht="20.25">
      <c r="A341" s="281"/>
      <c r="B341" s="280"/>
      <c r="C341" s="280"/>
      <c r="D341" s="280"/>
      <c r="E341" s="280"/>
      <c r="F341" s="280"/>
      <c r="G341" s="280"/>
      <c r="H341" s="280"/>
      <c r="I341" s="280"/>
      <c r="J341" s="273"/>
      <c r="K341" s="273"/>
      <c r="L341" s="273"/>
      <c r="M341" s="278"/>
      <c r="N341" s="278"/>
      <c r="O341" s="274"/>
      <c r="P341" s="182"/>
      <c r="Q341" s="182"/>
      <c r="R341" s="181"/>
      <c r="S341" s="181"/>
      <c r="T341" s="181"/>
      <c r="U341" s="162"/>
      <c r="V341" s="162"/>
      <c r="W341" s="162"/>
      <c r="X341" s="162"/>
      <c r="Y341" s="162"/>
      <c r="Z341" s="162"/>
      <c r="AA341" s="162"/>
      <c r="AB341" s="162"/>
      <c r="AC341" s="162"/>
      <c r="AD341" s="162"/>
      <c r="AE341" s="162"/>
      <c r="AF341" s="162"/>
      <c r="AG341" s="162"/>
      <c r="AH341" s="162"/>
      <c r="AI341" s="162"/>
      <c r="AJ341" s="162"/>
      <c r="AK341" s="162"/>
      <c r="AL341" s="162"/>
      <c r="AM341" s="162"/>
      <c r="AN341" s="162"/>
      <c r="AO341" s="162"/>
      <c r="AP341" s="162"/>
      <c r="AQ341" s="162"/>
      <c r="AR341" s="162"/>
      <c r="AS341" s="162"/>
      <c r="AT341" s="162"/>
      <c r="AU341" s="162"/>
      <c r="AV341" s="162"/>
      <c r="AW341" s="162"/>
      <c r="AX341" s="162"/>
      <c r="AY341" s="162"/>
      <c r="AZ341" s="162"/>
      <c r="BA341" s="162"/>
      <c r="BB341" s="162"/>
      <c r="BC341" s="162"/>
      <c r="BD341" s="162"/>
      <c r="BE341" s="162"/>
      <c r="BF341" s="162"/>
      <c r="BG341" s="162"/>
      <c r="BH341" s="162"/>
      <c r="BI341" s="162"/>
      <c r="BJ341" s="162"/>
      <c r="BK341" s="162"/>
      <c r="BL341" s="162"/>
    </row>
    <row r="342" spans="1:64" ht="20.25">
      <c r="A342" s="281"/>
      <c r="B342" s="280"/>
      <c r="C342" s="280"/>
      <c r="D342" s="280"/>
      <c r="E342" s="280"/>
      <c r="F342" s="280"/>
      <c r="G342" s="280"/>
      <c r="H342" s="280"/>
      <c r="I342" s="280"/>
      <c r="J342" s="273"/>
      <c r="K342" s="273"/>
      <c r="L342" s="273"/>
      <c r="M342" s="278"/>
      <c r="N342" s="278"/>
      <c r="O342" s="274"/>
      <c r="P342" s="182"/>
      <c r="Q342" s="182"/>
      <c r="R342" s="181"/>
      <c r="S342" s="181"/>
      <c r="T342" s="181"/>
      <c r="U342" s="162"/>
      <c r="V342" s="162"/>
      <c r="W342" s="162"/>
      <c r="X342" s="162"/>
      <c r="Y342" s="162"/>
      <c r="Z342" s="162"/>
      <c r="AA342" s="162"/>
      <c r="AB342" s="162"/>
      <c r="AC342" s="162"/>
      <c r="AD342" s="162"/>
      <c r="AE342" s="162"/>
      <c r="AF342" s="162"/>
      <c r="AG342" s="162"/>
      <c r="AH342" s="162"/>
      <c r="AI342" s="162"/>
      <c r="AJ342" s="162"/>
      <c r="AK342" s="162"/>
      <c r="AL342" s="162"/>
      <c r="AM342" s="162"/>
      <c r="AN342" s="162"/>
      <c r="AO342" s="162"/>
      <c r="AP342" s="162"/>
      <c r="AQ342" s="162"/>
      <c r="AR342" s="162"/>
      <c r="AS342" s="162"/>
      <c r="AT342" s="162"/>
      <c r="AU342" s="162"/>
      <c r="AV342" s="162"/>
      <c r="AW342" s="162"/>
      <c r="AX342" s="162"/>
      <c r="AY342" s="162"/>
      <c r="AZ342" s="162"/>
      <c r="BA342" s="162"/>
      <c r="BB342" s="162"/>
      <c r="BC342" s="162"/>
      <c r="BD342" s="162"/>
      <c r="BE342" s="162"/>
      <c r="BF342" s="162"/>
      <c r="BG342" s="162"/>
      <c r="BH342" s="162"/>
      <c r="BI342" s="162"/>
      <c r="BJ342" s="162"/>
      <c r="BK342" s="162"/>
      <c r="BL342" s="162"/>
    </row>
    <row r="343" spans="1:64" ht="20.25">
      <c r="A343" s="281"/>
      <c r="B343" s="280"/>
      <c r="C343" s="280"/>
      <c r="D343" s="280"/>
      <c r="E343" s="280"/>
      <c r="F343" s="280"/>
      <c r="G343" s="280"/>
      <c r="H343" s="280"/>
      <c r="I343" s="280"/>
      <c r="J343" s="273"/>
      <c r="K343" s="273"/>
      <c r="L343" s="273"/>
      <c r="M343" s="278"/>
      <c r="N343" s="278"/>
      <c r="O343" s="274"/>
      <c r="P343" s="182"/>
      <c r="Q343" s="182"/>
      <c r="R343" s="181"/>
      <c r="S343" s="181"/>
      <c r="T343" s="181"/>
      <c r="U343" s="162"/>
      <c r="V343" s="162"/>
      <c r="W343" s="162"/>
      <c r="X343" s="162"/>
      <c r="Y343" s="162"/>
      <c r="Z343" s="162"/>
      <c r="AA343" s="162"/>
      <c r="AB343" s="162"/>
      <c r="AC343" s="162"/>
      <c r="AD343" s="162"/>
      <c r="AE343" s="162"/>
      <c r="AF343" s="162"/>
      <c r="AG343" s="162"/>
      <c r="AH343" s="162"/>
      <c r="AI343" s="162"/>
      <c r="AJ343" s="162"/>
      <c r="AK343" s="162"/>
      <c r="AL343" s="162"/>
      <c r="AM343" s="162"/>
      <c r="AN343" s="162"/>
      <c r="AO343" s="162"/>
      <c r="AP343" s="162"/>
      <c r="AQ343" s="162"/>
      <c r="AR343" s="162"/>
      <c r="AS343" s="162"/>
      <c r="AT343" s="162"/>
      <c r="AU343" s="162"/>
      <c r="AV343" s="162"/>
      <c r="AW343" s="162"/>
      <c r="AX343" s="162"/>
      <c r="AY343" s="162"/>
      <c r="AZ343" s="162"/>
      <c r="BA343" s="162"/>
      <c r="BB343" s="162"/>
      <c r="BC343" s="162"/>
      <c r="BD343" s="162"/>
      <c r="BE343" s="162"/>
      <c r="BF343" s="162"/>
      <c r="BG343" s="162"/>
      <c r="BH343" s="162"/>
      <c r="BI343" s="162"/>
      <c r="BJ343" s="162"/>
      <c r="BK343" s="162"/>
      <c r="BL343" s="162"/>
    </row>
    <row r="344" spans="1:64" ht="20.25">
      <c r="A344" s="281"/>
      <c r="B344" s="280"/>
      <c r="C344" s="280"/>
      <c r="D344" s="280"/>
      <c r="E344" s="280"/>
      <c r="F344" s="280"/>
      <c r="G344" s="280"/>
      <c r="H344" s="280"/>
      <c r="I344" s="280"/>
      <c r="J344" s="273"/>
      <c r="K344" s="273"/>
      <c r="L344" s="273"/>
      <c r="M344" s="278"/>
      <c r="N344" s="278"/>
      <c r="O344" s="274"/>
      <c r="P344" s="182"/>
      <c r="Q344" s="182"/>
      <c r="R344" s="181"/>
      <c r="S344" s="181"/>
      <c r="T344" s="181"/>
      <c r="U344" s="162"/>
      <c r="V344" s="162"/>
      <c r="W344" s="162"/>
      <c r="X344" s="162"/>
      <c r="Y344" s="162"/>
      <c r="Z344" s="162"/>
      <c r="AA344" s="162"/>
      <c r="AB344" s="162"/>
      <c r="AC344" s="162"/>
      <c r="AD344" s="162"/>
      <c r="AE344" s="162"/>
      <c r="AF344" s="162"/>
      <c r="AG344" s="162"/>
      <c r="AH344" s="162"/>
      <c r="AI344" s="162"/>
      <c r="AJ344" s="162"/>
      <c r="AK344" s="162"/>
      <c r="AL344" s="162"/>
      <c r="AM344" s="162"/>
      <c r="AN344" s="162"/>
      <c r="AO344" s="162"/>
      <c r="AP344" s="162"/>
      <c r="AQ344" s="162"/>
      <c r="AR344" s="162"/>
      <c r="AS344" s="162"/>
      <c r="AT344" s="162"/>
      <c r="AU344" s="162"/>
      <c r="AV344" s="162"/>
      <c r="AW344" s="162"/>
      <c r="AX344" s="162"/>
      <c r="AY344" s="162"/>
      <c r="AZ344" s="162"/>
      <c r="BA344" s="162"/>
      <c r="BB344" s="162"/>
      <c r="BC344" s="162"/>
      <c r="BD344" s="162"/>
      <c r="BE344" s="162"/>
      <c r="BF344" s="162"/>
      <c r="BG344" s="162"/>
      <c r="BH344" s="162"/>
      <c r="BI344" s="162"/>
      <c r="BJ344" s="162"/>
      <c r="BK344" s="162"/>
      <c r="BL344" s="162"/>
    </row>
    <row r="345" spans="1:64" ht="20.25">
      <c r="A345" s="281"/>
      <c r="B345" s="280"/>
      <c r="C345" s="280"/>
      <c r="D345" s="280"/>
      <c r="E345" s="280"/>
      <c r="F345" s="280"/>
      <c r="G345" s="280"/>
      <c r="H345" s="280"/>
      <c r="I345" s="280"/>
      <c r="J345" s="273"/>
      <c r="K345" s="273"/>
      <c r="L345" s="273"/>
      <c r="M345" s="278"/>
      <c r="N345" s="278"/>
      <c r="O345" s="274"/>
      <c r="P345" s="182"/>
      <c r="Q345" s="182"/>
      <c r="R345" s="181"/>
      <c r="S345" s="181"/>
      <c r="T345" s="181"/>
      <c r="U345" s="162"/>
      <c r="V345" s="162"/>
      <c r="W345" s="162"/>
      <c r="X345" s="162"/>
      <c r="Y345" s="162"/>
      <c r="Z345" s="162"/>
      <c r="AA345" s="162"/>
      <c r="AB345" s="162"/>
      <c r="AC345" s="162"/>
      <c r="AD345" s="162"/>
      <c r="AE345" s="162"/>
      <c r="AF345" s="162"/>
      <c r="AG345" s="162"/>
      <c r="AH345" s="162"/>
      <c r="AI345" s="162"/>
      <c r="AJ345" s="162"/>
      <c r="AK345" s="162"/>
      <c r="AL345" s="162"/>
      <c r="AM345" s="162"/>
      <c r="AN345" s="162"/>
      <c r="AO345" s="162"/>
      <c r="AP345" s="162"/>
      <c r="AQ345" s="162"/>
      <c r="AR345" s="162"/>
      <c r="AS345" s="162"/>
      <c r="AT345" s="162"/>
      <c r="AU345" s="162"/>
      <c r="AV345" s="162"/>
      <c r="AW345" s="162"/>
      <c r="AX345" s="162"/>
      <c r="AY345" s="162"/>
      <c r="AZ345" s="162"/>
      <c r="BA345" s="162"/>
      <c r="BB345" s="162"/>
      <c r="BC345" s="162"/>
      <c r="BD345" s="162"/>
      <c r="BE345" s="162"/>
      <c r="BF345" s="162"/>
      <c r="BG345" s="162"/>
      <c r="BH345" s="162"/>
      <c r="BI345" s="162"/>
      <c r="BJ345" s="162"/>
      <c r="BK345" s="162"/>
      <c r="BL345" s="162"/>
    </row>
    <row r="346" spans="1:64" ht="20.25">
      <c r="A346" s="281"/>
      <c r="B346" s="280"/>
      <c r="C346" s="280"/>
      <c r="D346" s="280"/>
      <c r="E346" s="280"/>
      <c r="F346" s="280"/>
      <c r="G346" s="280"/>
      <c r="H346" s="280"/>
      <c r="I346" s="280"/>
      <c r="J346" s="273"/>
      <c r="K346" s="273"/>
      <c r="L346" s="273"/>
      <c r="M346" s="278"/>
      <c r="N346" s="278"/>
      <c r="O346" s="274"/>
      <c r="P346" s="182"/>
      <c r="Q346" s="182"/>
      <c r="R346" s="181"/>
      <c r="S346" s="181"/>
      <c r="T346" s="181"/>
      <c r="U346" s="162"/>
      <c r="V346" s="162"/>
      <c r="W346" s="162"/>
      <c r="X346" s="162"/>
      <c r="Y346" s="162"/>
      <c r="Z346" s="162"/>
      <c r="AA346" s="162"/>
      <c r="AB346" s="162"/>
      <c r="AC346" s="162"/>
      <c r="AD346" s="162"/>
      <c r="AE346" s="162"/>
      <c r="AF346" s="162"/>
      <c r="AG346" s="162"/>
      <c r="AH346" s="162"/>
      <c r="AI346" s="162"/>
      <c r="AJ346" s="162"/>
      <c r="AK346" s="162"/>
      <c r="AL346" s="162"/>
      <c r="AM346" s="162"/>
      <c r="AN346" s="162"/>
      <c r="AO346" s="162"/>
      <c r="AP346" s="162"/>
      <c r="AQ346" s="162"/>
      <c r="AR346" s="162"/>
      <c r="AS346" s="162"/>
      <c r="AT346" s="162"/>
      <c r="AU346" s="162"/>
      <c r="AV346" s="162"/>
      <c r="AW346" s="162"/>
      <c r="AX346" s="162"/>
      <c r="AY346" s="162"/>
      <c r="AZ346" s="162"/>
      <c r="BA346" s="162"/>
      <c r="BB346" s="162"/>
      <c r="BC346" s="162"/>
      <c r="BD346" s="162"/>
      <c r="BE346" s="162"/>
      <c r="BF346" s="162"/>
      <c r="BG346" s="162"/>
      <c r="BH346" s="162"/>
      <c r="BI346" s="162"/>
      <c r="BJ346" s="162"/>
      <c r="BK346" s="162"/>
      <c r="BL346" s="162"/>
    </row>
    <row r="347" spans="1:64" ht="20.25">
      <c r="A347" s="281"/>
      <c r="B347" s="280"/>
      <c r="C347" s="280"/>
      <c r="D347" s="280"/>
      <c r="E347" s="280"/>
      <c r="F347" s="280"/>
      <c r="G347" s="280"/>
      <c r="H347" s="280"/>
      <c r="I347" s="280"/>
      <c r="J347" s="273"/>
      <c r="K347" s="273"/>
      <c r="L347" s="273"/>
      <c r="M347" s="278"/>
      <c r="N347" s="278"/>
      <c r="O347" s="274"/>
      <c r="P347" s="182"/>
      <c r="Q347" s="182"/>
      <c r="R347" s="181"/>
      <c r="S347" s="181"/>
      <c r="T347" s="181"/>
      <c r="U347" s="162"/>
      <c r="V347" s="162"/>
      <c r="W347" s="162"/>
      <c r="X347" s="162"/>
      <c r="Y347" s="162"/>
      <c r="Z347" s="162"/>
      <c r="AA347" s="162"/>
      <c r="AB347" s="162"/>
      <c r="AC347" s="162"/>
      <c r="AD347" s="162"/>
      <c r="AE347" s="162"/>
      <c r="AF347" s="162"/>
      <c r="AG347" s="162"/>
      <c r="AH347" s="162"/>
      <c r="AI347" s="162"/>
      <c r="AJ347" s="162"/>
      <c r="AK347" s="162"/>
      <c r="AL347" s="162"/>
      <c r="AM347" s="162"/>
      <c r="AN347" s="162"/>
      <c r="AO347" s="162"/>
      <c r="AP347" s="162"/>
      <c r="AQ347" s="162"/>
      <c r="AR347" s="162"/>
      <c r="AS347" s="162"/>
      <c r="AT347" s="162"/>
      <c r="AU347" s="162"/>
      <c r="AV347" s="162"/>
      <c r="AW347" s="162"/>
      <c r="AX347" s="162"/>
      <c r="AY347" s="162"/>
      <c r="AZ347" s="162"/>
      <c r="BA347" s="162"/>
      <c r="BB347" s="162"/>
      <c r="BC347" s="162"/>
      <c r="BD347" s="162"/>
      <c r="BE347" s="162"/>
      <c r="BF347" s="162"/>
      <c r="BG347" s="162"/>
      <c r="BH347" s="162"/>
      <c r="BI347" s="162"/>
      <c r="BJ347" s="162"/>
      <c r="BK347" s="162"/>
      <c r="BL347" s="162"/>
    </row>
    <row r="348" spans="1:64" ht="20.25">
      <c r="A348" s="281"/>
      <c r="B348" s="280"/>
      <c r="C348" s="280"/>
      <c r="D348" s="280"/>
      <c r="E348" s="280"/>
      <c r="F348" s="280"/>
      <c r="G348" s="280"/>
      <c r="H348" s="280"/>
      <c r="I348" s="280"/>
      <c r="J348" s="273"/>
      <c r="K348" s="273"/>
      <c r="L348" s="273"/>
      <c r="M348" s="278"/>
      <c r="N348" s="278"/>
      <c r="O348" s="274"/>
      <c r="P348" s="182"/>
      <c r="Q348" s="182"/>
      <c r="R348" s="181"/>
      <c r="S348" s="181"/>
      <c r="T348" s="181"/>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2"/>
      <c r="AY348" s="162"/>
      <c r="AZ348" s="162"/>
      <c r="BA348" s="162"/>
      <c r="BB348" s="162"/>
      <c r="BC348" s="162"/>
      <c r="BD348" s="162"/>
      <c r="BE348" s="162"/>
      <c r="BF348" s="162"/>
      <c r="BG348" s="162"/>
      <c r="BH348" s="162"/>
      <c r="BI348" s="162"/>
      <c r="BJ348" s="162"/>
      <c r="BK348" s="162"/>
      <c r="BL348" s="162"/>
    </row>
    <row r="349" spans="1:64" ht="20.25">
      <c r="A349" s="281"/>
      <c r="B349" s="280"/>
      <c r="C349" s="280"/>
      <c r="D349" s="280"/>
      <c r="E349" s="280"/>
      <c r="F349" s="280"/>
      <c r="G349" s="280"/>
      <c r="H349" s="280"/>
      <c r="I349" s="280"/>
      <c r="J349" s="273"/>
      <c r="K349" s="273"/>
      <c r="L349" s="273"/>
      <c r="M349" s="278"/>
      <c r="N349" s="278"/>
      <c r="O349" s="274"/>
      <c r="P349" s="182"/>
      <c r="Q349" s="182"/>
      <c r="R349" s="181"/>
      <c r="S349" s="181"/>
      <c r="T349" s="181"/>
      <c r="U349" s="162"/>
      <c r="V349" s="162"/>
      <c r="W349" s="162"/>
      <c r="X349" s="162"/>
      <c r="Y349" s="162"/>
      <c r="Z349" s="162"/>
      <c r="AA349" s="162"/>
      <c r="AB349" s="162"/>
      <c r="AC349" s="162"/>
      <c r="AD349" s="162"/>
      <c r="AE349" s="162"/>
      <c r="AF349" s="162"/>
      <c r="AG349" s="162"/>
      <c r="AH349" s="162"/>
      <c r="AI349" s="162"/>
      <c r="AJ349" s="162"/>
      <c r="AK349" s="162"/>
      <c r="AL349" s="162"/>
      <c r="AM349" s="162"/>
      <c r="AN349" s="162"/>
      <c r="AO349" s="162"/>
      <c r="AP349" s="162"/>
      <c r="AQ349" s="162"/>
      <c r="AR349" s="162"/>
      <c r="AS349" s="162"/>
      <c r="AT349" s="162"/>
      <c r="AU349" s="162"/>
      <c r="AV349" s="162"/>
      <c r="AW349" s="162"/>
      <c r="AX349" s="162"/>
      <c r="AY349" s="162"/>
      <c r="AZ349" s="162"/>
      <c r="BA349" s="162"/>
      <c r="BB349" s="162"/>
      <c r="BC349" s="162"/>
      <c r="BD349" s="162"/>
      <c r="BE349" s="162"/>
      <c r="BF349" s="162"/>
      <c r="BG349" s="162"/>
      <c r="BH349" s="162"/>
      <c r="BI349" s="162"/>
      <c r="BJ349" s="162"/>
      <c r="BK349" s="162"/>
      <c r="BL349" s="162"/>
    </row>
    <row r="350" spans="1:64" ht="20.25">
      <c r="A350" s="281"/>
      <c r="B350" s="280"/>
      <c r="C350" s="280"/>
      <c r="D350" s="280"/>
      <c r="E350" s="280"/>
      <c r="F350" s="280"/>
      <c r="G350" s="280"/>
      <c r="H350" s="280"/>
      <c r="I350" s="280"/>
      <c r="J350" s="273"/>
      <c r="K350" s="273"/>
      <c r="L350" s="273"/>
      <c r="M350" s="278"/>
      <c r="N350" s="278"/>
      <c r="O350" s="274"/>
      <c r="P350" s="182"/>
      <c r="Q350" s="182"/>
      <c r="R350" s="181"/>
      <c r="S350" s="181"/>
      <c r="T350" s="181"/>
      <c r="U350" s="162"/>
      <c r="V350" s="162"/>
      <c r="W350" s="162"/>
      <c r="X350" s="162"/>
      <c r="Y350" s="162"/>
      <c r="Z350" s="162"/>
      <c r="AA350" s="162"/>
      <c r="AB350" s="162"/>
      <c r="AC350" s="162"/>
      <c r="AD350" s="162"/>
      <c r="AE350" s="162"/>
      <c r="AF350" s="162"/>
      <c r="AG350" s="162"/>
      <c r="AH350" s="162"/>
      <c r="AI350" s="162"/>
      <c r="AJ350" s="162"/>
      <c r="AK350" s="162"/>
      <c r="AL350" s="162"/>
      <c r="AM350" s="162"/>
      <c r="AN350" s="162"/>
      <c r="AO350" s="162"/>
      <c r="AP350" s="162"/>
      <c r="AQ350" s="162"/>
      <c r="AR350" s="162"/>
      <c r="AS350" s="162"/>
      <c r="AT350" s="162"/>
      <c r="AU350" s="162"/>
      <c r="AV350" s="162"/>
      <c r="AW350" s="162"/>
      <c r="AX350" s="162"/>
      <c r="AY350" s="162"/>
      <c r="AZ350" s="162"/>
      <c r="BA350" s="162"/>
      <c r="BB350" s="162"/>
      <c r="BC350" s="162"/>
      <c r="BD350" s="162"/>
      <c r="BE350" s="162"/>
      <c r="BF350" s="162"/>
      <c r="BG350" s="162"/>
      <c r="BH350" s="162"/>
      <c r="BI350" s="162"/>
      <c r="BJ350" s="162"/>
      <c r="BK350" s="162"/>
      <c r="BL350" s="162"/>
    </row>
    <row r="351" spans="1:64" ht="20.25">
      <c r="A351" s="281"/>
      <c r="B351" s="280"/>
      <c r="C351" s="280"/>
      <c r="D351" s="280"/>
      <c r="E351" s="280"/>
      <c r="F351" s="280"/>
      <c r="G351" s="280"/>
      <c r="H351" s="280"/>
      <c r="I351" s="280"/>
      <c r="J351" s="273"/>
      <c r="K351" s="273"/>
      <c r="L351" s="273"/>
      <c r="M351" s="278"/>
      <c r="N351" s="278"/>
      <c r="O351" s="274"/>
      <c r="P351" s="182"/>
      <c r="Q351" s="182"/>
      <c r="R351" s="181"/>
      <c r="S351" s="181"/>
      <c r="T351" s="181"/>
      <c r="U351" s="162"/>
      <c r="V351" s="162"/>
      <c r="W351" s="162"/>
      <c r="X351" s="162"/>
      <c r="Y351" s="162"/>
      <c r="Z351" s="162"/>
      <c r="AA351" s="162"/>
      <c r="AB351" s="162"/>
      <c r="AC351" s="162"/>
      <c r="AD351" s="162"/>
      <c r="AE351" s="162"/>
      <c r="AF351" s="162"/>
      <c r="AG351" s="162"/>
      <c r="AH351" s="162"/>
      <c r="AI351" s="162"/>
      <c r="AJ351" s="162"/>
      <c r="AK351" s="162"/>
      <c r="AL351" s="162"/>
      <c r="AM351" s="162"/>
      <c r="AN351" s="162"/>
      <c r="AO351" s="162"/>
      <c r="AP351" s="162"/>
      <c r="AQ351" s="162"/>
      <c r="AR351" s="162"/>
      <c r="AS351" s="162"/>
      <c r="AT351" s="162"/>
      <c r="AU351" s="162"/>
      <c r="AV351" s="162"/>
      <c r="AW351" s="162"/>
      <c r="AX351" s="162"/>
      <c r="AY351" s="162"/>
      <c r="AZ351" s="162"/>
      <c r="BA351" s="162"/>
      <c r="BB351" s="162"/>
      <c r="BC351" s="162"/>
      <c r="BD351" s="162"/>
      <c r="BE351" s="162"/>
      <c r="BF351" s="162"/>
      <c r="BG351" s="162"/>
      <c r="BH351" s="162"/>
      <c r="BI351" s="162"/>
      <c r="BJ351" s="162"/>
      <c r="BK351" s="162"/>
      <c r="BL351" s="162"/>
    </row>
    <row r="352" spans="1:64" ht="20.25">
      <c r="A352" s="281"/>
      <c r="B352" s="280"/>
      <c r="C352" s="280"/>
      <c r="D352" s="280"/>
      <c r="E352" s="280"/>
      <c r="F352" s="280"/>
      <c r="G352" s="280"/>
      <c r="H352" s="280"/>
      <c r="I352" s="280"/>
      <c r="J352" s="273"/>
      <c r="K352" s="273"/>
      <c r="L352" s="273"/>
      <c r="M352" s="278"/>
      <c r="N352" s="278"/>
      <c r="O352" s="274"/>
      <c r="P352" s="182"/>
      <c r="Q352" s="182"/>
      <c r="R352" s="181"/>
      <c r="S352" s="181"/>
      <c r="T352" s="181"/>
      <c r="U352" s="162"/>
      <c r="V352" s="162"/>
      <c r="W352" s="162"/>
      <c r="X352" s="162"/>
      <c r="Y352" s="162"/>
      <c r="Z352" s="162"/>
      <c r="AA352" s="162"/>
      <c r="AB352" s="162"/>
      <c r="AC352" s="162"/>
      <c r="AD352" s="162"/>
      <c r="AE352" s="162"/>
      <c r="AF352" s="162"/>
      <c r="AG352" s="162"/>
      <c r="AH352" s="162"/>
      <c r="AI352" s="162"/>
      <c r="AJ352" s="162"/>
      <c r="AK352" s="162"/>
      <c r="AL352" s="162"/>
      <c r="AM352" s="162"/>
      <c r="AN352" s="162"/>
      <c r="AO352" s="162"/>
      <c r="AP352" s="162"/>
      <c r="AQ352" s="162"/>
      <c r="AR352" s="162"/>
      <c r="AS352" s="162"/>
      <c r="AT352" s="162"/>
      <c r="AU352" s="162"/>
      <c r="AV352" s="162"/>
      <c r="AW352" s="162"/>
      <c r="AX352" s="162"/>
      <c r="AY352" s="162"/>
      <c r="AZ352" s="162"/>
      <c r="BA352" s="162"/>
      <c r="BB352" s="162"/>
      <c r="BC352" s="162"/>
      <c r="BD352" s="162"/>
      <c r="BE352" s="162"/>
      <c r="BF352" s="162"/>
      <c r="BG352" s="162"/>
      <c r="BH352" s="162"/>
      <c r="BI352" s="162"/>
      <c r="BJ352" s="162"/>
      <c r="BK352" s="162"/>
      <c r="BL352" s="162"/>
    </row>
    <row r="353" spans="1:64" ht="20.25">
      <c r="A353" s="281"/>
      <c r="B353" s="280"/>
      <c r="C353" s="280"/>
      <c r="D353" s="280"/>
      <c r="E353" s="280"/>
      <c r="F353" s="280"/>
      <c r="G353" s="280"/>
      <c r="H353" s="280"/>
      <c r="I353" s="280"/>
      <c r="J353" s="273"/>
      <c r="K353" s="273"/>
      <c r="L353" s="273"/>
      <c r="M353" s="278"/>
      <c r="N353" s="278"/>
      <c r="O353" s="274"/>
      <c r="P353" s="182"/>
      <c r="Q353" s="182"/>
      <c r="R353" s="181"/>
      <c r="S353" s="181"/>
      <c r="T353" s="181"/>
      <c r="U353" s="162"/>
      <c r="V353" s="162"/>
      <c r="W353" s="162"/>
      <c r="X353" s="162"/>
      <c r="Y353" s="162"/>
      <c r="Z353" s="162"/>
      <c r="AA353" s="162"/>
      <c r="AB353" s="162"/>
      <c r="AC353" s="162"/>
      <c r="AD353" s="162"/>
      <c r="AE353" s="162"/>
      <c r="AF353" s="162"/>
      <c r="AG353" s="162"/>
      <c r="AH353" s="162"/>
      <c r="AI353" s="162"/>
      <c r="AJ353" s="162"/>
      <c r="AK353" s="162"/>
      <c r="AL353" s="162"/>
      <c r="AM353" s="162"/>
      <c r="AN353" s="162"/>
      <c r="AO353" s="162"/>
      <c r="AP353" s="162"/>
      <c r="AQ353" s="162"/>
      <c r="AR353" s="162"/>
      <c r="AS353" s="162"/>
      <c r="AT353" s="162"/>
      <c r="AU353" s="162"/>
      <c r="AV353" s="162"/>
      <c r="AW353" s="162"/>
      <c r="AX353" s="162"/>
      <c r="AY353" s="162"/>
      <c r="AZ353" s="162"/>
      <c r="BA353" s="162"/>
      <c r="BB353" s="162"/>
      <c r="BC353" s="162"/>
      <c r="BD353" s="162"/>
      <c r="BE353" s="162"/>
      <c r="BF353" s="162"/>
      <c r="BG353" s="162"/>
      <c r="BH353" s="162"/>
      <c r="BI353" s="162"/>
      <c r="BJ353" s="162"/>
      <c r="BK353" s="162"/>
      <c r="BL353" s="162"/>
    </row>
    <row r="354" spans="1:64" ht="20.25">
      <c r="A354" s="281"/>
      <c r="B354" s="280"/>
      <c r="C354" s="280"/>
      <c r="D354" s="280"/>
      <c r="E354" s="280"/>
      <c r="F354" s="280"/>
      <c r="G354" s="280"/>
      <c r="H354" s="280"/>
      <c r="I354" s="280"/>
      <c r="J354" s="273"/>
      <c r="K354" s="273"/>
      <c r="L354" s="273"/>
      <c r="M354" s="278"/>
      <c r="N354" s="278"/>
      <c r="O354" s="274"/>
      <c r="P354" s="182"/>
      <c r="Q354" s="182"/>
      <c r="R354" s="181"/>
      <c r="S354" s="181"/>
      <c r="T354" s="181"/>
      <c r="U354" s="162"/>
      <c r="V354" s="162"/>
      <c r="W354" s="162"/>
      <c r="X354" s="162"/>
      <c r="Y354" s="162"/>
      <c r="Z354" s="162"/>
      <c r="AA354" s="162"/>
      <c r="AB354" s="162"/>
      <c r="AC354" s="162"/>
      <c r="AD354" s="162"/>
      <c r="AE354" s="162"/>
      <c r="AF354" s="162"/>
      <c r="AG354" s="162"/>
      <c r="AH354" s="162"/>
      <c r="AI354" s="162"/>
      <c r="AJ354" s="162"/>
      <c r="AK354" s="162"/>
      <c r="AL354" s="162"/>
      <c r="AM354" s="162"/>
      <c r="AN354" s="162"/>
      <c r="AO354" s="162"/>
      <c r="AP354" s="162"/>
      <c r="AQ354" s="162"/>
      <c r="AR354" s="162"/>
      <c r="AS354" s="162"/>
      <c r="AT354" s="162"/>
      <c r="AU354" s="162"/>
      <c r="AV354" s="162"/>
      <c r="AW354" s="162"/>
      <c r="AX354" s="162"/>
      <c r="AY354" s="162"/>
      <c r="AZ354" s="162"/>
      <c r="BA354" s="162"/>
      <c r="BB354" s="162"/>
      <c r="BC354" s="162"/>
      <c r="BD354" s="162"/>
      <c r="BE354" s="162"/>
      <c r="BF354" s="162"/>
      <c r="BG354" s="162"/>
      <c r="BH354" s="162"/>
      <c r="BI354" s="162"/>
      <c r="BJ354" s="162"/>
      <c r="BK354" s="162"/>
      <c r="BL354" s="162"/>
    </row>
    <row r="355" spans="1:64" ht="20.25">
      <c r="A355" s="281"/>
      <c r="B355" s="280"/>
      <c r="C355" s="280"/>
      <c r="D355" s="280"/>
      <c r="E355" s="280"/>
      <c r="F355" s="280"/>
      <c r="G355" s="280"/>
      <c r="H355" s="280"/>
      <c r="I355" s="280"/>
      <c r="J355" s="273"/>
      <c r="K355" s="273"/>
      <c r="L355" s="273"/>
      <c r="M355" s="278"/>
      <c r="N355" s="278"/>
      <c r="O355" s="274"/>
      <c r="P355" s="182"/>
      <c r="Q355" s="182"/>
      <c r="R355" s="181"/>
      <c r="S355" s="181"/>
      <c r="T355" s="181"/>
      <c r="U355" s="162"/>
      <c r="V355" s="162"/>
      <c r="W355" s="162"/>
      <c r="X355" s="162"/>
      <c r="Y355" s="162"/>
      <c r="Z355" s="162"/>
      <c r="AA355" s="162"/>
      <c r="AB355" s="162"/>
      <c r="AC355" s="162"/>
      <c r="AD355" s="162"/>
      <c r="AE355" s="162"/>
      <c r="AF355" s="162"/>
      <c r="AG355" s="162"/>
      <c r="AH355" s="162"/>
      <c r="AI355" s="162"/>
      <c r="AJ355" s="162"/>
      <c r="AK355" s="162"/>
      <c r="AL355" s="162"/>
      <c r="AM355" s="162"/>
      <c r="AN355" s="162"/>
      <c r="AO355" s="162"/>
      <c r="AP355" s="162"/>
      <c r="AQ355" s="162"/>
      <c r="AR355" s="162"/>
      <c r="AS355" s="162"/>
      <c r="AT355" s="162"/>
      <c r="AU355" s="162"/>
      <c r="AV355" s="162"/>
      <c r="AW355" s="162"/>
      <c r="AX355" s="162"/>
      <c r="AY355" s="162"/>
      <c r="AZ355" s="162"/>
      <c r="BA355" s="162"/>
      <c r="BB355" s="162"/>
      <c r="BC355" s="162"/>
      <c r="BD355" s="162"/>
      <c r="BE355" s="162"/>
      <c r="BF355" s="162"/>
      <c r="BG355" s="162"/>
      <c r="BH355" s="162"/>
      <c r="BI355" s="162"/>
      <c r="BJ355" s="162"/>
      <c r="BK355" s="162"/>
      <c r="BL355" s="162"/>
    </row>
    <row r="356" spans="1:64" ht="20.25">
      <c r="A356" s="281"/>
      <c r="B356" s="280"/>
      <c r="C356" s="280"/>
      <c r="D356" s="280"/>
      <c r="E356" s="280"/>
      <c r="F356" s="280"/>
      <c r="G356" s="280"/>
      <c r="H356" s="280"/>
      <c r="I356" s="280"/>
      <c r="J356" s="273"/>
      <c r="K356" s="273"/>
      <c r="L356" s="273"/>
      <c r="M356" s="278"/>
      <c r="N356" s="278"/>
      <c r="O356" s="274"/>
      <c r="P356" s="182"/>
      <c r="Q356" s="182"/>
      <c r="R356" s="181"/>
      <c r="S356" s="181"/>
      <c r="T356" s="181"/>
      <c r="U356" s="162"/>
      <c r="V356" s="162"/>
      <c r="W356" s="162"/>
      <c r="X356" s="162"/>
      <c r="Y356" s="162"/>
      <c r="Z356" s="162"/>
      <c r="AA356" s="162"/>
      <c r="AB356" s="162"/>
      <c r="AC356" s="162"/>
      <c r="AD356" s="162"/>
      <c r="AE356" s="162"/>
      <c r="AF356" s="162"/>
      <c r="AG356" s="162"/>
      <c r="AH356" s="162"/>
      <c r="AI356" s="162"/>
      <c r="AJ356" s="162"/>
      <c r="AK356" s="162"/>
      <c r="AL356" s="162"/>
      <c r="AM356" s="162"/>
      <c r="AN356" s="162"/>
      <c r="AO356" s="162"/>
      <c r="AP356" s="162"/>
      <c r="AQ356" s="162"/>
      <c r="AR356" s="162"/>
      <c r="AS356" s="162"/>
      <c r="AT356" s="162"/>
      <c r="AU356" s="162"/>
      <c r="AV356" s="162"/>
      <c r="AW356" s="162"/>
      <c r="AX356" s="162"/>
      <c r="AY356" s="162"/>
      <c r="AZ356" s="162"/>
      <c r="BA356" s="162"/>
      <c r="BB356" s="162"/>
      <c r="BC356" s="162"/>
      <c r="BD356" s="162"/>
      <c r="BE356" s="162"/>
      <c r="BF356" s="162"/>
      <c r="BG356" s="162"/>
      <c r="BH356" s="162"/>
      <c r="BI356" s="162"/>
      <c r="BJ356" s="162"/>
      <c r="BK356" s="162"/>
      <c r="BL356" s="162"/>
    </row>
    <row r="357" spans="1:64" ht="15.75">
      <c r="A357" s="169"/>
      <c r="B357" s="227"/>
      <c r="C357" s="227"/>
      <c r="D357" s="227"/>
      <c r="E357" s="227"/>
      <c r="F357" s="227"/>
      <c r="G357" s="227"/>
      <c r="H357" s="227"/>
      <c r="I357" s="227"/>
      <c r="J357" s="227"/>
      <c r="K357" s="227"/>
      <c r="L357" s="227"/>
      <c r="M357" s="278"/>
      <c r="N357" s="278"/>
      <c r="O357" s="272"/>
      <c r="P357" s="182"/>
      <c r="Q357" s="182"/>
      <c r="R357" s="181"/>
      <c r="S357" s="181"/>
      <c r="T357" s="181"/>
      <c r="U357" s="162"/>
      <c r="V357" s="162"/>
      <c r="W357" s="162"/>
      <c r="X357" s="162"/>
      <c r="Y357" s="162"/>
      <c r="Z357" s="162"/>
      <c r="AA357" s="162"/>
      <c r="AB357" s="162"/>
      <c r="AC357" s="162"/>
      <c r="AD357" s="162"/>
      <c r="AE357" s="162"/>
      <c r="AF357" s="162"/>
      <c r="AG357" s="162"/>
      <c r="AH357" s="162"/>
      <c r="AI357" s="162"/>
      <c r="AJ357" s="162"/>
      <c r="AK357" s="162"/>
      <c r="AL357" s="162"/>
      <c r="AM357" s="162"/>
      <c r="AN357" s="162"/>
      <c r="AO357" s="162"/>
      <c r="AP357" s="162"/>
      <c r="AQ357" s="162"/>
      <c r="AR357" s="162"/>
      <c r="AS357" s="162"/>
      <c r="AT357" s="162"/>
      <c r="AU357" s="162"/>
      <c r="AV357" s="162"/>
      <c r="AW357" s="162"/>
      <c r="AX357" s="162"/>
      <c r="AY357" s="162"/>
      <c r="AZ357" s="162"/>
      <c r="BA357" s="162"/>
      <c r="BB357" s="162"/>
      <c r="BC357" s="162"/>
      <c r="BD357" s="162"/>
      <c r="BE357" s="162"/>
      <c r="BF357" s="162"/>
      <c r="BG357" s="162"/>
      <c r="BH357" s="162"/>
      <c r="BI357" s="162"/>
      <c r="BJ357" s="162"/>
      <c r="BK357" s="162"/>
      <c r="BL357" s="162"/>
    </row>
    <row r="358" spans="1:64" ht="15.75">
      <c r="A358" s="169"/>
      <c r="B358" s="227"/>
      <c r="C358" s="227"/>
      <c r="D358" s="227"/>
      <c r="E358" s="227"/>
      <c r="F358" s="227"/>
      <c r="G358" s="227"/>
      <c r="H358" s="227"/>
      <c r="I358" s="227"/>
      <c r="J358" s="227"/>
      <c r="K358" s="227"/>
      <c r="L358" s="227"/>
      <c r="M358" s="278"/>
      <c r="N358" s="278"/>
      <c r="O358" s="272"/>
      <c r="P358" s="182"/>
      <c r="Q358" s="182"/>
      <c r="R358" s="181"/>
      <c r="S358" s="181"/>
      <c r="T358" s="181"/>
      <c r="U358" s="162"/>
      <c r="V358" s="162"/>
      <c r="W358" s="162"/>
      <c r="X358" s="162"/>
      <c r="Y358" s="162"/>
      <c r="Z358" s="162"/>
      <c r="AA358" s="162"/>
      <c r="AB358" s="162"/>
      <c r="AC358" s="162"/>
      <c r="AD358" s="162"/>
      <c r="AE358" s="162"/>
      <c r="AF358" s="162"/>
      <c r="AG358" s="162"/>
      <c r="AH358" s="162"/>
      <c r="AI358" s="162"/>
      <c r="AJ358" s="162"/>
      <c r="AK358" s="162"/>
      <c r="AL358" s="162"/>
      <c r="AM358" s="162"/>
      <c r="AN358" s="162"/>
      <c r="AO358" s="162"/>
      <c r="AP358" s="162"/>
      <c r="AQ358" s="162"/>
      <c r="AR358" s="162"/>
      <c r="AS358" s="162"/>
      <c r="AT358" s="162"/>
      <c r="AU358" s="162"/>
      <c r="AV358" s="162"/>
      <c r="AW358" s="162"/>
      <c r="AX358" s="162"/>
      <c r="AY358" s="162"/>
      <c r="AZ358" s="162"/>
      <c r="BA358" s="162"/>
      <c r="BB358" s="162"/>
      <c r="BC358" s="162"/>
      <c r="BD358" s="162"/>
      <c r="BE358" s="162"/>
      <c r="BF358" s="162"/>
      <c r="BG358" s="162"/>
      <c r="BH358" s="162"/>
      <c r="BI358" s="162"/>
      <c r="BJ358" s="162"/>
      <c r="BK358" s="162"/>
      <c r="BL358" s="162"/>
    </row>
    <row r="359" spans="1:64" ht="15">
      <c r="B359" s="161"/>
      <c r="C359" s="161"/>
      <c r="D359" s="161"/>
      <c r="E359" s="161"/>
      <c r="F359" s="161"/>
      <c r="G359" s="161"/>
      <c r="H359" s="161"/>
      <c r="I359" s="161"/>
      <c r="J359" s="161"/>
      <c r="K359" s="161"/>
      <c r="L359" s="161"/>
      <c r="M359" s="278"/>
      <c r="N359" s="278"/>
      <c r="O359" s="182"/>
      <c r="P359" s="182"/>
      <c r="Q359" s="182"/>
      <c r="R359" s="181"/>
      <c r="S359" s="181"/>
      <c r="T359" s="181"/>
      <c r="U359" s="162"/>
      <c r="V359" s="162"/>
      <c r="W359" s="162"/>
      <c r="X359" s="162"/>
      <c r="Y359" s="162"/>
      <c r="Z359" s="162"/>
      <c r="AA359" s="162"/>
      <c r="AB359" s="162"/>
      <c r="AC359" s="162"/>
      <c r="AD359" s="162"/>
      <c r="AE359" s="162"/>
      <c r="AF359" s="162"/>
      <c r="AG359" s="162"/>
      <c r="AH359" s="162"/>
      <c r="AI359" s="162"/>
      <c r="AJ359" s="162"/>
      <c r="AK359" s="162"/>
      <c r="AL359" s="162"/>
      <c r="AM359" s="162"/>
      <c r="AN359" s="162"/>
      <c r="AO359" s="162"/>
      <c r="AP359" s="162"/>
      <c r="AQ359" s="162"/>
      <c r="AR359" s="162"/>
      <c r="AS359" s="162"/>
      <c r="AT359" s="162"/>
      <c r="AU359" s="162"/>
      <c r="AV359" s="162"/>
      <c r="AW359" s="162"/>
      <c r="AX359" s="162"/>
      <c r="AY359" s="162"/>
      <c r="AZ359" s="162"/>
      <c r="BA359" s="162"/>
      <c r="BB359" s="162"/>
      <c r="BC359" s="162"/>
      <c r="BD359" s="162"/>
      <c r="BE359" s="162"/>
      <c r="BF359" s="162"/>
      <c r="BG359" s="162"/>
      <c r="BH359" s="162"/>
      <c r="BI359" s="162"/>
      <c r="BJ359" s="162"/>
      <c r="BK359" s="162"/>
      <c r="BL359" s="162"/>
    </row>
    <row r="360" spans="1:64" ht="15">
      <c r="B360" s="161"/>
      <c r="C360" s="161"/>
      <c r="D360" s="161"/>
      <c r="E360" s="161"/>
      <c r="F360" s="161"/>
      <c r="G360" s="161"/>
      <c r="H360" s="161"/>
      <c r="I360" s="161"/>
      <c r="J360" s="161"/>
      <c r="K360" s="161"/>
      <c r="L360" s="161"/>
      <c r="M360" s="278"/>
      <c r="N360" s="278"/>
      <c r="O360" s="182"/>
      <c r="P360" s="182"/>
      <c r="Q360" s="182"/>
      <c r="R360" s="181"/>
      <c r="S360" s="181"/>
      <c r="T360" s="181"/>
      <c r="U360" s="162"/>
      <c r="V360" s="162"/>
      <c r="W360" s="162"/>
      <c r="X360" s="162"/>
      <c r="Y360" s="162"/>
      <c r="Z360" s="162"/>
      <c r="AA360" s="162"/>
      <c r="AB360" s="162"/>
      <c r="AC360" s="162"/>
      <c r="AD360" s="162"/>
      <c r="AE360" s="162"/>
      <c r="AF360" s="162"/>
      <c r="AG360" s="162"/>
      <c r="AH360" s="162"/>
      <c r="AI360" s="162"/>
      <c r="AJ360" s="162"/>
      <c r="AK360" s="162"/>
      <c r="AL360" s="162"/>
      <c r="AM360" s="162"/>
      <c r="AN360" s="162"/>
      <c r="AO360" s="162"/>
      <c r="AP360" s="162"/>
      <c r="AQ360" s="162"/>
      <c r="AR360" s="162"/>
      <c r="AS360" s="162"/>
      <c r="AT360" s="162"/>
      <c r="AU360" s="162"/>
      <c r="AV360" s="162"/>
      <c r="AW360" s="162"/>
      <c r="AX360" s="162"/>
      <c r="AY360" s="162"/>
      <c r="AZ360" s="162"/>
      <c r="BA360" s="162"/>
      <c r="BB360" s="162"/>
      <c r="BC360" s="162"/>
      <c r="BD360" s="162"/>
      <c r="BE360" s="162"/>
      <c r="BF360" s="162"/>
      <c r="BG360" s="162"/>
      <c r="BH360" s="162"/>
      <c r="BI360" s="162"/>
      <c r="BJ360" s="162"/>
      <c r="BK360" s="162"/>
      <c r="BL360" s="162"/>
    </row>
    <row r="361" spans="1:64" ht="15">
      <c r="B361" s="161"/>
      <c r="C361" s="161"/>
      <c r="D361" s="161"/>
      <c r="E361" s="161"/>
      <c r="F361" s="161"/>
      <c r="G361" s="161"/>
      <c r="H361" s="161"/>
      <c r="I361" s="161"/>
      <c r="J361" s="161"/>
      <c r="K361" s="161"/>
      <c r="L361" s="161"/>
      <c r="M361" s="278"/>
      <c r="N361" s="278"/>
      <c r="O361" s="182"/>
      <c r="P361" s="182"/>
      <c r="Q361" s="182"/>
      <c r="R361" s="181"/>
      <c r="S361" s="181"/>
      <c r="T361" s="181"/>
      <c r="U361" s="162"/>
      <c r="V361" s="162"/>
      <c r="W361" s="162"/>
      <c r="X361" s="162"/>
      <c r="Y361" s="162"/>
      <c r="Z361" s="162"/>
      <c r="AA361" s="162"/>
      <c r="AB361" s="162"/>
      <c r="AC361" s="162"/>
      <c r="AD361" s="162"/>
      <c r="AE361" s="162"/>
      <c r="AF361" s="162"/>
      <c r="AG361" s="162"/>
      <c r="AH361" s="162"/>
      <c r="AI361" s="162"/>
      <c r="AJ361" s="162"/>
      <c r="AK361" s="162"/>
      <c r="AL361" s="162"/>
      <c r="AM361" s="162"/>
      <c r="AN361" s="162"/>
      <c r="AO361" s="162"/>
      <c r="AP361" s="162"/>
      <c r="AQ361" s="162"/>
      <c r="AR361" s="162"/>
      <c r="AS361" s="162"/>
      <c r="AT361" s="162"/>
      <c r="AU361" s="162"/>
      <c r="AV361" s="162"/>
      <c r="AW361" s="162"/>
      <c r="AX361" s="162"/>
      <c r="AY361" s="162"/>
      <c r="AZ361" s="162"/>
      <c r="BA361" s="162"/>
      <c r="BB361" s="162"/>
      <c r="BC361" s="162"/>
      <c r="BD361" s="162"/>
      <c r="BE361" s="162"/>
      <c r="BF361" s="162"/>
      <c r="BG361" s="162"/>
      <c r="BH361" s="162"/>
      <c r="BI361" s="162"/>
      <c r="BJ361" s="162"/>
      <c r="BK361" s="162"/>
      <c r="BL361" s="162"/>
    </row>
    <row r="362" spans="1:64">
      <c r="B362" s="282"/>
      <c r="C362" s="282"/>
      <c r="D362" s="282"/>
      <c r="E362" s="282"/>
      <c r="F362" s="282"/>
      <c r="G362" s="282"/>
      <c r="H362" s="282"/>
      <c r="I362" s="282"/>
      <c r="J362" s="282"/>
      <c r="K362" s="282"/>
      <c r="L362" s="282"/>
      <c r="M362" s="278"/>
      <c r="N362" s="278"/>
      <c r="O362" s="277"/>
      <c r="P362" s="277"/>
      <c r="Q362" s="277"/>
      <c r="R362" s="278"/>
      <c r="S362" s="278"/>
      <c r="T362" s="278"/>
    </row>
    <row r="363" spans="1:64">
      <c r="B363" s="282"/>
      <c r="C363" s="282"/>
      <c r="D363" s="282"/>
      <c r="E363" s="282"/>
      <c r="F363" s="282"/>
      <c r="G363" s="282"/>
      <c r="H363" s="282"/>
      <c r="I363" s="282"/>
      <c r="J363" s="282"/>
      <c r="K363" s="282"/>
      <c r="L363" s="282"/>
      <c r="M363" s="278"/>
      <c r="N363" s="278"/>
      <c r="O363" s="277"/>
      <c r="P363" s="277"/>
      <c r="Q363" s="277"/>
      <c r="R363" s="278"/>
      <c r="S363" s="278"/>
      <c r="T363" s="278"/>
    </row>
    <row r="364" spans="1:64">
      <c r="B364" s="282"/>
      <c r="C364" s="282"/>
      <c r="D364" s="282"/>
      <c r="E364" s="282"/>
      <c r="F364" s="282"/>
      <c r="G364" s="282"/>
      <c r="H364" s="282"/>
      <c r="I364" s="282"/>
      <c r="J364" s="282"/>
      <c r="K364" s="282"/>
      <c r="L364" s="282"/>
      <c r="M364" s="278"/>
      <c r="N364" s="278"/>
      <c r="O364" s="277"/>
      <c r="P364" s="277"/>
      <c r="Q364" s="277"/>
      <c r="R364" s="278"/>
      <c r="S364" s="278"/>
      <c r="T364" s="278"/>
    </row>
    <row r="365" spans="1:64">
      <c r="B365" s="282"/>
      <c r="C365" s="282"/>
      <c r="D365" s="282"/>
      <c r="E365" s="282"/>
      <c r="F365" s="282"/>
      <c r="G365" s="282"/>
      <c r="H365" s="282"/>
      <c r="I365" s="282"/>
      <c r="J365" s="282"/>
      <c r="K365" s="282"/>
      <c r="L365" s="282"/>
      <c r="M365" s="278"/>
      <c r="N365" s="278"/>
      <c r="O365" s="277"/>
      <c r="P365" s="277"/>
      <c r="Q365" s="277"/>
      <c r="R365" s="278"/>
      <c r="S365" s="278"/>
      <c r="T365" s="278"/>
    </row>
    <row r="366" spans="1:64">
      <c r="B366" s="282"/>
      <c r="C366" s="282"/>
      <c r="D366" s="282"/>
      <c r="E366" s="282"/>
      <c r="F366" s="282"/>
      <c r="G366" s="282"/>
      <c r="H366" s="282"/>
      <c r="I366" s="282"/>
      <c r="J366" s="282"/>
      <c r="K366" s="282"/>
      <c r="L366" s="282"/>
      <c r="M366" s="278"/>
      <c r="N366" s="278"/>
      <c r="O366" s="277"/>
      <c r="P366" s="277"/>
      <c r="Q366" s="277"/>
      <c r="R366" s="278"/>
      <c r="S366" s="278"/>
      <c r="T366" s="278"/>
    </row>
    <row r="367" spans="1:64">
      <c r="B367" s="282"/>
      <c r="C367" s="282"/>
      <c r="D367" s="282"/>
      <c r="E367" s="282"/>
      <c r="F367" s="282"/>
      <c r="G367" s="282"/>
      <c r="H367" s="282"/>
      <c r="I367" s="282"/>
      <c r="J367" s="282"/>
      <c r="K367" s="282"/>
      <c r="L367" s="282"/>
      <c r="M367" s="278"/>
      <c r="N367" s="278"/>
      <c r="O367" s="277"/>
      <c r="P367" s="277"/>
      <c r="Q367" s="277"/>
      <c r="R367" s="278"/>
      <c r="S367" s="278"/>
      <c r="T367" s="278"/>
    </row>
    <row r="368" spans="1:64">
      <c r="B368" s="283"/>
      <c r="C368" s="283"/>
      <c r="D368" s="283"/>
      <c r="E368" s="283"/>
      <c r="F368" s="283"/>
      <c r="G368" s="283"/>
      <c r="H368" s="283"/>
      <c r="I368" s="283"/>
      <c r="J368" s="283"/>
      <c r="K368" s="283"/>
      <c r="L368" s="283"/>
      <c r="M368" s="278"/>
      <c r="N368" s="278"/>
      <c r="O368" s="278"/>
      <c r="P368" s="278"/>
      <c r="Q368" s="278"/>
      <c r="R368" s="278"/>
      <c r="S368" s="278"/>
      <c r="T368" s="278"/>
    </row>
    <row r="369" spans="2:20">
      <c r="B369" s="283"/>
      <c r="C369" s="283"/>
      <c r="D369" s="283"/>
      <c r="E369" s="283"/>
      <c r="F369" s="283"/>
      <c r="G369" s="283"/>
      <c r="H369" s="283"/>
      <c r="I369" s="283"/>
      <c r="J369" s="283"/>
      <c r="K369" s="283"/>
      <c r="L369" s="283"/>
      <c r="M369" s="278"/>
      <c r="N369" s="278"/>
      <c r="O369" s="278"/>
      <c r="P369" s="278"/>
      <c r="Q369" s="278"/>
      <c r="R369" s="278"/>
      <c r="S369" s="278"/>
      <c r="T369" s="278"/>
    </row>
    <row r="370" spans="2:20">
      <c r="B370" s="283"/>
      <c r="C370" s="283"/>
      <c r="D370" s="283"/>
      <c r="E370" s="283"/>
      <c r="F370" s="283"/>
      <c r="G370" s="283"/>
      <c r="H370" s="283"/>
      <c r="I370" s="283"/>
      <c r="J370" s="283"/>
      <c r="K370" s="283"/>
      <c r="L370" s="283"/>
      <c r="M370" s="278"/>
      <c r="N370" s="278"/>
      <c r="O370" s="278"/>
      <c r="P370" s="278"/>
      <c r="Q370" s="278"/>
      <c r="R370" s="278"/>
      <c r="S370" s="278"/>
      <c r="T370" s="278"/>
    </row>
    <row r="371" spans="2:20">
      <c r="B371" s="283"/>
      <c r="C371" s="283"/>
      <c r="D371" s="283"/>
      <c r="E371" s="283"/>
      <c r="F371" s="283"/>
      <c r="G371" s="283"/>
      <c r="H371" s="283"/>
      <c r="I371" s="283"/>
      <c r="J371" s="283"/>
      <c r="K371" s="283"/>
      <c r="L371" s="283"/>
      <c r="M371" s="278"/>
      <c r="N371" s="278"/>
      <c r="O371" s="278"/>
      <c r="P371" s="278"/>
      <c r="Q371" s="278"/>
      <c r="R371" s="278"/>
      <c r="S371" s="278"/>
      <c r="T371" s="278"/>
    </row>
    <row r="372" spans="2:20">
      <c r="B372" s="283"/>
      <c r="C372" s="283"/>
      <c r="D372" s="283"/>
      <c r="E372" s="283"/>
      <c r="F372" s="283"/>
      <c r="G372" s="283"/>
      <c r="H372" s="283"/>
      <c r="I372" s="283"/>
      <c r="J372" s="283"/>
      <c r="K372" s="283"/>
      <c r="L372" s="283"/>
      <c r="M372" s="278"/>
      <c r="N372" s="278"/>
      <c r="O372" s="278"/>
      <c r="P372" s="278"/>
      <c r="Q372" s="278"/>
      <c r="R372" s="278"/>
      <c r="S372" s="278"/>
      <c r="T372" s="278"/>
    </row>
    <row r="373" spans="2:20">
      <c r="B373" s="283"/>
      <c r="C373" s="283"/>
      <c r="D373" s="283"/>
      <c r="E373" s="283"/>
      <c r="F373" s="283"/>
      <c r="G373" s="283"/>
      <c r="H373" s="283"/>
      <c r="I373" s="283"/>
      <c r="J373" s="283"/>
      <c r="K373" s="283"/>
      <c r="L373" s="283"/>
      <c r="M373" s="278"/>
      <c r="N373" s="278"/>
      <c r="O373" s="278"/>
      <c r="P373" s="278"/>
      <c r="Q373" s="278"/>
      <c r="R373" s="278"/>
      <c r="S373" s="278"/>
      <c r="T373" s="278"/>
    </row>
    <row r="374" spans="2:20">
      <c r="B374" s="283"/>
      <c r="C374" s="283"/>
      <c r="D374" s="283"/>
      <c r="E374" s="283"/>
      <c r="F374" s="283"/>
      <c r="G374" s="283"/>
      <c r="H374" s="283"/>
      <c r="I374" s="283"/>
      <c r="J374" s="283"/>
      <c r="K374" s="283"/>
      <c r="L374" s="283"/>
      <c r="M374" s="278"/>
      <c r="N374" s="278"/>
      <c r="O374" s="278"/>
      <c r="P374" s="278"/>
      <c r="Q374" s="278"/>
      <c r="R374" s="278"/>
      <c r="S374" s="278"/>
      <c r="T374" s="278"/>
    </row>
    <row r="375" spans="2:20">
      <c r="B375" s="283"/>
      <c r="C375" s="283"/>
      <c r="D375" s="283"/>
      <c r="E375" s="283"/>
      <c r="F375" s="283"/>
      <c r="G375" s="283"/>
      <c r="H375" s="283"/>
      <c r="I375" s="283"/>
      <c r="J375" s="283"/>
      <c r="K375" s="283"/>
      <c r="L375" s="283"/>
      <c r="M375" s="278"/>
      <c r="N375" s="278"/>
      <c r="O375" s="278"/>
      <c r="P375" s="278"/>
      <c r="Q375" s="278"/>
      <c r="R375" s="278"/>
      <c r="S375" s="278"/>
      <c r="T375" s="278"/>
    </row>
    <row r="376" spans="2:20">
      <c r="B376" s="283"/>
      <c r="C376" s="283"/>
      <c r="D376" s="283"/>
      <c r="E376" s="283"/>
      <c r="F376" s="283"/>
      <c r="G376" s="283"/>
      <c r="H376" s="283"/>
      <c r="I376" s="283"/>
      <c r="J376" s="283"/>
      <c r="K376" s="283"/>
      <c r="L376" s="283"/>
      <c r="M376" s="278"/>
      <c r="N376" s="278"/>
      <c r="O376" s="278"/>
      <c r="P376" s="278"/>
      <c r="Q376" s="278"/>
      <c r="R376" s="278"/>
      <c r="S376" s="278"/>
      <c r="T376" s="278"/>
    </row>
    <row r="377" spans="2:20">
      <c r="B377" s="283"/>
      <c r="C377" s="283"/>
      <c r="D377" s="283"/>
      <c r="E377" s="283"/>
      <c r="F377" s="283"/>
      <c r="G377" s="283"/>
      <c r="H377" s="283"/>
      <c r="I377" s="283"/>
      <c r="J377" s="283"/>
      <c r="K377" s="283"/>
      <c r="L377" s="283"/>
      <c r="M377" s="278"/>
      <c r="N377" s="278"/>
      <c r="O377" s="278"/>
      <c r="P377" s="278"/>
      <c r="Q377" s="278"/>
      <c r="R377" s="278"/>
      <c r="S377" s="278"/>
      <c r="T377" s="278"/>
    </row>
    <row r="378" spans="2:20">
      <c r="B378" s="283"/>
      <c r="C378" s="283"/>
      <c r="D378" s="283"/>
      <c r="E378" s="283"/>
      <c r="F378" s="283"/>
      <c r="G378" s="283"/>
      <c r="H378" s="283"/>
      <c r="I378" s="283"/>
      <c r="J378" s="283"/>
      <c r="K378" s="283"/>
      <c r="L378" s="283"/>
      <c r="M378" s="278"/>
      <c r="N378" s="278"/>
      <c r="O378" s="278"/>
      <c r="P378" s="278"/>
      <c r="Q378" s="278"/>
      <c r="R378" s="278"/>
      <c r="S378" s="278"/>
      <c r="T378" s="278"/>
    </row>
    <row r="379" spans="2:20">
      <c r="B379" s="283"/>
      <c r="C379" s="283"/>
      <c r="D379" s="283"/>
      <c r="E379" s="283"/>
      <c r="F379" s="283"/>
      <c r="G379" s="283"/>
      <c r="H379" s="283"/>
      <c r="I379" s="283"/>
      <c r="J379" s="283"/>
      <c r="K379" s="283"/>
      <c r="L379" s="283"/>
      <c r="M379" s="278"/>
      <c r="N379" s="278"/>
      <c r="O379" s="278"/>
      <c r="P379" s="278"/>
      <c r="Q379" s="278"/>
      <c r="R379" s="278"/>
      <c r="S379" s="278"/>
      <c r="T379" s="278"/>
    </row>
    <row r="380" spans="2:20">
      <c r="B380" s="283"/>
      <c r="C380" s="283"/>
      <c r="D380" s="283"/>
      <c r="E380" s="283"/>
      <c r="F380" s="283"/>
      <c r="G380" s="283"/>
      <c r="H380" s="283"/>
      <c r="I380" s="283"/>
      <c r="J380" s="283"/>
      <c r="K380" s="283"/>
      <c r="L380" s="283"/>
      <c r="M380" s="278"/>
      <c r="N380" s="278"/>
      <c r="O380" s="278"/>
      <c r="P380" s="278"/>
      <c r="Q380" s="278"/>
      <c r="R380" s="278"/>
      <c r="S380" s="278"/>
      <c r="T380" s="278"/>
    </row>
    <row r="381" spans="2:20">
      <c r="B381" s="283"/>
      <c r="C381" s="283"/>
      <c r="D381" s="283"/>
      <c r="E381" s="283"/>
      <c r="F381" s="283"/>
      <c r="G381" s="283"/>
      <c r="H381" s="283"/>
      <c r="I381" s="283"/>
      <c r="J381" s="283"/>
      <c r="K381" s="283"/>
      <c r="L381" s="283"/>
      <c r="M381" s="278"/>
      <c r="N381" s="278"/>
      <c r="O381" s="278"/>
      <c r="P381" s="278"/>
      <c r="Q381" s="278"/>
      <c r="R381" s="278"/>
      <c r="S381" s="278"/>
      <c r="T381" s="278"/>
    </row>
    <row r="382" spans="2:20">
      <c r="B382" s="283"/>
      <c r="C382" s="283"/>
      <c r="D382" s="283"/>
      <c r="E382" s="283"/>
      <c r="F382" s="283"/>
      <c r="G382" s="283"/>
      <c r="H382" s="283"/>
      <c r="I382" s="283"/>
      <c r="J382" s="283"/>
      <c r="K382" s="283"/>
      <c r="L382" s="283"/>
      <c r="M382" s="278"/>
      <c r="N382" s="278"/>
      <c r="O382" s="278"/>
      <c r="P382" s="278"/>
      <c r="Q382" s="278"/>
      <c r="R382" s="278"/>
      <c r="S382" s="278"/>
      <c r="T382" s="278"/>
    </row>
    <row r="383" spans="2:20">
      <c r="B383" s="283"/>
      <c r="C383" s="283"/>
      <c r="D383" s="283"/>
      <c r="E383" s="283"/>
      <c r="F383" s="283"/>
      <c r="G383" s="283"/>
      <c r="H383" s="283"/>
      <c r="I383" s="283"/>
      <c r="J383" s="283"/>
      <c r="K383" s="283"/>
      <c r="L383" s="283"/>
      <c r="M383" s="278"/>
      <c r="N383" s="278"/>
      <c r="O383" s="278"/>
      <c r="P383" s="278"/>
      <c r="Q383" s="278"/>
      <c r="R383" s="278"/>
      <c r="S383" s="278"/>
      <c r="T383" s="278"/>
    </row>
    <row r="384" spans="2:20">
      <c r="B384" s="283"/>
      <c r="C384" s="283"/>
      <c r="D384" s="283"/>
      <c r="E384" s="283"/>
      <c r="F384" s="283"/>
      <c r="G384" s="283"/>
      <c r="H384" s="283"/>
      <c r="I384" s="283"/>
      <c r="J384" s="283"/>
      <c r="K384" s="283"/>
      <c r="L384" s="283"/>
      <c r="M384" s="278"/>
      <c r="N384" s="278"/>
      <c r="O384" s="278"/>
      <c r="P384" s="278"/>
      <c r="Q384" s="278"/>
      <c r="R384" s="278"/>
      <c r="S384" s="278"/>
      <c r="T384" s="278"/>
    </row>
    <row r="385" spans="2:20">
      <c r="B385" s="283"/>
      <c r="C385" s="283"/>
      <c r="D385" s="283"/>
      <c r="E385" s="283"/>
      <c r="F385" s="283"/>
      <c r="G385" s="283"/>
      <c r="H385" s="283"/>
      <c r="I385" s="283"/>
      <c r="J385" s="283"/>
      <c r="K385" s="283"/>
      <c r="L385" s="283"/>
      <c r="M385" s="278"/>
      <c r="N385" s="278"/>
      <c r="O385" s="278"/>
      <c r="P385" s="278"/>
      <c r="Q385" s="278"/>
      <c r="R385" s="278"/>
      <c r="S385" s="278"/>
      <c r="T385" s="278"/>
    </row>
    <row r="386" spans="2:20">
      <c r="B386" s="283"/>
      <c r="C386" s="283"/>
      <c r="D386" s="283"/>
      <c r="E386" s="283"/>
      <c r="F386" s="283"/>
      <c r="G386" s="283"/>
      <c r="H386" s="283"/>
      <c r="I386" s="283"/>
      <c r="J386" s="283"/>
      <c r="K386" s="283"/>
      <c r="L386" s="283"/>
      <c r="M386" s="278"/>
      <c r="N386" s="278"/>
      <c r="O386" s="278"/>
      <c r="P386" s="278"/>
      <c r="Q386" s="278"/>
      <c r="R386" s="278"/>
      <c r="S386" s="278"/>
      <c r="T386" s="278"/>
    </row>
    <row r="387" spans="2:20">
      <c r="B387" s="283"/>
      <c r="C387" s="283"/>
      <c r="D387" s="283"/>
      <c r="E387" s="283"/>
      <c r="F387" s="283"/>
      <c r="G387" s="283"/>
      <c r="H387" s="283"/>
      <c r="I387" s="283"/>
      <c r="J387" s="283"/>
      <c r="K387" s="283"/>
      <c r="L387" s="283"/>
      <c r="M387" s="278"/>
      <c r="N387" s="278"/>
      <c r="O387" s="278"/>
      <c r="P387" s="278"/>
      <c r="Q387" s="278"/>
      <c r="R387" s="278"/>
      <c r="S387" s="278"/>
      <c r="T387" s="278"/>
    </row>
    <row r="388" spans="2:20">
      <c r="B388" s="283"/>
      <c r="C388" s="283"/>
      <c r="D388" s="283"/>
      <c r="E388" s="283"/>
      <c r="F388" s="283"/>
      <c r="G388" s="283"/>
      <c r="H388" s="283"/>
      <c r="I388" s="283"/>
      <c r="J388" s="283"/>
      <c r="K388" s="283"/>
      <c r="L388" s="283"/>
      <c r="M388" s="278"/>
      <c r="N388" s="278"/>
      <c r="O388" s="278"/>
      <c r="P388" s="278"/>
      <c r="Q388" s="278"/>
      <c r="R388" s="278"/>
      <c r="S388" s="278"/>
      <c r="T388" s="278"/>
    </row>
    <row r="389" spans="2:20">
      <c r="B389" s="283"/>
      <c r="C389" s="283"/>
      <c r="D389" s="283"/>
      <c r="E389" s="283"/>
      <c r="F389" s="283"/>
      <c r="G389" s="283"/>
      <c r="H389" s="283"/>
      <c r="I389" s="283"/>
      <c r="J389" s="283"/>
      <c r="K389" s="283"/>
      <c r="L389" s="283"/>
      <c r="M389" s="278"/>
      <c r="N389" s="278"/>
      <c r="O389" s="278"/>
      <c r="P389" s="278"/>
      <c r="Q389" s="278"/>
      <c r="R389" s="278"/>
      <c r="S389" s="278"/>
      <c r="T389" s="278"/>
    </row>
    <row r="390" spans="2:20">
      <c r="B390" s="283"/>
      <c r="C390" s="283"/>
      <c r="D390" s="283"/>
      <c r="E390" s="283"/>
      <c r="F390" s="283"/>
      <c r="G390" s="283"/>
      <c r="H390" s="283"/>
      <c r="I390" s="283"/>
      <c r="J390" s="283"/>
      <c r="K390" s="283"/>
      <c r="L390" s="283"/>
      <c r="M390" s="278"/>
      <c r="N390" s="278"/>
      <c r="O390" s="278"/>
      <c r="P390" s="278"/>
      <c r="Q390" s="278"/>
      <c r="R390" s="278"/>
      <c r="S390" s="278"/>
      <c r="T390" s="278"/>
    </row>
    <row r="391" spans="2:20">
      <c r="B391" s="283"/>
      <c r="C391" s="283"/>
      <c r="D391" s="283"/>
      <c r="E391" s="283"/>
      <c r="F391" s="283"/>
      <c r="G391" s="283"/>
      <c r="H391" s="283"/>
      <c r="I391" s="283"/>
      <c r="J391" s="283"/>
      <c r="K391" s="283"/>
      <c r="L391" s="283"/>
      <c r="M391" s="278"/>
      <c r="N391" s="278"/>
      <c r="O391" s="278"/>
      <c r="P391" s="278"/>
      <c r="Q391" s="278"/>
      <c r="R391" s="278"/>
      <c r="S391" s="278"/>
      <c r="T391" s="278"/>
    </row>
    <row r="392" spans="2:20">
      <c r="B392" s="283"/>
      <c r="C392" s="283"/>
      <c r="D392" s="283"/>
      <c r="E392" s="283"/>
      <c r="F392" s="283"/>
      <c r="G392" s="283"/>
      <c r="H392" s="283"/>
      <c r="I392" s="283"/>
      <c r="J392" s="283"/>
      <c r="K392" s="283"/>
      <c r="L392" s="283"/>
      <c r="M392" s="278"/>
      <c r="N392" s="278"/>
      <c r="O392" s="278"/>
      <c r="P392" s="278"/>
      <c r="Q392" s="278"/>
      <c r="R392" s="278"/>
      <c r="S392" s="278"/>
      <c r="T392" s="278"/>
    </row>
    <row r="393" spans="2:20">
      <c r="B393" s="283"/>
      <c r="C393" s="283"/>
      <c r="D393" s="283"/>
      <c r="E393" s="283"/>
      <c r="F393" s="283"/>
      <c r="G393" s="283"/>
      <c r="H393" s="283"/>
      <c r="I393" s="283"/>
      <c r="J393" s="283"/>
      <c r="K393" s="283"/>
      <c r="L393" s="283"/>
      <c r="M393" s="278"/>
      <c r="N393" s="278"/>
      <c r="O393" s="278"/>
      <c r="P393" s="278"/>
      <c r="Q393" s="278"/>
      <c r="R393" s="278"/>
      <c r="S393" s="278"/>
      <c r="T393" s="278"/>
    </row>
    <row r="394" spans="2:20">
      <c r="B394" s="283"/>
      <c r="C394" s="283"/>
      <c r="D394" s="283"/>
      <c r="E394" s="283"/>
      <c r="F394" s="283"/>
      <c r="G394" s="283"/>
      <c r="H394" s="283"/>
      <c r="I394" s="283"/>
      <c r="J394" s="283"/>
      <c r="K394" s="283"/>
      <c r="L394" s="283"/>
      <c r="M394" s="283"/>
      <c r="N394" s="283"/>
      <c r="O394" s="283"/>
      <c r="P394" s="283"/>
      <c r="Q394" s="283"/>
      <c r="R394" s="283"/>
      <c r="S394" s="283"/>
      <c r="T394" s="283"/>
    </row>
    <row r="395" spans="2:20">
      <c r="B395" s="283"/>
      <c r="C395" s="283"/>
      <c r="D395" s="283"/>
      <c r="E395" s="283"/>
      <c r="F395" s="283"/>
      <c r="G395" s="283"/>
      <c r="H395" s="283"/>
      <c r="I395" s="283"/>
      <c r="J395" s="283"/>
      <c r="K395" s="283"/>
      <c r="L395" s="283"/>
      <c r="M395" s="283"/>
      <c r="N395" s="283"/>
      <c r="O395" s="283"/>
      <c r="P395" s="283"/>
      <c r="Q395" s="283"/>
      <c r="R395" s="283"/>
      <c r="S395" s="283"/>
      <c r="T395" s="283"/>
    </row>
    <row r="396" spans="2:20">
      <c r="B396" s="283"/>
      <c r="C396" s="283"/>
      <c r="D396" s="283"/>
      <c r="E396" s="283"/>
      <c r="F396" s="283"/>
      <c r="G396" s="283"/>
      <c r="H396" s="283"/>
      <c r="I396" s="283"/>
      <c r="J396" s="283"/>
      <c r="K396" s="283"/>
      <c r="L396" s="283"/>
      <c r="M396" s="283"/>
      <c r="N396" s="283"/>
      <c r="O396" s="283"/>
      <c r="P396" s="283"/>
      <c r="Q396" s="283"/>
      <c r="R396" s="283"/>
      <c r="S396" s="283"/>
      <c r="T396" s="283"/>
    </row>
    <row r="397" spans="2:20">
      <c r="B397" s="283"/>
      <c r="C397" s="283"/>
      <c r="D397" s="283"/>
      <c r="E397" s="283"/>
      <c r="F397" s="283"/>
      <c r="G397" s="283"/>
      <c r="H397" s="283"/>
      <c r="I397" s="283"/>
      <c r="J397" s="283"/>
      <c r="K397" s="283"/>
      <c r="L397" s="283"/>
      <c r="M397" s="283"/>
      <c r="N397" s="283"/>
      <c r="O397" s="283"/>
      <c r="P397" s="283"/>
      <c r="Q397" s="283"/>
      <c r="R397" s="283"/>
      <c r="S397" s="283"/>
      <c r="T397" s="283"/>
    </row>
    <row r="398" spans="2:20">
      <c r="B398" s="283"/>
      <c r="C398" s="283"/>
      <c r="D398" s="283"/>
      <c r="E398" s="283"/>
      <c r="F398" s="283"/>
      <c r="G398" s="283"/>
      <c r="H398" s="283"/>
      <c r="I398" s="283"/>
      <c r="J398" s="283"/>
      <c r="K398" s="283"/>
      <c r="L398" s="283"/>
      <c r="M398" s="283"/>
      <c r="N398" s="283"/>
      <c r="O398" s="283"/>
      <c r="P398" s="283"/>
      <c r="Q398" s="283"/>
      <c r="R398" s="283"/>
      <c r="S398" s="283"/>
      <c r="T398" s="283"/>
    </row>
    <row r="399" spans="2:20">
      <c r="B399" s="283"/>
      <c r="C399" s="283"/>
      <c r="D399" s="283"/>
      <c r="E399" s="283"/>
      <c r="F399" s="283"/>
      <c r="G399" s="283"/>
      <c r="H399" s="283"/>
      <c r="I399" s="283"/>
      <c r="J399" s="283"/>
      <c r="K399" s="283"/>
      <c r="L399" s="283"/>
      <c r="M399" s="283"/>
      <c r="N399" s="283"/>
      <c r="O399" s="283"/>
      <c r="P399" s="283"/>
      <c r="Q399" s="283"/>
      <c r="R399" s="283"/>
      <c r="S399" s="283"/>
      <c r="T399" s="283"/>
    </row>
    <row r="400" spans="2:20">
      <c r="B400" s="283"/>
      <c r="C400" s="283"/>
      <c r="D400" s="283"/>
      <c r="E400" s="283"/>
      <c r="F400" s="283"/>
      <c r="G400" s="283"/>
      <c r="H400" s="283"/>
      <c r="I400" s="283"/>
      <c r="J400" s="283"/>
      <c r="K400" s="283"/>
      <c r="L400" s="283"/>
      <c r="M400" s="283"/>
      <c r="N400" s="283"/>
      <c r="O400" s="283"/>
      <c r="P400" s="283"/>
      <c r="Q400" s="283"/>
      <c r="R400" s="283"/>
      <c r="S400" s="283"/>
      <c r="T400" s="283"/>
    </row>
    <row r="401" spans="2:20">
      <c r="B401" s="283"/>
      <c r="C401" s="283"/>
      <c r="D401" s="283"/>
      <c r="E401" s="283"/>
      <c r="F401" s="283"/>
      <c r="G401" s="283"/>
      <c r="H401" s="283"/>
      <c r="I401" s="283"/>
      <c r="J401" s="283"/>
      <c r="K401" s="283"/>
      <c r="L401" s="283"/>
      <c r="M401" s="283"/>
      <c r="N401" s="283"/>
      <c r="O401" s="283"/>
      <c r="P401" s="283"/>
      <c r="Q401" s="283"/>
      <c r="R401" s="283"/>
      <c r="S401" s="283"/>
      <c r="T401" s="283"/>
    </row>
    <row r="402" spans="2:20">
      <c r="B402" s="283"/>
      <c r="C402" s="283"/>
      <c r="D402" s="283"/>
      <c r="E402" s="283"/>
      <c r="F402" s="283"/>
      <c r="G402" s="283"/>
      <c r="H402" s="283"/>
      <c r="I402" s="283"/>
      <c r="J402" s="283"/>
      <c r="K402" s="283"/>
      <c r="L402" s="283"/>
      <c r="M402" s="283"/>
      <c r="N402" s="283"/>
      <c r="O402" s="283"/>
      <c r="P402" s="283"/>
      <c r="Q402" s="283"/>
      <c r="R402" s="283"/>
      <c r="S402" s="283"/>
      <c r="T402" s="283"/>
    </row>
    <row r="403" spans="2:20">
      <c r="B403" s="283"/>
      <c r="C403" s="283"/>
      <c r="D403" s="283"/>
      <c r="E403" s="283"/>
      <c r="F403" s="283"/>
      <c r="G403" s="283"/>
      <c r="H403" s="283"/>
      <c r="I403" s="283"/>
      <c r="J403" s="283"/>
      <c r="K403" s="283"/>
      <c r="L403" s="283"/>
      <c r="M403" s="283"/>
      <c r="N403" s="283"/>
      <c r="O403" s="283"/>
      <c r="P403" s="283"/>
      <c r="Q403" s="283"/>
      <c r="R403" s="283"/>
      <c r="S403" s="283"/>
      <c r="T403" s="283"/>
    </row>
    <row r="404" spans="2:20">
      <c r="B404" s="283"/>
      <c r="C404" s="283"/>
      <c r="D404" s="283"/>
      <c r="E404" s="283"/>
      <c r="F404" s="283"/>
      <c r="G404" s="283"/>
      <c r="H404" s="283"/>
      <c r="I404" s="283"/>
      <c r="J404" s="283"/>
      <c r="K404" s="283"/>
      <c r="L404" s="283"/>
      <c r="M404" s="283"/>
      <c r="N404" s="283"/>
      <c r="O404" s="283"/>
      <c r="P404" s="283"/>
      <c r="Q404" s="283"/>
      <c r="R404" s="283"/>
      <c r="S404" s="283"/>
      <c r="T404" s="283"/>
    </row>
    <row r="405" spans="2:20">
      <c r="B405" s="283"/>
      <c r="C405" s="283"/>
      <c r="D405" s="283"/>
      <c r="E405" s="283"/>
      <c r="F405" s="283"/>
      <c r="G405" s="283"/>
      <c r="H405" s="283"/>
      <c r="I405" s="283"/>
      <c r="J405" s="283"/>
      <c r="K405" s="283"/>
      <c r="L405" s="283"/>
      <c r="M405" s="283"/>
      <c r="N405" s="283"/>
      <c r="O405" s="283"/>
      <c r="P405" s="283"/>
      <c r="Q405" s="283"/>
      <c r="R405" s="283"/>
      <c r="S405" s="283"/>
      <c r="T405" s="283"/>
    </row>
    <row r="406" spans="2:20">
      <c r="B406" s="283"/>
      <c r="C406" s="283"/>
      <c r="D406" s="283"/>
      <c r="E406" s="283"/>
      <c r="F406" s="283"/>
      <c r="G406" s="283"/>
      <c r="H406" s="283"/>
      <c r="I406" s="283"/>
      <c r="J406" s="283"/>
      <c r="K406" s="283"/>
      <c r="L406" s="283"/>
      <c r="M406" s="283"/>
      <c r="N406" s="283"/>
      <c r="O406" s="283"/>
      <c r="P406" s="283"/>
      <c r="Q406" s="283"/>
      <c r="R406" s="283"/>
      <c r="S406" s="283"/>
      <c r="T406" s="283"/>
    </row>
    <row r="407" spans="2:20">
      <c r="B407" s="283"/>
      <c r="C407" s="283"/>
      <c r="D407" s="283"/>
      <c r="E407" s="283"/>
      <c r="F407" s="283"/>
      <c r="G407" s="283"/>
      <c r="H407" s="283"/>
      <c r="I407" s="283"/>
      <c r="J407" s="283"/>
      <c r="K407" s="283"/>
      <c r="L407" s="283"/>
      <c r="M407" s="283"/>
      <c r="N407" s="283"/>
      <c r="O407" s="283"/>
      <c r="P407" s="283"/>
      <c r="Q407" s="283"/>
      <c r="R407" s="283"/>
      <c r="S407" s="283"/>
      <c r="T407" s="283"/>
    </row>
    <row r="408" spans="2:20">
      <c r="B408" s="283"/>
      <c r="C408" s="283"/>
      <c r="D408" s="283"/>
      <c r="E408" s="283"/>
      <c r="F408" s="283"/>
      <c r="G408" s="283"/>
      <c r="H408" s="283"/>
      <c r="I408" s="283"/>
      <c r="J408" s="283"/>
      <c r="K408" s="283"/>
      <c r="L408" s="283"/>
      <c r="M408" s="283"/>
      <c r="N408" s="283"/>
      <c r="O408" s="283"/>
      <c r="P408" s="283"/>
      <c r="Q408" s="283"/>
      <c r="R408" s="283"/>
      <c r="S408" s="283"/>
      <c r="T408" s="283"/>
    </row>
    <row r="409" spans="2:20">
      <c r="B409" s="283"/>
      <c r="C409" s="283"/>
      <c r="D409" s="283"/>
      <c r="E409" s="283"/>
      <c r="F409" s="283"/>
      <c r="G409" s="283"/>
      <c r="H409" s="283"/>
      <c r="I409" s="283"/>
      <c r="J409" s="283"/>
      <c r="K409" s="283"/>
      <c r="L409" s="283"/>
      <c r="M409" s="283"/>
      <c r="N409" s="283"/>
      <c r="O409" s="283"/>
      <c r="P409" s="283"/>
      <c r="Q409" s="283"/>
      <c r="R409" s="283"/>
      <c r="S409" s="283"/>
      <c r="T409" s="283"/>
    </row>
    <row r="410" spans="2:20">
      <c r="B410" s="283"/>
      <c r="C410" s="283"/>
      <c r="D410" s="283"/>
      <c r="E410" s="283"/>
      <c r="F410" s="283"/>
      <c r="G410" s="283"/>
      <c r="H410" s="283"/>
      <c r="I410" s="283"/>
      <c r="J410" s="283"/>
      <c r="K410" s="283"/>
      <c r="L410" s="283"/>
      <c r="M410" s="283"/>
      <c r="N410" s="283"/>
      <c r="O410" s="283"/>
      <c r="P410" s="283"/>
      <c r="Q410" s="283"/>
      <c r="R410" s="283"/>
      <c r="S410" s="283"/>
      <c r="T410" s="283"/>
    </row>
    <row r="411" spans="2:20">
      <c r="B411" s="283"/>
      <c r="C411" s="283"/>
      <c r="D411" s="283"/>
      <c r="E411" s="283"/>
      <c r="F411" s="283"/>
      <c r="G411" s="283"/>
      <c r="H411" s="283"/>
      <c r="I411" s="283"/>
      <c r="J411" s="283"/>
      <c r="K411" s="283"/>
      <c r="L411" s="283"/>
      <c r="M411" s="283"/>
      <c r="N411" s="283"/>
      <c r="O411" s="283"/>
      <c r="P411" s="283"/>
      <c r="Q411" s="283"/>
      <c r="R411" s="283"/>
      <c r="S411" s="283"/>
      <c r="T411" s="283"/>
    </row>
    <row r="412" spans="2:20">
      <c r="B412" s="283"/>
      <c r="C412" s="283"/>
      <c r="D412" s="283"/>
      <c r="E412" s="283"/>
      <c r="F412" s="283"/>
      <c r="G412" s="283"/>
      <c r="H412" s="283"/>
      <c r="I412" s="283"/>
      <c r="J412" s="283"/>
      <c r="K412" s="283"/>
      <c r="L412" s="283"/>
      <c r="M412" s="283"/>
      <c r="N412" s="283"/>
      <c r="O412" s="283"/>
      <c r="P412" s="283"/>
      <c r="Q412" s="283"/>
      <c r="R412" s="283"/>
      <c r="S412" s="283"/>
      <c r="T412" s="283"/>
    </row>
    <row r="413" spans="2:20">
      <c r="B413" s="283"/>
      <c r="C413" s="283"/>
      <c r="D413" s="283"/>
      <c r="E413" s="283"/>
      <c r="F413" s="283"/>
      <c r="G413" s="283"/>
      <c r="H413" s="283"/>
      <c r="I413" s="283"/>
      <c r="J413" s="283"/>
      <c r="K413" s="283"/>
      <c r="L413" s="283"/>
      <c r="M413" s="283"/>
      <c r="N413" s="283"/>
      <c r="O413" s="283"/>
      <c r="P413" s="283"/>
      <c r="Q413" s="283"/>
      <c r="R413" s="283"/>
      <c r="S413" s="283"/>
      <c r="T413" s="283"/>
    </row>
    <row r="414" spans="2:20">
      <c r="B414" s="283"/>
      <c r="C414" s="283"/>
      <c r="D414" s="283"/>
      <c r="E414" s="283"/>
      <c r="F414" s="283"/>
      <c r="G414" s="283"/>
      <c r="H414" s="283"/>
      <c r="I414" s="283"/>
      <c r="J414" s="283"/>
      <c r="K414" s="283"/>
      <c r="L414" s="283"/>
      <c r="M414" s="283"/>
      <c r="N414" s="283"/>
      <c r="O414" s="283"/>
      <c r="P414" s="283"/>
      <c r="Q414" s="283"/>
      <c r="R414" s="283"/>
      <c r="S414" s="283"/>
      <c r="T414" s="283"/>
    </row>
    <row r="415" spans="2:20">
      <c r="B415" s="283"/>
      <c r="C415" s="283"/>
      <c r="D415" s="283"/>
      <c r="E415" s="283"/>
      <c r="F415" s="283"/>
      <c r="G415" s="283"/>
      <c r="H415" s="283"/>
      <c r="I415" s="283"/>
      <c r="J415" s="283"/>
      <c r="K415" s="283"/>
      <c r="L415" s="283"/>
      <c r="M415" s="283"/>
      <c r="N415" s="283"/>
      <c r="O415" s="283"/>
      <c r="P415" s="283"/>
      <c r="Q415" s="283"/>
      <c r="R415" s="283"/>
      <c r="S415" s="283"/>
      <c r="T415" s="283"/>
    </row>
    <row r="416" spans="2:20">
      <c r="B416" s="283"/>
      <c r="C416" s="283"/>
      <c r="D416" s="283"/>
      <c r="E416" s="283"/>
      <c r="F416" s="283"/>
      <c r="G416" s="283"/>
      <c r="H416" s="283"/>
      <c r="I416" s="283"/>
      <c r="J416" s="283"/>
      <c r="K416" s="283"/>
      <c r="L416" s="283"/>
      <c r="M416" s="283"/>
      <c r="N416" s="283"/>
      <c r="O416" s="283"/>
      <c r="P416" s="283"/>
      <c r="Q416" s="283"/>
      <c r="R416" s="283"/>
      <c r="S416" s="283"/>
      <c r="T416" s="283"/>
    </row>
    <row r="417" spans="2:20">
      <c r="B417" s="283"/>
      <c r="C417" s="283"/>
      <c r="D417" s="283"/>
      <c r="E417" s="283"/>
      <c r="F417" s="283"/>
      <c r="G417" s="283"/>
      <c r="H417" s="283"/>
      <c r="I417" s="283"/>
      <c r="J417" s="283"/>
      <c r="K417" s="283"/>
      <c r="L417" s="283"/>
      <c r="M417" s="283"/>
      <c r="N417" s="283"/>
      <c r="O417" s="283"/>
      <c r="P417" s="283"/>
      <c r="Q417" s="283"/>
      <c r="R417" s="283"/>
      <c r="S417" s="283"/>
      <c r="T417" s="283"/>
    </row>
    <row r="418" spans="2:20">
      <c r="B418" s="283"/>
      <c r="C418" s="283"/>
      <c r="D418" s="283"/>
      <c r="E418" s="283"/>
      <c r="F418" s="283"/>
      <c r="G418" s="283"/>
      <c r="H418" s="283"/>
      <c r="I418" s="283"/>
      <c r="J418" s="283"/>
      <c r="K418" s="283"/>
      <c r="L418" s="283"/>
      <c r="M418" s="283"/>
      <c r="N418" s="283"/>
      <c r="O418" s="283"/>
      <c r="P418" s="283"/>
      <c r="Q418" s="283"/>
      <c r="R418" s="283"/>
      <c r="S418" s="283"/>
      <c r="T418" s="283"/>
    </row>
    <row r="419" spans="2:20">
      <c r="B419" s="283"/>
      <c r="C419" s="283"/>
      <c r="D419" s="283"/>
      <c r="E419" s="283"/>
      <c r="F419" s="283"/>
      <c r="G419" s="283"/>
      <c r="H419" s="283"/>
      <c r="I419" s="283"/>
      <c r="J419" s="283"/>
      <c r="K419" s="283"/>
      <c r="L419" s="283"/>
      <c r="M419" s="283"/>
      <c r="N419" s="283"/>
      <c r="O419" s="283"/>
      <c r="P419" s="283"/>
      <c r="Q419" s="283"/>
      <c r="R419" s="283"/>
      <c r="S419" s="283"/>
      <c r="T419" s="283"/>
    </row>
    <row r="420" spans="2:20">
      <c r="B420" s="283"/>
      <c r="C420" s="283"/>
      <c r="D420" s="283"/>
      <c r="E420" s="283"/>
      <c r="F420" s="283"/>
      <c r="G420" s="283"/>
      <c r="H420" s="283"/>
      <c r="I420" s="283"/>
      <c r="J420" s="283"/>
      <c r="K420" s="283"/>
      <c r="L420" s="283"/>
      <c r="M420" s="283"/>
      <c r="N420" s="283"/>
      <c r="O420" s="283"/>
      <c r="P420" s="283"/>
      <c r="Q420" s="283"/>
      <c r="R420" s="283"/>
      <c r="S420" s="283"/>
      <c r="T420" s="283"/>
    </row>
    <row r="421" spans="2:20">
      <c r="B421" s="283"/>
      <c r="C421" s="283"/>
      <c r="D421" s="283"/>
      <c r="E421" s="283"/>
      <c r="F421" s="283"/>
      <c r="G421" s="283"/>
      <c r="H421" s="283"/>
      <c r="I421" s="283"/>
      <c r="J421" s="283"/>
      <c r="K421" s="283"/>
      <c r="L421" s="283"/>
      <c r="M421" s="283"/>
      <c r="N421" s="283"/>
      <c r="O421" s="283"/>
      <c r="P421" s="283"/>
      <c r="Q421" s="283"/>
      <c r="R421" s="283"/>
      <c r="S421" s="283"/>
      <c r="T421" s="283"/>
    </row>
    <row r="422" spans="2:20">
      <c r="B422" s="283"/>
      <c r="C422" s="283"/>
      <c r="D422" s="283"/>
      <c r="E422" s="283"/>
      <c r="F422" s="283"/>
      <c r="G422" s="283"/>
      <c r="H422" s="283"/>
      <c r="I422" s="283"/>
      <c r="J422" s="283"/>
      <c r="K422" s="283"/>
      <c r="L422" s="283"/>
      <c r="M422" s="283"/>
      <c r="N422" s="283"/>
      <c r="O422" s="283"/>
      <c r="P422" s="283"/>
      <c r="Q422" s="283"/>
      <c r="R422" s="283"/>
      <c r="S422" s="283"/>
      <c r="T422" s="283"/>
    </row>
    <row r="423" spans="2:20">
      <c r="B423" s="283"/>
      <c r="C423" s="283"/>
      <c r="D423" s="283"/>
      <c r="E423" s="283"/>
      <c r="F423" s="283"/>
      <c r="G423" s="283"/>
      <c r="H423" s="283"/>
      <c r="I423" s="283"/>
      <c r="J423" s="283"/>
      <c r="K423" s="283"/>
      <c r="L423" s="283"/>
      <c r="M423" s="283"/>
      <c r="N423" s="283"/>
      <c r="O423" s="283"/>
      <c r="P423" s="283"/>
      <c r="Q423" s="283"/>
      <c r="R423" s="283"/>
      <c r="S423" s="283"/>
      <c r="T423" s="283"/>
    </row>
    <row r="424" spans="2:20">
      <c r="B424" s="283"/>
      <c r="C424" s="283"/>
      <c r="D424" s="283"/>
      <c r="E424" s="283"/>
      <c r="F424" s="283"/>
      <c r="G424" s="283"/>
      <c r="H424" s="283"/>
      <c r="I424" s="283"/>
      <c r="J424" s="283"/>
      <c r="K424" s="283"/>
      <c r="L424" s="283"/>
      <c r="M424" s="283"/>
      <c r="N424" s="283"/>
      <c r="O424" s="283"/>
      <c r="P424" s="283"/>
      <c r="Q424" s="283"/>
      <c r="R424" s="283"/>
      <c r="S424" s="283"/>
      <c r="T424" s="283"/>
    </row>
    <row r="425" spans="2:20">
      <c r="B425" s="283"/>
      <c r="C425" s="283"/>
      <c r="D425" s="283"/>
      <c r="E425" s="283"/>
      <c r="F425" s="283"/>
      <c r="G425" s="283"/>
      <c r="H425" s="283"/>
      <c r="I425" s="283"/>
      <c r="J425" s="283"/>
      <c r="K425" s="283"/>
      <c r="L425" s="283"/>
      <c r="M425" s="283"/>
      <c r="N425" s="283"/>
      <c r="O425" s="283"/>
      <c r="P425" s="283"/>
      <c r="Q425" s="283"/>
      <c r="R425" s="283"/>
      <c r="S425" s="283"/>
      <c r="T425" s="283"/>
    </row>
    <row r="426" spans="2:20">
      <c r="B426" s="283"/>
      <c r="C426" s="283"/>
      <c r="D426" s="283"/>
      <c r="E426" s="283"/>
      <c r="F426" s="283"/>
      <c r="G426" s="283"/>
      <c r="H426" s="283"/>
      <c r="I426" s="283"/>
      <c r="J426" s="283"/>
      <c r="K426" s="283"/>
      <c r="L426" s="283"/>
      <c r="M426" s="283"/>
      <c r="N426" s="283"/>
      <c r="O426" s="283"/>
      <c r="P426" s="283"/>
      <c r="Q426" s="283"/>
      <c r="R426" s="283"/>
      <c r="S426" s="283"/>
      <c r="T426" s="283"/>
    </row>
    <row r="427" spans="2:20">
      <c r="B427" s="283"/>
      <c r="C427" s="283"/>
      <c r="D427" s="283"/>
      <c r="E427" s="283"/>
      <c r="F427" s="283"/>
      <c r="G427" s="283"/>
      <c r="H427" s="283"/>
      <c r="I427" s="283"/>
      <c r="J427" s="283"/>
      <c r="K427" s="283"/>
      <c r="L427" s="283"/>
      <c r="M427" s="283"/>
      <c r="N427" s="283"/>
      <c r="O427" s="283"/>
      <c r="P427" s="283"/>
      <c r="Q427" s="283"/>
      <c r="R427" s="283"/>
      <c r="S427" s="283"/>
      <c r="T427" s="283"/>
    </row>
    <row r="428" spans="2:20">
      <c r="B428" s="283"/>
      <c r="C428" s="283"/>
      <c r="D428" s="283"/>
      <c r="E428" s="283"/>
      <c r="F428" s="283"/>
      <c r="G428" s="283"/>
      <c r="H428" s="283"/>
      <c r="I428" s="283"/>
      <c r="J428" s="283"/>
      <c r="K428" s="283"/>
      <c r="L428" s="283"/>
      <c r="M428" s="283"/>
      <c r="N428" s="283"/>
      <c r="O428" s="283"/>
      <c r="P428" s="283"/>
      <c r="Q428" s="283"/>
      <c r="R428" s="283"/>
      <c r="S428" s="283"/>
      <c r="T428" s="283"/>
    </row>
    <row r="429" spans="2:20">
      <c r="B429" s="283"/>
      <c r="C429" s="283"/>
      <c r="D429" s="283"/>
      <c r="E429" s="283"/>
      <c r="F429" s="283"/>
      <c r="G429" s="283"/>
      <c r="H429" s="283"/>
      <c r="I429" s="283"/>
      <c r="J429" s="283"/>
      <c r="K429" s="283"/>
      <c r="L429" s="283"/>
      <c r="M429" s="283"/>
      <c r="N429" s="283"/>
      <c r="O429" s="283"/>
      <c r="P429" s="283"/>
      <c r="Q429" s="283"/>
      <c r="R429" s="283"/>
      <c r="S429" s="283"/>
      <c r="T429" s="283"/>
    </row>
    <row r="430" spans="2:20">
      <c r="B430" s="283"/>
      <c r="C430" s="283"/>
      <c r="D430" s="283"/>
      <c r="E430" s="283"/>
      <c r="F430" s="283"/>
      <c r="G430" s="283"/>
      <c r="H430" s="283"/>
      <c r="I430" s="283"/>
      <c r="J430" s="283"/>
      <c r="K430" s="283"/>
      <c r="L430" s="283"/>
      <c r="M430" s="283"/>
      <c r="N430" s="283"/>
      <c r="O430" s="283"/>
      <c r="P430" s="283"/>
      <c r="Q430" s="283"/>
      <c r="R430" s="283"/>
      <c r="S430" s="283"/>
      <c r="T430" s="283"/>
    </row>
    <row r="431" spans="2:20">
      <c r="B431" s="283"/>
      <c r="C431" s="283"/>
      <c r="D431" s="283"/>
      <c r="E431" s="283"/>
      <c r="F431" s="283"/>
      <c r="G431" s="283"/>
      <c r="H431" s="283"/>
      <c r="I431" s="283"/>
      <c r="J431" s="283"/>
      <c r="K431" s="283"/>
      <c r="L431" s="283"/>
      <c r="M431" s="283"/>
      <c r="N431" s="283"/>
      <c r="O431" s="283"/>
      <c r="P431" s="283"/>
      <c r="Q431" s="283"/>
      <c r="R431" s="283"/>
      <c r="S431" s="283"/>
      <c r="T431" s="283"/>
    </row>
    <row r="432" spans="2:20">
      <c r="B432" s="283"/>
      <c r="C432" s="283"/>
      <c r="D432" s="283"/>
      <c r="E432" s="283"/>
      <c r="F432" s="283"/>
      <c r="G432" s="283"/>
      <c r="H432" s="283"/>
      <c r="I432" s="283"/>
      <c r="J432" s="283"/>
      <c r="K432" s="283"/>
      <c r="L432" s="283"/>
      <c r="M432" s="283"/>
      <c r="N432" s="283"/>
      <c r="O432" s="283"/>
      <c r="P432" s="283"/>
      <c r="Q432" s="283"/>
      <c r="R432" s="283"/>
      <c r="S432" s="283"/>
      <c r="T432" s="283"/>
    </row>
    <row r="433" spans="2:20">
      <c r="B433" s="283"/>
      <c r="C433" s="283"/>
      <c r="D433" s="283"/>
      <c r="E433" s="283"/>
      <c r="F433" s="283"/>
      <c r="G433" s="283"/>
      <c r="H433" s="283"/>
      <c r="I433" s="283"/>
      <c r="J433" s="283"/>
      <c r="K433" s="283"/>
      <c r="L433" s="283"/>
      <c r="M433" s="283"/>
      <c r="N433" s="283"/>
      <c r="O433" s="283"/>
      <c r="P433" s="283"/>
      <c r="Q433" s="283"/>
      <c r="R433" s="283"/>
      <c r="S433" s="283"/>
      <c r="T433" s="283"/>
    </row>
    <row r="434" spans="2:20">
      <c r="B434" s="283"/>
      <c r="C434" s="283"/>
      <c r="D434" s="283"/>
      <c r="E434" s="283"/>
      <c r="F434" s="283"/>
      <c r="G434" s="283"/>
      <c r="H434" s="283"/>
      <c r="I434" s="283"/>
      <c r="J434" s="283"/>
      <c r="K434" s="283"/>
      <c r="L434" s="283"/>
      <c r="M434" s="283"/>
      <c r="N434" s="283"/>
      <c r="O434" s="283"/>
      <c r="P434" s="283"/>
      <c r="Q434" s="283"/>
      <c r="R434" s="283"/>
      <c r="S434" s="283"/>
      <c r="T434" s="283"/>
    </row>
    <row r="435" spans="2:20">
      <c r="B435" s="283"/>
      <c r="C435" s="283"/>
      <c r="D435" s="283"/>
      <c r="E435" s="283"/>
      <c r="F435" s="283"/>
      <c r="G435" s="283"/>
      <c r="H435" s="283"/>
      <c r="I435" s="283"/>
      <c r="J435" s="283"/>
      <c r="K435" s="283"/>
      <c r="L435" s="283"/>
      <c r="M435" s="283"/>
      <c r="N435" s="283"/>
      <c r="O435" s="283"/>
      <c r="P435" s="283"/>
      <c r="Q435" s="283"/>
      <c r="R435" s="283"/>
      <c r="S435" s="283"/>
      <c r="T435" s="283"/>
    </row>
    <row r="436" spans="2:20">
      <c r="B436" s="283"/>
      <c r="C436" s="283"/>
      <c r="D436" s="283"/>
      <c r="E436" s="283"/>
      <c r="F436" s="283"/>
      <c r="G436" s="283"/>
      <c r="H436" s="283"/>
      <c r="I436" s="283"/>
      <c r="J436" s="283"/>
      <c r="K436" s="283"/>
      <c r="L436" s="283"/>
      <c r="M436" s="283"/>
      <c r="N436" s="283"/>
      <c r="O436" s="283"/>
      <c r="P436" s="283"/>
      <c r="Q436" s="283"/>
      <c r="R436" s="283"/>
      <c r="S436" s="283"/>
      <c r="T436" s="283"/>
    </row>
    <row r="437" spans="2:20">
      <c r="B437" s="283"/>
      <c r="C437" s="283"/>
      <c r="D437" s="283"/>
      <c r="E437" s="283"/>
      <c r="F437" s="283"/>
      <c r="G437" s="283"/>
      <c r="H437" s="283"/>
      <c r="I437" s="283"/>
      <c r="J437" s="283"/>
      <c r="K437" s="283"/>
      <c r="L437" s="283"/>
      <c r="M437" s="283"/>
      <c r="N437" s="283"/>
      <c r="O437" s="283"/>
      <c r="P437" s="283"/>
      <c r="Q437" s="283"/>
      <c r="R437" s="283"/>
      <c r="S437" s="283"/>
      <c r="T437" s="283"/>
    </row>
    <row r="438" spans="2:20">
      <c r="B438" s="283"/>
      <c r="C438" s="283"/>
      <c r="D438" s="283"/>
      <c r="E438" s="283"/>
      <c r="F438" s="283"/>
      <c r="G438" s="283"/>
      <c r="H438" s="283"/>
      <c r="I438" s="283"/>
      <c r="J438" s="283"/>
      <c r="K438" s="283"/>
      <c r="L438" s="283"/>
      <c r="M438" s="283"/>
      <c r="N438" s="283"/>
      <c r="O438" s="283"/>
      <c r="P438" s="283"/>
      <c r="Q438" s="283"/>
      <c r="R438" s="283"/>
      <c r="S438" s="283"/>
      <c r="T438" s="283"/>
    </row>
    <row r="439" spans="2:20">
      <c r="B439" s="283"/>
      <c r="C439" s="283"/>
      <c r="D439" s="283"/>
      <c r="E439" s="283"/>
      <c r="F439" s="283"/>
      <c r="G439" s="283"/>
      <c r="H439" s="283"/>
      <c r="I439" s="283"/>
      <c r="J439" s="283"/>
      <c r="K439" s="283"/>
      <c r="L439" s="283"/>
      <c r="M439" s="283"/>
      <c r="N439" s="283"/>
      <c r="O439" s="283"/>
      <c r="P439" s="283"/>
      <c r="Q439" s="283"/>
      <c r="R439" s="283"/>
      <c r="S439" s="283"/>
      <c r="T439" s="283"/>
    </row>
    <row r="440" spans="2:20">
      <c r="B440" s="283"/>
      <c r="C440" s="283"/>
      <c r="D440" s="283"/>
      <c r="E440" s="283"/>
      <c r="F440" s="283"/>
      <c r="G440" s="283"/>
      <c r="H440" s="283"/>
      <c r="I440" s="283"/>
      <c r="J440" s="283"/>
      <c r="K440" s="283"/>
      <c r="L440" s="283"/>
      <c r="M440" s="283"/>
      <c r="N440" s="283"/>
      <c r="O440" s="283"/>
      <c r="P440" s="283"/>
      <c r="Q440" s="283"/>
      <c r="R440" s="283"/>
      <c r="S440" s="283"/>
      <c r="T440" s="283"/>
    </row>
    <row r="441" spans="2:20">
      <c r="B441" s="283"/>
      <c r="C441" s="283"/>
      <c r="D441" s="283"/>
      <c r="E441" s="283"/>
      <c r="F441" s="283"/>
      <c r="G441" s="283"/>
      <c r="H441" s="283"/>
      <c r="I441" s="283"/>
      <c r="J441" s="283"/>
      <c r="K441" s="283"/>
      <c r="L441" s="283"/>
      <c r="M441" s="283"/>
      <c r="N441" s="283"/>
      <c r="O441" s="283"/>
      <c r="P441" s="283"/>
      <c r="Q441" s="283"/>
      <c r="R441" s="283"/>
      <c r="S441" s="283"/>
      <c r="T441" s="283"/>
    </row>
    <row r="442" spans="2:20">
      <c r="B442" s="283"/>
      <c r="C442" s="283"/>
      <c r="D442" s="283"/>
      <c r="E442" s="283"/>
      <c r="F442" s="283"/>
      <c r="G442" s="283"/>
      <c r="H442" s="283"/>
      <c r="I442" s="283"/>
      <c r="J442" s="283"/>
      <c r="K442" s="283"/>
      <c r="L442" s="283"/>
      <c r="M442" s="283"/>
      <c r="N442" s="283"/>
      <c r="O442" s="283"/>
      <c r="P442" s="283"/>
      <c r="Q442" s="283"/>
      <c r="R442" s="283"/>
      <c r="S442" s="283"/>
      <c r="T442" s="283"/>
    </row>
    <row r="443" spans="2:20">
      <c r="B443" s="283"/>
      <c r="C443" s="283"/>
      <c r="D443" s="283"/>
      <c r="E443" s="283"/>
      <c r="F443" s="283"/>
      <c r="G443" s="283"/>
      <c r="H443" s="283"/>
      <c r="I443" s="283"/>
      <c r="J443" s="283"/>
      <c r="K443" s="283"/>
      <c r="L443" s="283"/>
      <c r="M443" s="283"/>
      <c r="N443" s="283"/>
      <c r="O443" s="283"/>
      <c r="P443" s="283"/>
      <c r="Q443" s="283"/>
      <c r="R443" s="283"/>
      <c r="S443" s="283"/>
      <c r="T443" s="283"/>
    </row>
    <row r="444" spans="2:20">
      <c r="B444" s="283"/>
      <c r="C444" s="283"/>
      <c r="D444" s="283"/>
      <c r="E444" s="283"/>
      <c r="F444" s="283"/>
      <c r="G444" s="283"/>
      <c r="H444" s="283"/>
      <c r="I444" s="283"/>
      <c r="J444" s="283"/>
      <c r="K444" s="283"/>
      <c r="L444" s="283"/>
      <c r="M444" s="283"/>
      <c r="N444" s="283"/>
      <c r="O444" s="283"/>
      <c r="P444" s="283"/>
      <c r="Q444" s="283"/>
      <c r="R444" s="283"/>
      <c r="S444" s="283"/>
      <c r="T444" s="283"/>
    </row>
    <row r="445" spans="2:20">
      <c r="B445" s="283"/>
      <c r="C445" s="283"/>
      <c r="D445" s="283"/>
      <c r="E445" s="283"/>
      <c r="F445" s="283"/>
      <c r="G445" s="283"/>
      <c r="H445" s="283"/>
      <c r="I445" s="283"/>
      <c r="J445" s="283"/>
      <c r="K445" s="283"/>
      <c r="L445" s="283"/>
      <c r="M445" s="283"/>
      <c r="N445" s="283"/>
      <c r="O445" s="283"/>
      <c r="P445" s="283"/>
      <c r="Q445" s="283"/>
      <c r="R445" s="283"/>
      <c r="S445" s="283"/>
      <c r="T445" s="283"/>
    </row>
    <row r="446" spans="2:20">
      <c r="B446" s="283"/>
      <c r="C446" s="283"/>
      <c r="D446" s="283"/>
      <c r="E446" s="283"/>
      <c r="F446" s="283"/>
      <c r="G446" s="283"/>
      <c r="H446" s="283"/>
      <c r="I446" s="283"/>
      <c r="J446" s="283"/>
      <c r="K446" s="283"/>
      <c r="L446" s="283"/>
      <c r="M446" s="283"/>
      <c r="N446" s="283"/>
      <c r="O446" s="283"/>
      <c r="P446" s="283"/>
      <c r="Q446" s="283"/>
      <c r="R446" s="283"/>
      <c r="S446" s="283"/>
      <c r="T446" s="283"/>
    </row>
    <row r="447" spans="2:20">
      <c r="B447" s="283"/>
      <c r="C447" s="283"/>
      <c r="D447" s="283"/>
      <c r="E447" s="283"/>
      <c r="F447" s="283"/>
      <c r="G447" s="283"/>
      <c r="H447" s="283"/>
      <c r="I447" s="283"/>
      <c r="J447" s="283"/>
      <c r="K447" s="283"/>
      <c r="L447" s="283"/>
      <c r="M447" s="283"/>
      <c r="N447" s="283"/>
      <c r="O447" s="283"/>
      <c r="P447" s="283"/>
      <c r="Q447" s="283"/>
      <c r="R447" s="283"/>
      <c r="S447" s="283"/>
      <c r="T447" s="283"/>
    </row>
    <row r="448" spans="2:20">
      <c r="B448" s="283"/>
      <c r="C448" s="283"/>
      <c r="D448" s="283"/>
      <c r="E448" s="283"/>
      <c r="F448" s="283"/>
      <c r="G448" s="283"/>
      <c r="H448" s="283"/>
      <c r="I448" s="283"/>
      <c r="J448" s="283"/>
      <c r="K448" s="283"/>
      <c r="L448" s="283"/>
      <c r="M448" s="283"/>
      <c r="N448" s="283"/>
      <c r="O448" s="283"/>
      <c r="P448" s="283"/>
      <c r="Q448" s="283"/>
      <c r="R448" s="283"/>
      <c r="S448" s="283"/>
      <c r="T448" s="283"/>
    </row>
    <row r="449" spans="2:20">
      <c r="B449" s="283"/>
      <c r="C449" s="283"/>
      <c r="D449" s="283"/>
      <c r="E449" s="283"/>
      <c r="F449" s="283"/>
      <c r="G449" s="283"/>
      <c r="H449" s="283"/>
      <c r="I449" s="283"/>
      <c r="J449" s="283"/>
      <c r="K449" s="283"/>
      <c r="L449" s="283"/>
      <c r="M449" s="283"/>
      <c r="N449" s="283"/>
      <c r="O449" s="283"/>
      <c r="P449" s="283"/>
      <c r="Q449" s="283"/>
      <c r="R449" s="283"/>
      <c r="S449" s="283"/>
      <c r="T449" s="283"/>
    </row>
    <row r="450" spans="2:20">
      <c r="B450" s="283"/>
      <c r="C450" s="283"/>
      <c r="D450" s="283"/>
      <c r="E450" s="283"/>
      <c r="F450" s="283"/>
      <c r="G450" s="283"/>
      <c r="H450" s="283"/>
      <c r="I450" s="283"/>
      <c r="J450" s="283"/>
      <c r="K450" s="283"/>
      <c r="L450" s="283"/>
      <c r="M450" s="283"/>
      <c r="N450" s="283"/>
      <c r="O450" s="283"/>
      <c r="P450" s="283"/>
      <c r="Q450" s="283"/>
      <c r="R450" s="283"/>
      <c r="S450" s="283"/>
      <c r="T450" s="283"/>
    </row>
    <row r="451" spans="2:20">
      <c r="B451" s="283"/>
      <c r="C451" s="283"/>
      <c r="D451" s="283"/>
      <c r="E451" s="283"/>
      <c r="F451" s="283"/>
      <c r="G451" s="283"/>
      <c r="H451" s="283"/>
      <c r="I451" s="283"/>
      <c r="J451" s="283"/>
      <c r="K451" s="283"/>
      <c r="L451" s="283"/>
      <c r="M451" s="283"/>
      <c r="N451" s="283"/>
      <c r="O451" s="283"/>
      <c r="P451" s="283"/>
      <c r="Q451" s="283"/>
      <c r="R451" s="283"/>
      <c r="S451" s="283"/>
      <c r="T451" s="283"/>
    </row>
    <row r="452" spans="2:20">
      <c r="B452" s="283"/>
      <c r="C452" s="283"/>
      <c r="D452" s="283"/>
      <c r="E452" s="283"/>
      <c r="F452" s="283"/>
      <c r="G452" s="283"/>
      <c r="H452" s="283"/>
      <c r="I452" s="283"/>
      <c r="J452" s="283"/>
      <c r="K452" s="283"/>
      <c r="L452" s="283"/>
      <c r="M452" s="283"/>
      <c r="N452" s="283"/>
      <c r="O452" s="283"/>
      <c r="P452" s="283"/>
      <c r="Q452" s="283"/>
      <c r="R452" s="283"/>
      <c r="S452" s="283"/>
      <c r="T452" s="283"/>
    </row>
    <row r="453" spans="2:20">
      <c r="B453" s="283"/>
      <c r="C453" s="283"/>
      <c r="D453" s="283"/>
      <c r="E453" s="283"/>
      <c r="F453" s="283"/>
      <c r="G453" s="283"/>
      <c r="H453" s="283"/>
      <c r="I453" s="283"/>
      <c r="J453" s="283"/>
      <c r="K453" s="283"/>
      <c r="L453" s="283"/>
      <c r="M453" s="283"/>
      <c r="N453" s="283"/>
      <c r="O453" s="283"/>
      <c r="P453" s="283"/>
      <c r="Q453" s="283"/>
      <c r="R453" s="283"/>
      <c r="S453" s="283"/>
      <c r="T453" s="283"/>
    </row>
    <row r="454" spans="2:20">
      <c r="B454" s="283"/>
      <c r="C454" s="283"/>
      <c r="D454" s="283"/>
      <c r="E454" s="283"/>
      <c r="F454" s="283"/>
      <c r="G454" s="283"/>
      <c r="H454" s="283"/>
      <c r="I454" s="283"/>
      <c r="J454" s="283"/>
      <c r="K454" s="283"/>
      <c r="L454" s="283"/>
      <c r="M454" s="283"/>
      <c r="N454" s="283"/>
      <c r="O454" s="283"/>
      <c r="P454" s="283"/>
      <c r="Q454" s="283"/>
      <c r="R454" s="283"/>
      <c r="S454" s="283"/>
      <c r="T454" s="283"/>
    </row>
    <row r="455" spans="2:20">
      <c r="B455" s="283"/>
      <c r="C455" s="283"/>
      <c r="D455" s="283"/>
      <c r="E455" s="283"/>
      <c r="F455" s="283"/>
      <c r="G455" s="283"/>
      <c r="H455" s="283"/>
      <c r="I455" s="283"/>
      <c r="J455" s="283"/>
      <c r="K455" s="283"/>
      <c r="L455" s="283"/>
      <c r="M455" s="283"/>
      <c r="N455" s="283"/>
      <c r="O455" s="283"/>
      <c r="P455" s="283"/>
      <c r="Q455" s="283"/>
      <c r="R455" s="283"/>
      <c r="S455" s="283"/>
      <c r="T455" s="283"/>
    </row>
    <row r="456" spans="2:20">
      <c r="B456" s="283"/>
      <c r="C456" s="283"/>
      <c r="D456" s="283"/>
      <c r="E456" s="283"/>
      <c r="F456" s="283"/>
      <c r="G456" s="283"/>
      <c r="H456" s="283"/>
      <c r="I456" s="283"/>
      <c r="J456" s="283"/>
      <c r="K456" s="283"/>
      <c r="L456" s="283"/>
      <c r="M456" s="283"/>
      <c r="N456" s="283"/>
      <c r="O456" s="283"/>
      <c r="P456" s="283"/>
      <c r="Q456" s="283"/>
      <c r="R456" s="283"/>
      <c r="S456" s="283"/>
      <c r="T456" s="283"/>
    </row>
    <row r="457" spans="2:20">
      <c r="B457" s="283"/>
      <c r="C457" s="283"/>
      <c r="D457" s="283"/>
      <c r="E457" s="283"/>
      <c r="F457" s="283"/>
      <c r="G457" s="283"/>
      <c r="H457" s="283"/>
      <c r="I457" s="283"/>
      <c r="J457" s="283"/>
      <c r="K457" s="283"/>
      <c r="L457" s="283"/>
      <c r="M457" s="283"/>
      <c r="N457" s="283"/>
      <c r="O457" s="283"/>
      <c r="P457" s="283"/>
      <c r="Q457" s="283"/>
      <c r="R457" s="283"/>
      <c r="S457" s="283"/>
      <c r="T457" s="283"/>
    </row>
    <row r="458" spans="2:20">
      <c r="B458" s="283"/>
      <c r="C458" s="283"/>
      <c r="D458" s="283"/>
      <c r="E458" s="283"/>
      <c r="F458" s="283"/>
      <c r="G458" s="283"/>
      <c r="H458" s="283"/>
      <c r="I458" s="283"/>
      <c r="J458" s="283"/>
      <c r="K458" s="283"/>
      <c r="L458" s="283"/>
      <c r="M458" s="283"/>
      <c r="N458" s="283"/>
      <c r="O458" s="283"/>
      <c r="P458" s="283"/>
      <c r="Q458" s="283"/>
      <c r="R458" s="283"/>
      <c r="S458" s="283"/>
      <c r="T458" s="283"/>
    </row>
    <row r="459" spans="2:20">
      <c r="B459" s="283"/>
      <c r="C459" s="283"/>
      <c r="D459" s="283"/>
      <c r="E459" s="283"/>
      <c r="F459" s="283"/>
      <c r="G459" s="283"/>
      <c r="H459" s="283"/>
      <c r="I459" s="283"/>
      <c r="J459" s="283"/>
      <c r="K459" s="283"/>
      <c r="L459" s="283"/>
      <c r="M459" s="283"/>
      <c r="N459" s="283"/>
      <c r="O459" s="283"/>
      <c r="P459" s="283"/>
      <c r="Q459" s="283"/>
      <c r="R459" s="283"/>
      <c r="S459" s="283"/>
      <c r="T459" s="283"/>
    </row>
    <row r="460" spans="2:20">
      <c r="B460" s="283"/>
      <c r="C460" s="283"/>
      <c r="D460" s="283"/>
      <c r="E460" s="283"/>
      <c r="F460" s="283"/>
      <c r="G460" s="283"/>
      <c r="H460" s="283"/>
      <c r="I460" s="283"/>
      <c r="J460" s="283"/>
      <c r="K460" s="283"/>
      <c r="L460" s="283"/>
      <c r="M460" s="283"/>
      <c r="N460" s="283"/>
      <c r="O460" s="283"/>
      <c r="P460" s="283"/>
      <c r="Q460" s="283"/>
      <c r="R460" s="283"/>
      <c r="S460" s="283"/>
      <c r="T460" s="283"/>
    </row>
    <row r="461" spans="2:20">
      <c r="B461" s="283"/>
      <c r="C461" s="283"/>
      <c r="D461" s="283"/>
      <c r="E461" s="283"/>
      <c r="F461" s="283"/>
      <c r="G461" s="283"/>
      <c r="H461" s="283"/>
      <c r="I461" s="283"/>
      <c r="J461" s="283"/>
      <c r="K461" s="283"/>
      <c r="L461" s="283"/>
      <c r="M461" s="283"/>
      <c r="N461" s="283"/>
      <c r="O461" s="283"/>
      <c r="P461" s="283"/>
      <c r="Q461" s="283"/>
      <c r="R461" s="283"/>
      <c r="S461" s="283"/>
      <c r="T461" s="283"/>
    </row>
    <row r="462" spans="2:20">
      <c r="B462" s="283"/>
      <c r="C462" s="283"/>
      <c r="D462" s="283"/>
      <c r="E462" s="283"/>
      <c r="F462" s="283"/>
      <c r="G462" s="283"/>
      <c r="H462" s="283"/>
      <c r="I462" s="283"/>
      <c r="J462" s="283"/>
      <c r="K462" s="283"/>
      <c r="L462" s="283"/>
      <c r="M462" s="283"/>
      <c r="N462" s="283"/>
      <c r="O462" s="283"/>
      <c r="P462" s="283"/>
      <c r="Q462" s="283"/>
      <c r="R462" s="283"/>
      <c r="S462" s="283"/>
      <c r="T462" s="283"/>
    </row>
    <row r="463" spans="2:20">
      <c r="B463" s="283"/>
      <c r="C463" s="283"/>
      <c r="D463" s="283"/>
      <c r="E463" s="283"/>
      <c r="F463" s="283"/>
      <c r="G463" s="283"/>
      <c r="H463" s="283"/>
      <c r="I463" s="283"/>
      <c r="J463" s="283"/>
      <c r="K463" s="283"/>
      <c r="L463" s="283"/>
      <c r="M463" s="283"/>
      <c r="N463" s="283"/>
      <c r="O463" s="283"/>
      <c r="P463" s="283"/>
      <c r="Q463" s="283"/>
      <c r="R463" s="283"/>
      <c r="S463" s="283"/>
      <c r="T463" s="283"/>
    </row>
    <row r="464" spans="2:20">
      <c r="B464" s="283"/>
      <c r="C464" s="283"/>
      <c r="D464" s="283"/>
      <c r="E464" s="283"/>
      <c r="F464" s="283"/>
      <c r="G464" s="283"/>
      <c r="H464" s="283"/>
      <c r="I464" s="283"/>
      <c r="J464" s="283"/>
      <c r="K464" s="283"/>
      <c r="L464" s="283"/>
      <c r="M464" s="283"/>
      <c r="N464" s="283"/>
      <c r="O464" s="283"/>
      <c r="P464" s="283"/>
      <c r="Q464" s="283"/>
      <c r="R464" s="283"/>
      <c r="S464" s="283"/>
      <c r="T464" s="283"/>
    </row>
    <row r="465" spans="2:20">
      <c r="B465" s="283"/>
      <c r="C465" s="283"/>
      <c r="D465" s="283"/>
      <c r="E465" s="283"/>
      <c r="F465" s="283"/>
      <c r="G465" s="283"/>
      <c r="H465" s="283"/>
      <c r="I465" s="283"/>
      <c r="J465" s="283"/>
      <c r="K465" s="283"/>
      <c r="L465" s="283"/>
      <c r="M465" s="283"/>
      <c r="N465" s="283"/>
      <c r="O465" s="283"/>
      <c r="P465" s="283"/>
      <c r="Q465" s="283"/>
      <c r="R465" s="283"/>
      <c r="S465" s="283"/>
      <c r="T465" s="283"/>
    </row>
    <row r="466" spans="2:20">
      <c r="B466" s="283"/>
      <c r="C466" s="283"/>
      <c r="D466" s="283"/>
      <c r="E466" s="283"/>
      <c r="F466" s="283"/>
      <c r="G466" s="283"/>
      <c r="H466" s="283"/>
      <c r="I466" s="283"/>
      <c r="J466" s="283"/>
      <c r="K466" s="283"/>
      <c r="L466" s="283"/>
      <c r="M466" s="283"/>
      <c r="N466" s="283"/>
      <c r="O466" s="283"/>
      <c r="P466" s="283"/>
      <c r="Q466" s="283"/>
      <c r="R466" s="283"/>
      <c r="S466" s="283"/>
      <c r="T466" s="283"/>
    </row>
    <row r="467" spans="2:20">
      <c r="B467" s="283"/>
      <c r="C467" s="283"/>
      <c r="D467" s="283"/>
      <c r="E467" s="283"/>
      <c r="F467" s="283"/>
      <c r="G467" s="283"/>
      <c r="H467" s="283"/>
      <c r="I467" s="283"/>
      <c r="J467" s="283"/>
      <c r="K467" s="283"/>
      <c r="L467" s="283"/>
      <c r="M467" s="283"/>
      <c r="N467" s="283"/>
      <c r="O467" s="283"/>
      <c r="P467" s="283"/>
      <c r="Q467" s="283"/>
      <c r="R467" s="283"/>
      <c r="S467" s="283"/>
      <c r="T467" s="283"/>
    </row>
    <row r="468" spans="2:20">
      <c r="B468" s="283"/>
      <c r="C468" s="283"/>
      <c r="D468" s="283"/>
      <c r="E468" s="283"/>
      <c r="F468" s="283"/>
      <c r="G468" s="283"/>
      <c r="H468" s="283"/>
      <c r="I468" s="283"/>
      <c r="J468" s="283"/>
      <c r="K468" s="283"/>
      <c r="L468" s="283"/>
      <c r="M468" s="283"/>
      <c r="N468" s="283"/>
      <c r="O468" s="283"/>
      <c r="P468" s="283"/>
      <c r="Q468" s="283"/>
      <c r="R468" s="283"/>
      <c r="S468" s="283"/>
      <c r="T468" s="283"/>
    </row>
    <row r="469" spans="2:20">
      <c r="B469" s="283"/>
      <c r="C469" s="283"/>
      <c r="D469" s="283"/>
      <c r="E469" s="283"/>
      <c r="F469" s="283"/>
      <c r="G469" s="283"/>
      <c r="H469" s="283"/>
      <c r="I469" s="283"/>
      <c r="J469" s="283"/>
      <c r="K469" s="283"/>
      <c r="L469" s="283"/>
      <c r="M469" s="283"/>
      <c r="N469" s="283"/>
      <c r="O469" s="283"/>
      <c r="P469" s="283"/>
      <c r="Q469" s="283"/>
      <c r="R469" s="283"/>
      <c r="S469" s="283"/>
      <c r="T469" s="283"/>
    </row>
    <row r="470" spans="2:20">
      <c r="B470" s="283"/>
      <c r="C470" s="283"/>
      <c r="D470" s="283"/>
      <c r="E470" s="283"/>
      <c r="F470" s="283"/>
      <c r="G470" s="283"/>
      <c r="H470" s="283"/>
      <c r="I470" s="283"/>
      <c r="J470" s="283"/>
      <c r="K470" s="283"/>
      <c r="L470" s="283"/>
      <c r="M470" s="283"/>
      <c r="N470" s="283"/>
      <c r="O470" s="283"/>
      <c r="P470" s="283"/>
      <c r="Q470" s="283"/>
      <c r="R470" s="283"/>
      <c r="S470" s="283"/>
      <c r="T470" s="283"/>
    </row>
    <row r="471" spans="2:20">
      <c r="B471" s="283"/>
      <c r="C471" s="283"/>
      <c r="D471" s="283"/>
      <c r="E471" s="283"/>
      <c r="F471" s="283"/>
      <c r="G471" s="283"/>
      <c r="H471" s="283"/>
      <c r="I471" s="283"/>
      <c r="J471" s="283"/>
      <c r="K471" s="283"/>
      <c r="L471" s="283"/>
      <c r="M471" s="283"/>
      <c r="N471" s="283"/>
      <c r="O471" s="283"/>
      <c r="P471" s="283"/>
      <c r="Q471" s="283"/>
      <c r="R471" s="283"/>
      <c r="S471" s="283"/>
      <c r="T471" s="283"/>
    </row>
    <row r="472" spans="2:20">
      <c r="B472" s="283"/>
      <c r="C472" s="283"/>
      <c r="D472" s="283"/>
      <c r="E472" s="283"/>
      <c r="F472" s="283"/>
      <c r="G472" s="283"/>
      <c r="H472" s="283"/>
      <c r="I472" s="283"/>
      <c r="J472" s="283"/>
      <c r="K472" s="283"/>
      <c r="L472" s="283"/>
      <c r="M472" s="283"/>
      <c r="N472" s="283"/>
      <c r="O472" s="283"/>
      <c r="P472" s="283"/>
      <c r="Q472" s="283"/>
      <c r="R472" s="283"/>
      <c r="S472" s="283"/>
      <c r="T472" s="283"/>
    </row>
    <row r="473" spans="2:20">
      <c r="B473" s="283"/>
      <c r="C473" s="283"/>
      <c r="D473" s="283"/>
      <c r="E473" s="283"/>
      <c r="F473" s="283"/>
      <c r="G473" s="283"/>
      <c r="H473" s="283"/>
      <c r="I473" s="283"/>
      <c r="J473" s="283"/>
      <c r="K473" s="283"/>
      <c r="L473" s="283"/>
      <c r="M473" s="283"/>
      <c r="N473" s="283"/>
      <c r="O473" s="283"/>
      <c r="P473" s="283"/>
      <c r="Q473" s="283"/>
      <c r="R473" s="283"/>
      <c r="S473" s="283"/>
      <c r="T473" s="283"/>
    </row>
    <row r="474" spans="2:20">
      <c r="B474" s="283"/>
      <c r="C474" s="283"/>
      <c r="D474" s="283"/>
      <c r="E474" s="283"/>
      <c r="F474" s="283"/>
      <c r="G474" s="283"/>
      <c r="H474" s="283"/>
      <c r="I474" s="283"/>
      <c r="J474" s="283"/>
      <c r="K474" s="283"/>
      <c r="L474" s="283"/>
      <c r="M474" s="283"/>
      <c r="N474" s="283"/>
      <c r="O474" s="283"/>
      <c r="P474" s="283"/>
      <c r="Q474" s="283"/>
      <c r="R474" s="283"/>
      <c r="S474" s="283"/>
      <c r="T474" s="283"/>
    </row>
    <row r="475" spans="2:20">
      <c r="B475" s="283"/>
      <c r="C475" s="283"/>
      <c r="D475" s="283"/>
      <c r="E475" s="283"/>
      <c r="F475" s="283"/>
      <c r="G475" s="283"/>
      <c r="H475" s="283"/>
      <c r="I475" s="283"/>
      <c r="J475" s="283"/>
      <c r="K475" s="283"/>
      <c r="L475" s="283"/>
      <c r="M475" s="283"/>
      <c r="N475" s="283"/>
      <c r="O475" s="283"/>
      <c r="P475" s="283"/>
      <c r="Q475" s="283"/>
      <c r="R475" s="283"/>
      <c r="S475" s="283"/>
      <c r="T475" s="283"/>
    </row>
    <row r="476" spans="2:20">
      <c r="B476" s="283"/>
      <c r="C476" s="283"/>
      <c r="D476" s="283"/>
      <c r="E476" s="283"/>
      <c r="F476" s="283"/>
      <c r="G476" s="283"/>
      <c r="H476" s="283"/>
      <c r="I476" s="283"/>
      <c r="J476" s="283"/>
      <c r="K476" s="283"/>
      <c r="L476" s="283"/>
      <c r="M476" s="283"/>
      <c r="N476" s="283"/>
      <c r="O476" s="283"/>
      <c r="P476" s="283"/>
      <c r="Q476" s="283"/>
      <c r="R476" s="283"/>
      <c r="S476" s="283"/>
      <c r="T476" s="283"/>
    </row>
    <row r="477" spans="2:20">
      <c r="B477" s="283"/>
      <c r="C477" s="283"/>
      <c r="D477" s="283"/>
      <c r="E477" s="283"/>
      <c r="F477" s="283"/>
      <c r="G477" s="283"/>
      <c r="H477" s="283"/>
      <c r="I477" s="283"/>
      <c r="J477" s="283"/>
      <c r="K477" s="283"/>
      <c r="L477" s="283"/>
      <c r="M477" s="283"/>
      <c r="N477" s="283"/>
      <c r="O477" s="283"/>
      <c r="P477" s="283"/>
      <c r="Q477" s="283"/>
      <c r="R477" s="283"/>
      <c r="S477" s="283"/>
      <c r="T477" s="283"/>
    </row>
    <row r="478" spans="2:20">
      <c r="B478" s="283"/>
      <c r="C478" s="283"/>
      <c r="D478" s="283"/>
      <c r="E478" s="283"/>
      <c r="F478" s="283"/>
      <c r="G478" s="283"/>
      <c r="H478" s="283"/>
      <c r="I478" s="283"/>
      <c r="J478" s="283"/>
      <c r="K478" s="283"/>
      <c r="L478" s="283"/>
      <c r="M478" s="283"/>
      <c r="N478" s="283"/>
      <c r="O478" s="283"/>
      <c r="P478" s="283"/>
      <c r="Q478" s="283"/>
      <c r="R478" s="283"/>
      <c r="S478" s="283"/>
      <c r="T478" s="283"/>
    </row>
    <row r="479" spans="2:20">
      <c r="B479" s="283"/>
      <c r="C479" s="283"/>
      <c r="D479" s="283"/>
      <c r="E479" s="283"/>
      <c r="F479" s="283"/>
      <c r="G479" s="283"/>
      <c r="H479" s="283"/>
      <c r="I479" s="283"/>
      <c r="J479" s="283"/>
      <c r="K479" s="283"/>
      <c r="L479" s="283"/>
      <c r="M479" s="283"/>
      <c r="N479" s="283"/>
      <c r="O479" s="283"/>
      <c r="P479" s="283"/>
      <c r="Q479" s="283"/>
      <c r="R479" s="283"/>
      <c r="S479" s="283"/>
      <c r="T479" s="283"/>
    </row>
    <row r="480" spans="2:20">
      <c r="B480" s="283"/>
      <c r="C480" s="283"/>
      <c r="D480" s="283"/>
      <c r="E480" s="283"/>
      <c r="F480" s="283"/>
      <c r="G480" s="283"/>
      <c r="H480" s="283"/>
      <c r="I480" s="283"/>
      <c r="J480" s="283"/>
      <c r="K480" s="283"/>
      <c r="L480" s="283"/>
      <c r="M480" s="283"/>
      <c r="N480" s="283"/>
      <c r="O480" s="283"/>
      <c r="P480" s="283"/>
      <c r="Q480" s="283"/>
      <c r="R480" s="283"/>
      <c r="S480" s="283"/>
      <c r="T480" s="283"/>
    </row>
    <row r="481" spans="2:20">
      <c r="B481" s="283"/>
      <c r="C481" s="283"/>
      <c r="D481" s="283"/>
      <c r="E481" s="283"/>
      <c r="F481" s="283"/>
      <c r="G481" s="283"/>
      <c r="H481" s="283"/>
      <c r="I481" s="283"/>
      <c r="J481" s="283"/>
      <c r="K481" s="283"/>
      <c r="L481" s="283"/>
      <c r="M481" s="283"/>
      <c r="N481" s="283"/>
      <c r="O481" s="283"/>
      <c r="P481" s="283"/>
      <c r="Q481" s="283"/>
      <c r="R481" s="283"/>
      <c r="S481" s="283"/>
      <c r="T481" s="283"/>
    </row>
    <row r="482" spans="2:20">
      <c r="B482" s="283"/>
      <c r="C482" s="283"/>
      <c r="D482" s="283"/>
      <c r="E482" s="283"/>
      <c r="F482" s="283"/>
      <c r="G482" s="283"/>
      <c r="H482" s="283"/>
      <c r="I482" s="283"/>
      <c r="J482" s="283"/>
      <c r="K482" s="283"/>
      <c r="L482" s="283"/>
      <c r="M482" s="283"/>
      <c r="N482" s="283"/>
      <c r="O482" s="283"/>
      <c r="P482" s="283"/>
      <c r="Q482" s="283"/>
      <c r="R482" s="283"/>
      <c r="S482" s="283"/>
      <c r="T482" s="283"/>
    </row>
    <row r="483" spans="2:20">
      <c r="B483" s="283"/>
      <c r="C483" s="283"/>
      <c r="D483" s="283"/>
      <c r="E483" s="283"/>
      <c r="F483" s="283"/>
      <c r="G483" s="283"/>
      <c r="H483" s="283"/>
      <c r="I483" s="283"/>
      <c r="J483" s="283"/>
      <c r="K483" s="283"/>
      <c r="L483" s="283"/>
      <c r="M483" s="283"/>
      <c r="N483" s="283"/>
      <c r="O483" s="283"/>
      <c r="P483" s="283"/>
      <c r="Q483" s="283"/>
      <c r="R483" s="283"/>
      <c r="S483" s="283"/>
      <c r="T483" s="283"/>
    </row>
    <row r="484" spans="2:20">
      <c r="B484" s="283"/>
      <c r="C484" s="283"/>
      <c r="D484" s="283"/>
      <c r="E484" s="283"/>
      <c r="F484" s="283"/>
      <c r="G484" s="283"/>
      <c r="H484" s="283"/>
      <c r="I484" s="283"/>
      <c r="J484" s="283"/>
      <c r="K484" s="283"/>
      <c r="L484" s="283"/>
      <c r="M484" s="283"/>
      <c r="N484" s="283"/>
      <c r="O484" s="283"/>
      <c r="P484" s="283"/>
      <c r="Q484" s="283"/>
      <c r="R484" s="283"/>
      <c r="S484" s="283"/>
      <c r="T484" s="283"/>
    </row>
    <row r="485" spans="2:20">
      <c r="B485" s="283"/>
      <c r="C485" s="283"/>
      <c r="D485" s="283"/>
      <c r="E485" s="283"/>
      <c r="F485" s="283"/>
      <c r="G485" s="283"/>
      <c r="H485" s="283"/>
      <c r="I485" s="283"/>
      <c r="J485" s="283"/>
      <c r="K485" s="283"/>
      <c r="L485" s="283"/>
      <c r="M485" s="283"/>
      <c r="N485" s="283"/>
      <c r="O485" s="283"/>
      <c r="P485" s="283"/>
      <c r="Q485" s="283"/>
      <c r="R485" s="283"/>
      <c r="S485" s="283"/>
      <c r="T485" s="283"/>
    </row>
    <row r="486" spans="2:20">
      <c r="B486" s="283"/>
      <c r="C486" s="283"/>
      <c r="D486" s="283"/>
      <c r="E486" s="283"/>
      <c r="F486" s="283"/>
      <c r="G486" s="283"/>
      <c r="H486" s="283"/>
      <c r="I486" s="283"/>
      <c r="J486" s="283"/>
      <c r="K486" s="283"/>
      <c r="L486" s="283"/>
      <c r="M486" s="283"/>
      <c r="N486" s="283"/>
      <c r="O486" s="283"/>
      <c r="P486" s="283"/>
      <c r="Q486" s="283"/>
      <c r="R486" s="283"/>
      <c r="S486" s="283"/>
      <c r="T486" s="283"/>
    </row>
    <row r="487" spans="2:20">
      <c r="B487" s="283"/>
      <c r="C487" s="283"/>
      <c r="D487" s="283"/>
      <c r="E487" s="283"/>
      <c r="F487" s="283"/>
      <c r="G487" s="283"/>
      <c r="H487" s="283"/>
      <c r="I487" s="283"/>
      <c r="J487" s="283"/>
      <c r="K487" s="283"/>
      <c r="L487" s="283"/>
      <c r="M487" s="283"/>
      <c r="N487" s="283"/>
      <c r="O487" s="283"/>
      <c r="P487" s="283"/>
      <c r="Q487" s="283"/>
      <c r="R487" s="283"/>
      <c r="S487" s="283"/>
      <c r="T487" s="283"/>
    </row>
    <row r="488" spans="2:20">
      <c r="B488" s="283"/>
      <c r="C488" s="283"/>
      <c r="D488" s="283"/>
      <c r="E488" s="283"/>
      <c r="F488" s="283"/>
      <c r="G488" s="283"/>
      <c r="H488" s="283"/>
      <c r="I488" s="283"/>
      <c r="J488" s="283"/>
      <c r="K488" s="283"/>
      <c r="L488" s="283"/>
      <c r="M488" s="283"/>
      <c r="N488" s="283"/>
      <c r="O488" s="283"/>
      <c r="P488" s="283"/>
      <c r="Q488" s="283"/>
      <c r="R488" s="283"/>
      <c r="S488" s="283"/>
      <c r="T488" s="283"/>
    </row>
    <row r="489" spans="2:20">
      <c r="B489" s="283"/>
      <c r="C489" s="283"/>
      <c r="D489" s="283"/>
      <c r="E489" s="283"/>
      <c r="F489" s="283"/>
      <c r="G489" s="283"/>
      <c r="H489" s="283"/>
      <c r="I489" s="283"/>
      <c r="J489" s="283"/>
      <c r="K489" s="283"/>
      <c r="L489" s="283"/>
      <c r="M489" s="283"/>
      <c r="N489" s="283"/>
      <c r="O489" s="283"/>
      <c r="P489" s="283"/>
      <c r="Q489" s="283"/>
      <c r="R489" s="283"/>
      <c r="S489" s="283"/>
      <c r="T489" s="283"/>
    </row>
    <row r="490" spans="2:20">
      <c r="B490" s="283"/>
      <c r="C490" s="283"/>
      <c r="D490" s="283"/>
      <c r="E490" s="283"/>
      <c r="F490" s="283"/>
      <c r="G490" s="283"/>
      <c r="H490" s="283"/>
      <c r="I490" s="283"/>
      <c r="J490" s="283"/>
      <c r="K490" s="283"/>
      <c r="L490" s="283"/>
      <c r="M490" s="283"/>
      <c r="N490" s="283"/>
      <c r="O490" s="283"/>
      <c r="P490" s="283"/>
      <c r="Q490" s="283"/>
      <c r="R490" s="283"/>
      <c r="S490" s="283"/>
      <c r="T490" s="283"/>
    </row>
    <row r="491" spans="2:20">
      <c r="B491" s="283"/>
      <c r="C491" s="283"/>
      <c r="D491" s="283"/>
      <c r="E491" s="283"/>
      <c r="F491" s="283"/>
      <c r="G491" s="283"/>
      <c r="H491" s="283"/>
      <c r="I491" s="283"/>
      <c r="J491" s="283"/>
      <c r="K491" s="283"/>
      <c r="L491" s="283"/>
      <c r="M491" s="283"/>
      <c r="N491" s="283"/>
      <c r="O491" s="283"/>
      <c r="P491" s="283"/>
      <c r="Q491" s="283"/>
      <c r="R491" s="283"/>
      <c r="S491" s="283"/>
      <c r="T491" s="283"/>
    </row>
    <row r="492" spans="2:20">
      <c r="B492" s="283"/>
      <c r="C492" s="283"/>
      <c r="D492" s="283"/>
      <c r="E492" s="283"/>
      <c r="F492" s="283"/>
      <c r="G492" s="283"/>
      <c r="H492" s="283"/>
      <c r="I492" s="283"/>
      <c r="J492" s="283"/>
      <c r="K492" s="283"/>
      <c r="L492" s="283"/>
      <c r="M492" s="283"/>
      <c r="N492" s="283"/>
      <c r="O492" s="283"/>
      <c r="P492" s="283"/>
      <c r="Q492" s="283"/>
      <c r="R492" s="283"/>
      <c r="S492" s="283"/>
      <c r="T492" s="283"/>
    </row>
    <row r="493" spans="2:20">
      <c r="B493" s="283"/>
      <c r="C493" s="283"/>
      <c r="D493" s="283"/>
      <c r="E493" s="283"/>
      <c r="F493" s="283"/>
      <c r="G493" s="283"/>
      <c r="H493" s="283"/>
      <c r="I493" s="283"/>
      <c r="J493" s="283"/>
      <c r="K493" s="283"/>
      <c r="L493" s="283"/>
      <c r="M493" s="283"/>
      <c r="N493" s="283"/>
      <c r="O493" s="283"/>
      <c r="P493" s="283"/>
      <c r="Q493" s="283"/>
      <c r="R493" s="283"/>
      <c r="S493" s="283"/>
      <c r="T493" s="283"/>
    </row>
    <row r="494" spans="2:20">
      <c r="B494" s="283"/>
      <c r="C494" s="283"/>
      <c r="D494" s="283"/>
      <c r="E494" s="283"/>
      <c r="F494" s="283"/>
      <c r="G494" s="283"/>
      <c r="H494" s="283"/>
      <c r="I494" s="283"/>
      <c r="J494" s="283"/>
      <c r="K494" s="283"/>
      <c r="L494" s="283"/>
      <c r="M494" s="283"/>
      <c r="N494" s="283"/>
      <c r="O494" s="283"/>
      <c r="P494" s="283"/>
      <c r="Q494" s="283"/>
      <c r="R494" s="283"/>
      <c r="S494" s="283"/>
      <c r="T494" s="283"/>
    </row>
    <row r="495" spans="2:20">
      <c r="B495" s="283"/>
      <c r="C495" s="283"/>
      <c r="D495" s="283"/>
      <c r="E495" s="283"/>
      <c r="F495" s="283"/>
      <c r="G495" s="283"/>
      <c r="H495" s="283"/>
      <c r="I495" s="283"/>
      <c r="J495" s="283"/>
      <c r="K495" s="283"/>
      <c r="L495" s="283"/>
      <c r="M495" s="283"/>
      <c r="N495" s="283"/>
      <c r="O495" s="283"/>
      <c r="P495" s="283"/>
      <c r="Q495" s="283"/>
      <c r="R495" s="283"/>
      <c r="S495" s="283"/>
      <c r="T495" s="283"/>
    </row>
    <row r="496" spans="2:20">
      <c r="B496" s="283"/>
      <c r="C496" s="283"/>
      <c r="D496" s="283"/>
      <c r="E496" s="283"/>
      <c r="F496" s="283"/>
      <c r="G496" s="283"/>
      <c r="H496" s="283"/>
      <c r="I496" s="283"/>
      <c r="J496" s="283"/>
      <c r="K496" s="283"/>
      <c r="L496" s="283"/>
      <c r="M496" s="283"/>
      <c r="N496" s="283"/>
      <c r="O496" s="283"/>
      <c r="P496" s="283"/>
      <c r="Q496" s="283"/>
      <c r="R496" s="283"/>
      <c r="S496" s="283"/>
      <c r="T496" s="283"/>
    </row>
    <row r="497" spans="2:20">
      <c r="B497" s="283"/>
      <c r="C497" s="283"/>
      <c r="D497" s="283"/>
      <c r="E497" s="283"/>
      <c r="F497" s="283"/>
      <c r="G497" s="283"/>
      <c r="H497" s="283"/>
      <c r="I497" s="283"/>
      <c r="J497" s="283"/>
      <c r="K497" s="283"/>
      <c r="L497" s="283"/>
      <c r="M497" s="283"/>
      <c r="N497" s="283"/>
      <c r="O497" s="283"/>
      <c r="P497" s="283"/>
      <c r="Q497" s="283"/>
      <c r="R497" s="283"/>
      <c r="S497" s="283"/>
      <c r="T497" s="283"/>
    </row>
    <row r="498" spans="2:20">
      <c r="B498" s="283"/>
      <c r="C498" s="283"/>
      <c r="D498" s="283"/>
      <c r="E498" s="283"/>
      <c r="F498" s="283"/>
      <c r="G498" s="283"/>
      <c r="H498" s="283"/>
      <c r="I498" s="283"/>
      <c r="J498" s="283"/>
      <c r="K498" s="283"/>
      <c r="L498" s="283"/>
      <c r="M498" s="283"/>
      <c r="N498" s="283"/>
      <c r="O498" s="283"/>
      <c r="P498" s="283"/>
      <c r="Q498" s="283"/>
      <c r="R498" s="283"/>
      <c r="S498" s="283"/>
      <c r="T498" s="283"/>
    </row>
    <row r="499" spans="2:20">
      <c r="B499" s="283"/>
      <c r="C499" s="283"/>
      <c r="D499" s="283"/>
      <c r="E499" s="283"/>
      <c r="F499" s="283"/>
      <c r="G499" s="283"/>
      <c r="H499" s="283"/>
      <c r="I499" s="283"/>
      <c r="J499" s="283"/>
      <c r="K499" s="283"/>
      <c r="L499" s="283"/>
      <c r="M499" s="283"/>
      <c r="N499" s="283"/>
      <c r="O499" s="283"/>
      <c r="P499" s="283"/>
      <c r="Q499" s="283"/>
      <c r="R499" s="283"/>
      <c r="S499" s="283"/>
      <c r="T499" s="283"/>
    </row>
    <row r="500" spans="2:20">
      <c r="B500" s="283"/>
      <c r="C500" s="283"/>
      <c r="D500" s="283"/>
      <c r="E500" s="283"/>
      <c r="F500" s="283"/>
      <c r="G500" s="283"/>
      <c r="H500" s="283"/>
      <c r="I500" s="283"/>
      <c r="J500" s="283"/>
      <c r="K500" s="283"/>
      <c r="L500" s="283"/>
      <c r="M500" s="283"/>
      <c r="N500" s="283"/>
      <c r="O500" s="283"/>
      <c r="P500" s="283"/>
      <c r="Q500" s="283"/>
      <c r="R500" s="283"/>
      <c r="S500" s="283"/>
      <c r="T500" s="283"/>
    </row>
    <row r="501" spans="2:20">
      <c r="B501" s="283"/>
      <c r="C501" s="283"/>
      <c r="D501" s="283"/>
      <c r="E501" s="283"/>
      <c r="F501" s="283"/>
      <c r="G501" s="283"/>
      <c r="H501" s="283"/>
      <c r="I501" s="283"/>
      <c r="J501" s="283"/>
      <c r="K501" s="283"/>
      <c r="L501" s="283"/>
      <c r="M501" s="283"/>
      <c r="N501" s="283"/>
      <c r="O501" s="283"/>
      <c r="P501" s="283"/>
      <c r="Q501" s="283"/>
      <c r="R501" s="283"/>
      <c r="S501" s="283"/>
      <c r="T501" s="283"/>
    </row>
    <row r="502" spans="2:20">
      <c r="B502" s="283"/>
      <c r="C502" s="283"/>
      <c r="D502" s="283"/>
      <c r="E502" s="283"/>
      <c r="F502" s="283"/>
      <c r="G502" s="283"/>
      <c r="H502" s="283"/>
      <c r="I502" s="283"/>
      <c r="J502" s="283"/>
      <c r="K502" s="283"/>
      <c r="L502" s="283"/>
      <c r="M502" s="283"/>
      <c r="N502" s="283"/>
      <c r="O502" s="283"/>
      <c r="P502" s="283"/>
      <c r="Q502" s="283"/>
      <c r="R502" s="283"/>
      <c r="S502" s="283"/>
      <c r="T502" s="283"/>
    </row>
    <row r="503" spans="2:20">
      <c r="B503" s="283"/>
      <c r="C503" s="283"/>
      <c r="D503" s="283"/>
      <c r="E503" s="283"/>
      <c r="F503" s="283"/>
      <c r="G503" s="283"/>
      <c r="H503" s="283"/>
      <c r="I503" s="283"/>
      <c r="J503" s="283"/>
      <c r="K503" s="283"/>
      <c r="L503" s="283"/>
      <c r="M503" s="283"/>
      <c r="N503" s="283"/>
      <c r="O503" s="283"/>
      <c r="P503" s="283"/>
      <c r="Q503" s="283"/>
      <c r="R503" s="283"/>
      <c r="S503" s="283"/>
      <c r="T503" s="283"/>
    </row>
    <row r="504" spans="2:20">
      <c r="B504" s="283"/>
      <c r="C504" s="283"/>
      <c r="D504" s="283"/>
      <c r="E504" s="283"/>
      <c r="F504" s="283"/>
      <c r="G504" s="283"/>
      <c r="H504" s="283"/>
      <c r="I504" s="283"/>
      <c r="J504" s="283"/>
      <c r="K504" s="283"/>
      <c r="L504" s="283"/>
      <c r="M504" s="283"/>
      <c r="N504" s="283"/>
      <c r="O504" s="283"/>
      <c r="P504" s="283"/>
      <c r="Q504" s="283"/>
      <c r="R504" s="283"/>
      <c r="S504" s="283"/>
      <c r="T504" s="283"/>
    </row>
    <row r="505" spans="2:20">
      <c r="B505" s="283"/>
      <c r="C505" s="283"/>
      <c r="D505" s="283"/>
      <c r="E505" s="283"/>
      <c r="F505" s="283"/>
      <c r="G505" s="283"/>
      <c r="H505" s="283"/>
      <c r="I505" s="283"/>
      <c r="J505" s="283"/>
      <c r="K505" s="283"/>
      <c r="L505" s="283"/>
      <c r="M505" s="283"/>
      <c r="N505" s="283"/>
      <c r="O505" s="283"/>
      <c r="P505" s="283"/>
      <c r="Q505" s="283"/>
      <c r="R505" s="283"/>
      <c r="S505" s="283"/>
      <c r="T505" s="283"/>
    </row>
    <row r="506" spans="2:20">
      <c r="B506" s="283"/>
      <c r="C506" s="283"/>
      <c r="D506" s="283"/>
      <c r="E506" s="283"/>
      <c r="F506" s="283"/>
      <c r="G506" s="283"/>
      <c r="H506" s="283"/>
      <c r="I506" s="283"/>
      <c r="J506" s="283"/>
      <c r="K506" s="283"/>
      <c r="L506" s="283"/>
      <c r="M506" s="283"/>
      <c r="N506" s="283"/>
      <c r="O506" s="283"/>
      <c r="P506" s="283"/>
      <c r="Q506" s="283"/>
      <c r="R506" s="283"/>
      <c r="S506" s="283"/>
      <c r="T506" s="283"/>
    </row>
    <row r="507" spans="2:20">
      <c r="B507" s="283"/>
      <c r="C507" s="283"/>
      <c r="D507" s="283"/>
      <c r="E507" s="283"/>
      <c r="F507" s="283"/>
      <c r="G507" s="283"/>
      <c r="H507" s="283"/>
      <c r="I507" s="283"/>
      <c r="J507" s="283"/>
      <c r="K507" s="283"/>
      <c r="L507" s="283"/>
      <c r="M507" s="283"/>
      <c r="N507" s="283"/>
      <c r="O507" s="283"/>
      <c r="P507" s="283"/>
      <c r="Q507" s="283"/>
      <c r="R507" s="283"/>
      <c r="S507" s="283"/>
      <c r="T507" s="283"/>
    </row>
    <row r="508" spans="2:20">
      <c r="B508" s="283"/>
      <c r="C508" s="283"/>
      <c r="D508" s="283"/>
      <c r="E508" s="283"/>
      <c r="F508" s="283"/>
      <c r="G508" s="283"/>
      <c r="H508" s="283"/>
      <c r="I508" s="283"/>
      <c r="J508" s="283"/>
      <c r="K508" s="283"/>
      <c r="L508" s="283"/>
      <c r="M508" s="283"/>
      <c r="N508" s="283"/>
      <c r="O508" s="283"/>
      <c r="P508" s="283"/>
      <c r="Q508" s="283"/>
      <c r="R508" s="283"/>
      <c r="S508" s="283"/>
      <c r="T508" s="283"/>
    </row>
    <row r="509" spans="2:20">
      <c r="B509" s="283"/>
      <c r="C509" s="283"/>
      <c r="D509" s="283"/>
      <c r="E509" s="283"/>
      <c r="F509" s="283"/>
      <c r="G509" s="283"/>
      <c r="H509" s="283"/>
      <c r="I509" s="283"/>
      <c r="J509" s="283"/>
      <c r="K509" s="283"/>
      <c r="L509" s="283"/>
      <c r="M509" s="283"/>
      <c r="N509" s="283"/>
      <c r="O509" s="283"/>
      <c r="P509" s="283"/>
      <c r="Q509" s="283"/>
      <c r="R509" s="283"/>
      <c r="S509" s="283"/>
      <c r="T509" s="283"/>
    </row>
    <row r="510" spans="2:20">
      <c r="B510" s="283"/>
      <c r="C510" s="283"/>
      <c r="D510" s="283"/>
      <c r="E510" s="283"/>
      <c r="F510" s="283"/>
      <c r="G510" s="283"/>
      <c r="H510" s="283"/>
      <c r="I510" s="283"/>
      <c r="J510" s="283"/>
      <c r="K510" s="283"/>
      <c r="L510" s="283"/>
      <c r="M510" s="283"/>
      <c r="N510" s="283"/>
      <c r="O510" s="283"/>
      <c r="P510" s="283"/>
      <c r="Q510" s="283"/>
      <c r="R510" s="283"/>
      <c r="S510" s="283"/>
      <c r="T510" s="283"/>
    </row>
    <row r="511" spans="2:20">
      <c r="B511" s="283"/>
      <c r="C511" s="283"/>
      <c r="D511" s="283"/>
      <c r="E511" s="283"/>
      <c r="F511" s="283"/>
      <c r="G511" s="283"/>
      <c r="H511" s="283"/>
      <c r="I511" s="283"/>
      <c r="J511" s="283"/>
      <c r="K511" s="283"/>
      <c r="L511" s="283"/>
      <c r="M511" s="283"/>
      <c r="N511" s="283"/>
      <c r="O511" s="283"/>
      <c r="P511" s="283"/>
      <c r="Q511" s="283"/>
      <c r="R511" s="283"/>
      <c r="S511" s="283"/>
      <c r="T511" s="283"/>
    </row>
    <row r="512" spans="2:20">
      <c r="B512" s="283"/>
      <c r="C512" s="283"/>
      <c r="D512" s="283"/>
      <c r="E512" s="283"/>
      <c r="F512" s="283"/>
      <c r="G512" s="283"/>
      <c r="H512" s="283"/>
      <c r="I512" s="283"/>
      <c r="J512" s="283"/>
      <c r="K512" s="283"/>
      <c r="L512" s="283"/>
      <c r="M512" s="283"/>
      <c r="N512" s="283"/>
      <c r="O512" s="283"/>
      <c r="P512" s="283"/>
      <c r="Q512" s="283"/>
      <c r="R512" s="283"/>
      <c r="S512" s="283"/>
      <c r="T512" s="283"/>
    </row>
    <row r="513" spans="2:20">
      <c r="B513" s="283"/>
      <c r="C513" s="283"/>
      <c r="D513" s="283"/>
      <c r="E513" s="283"/>
      <c r="F513" s="283"/>
      <c r="G513" s="283"/>
      <c r="H513" s="283"/>
      <c r="I513" s="283"/>
      <c r="J513" s="283"/>
      <c r="K513" s="283"/>
      <c r="L513" s="283"/>
      <c r="M513" s="283"/>
      <c r="N513" s="283"/>
      <c r="O513" s="283"/>
      <c r="P513" s="283"/>
      <c r="Q513" s="283"/>
      <c r="R513" s="283"/>
      <c r="S513" s="283"/>
      <c r="T513" s="283"/>
    </row>
    <row r="514" spans="2:20">
      <c r="B514" s="283"/>
      <c r="C514" s="283"/>
      <c r="D514" s="283"/>
      <c r="E514" s="283"/>
      <c r="F514" s="283"/>
      <c r="G514" s="283"/>
      <c r="H514" s="283"/>
      <c r="I514" s="283"/>
      <c r="J514" s="283"/>
      <c r="K514" s="283"/>
      <c r="L514" s="283"/>
      <c r="M514" s="283"/>
      <c r="N514" s="283"/>
      <c r="O514" s="283"/>
      <c r="P514" s="283"/>
      <c r="Q514" s="283"/>
      <c r="R514" s="283"/>
      <c r="S514" s="283"/>
      <c r="T514" s="283"/>
    </row>
    <row r="515" spans="2:20">
      <c r="B515" s="283"/>
      <c r="C515" s="283"/>
      <c r="D515" s="283"/>
      <c r="E515" s="283"/>
      <c r="F515" s="283"/>
      <c r="G515" s="283"/>
      <c r="H515" s="283"/>
      <c r="I515" s="283"/>
      <c r="J515" s="283"/>
      <c r="K515" s="283"/>
      <c r="L515" s="283"/>
      <c r="M515" s="283"/>
      <c r="N515" s="283"/>
      <c r="O515" s="283"/>
      <c r="P515" s="283"/>
      <c r="Q515" s="283"/>
      <c r="R515" s="283"/>
      <c r="S515" s="283"/>
      <c r="T515" s="283"/>
    </row>
    <row r="516" spans="2:20">
      <c r="B516" s="283"/>
      <c r="C516" s="283"/>
      <c r="D516" s="283"/>
      <c r="E516" s="283"/>
      <c r="F516" s="283"/>
      <c r="G516" s="283"/>
      <c r="H516" s="283"/>
      <c r="I516" s="283"/>
      <c r="J516" s="283"/>
      <c r="K516" s="283"/>
      <c r="L516" s="283"/>
      <c r="M516" s="283"/>
      <c r="N516" s="283"/>
      <c r="O516" s="283"/>
      <c r="P516" s="283"/>
      <c r="Q516" s="283"/>
      <c r="R516" s="283"/>
      <c r="S516" s="283"/>
      <c r="T516" s="283"/>
    </row>
    <row r="517" spans="2:20">
      <c r="B517" s="283"/>
      <c r="C517" s="283"/>
      <c r="D517" s="283"/>
      <c r="E517" s="283"/>
      <c r="F517" s="283"/>
      <c r="G517" s="283"/>
      <c r="H517" s="283"/>
      <c r="I517" s="283"/>
      <c r="J517" s="283"/>
      <c r="K517" s="283"/>
      <c r="L517" s="283"/>
      <c r="M517" s="283"/>
      <c r="N517" s="283"/>
      <c r="O517" s="283"/>
      <c r="P517" s="283"/>
      <c r="Q517" s="283"/>
      <c r="R517" s="283"/>
      <c r="S517" s="283"/>
      <c r="T517" s="283"/>
    </row>
    <row r="518" spans="2:20">
      <c r="B518" s="283"/>
      <c r="C518" s="283"/>
      <c r="D518" s="283"/>
      <c r="E518" s="283"/>
      <c r="F518" s="283"/>
      <c r="G518" s="283"/>
      <c r="H518" s="283"/>
      <c r="I518" s="283"/>
      <c r="J518" s="283"/>
      <c r="K518" s="283"/>
      <c r="L518" s="283"/>
      <c r="M518" s="283"/>
      <c r="N518" s="283"/>
      <c r="O518" s="283"/>
      <c r="P518" s="283"/>
      <c r="Q518" s="283"/>
      <c r="R518" s="283"/>
      <c r="S518" s="283"/>
      <c r="T518" s="283"/>
    </row>
    <row r="519" spans="2:20">
      <c r="B519" s="283"/>
      <c r="C519" s="283"/>
      <c r="D519" s="283"/>
      <c r="E519" s="283"/>
      <c r="F519" s="283"/>
      <c r="G519" s="283"/>
      <c r="H519" s="283"/>
      <c r="I519" s="283"/>
      <c r="J519" s="283"/>
      <c r="K519" s="283"/>
      <c r="L519" s="283"/>
      <c r="M519" s="283"/>
      <c r="N519" s="283"/>
      <c r="O519" s="283"/>
      <c r="P519" s="283"/>
      <c r="Q519" s="283"/>
      <c r="R519" s="283"/>
      <c r="S519" s="283"/>
      <c r="T519" s="283"/>
    </row>
    <row r="520" spans="2:20">
      <c r="B520" s="283"/>
      <c r="C520" s="283"/>
      <c r="D520" s="283"/>
      <c r="E520" s="283"/>
      <c r="F520" s="283"/>
      <c r="G520" s="283"/>
      <c r="H520" s="283"/>
      <c r="I520" s="283"/>
      <c r="J520" s="283"/>
      <c r="K520" s="283"/>
      <c r="L520" s="283"/>
      <c r="M520" s="283"/>
      <c r="N520" s="283"/>
      <c r="O520" s="283"/>
      <c r="P520" s="283"/>
      <c r="Q520" s="283"/>
      <c r="R520" s="283"/>
      <c r="S520" s="283"/>
      <c r="T520" s="283"/>
    </row>
    <row r="521" spans="2:20">
      <c r="B521" s="283"/>
      <c r="C521" s="283"/>
      <c r="D521" s="283"/>
      <c r="E521" s="283"/>
      <c r="F521" s="283"/>
      <c r="G521" s="283"/>
      <c r="H521" s="283"/>
      <c r="I521" s="283"/>
      <c r="J521" s="283"/>
      <c r="K521" s="283"/>
      <c r="L521" s="283"/>
      <c r="M521" s="283"/>
      <c r="N521" s="283"/>
      <c r="O521" s="283"/>
      <c r="P521" s="283"/>
      <c r="Q521" s="283"/>
      <c r="R521" s="283"/>
      <c r="S521" s="283"/>
      <c r="T521" s="283"/>
    </row>
    <row r="522" spans="2:20">
      <c r="B522" s="283"/>
      <c r="C522" s="283"/>
      <c r="D522" s="283"/>
      <c r="E522" s="283"/>
      <c r="F522" s="283"/>
      <c r="G522" s="283"/>
      <c r="H522" s="283"/>
      <c r="I522" s="283"/>
      <c r="J522" s="283"/>
      <c r="K522" s="283"/>
      <c r="L522" s="283"/>
      <c r="M522" s="283"/>
      <c r="N522" s="283"/>
      <c r="O522" s="283"/>
      <c r="P522" s="283"/>
      <c r="Q522" s="283"/>
      <c r="R522" s="283"/>
      <c r="S522" s="283"/>
      <c r="T522" s="283"/>
    </row>
    <row r="523" spans="2:20">
      <c r="B523" s="283"/>
      <c r="C523" s="283"/>
      <c r="D523" s="283"/>
      <c r="E523" s="283"/>
      <c r="F523" s="283"/>
      <c r="G523" s="283"/>
      <c r="H523" s="283"/>
      <c r="I523" s="283"/>
      <c r="J523" s="283"/>
      <c r="K523" s="283"/>
      <c r="L523" s="283"/>
      <c r="M523" s="283"/>
      <c r="N523" s="283"/>
      <c r="O523" s="283"/>
      <c r="P523" s="283"/>
      <c r="Q523" s="283"/>
      <c r="R523" s="283"/>
      <c r="S523" s="283"/>
      <c r="T523" s="283"/>
    </row>
    <row r="524" spans="2:20">
      <c r="B524" s="283"/>
      <c r="C524" s="283"/>
      <c r="D524" s="283"/>
      <c r="E524" s="283"/>
      <c r="F524" s="283"/>
      <c r="G524" s="283"/>
      <c r="H524" s="283"/>
      <c r="I524" s="283"/>
      <c r="J524" s="283"/>
      <c r="K524" s="283"/>
      <c r="L524" s="283"/>
      <c r="M524" s="283"/>
      <c r="N524" s="283"/>
      <c r="O524" s="283"/>
      <c r="P524" s="283"/>
      <c r="Q524" s="283"/>
      <c r="R524" s="283"/>
      <c r="S524" s="283"/>
      <c r="T524" s="283"/>
    </row>
    <row r="525" spans="2:20">
      <c r="B525" s="283"/>
      <c r="C525" s="283"/>
      <c r="D525" s="283"/>
      <c r="E525" s="283"/>
      <c r="F525" s="283"/>
      <c r="G525" s="283"/>
      <c r="H525" s="283"/>
      <c r="I525" s="283"/>
      <c r="J525" s="283"/>
      <c r="K525" s="283"/>
      <c r="L525" s="283"/>
      <c r="M525" s="283"/>
      <c r="N525" s="283"/>
      <c r="O525" s="283"/>
      <c r="P525" s="283"/>
      <c r="Q525" s="283"/>
      <c r="R525" s="283"/>
      <c r="S525" s="283"/>
      <c r="T525" s="283"/>
    </row>
    <row r="526" spans="2:20">
      <c r="B526" s="283"/>
      <c r="C526" s="283"/>
      <c r="D526" s="283"/>
      <c r="E526" s="283"/>
      <c r="F526" s="283"/>
      <c r="G526" s="283"/>
      <c r="H526" s="283"/>
      <c r="I526" s="283"/>
      <c r="J526" s="283"/>
      <c r="K526" s="283"/>
      <c r="L526" s="283"/>
      <c r="M526" s="283"/>
      <c r="N526" s="283"/>
      <c r="O526" s="283"/>
      <c r="P526" s="283"/>
      <c r="Q526" s="283"/>
      <c r="R526" s="283"/>
      <c r="S526" s="283"/>
      <c r="T526" s="283"/>
    </row>
    <row r="527" spans="2:20">
      <c r="B527" s="283"/>
      <c r="C527" s="283"/>
      <c r="D527" s="283"/>
      <c r="E527" s="283"/>
      <c r="F527" s="283"/>
      <c r="G527" s="283"/>
      <c r="H527" s="283"/>
      <c r="I527" s="283"/>
      <c r="J527" s="283"/>
      <c r="K527" s="283"/>
      <c r="L527" s="283"/>
      <c r="M527" s="283"/>
      <c r="N527" s="283"/>
      <c r="O527" s="283"/>
      <c r="P527" s="283"/>
      <c r="Q527" s="283"/>
      <c r="R527" s="283"/>
      <c r="S527" s="283"/>
      <c r="T527" s="283"/>
    </row>
    <row r="528" spans="2:20">
      <c r="B528" s="283"/>
      <c r="C528" s="283"/>
      <c r="D528" s="283"/>
      <c r="E528" s="283"/>
      <c r="F528" s="283"/>
      <c r="G528" s="283"/>
      <c r="H528" s="283"/>
      <c r="I528" s="283"/>
      <c r="J528" s="283"/>
      <c r="K528" s="283"/>
      <c r="L528" s="283"/>
      <c r="M528" s="283"/>
      <c r="N528" s="283"/>
      <c r="O528" s="283"/>
      <c r="P528" s="283"/>
      <c r="Q528" s="283"/>
      <c r="R528" s="283"/>
      <c r="S528" s="283"/>
      <c r="T528" s="283"/>
    </row>
    <row r="529" spans="2:20">
      <c r="B529" s="283"/>
      <c r="C529" s="283"/>
      <c r="D529" s="283"/>
      <c r="E529" s="283"/>
      <c r="F529" s="283"/>
      <c r="G529" s="283"/>
      <c r="H529" s="283"/>
      <c r="I529" s="283"/>
      <c r="J529" s="283"/>
      <c r="K529" s="283"/>
      <c r="L529" s="283"/>
      <c r="M529" s="283"/>
      <c r="N529" s="283"/>
      <c r="O529" s="283"/>
      <c r="P529" s="283"/>
      <c r="Q529" s="283"/>
      <c r="R529" s="283"/>
      <c r="S529" s="283"/>
      <c r="T529" s="283"/>
    </row>
    <row r="530" spans="2:20">
      <c r="B530" s="283"/>
      <c r="C530" s="283"/>
      <c r="D530" s="283"/>
      <c r="E530" s="283"/>
      <c r="F530" s="283"/>
      <c r="G530" s="283"/>
      <c r="H530" s="283"/>
      <c r="I530" s="283"/>
      <c r="J530" s="283"/>
      <c r="K530" s="283"/>
      <c r="L530" s="283"/>
      <c r="M530" s="283"/>
      <c r="N530" s="283"/>
      <c r="O530" s="283"/>
      <c r="P530" s="283"/>
      <c r="Q530" s="283"/>
      <c r="R530" s="283"/>
      <c r="S530" s="283"/>
      <c r="T530" s="283"/>
    </row>
    <row r="531" spans="2:20">
      <c r="B531" s="283"/>
      <c r="C531" s="283"/>
      <c r="D531" s="283"/>
      <c r="E531" s="283"/>
      <c r="F531" s="283"/>
      <c r="G531" s="283"/>
      <c r="H531" s="283"/>
      <c r="I531" s="283"/>
      <c r="J531" s="283"/>
      <c r="K531" s="283"/>
      <c r="L531" s="283"/>
      <c r="M531" s="283"/>
      <c r="N531" s="283"/>
      <c r="O531" s="283"/>
      <c r="P531" s="283"/>
      <c r="Q531" s="283"/>
      <c r="R531" s="283"/>
      <c r="S531" s="283"/>
      <c r="T531" s="283"/>
    </row>
    <row r="532" spans="2:20">
      <c r="B532" s="283"/>
      <c r="C532" s="283"/>
      <c r="D532" s="283"/>
      <c r="E532" s="283"/>
      <c r="F532" s="283"/>
      <c r="G532" s="283"/>
      <c r="H532" s="283"/>
      <c r="I532" s="283"/>
      <c r="J532" s="283"/>
      <c r="K532" s="283"/>
      <c r="L532" s="283"/>
      <c r="M532" s="283"/>
      <c r="N532" s="283"/>
      <c r="O532" s="283"/>
      <c r="P532" s="283"/>
      <c r="Q532" s="283"/>
      <c r="R532" s="283"/>
      <c r="S532" s="283"/>
      <c r="T532" s="283"/>
    </row>
    <row r="533" spans="2:20">
      <c r="B533" s="283"/>
      <c r="C533" s="283"/>
      <c r="D533" s="283"/>
      <c r="E533" s="283"/>
      <c r="F533" s="283"/>
      <c r="G533" s="283"/>
      <c r="H533" s="283"/>
      <c r="I533" s="283"/>
      <c r="J533" s="283"/>
      <c r="K533" s="283"/>
      <c r="L533" s="283"/>
      <c r="M533" s="283"/>
      <c r="N533" s="283"/>
      <c r="O533" s="283"/>
      <c r="P533" s="283"/>
      <c r="Q533" s="283"/>
      <c r="R533" s="283"/>
      <c r="S533" s="283"/>
      <c r="T533" s="283"/>
    </row>
    <row r="534" spans="2:20">
      <c r="B534" s="283"/>
      <c r="C534" s="283"/>
      <c r="D534" s="283"/>
      <c r="E534" s="283"/>
      <c r="F534" s="283"/>
      <c r="G534" s="283"/>
      <c r="H534" s="283"/>
      <c r="I534" s="283"/>
      <c r="J534" s="283"/>
      <c r="K534" s="283"/>
      <c r="L534" s="283"/>
      <c r="M534" s="283"/>
      <c r="N534" s="283"/>
      <c r="O534" s="283"/>
      <c r="P534" s="283"/>
      <c r="Q534" s="283"/>
      <c r="R534" s="283"/>
      <c r="S534" s="283"/>
      <c r="T534" s="283"/>
    </row>
    <row r="535" spans="2:20">
      <c r="B535" s="283"/>
      <c r="C535" s="283"/>
      <c r="D535" s="283"/>
      <c r="E535" s="283"/>
      <c r="F535" s="283"/>
      <c r="G535" s="283"/>
      <c r="H535" s="283"/>
      <c r="I535" s="283"/>
      <c r="J535" s="283"/>
      <c r="K535" s="283"/>
      <c r="L535" s="283"/>
      <c r="M535" s="283"/>
      <c r="N535" s="283"/>
      <c r="O535" s="283"/>
      <c r="P535" s="283"/>
      <c r="Q535" s="283"/>
      <c r="R535" s="283"/>
      <c r="S535" s="283"/>
      <c r="T535" s="283"/>
    </row>
    <row r="536" spans="2:20">
      <c r="B536" s="283"/>
      <c r="C536" s="283"/>
      <c r="D536" s="283"/>
      <c r="E536" s="283"/>
      <c r="F536" s="283"/>
      <c r="G536" s="283"/>
      <c r="H536" s="283"/>
      <c r="I536" s="283"/>
      <c r="J536" s="283"/>
      <c r="K536" s="283"/>
      <c r="L536" s="283"/>
      <c r="M536" s="283"/>
      <c r="N536" s="283"/>
      <c r="O536" s="283"/>
      <c r="P536" s="283"/>
      <c r="Q536" s="283"/>
      <c r="R536" s="283"/>
      <c r="S536" s="283"/>
      <c r="T536" s="283"/>
    </row>
    <row r="537" spans="2:20">
      <c r="B537" s="283"/>
      <c r="C537" s="283"/>
      <c r="D537" s="283"/>
      <c r="E537" s="283"/>
      <c r="F537" s="283"/>
      <c r="G537" s="283"/>
      <c r="H537" s="283"/>
      <c r="I537" s="283"/>
      <c r="J537" s="283"/>
      <c r="K537" s="283"/>
      <c r="L537" s="283"/>
      <c r="M537" s="283"/>
      <c r="N537" s="283"/>
      <c r="O537" s="283"/>
      <c r="P537" s="283"/>
      <c r="Q537" s="283"/>
      <c r="R537" s="283"/>
      <c r="S537" s="283"/>
      <c r="T537" s="283"/>
    </row>
    <row r="538" spans="2:20">
      <c r="B538" s="283"/>
      <c r="C538" s="283"/>
      <c r="D538" s="283"/>
      <c r="E538" s="283"/>
      <c r="F538" s="283"/>
      <c r="G538" s="283"/>
      <c r="H538" s="283"/>
      <c r="I538" s="283"/>
      <c r="J538" s="283"/>
      <c r="K538" s="283"/>
      <c r="L538" s="283"/>
      <c r="M538" s="283"/>
      <c r="N538" s="283"/>
      <c r="O538" s="283"/>
      <c r="P538" s="283"/>
      <c r="Q538" s="283"/>
      <c r="R538" s="283"/>
      <c r="S538" s="283"/>
      <c r="T538" s="283"/>
    </row>
    <row r="539" spans="2:20">
      <c r="B539" s="283"/>
      <c r="C539" s="283"/>
      <c r="D539" s="283"/>
      <c r="E539" s="283"/>
      <c r="F539" s="283"/>
      <c r="G539" s="283"/>
      <c r="H539" s="283"/>
      <c r="I539" s="283"/>
      <c r="J539" s="283"/>
      <c r="K539" s="283"/>
      <c r="L539" s="283"/>
      <c r="M539" s="283"/>
      <c r="N539" s="283"/>
      <c r="O539" s="283"/>
      <c r="P539" s="283"/>
      <c r="Q539" s="283"/>
      <c r="R539" s="283"/>
      <c r="S539" s="283"/>
      <c r="T539" s="283"/>
    </row>
    <row r="540" spans="2:20">
      <c r="B540" s="283"/>
      <c r="C540" s="283"/>
      <c r="D540" s="283"/>
      <c r="E540" s="283"/>
      <c r="F540" s="283"/>
      <c r="G540" s="283"/>
      <c r="H540" s="283"/>
      <c r="I540" s="283"/>
      <c r="J540" s="283"/>
      <c r="K540" s="283"/>
      <c r="L540" s="283"/>
      <c r="M540" s="283"/>
      <c r="N540" s="283"/>
      <c r="O540" s="283"/>
      <c r="P540" s="283"/>
      <c r="Q540" s="283"/>
      <c r="R540" s="283"/>
      <c r="S540" s="283"/>
      <c r="T540" s="283"/>
    </row>
    <row r="541" spans="2:20">
      <c r="B541" s="283"/>
      <c r="C541" s="283"/>
      <c r="D541" s="283"/>
      <c r="E541" s="283"/>
      <c r="F541" s="283"/>
      <c r="G541" s="283"/>
      <c r="H541" s="283"/>
      <c r="I541" s="283"/>
      <c r="J541" s="283"/>
      <c r="K541" s="283"/>
      <c r="L541" s="283"/>
      <c r="M541" s="283"/>
      <c r="N541" s="283"/>
      <c r="O541" s="283"/>
      <c r="P541" s="283"/>
      <c r="Q541" s="283"/>
      <c r="R541" s="283"/>
      <c r="S541" s="283"/>
      <c r="T541" s="283"/>
    </row>
    <row r="542" spans="2:20">
      <c r="B542" s="283"/>
      <c r="C542" s="283"/>
      <c r="D542" s="283"/>
      <c r="E542" s="283"/>
      <c r="F542" s="283"/>
      <c r="G542" s="283"/>
      <c r="H542" s="283"/>
      <c r="I542" s="283"/>
      <c r="J542" s="283"/>
      <c r="K542" s="283"/>
      <c r="L542" s="283"/>
      <c r="M542" s="283"/>
      <c r="N542" s="283"/>
      <c r="O542" s="283"/>
      <c r="P542" s="283"/>
      <c r="Q542" s="283"/>
      <c r="R542" s="283"/>
      <c r="S542" s="283"/>
      <c r="T542" s="283"/>
    </row>
    <row r="543" spans="2:20">
      <c r="B543" s="283"/>
      <c r="C543" s="283"/>
      <c r="D543" s="283"/>
      <c r="E543" s="283"/>
      <c r="F543" s="283"/>
      <c r="G543" s="283"/>
      <c r="H543" s="283"/>
      <c r="I543" s="283"/>
      <c r="J543" s="283"/>
      <c r="K543" s="283"/>
      <c r="L543" s="283"/>
      <c r="M543" s="283"/>
      <c r="N543" s="283"/>
      <c r="O543" s="283"/>
      <c r="P543" s="283"/>
      <c r="Q543" s="283"/>
      <c r="R543" s="283"/>
      <c r="S543" s="283"/>
      <c r="T543" s="283"/>
    </row>
    <row r="544" spans="2:20">
      <c r="B544" s="283"/>
      <c r="C544" s="283"/>
      <c r="D544" s="283"/>
      <c r="E544" s="283"/>
      <c r="F544" s="283"/>
      <c r="G544" s="283"/>
      <c r="H544" s="283"/>
      <c r="I544" s="283"/>
      <c r="J544" s="283"/>
      <c r="K544" s="283"/>
      <c r="L544" s="283"/>
      <c r="M544" s="283"/>
      <c r="N544" s="283"/>
      <c r="O544" s="283"/>
      <c r="P544" s="283"/>
      <c r="Q544" s="283"/>
      <c r="R544" s="283"/>
      <c r="S544" s="283"/>
      <c r="T544" s="283"/>
    </row>
    <row r="545" spans="2:20">
      <c r="B545" s="283"/>
      <c r="C545" s="283"/>
      <c r="D545" s="283"/>
      <c r="E545" s="283"/>
      <c r="F545" s="283"/>
      <c r="G545" s="283"/>
      <c r="H545" s="283"/>
      <c r="I545" s="283"/>
      <c r="J545" s="283"/>
      <c r="K545" s="283"/>
      <c r="L545" s="283"/>
      <c r="M545" s="283"/>
      <c r="N545" s="283"/>
      <c r="O545" s="283"/>
      <c r="P545" s="283"/>
      <c r="Q545" s="283"/>
      <c r="R545" s="283"/>
      <c r="S545" s="283"/>
      <c r="T545" s="283"/>
    </row>
    <row r="546" spans="2:20">
      <c r="B546" s="283"/>
      <c r="C546" s="283"/>
      <c r="D546" s="283"/>
      <c r="E546" s="283"/>
      <c r="F546" s="283"/>
      <c r="G546" s="283"/>
      <c r="H546" s="283"/>
      <c r="I546" s="283"/>
      <c r="J546" s="283"/>
      <c r="K546" s="283"/>
      <c r="L546" s="283"/>
      <c r="M546" s="283"/>
      <c r="N546" s="283"/>
      <c r="O546" s="283"/>
      <c r="P546" s="283"/>
      <c r="Q546" s="283"/>
      <c r="R546" s="283"/>
      <c r="S546" s="283"/>
      <c r="T546" s="283"/>
    </row>
    <row r="547" spans="2:20">
      <c r="B547" s="283"/>
      <c r="C547" s="283"/>
      <c r="D547" s="283"/>
      <c r="E547" s="283"/>
      <c r="F547" s="283"/>
      <c r="G547" s="283"/>
      <c r="H547" s="283"/>
      <c r="I547" s="283"/>
      <c r="J547" s="283"/>
      <c r="K547" s="283"/>
      <c r="L547" s="283"/>
      <c r="M547" s="283"/>
      <c r="N547" s="283"/>
      <c r="O547" s="283"/>
      <c r="P547" s="283"/>
      <c r="Q547" s="283"/>
      <c r="R547" s="283"/>
      <c r="S547" s="283"/>
      <c r="T547" s="283"/>
    </row>
    <row r="548" spans="2:20">
      <c r="B548" s="283"/>
      <c r="C548" s="283"/>
      <c r="D548" s="283"/>
      <c r="E548" s="283"/>
      <c r="F548" s="283"/>
      <c r="G548" s="283"/>
      <c r="H548" s="283"/>
      <c r="I548" s="283"/>
      <c r="J548" s="283"/>
      <c r="K548" s="283"/>
      <c r="L548" s="283"/>
      <c r="M548" s="283"/>
      <c r="N548" s="283"/>
      <c r="O548" s="283"/>
      <c r="P548" s="283"/>
      <c r="Q548" s="283"/>
      <c r="R548" s="283"/>
      <c r="S548" s="283"/>
      <c r="T548" s="283"/>
    </row>
    <row r="549" spans="2:20">
      <c r="B549" s="283"/>
      <c r="C549" s="283"/>
      <c r="D549" s="283"/>
      <c r="E549" s="283"/>
      <c r="F549" s="283"/>
      <c r="G549" s="283"/>
      <c r="H549" s="283"/>
      <c r="I549" s="283"/>
      <c r="J549" s="283"/>
      <c r="K549" s="283"/>
      <c r="L549" s="283"/>
      <c r="M549" s="283"/>
      <c r="N549" s="283"/>
      <c r="O549" s="283"/>
      <c r="P549" s="283"/>
      <c r="Q549" s="283"/>
      <c r="R549" s="283"/>
      <c r="S549" s="283"/>
      <c r="T549" s="283"/>
    </row>
    <row r="550" spans="2:20">
      <c r="B550" s="283"/>
      <c r="C550" s="283"/>
      <c r="D550" s="283"/>
      <c r="E550" s="283"/>
      <c r="F550" s="283"/>
      <c r="G550" s="283"/>
      <c r="H550" s="283"/>
      <c r="I550" s="283"/>
      <c r="J550" s="283"/>
      <c r="K550" s="283"/>
      <c r="L550" s="283"/>
      <c r="M550" s="283"/>
      <c r="N550" s="283"/>
      <c r="O550" s="283"/>
      <c r="P550" s="283"/>
      <c r="Q550" s="283"/>
      <c r="R550" s="283"/>
      <c r="S550" s="283"/>
      <c r="T550" s="283"/>
    </row>
    <row r="551" spans="2:20">
      <c r="B551" s="283"/>
      <c r="C551" s="283"/>
      <c r="D551" s="283"/>
      <c r="E551" s="283"/>
      <c r="F551" s="283"/>
      <c r="G551" s="283"/>
      <c r="H551" s="283"/>
      <c r="I551" s="283"/>
      <c r="J551" s="283"/>
      <c r="K551" s="283"/>
      <c r="L551" s="283"/>
      <c r="M551" s="283"/>
      <c r="N551" s="283"/>
      <c r="O551" s="283"/>
      <c r="P551" s="283"/>
      <c r="Q551" s="283"/>
      <c r="R551" s="283"/>
      <c r="S551" s="283"/>
      <c r="T551" s="283"/>
    </row>
    <row r="552" spans="2:20">
      <c r="B552" s="283"/>
      <c r="C552" s="283"/>
      <c r="D552" s="283"/>
      <c r="E552" s="283"/>
      <c r="F552" s="283"/>
      <c r="G552" s="283"/>
      <c r="H552" s="283"/>
      <c r="I552" s="283"/>
      <c r="J552" s="283"/>
      <c r="K552" s="283"/>
      <c r="L552" s="283"/>
      <c r="M552" s="283"/>
      <c r="N552" s="283"/>
      <c r="O552" s="283"/>
      <c r="P552" s="283"/>
      <c r="Q552" s="283"/>
      <c r="R552" s="283"/>
      <c r="S552" s="283"/>
      <c r="T552" s="283"/>
    </row>
    <row r="553" spans="2:20">
      <c r="B553" s="283"/>
      <c r="C553" s="283"/>
      <c r="D553" s="283"/>
      <c r="E553" s="283"/>
      <c r="F553" s="283"/>
      <c r="G553" s="283"/>
      <c r="H553" s="283"/>
      <c r="I553" s="283"/>
      <c r="J553" s="283"/>
      <c r="K553" s="283"/>
      <c r="L553" s="283"/>
      <c r="M553" s="283"/>
      <c r="N553" s="283"/>
      <c r="O553" s="283"/>
      <c r="P553" s="283"/>
      <c r="Q553" s="283"/>
      <c r="R553" s="283"/>
      <c r="S553" s="283"/>
      <c r="T553" s="283"/>
    </row>
    <row r="554" spans="2:20">
      <c r="B554" s="283"/>
      <c r="C554" s="283"/>
      <c r="D554" s="283"/>
      <c r="E554" s="283"/>
      <c r="F554" s="283"/>
      <c r="G554" s="283"/>
      <c r="H554" s="283"/>
      <c r="I554" s="283"/>
      <c r="J554" s="283"/>
      <c r="K554" s="283"/>
      <c r="L554" s="283"/>
      <c r="M554" s="283"/>
      <c r="N554" s="283"/>
      <c r="O554" s="283"/>
      <c r="P554" s="283"/>
      <c r="Q554" s="283"/>
      <c r="R554" s="283"/>
      <c r="S554" s="283"/>
      <c r="T554" s="283"/>
    </row>
    <row r="555" spans="2:20">
      <c r="B555" s="283"/>
      <c r="C555" s="283"/>
      <c r="D555" s="283"/>
      <c r="E555" s="283"/>
      <c r="F555" s="283"/>
      <c r="G555" s="283"/>
      <c r="H555" s="283"/>
      <c r="I555" s="283"/>
      <c r="J555" s="283"/>
      <c r="K555" s="283"/>
      <c r="L555" s="283"/>
      <c r="M555" s="283"/>
      <c r="N555" s="283"/>
      <c r="O555" s="283"/>
      <c r="P555" s="283"/>
      <c r="Q555" s="283"/>
      <c r="R555" s="283"/>
      <c r="S555" s="283"/>
      <c r="T555" s="283"/>
    </row>
    <row r="556" spans="2:20">
      <c r="B556" s="283"/>
      <c r="C556" s="283"/>
      <c r="D556" s="283"/>
      <c r="E556" s="283"/>
      <c r="F556" s="283"/>
      <c r="G556" s="283"/>
      <c r="H556" s="283"/>
      <c r="I556" s="283"/>
      <c r="J556" s="283"/>
      <c r="K556" s="283"/>
      <c r="L556" s="283"/>
      <c r="M556" s="283"/>
      <c r="N556" s="283"/>
      <c r="O556" s="283"/>
      <c r="P556" s="283"/>
      <c r="Q556" s="283"/>
      <c r="R556" s="283"/>
      <c r="S556" s="283"/>
      <c r="T556" s="283"/>
    </row>
    <row r="557" spans="2:20">
      <c r="B557" s="283"/>
      <c r="C557" s="283"/>
      <c r="D557" s="283"/>
      <c r="E557" s="283"/>
      <c r="F557" s="283"/>
      <c r="G557" s="283"/>
      <c r="H557" s="283"/>
      <c r="I557" s="283"/>
      <c r="J557" s="283"/>
      <c r="K557" s="283"/>
      <c r="L557" s="283"/>
      <c r="M557" s="283"/>
      <c r="N557" s="283"/>
      <c r="O557" s="283"/>
      <c r="P557" s="283"/>
      <c r="Q557" s="283"/>
      <c r="R557" s="283"/>
      <c r="S557" s="283"/>
      <c r="T557" s="283"/>
    </row>
    <row r="558" spans="2:20">
      <c r="B558" s="283"/>
      <c r="C558" s="283"/>
      <c r="D558" s="283"/>
      <c r="E558" s="283"/>
      <c r="F558" s="283"/>
      <c r="G558" s="283"/>
      <c r="H558" s="283"/>
      <c r="I558" s="283"/>
      <c r="J558" s="283"/>
      <c r="K558" s="283"/>
      <c r="L558" s="283"/>
      <c r="M558" s="283"/>
      <c r="N558" s="283"/>
      <c r="O558" s="283"/>
      <c r="P558" s="283"/>
      <c r="Q558" s="283"/>
      <c r="R558" s="283"/>
      <c r="S558" s="283"/>
      <c r="T558" s="283"/>
    </row>
    <row r="559" spans="2:20">
      <c r="B559" s="283"/>
      <c r="C559" s="283"/>
      <c r="D559" s="283"/>
      <c r="E559" s="283"/>
      <c r="F559" s="283"/>
      <c r="G559" s="283"/>
      <c r="H559" s="283"/>
      <c r="I559" s="283"/>
      <c r="J559" s="283"/>
      <c r="K559" s="283"/>
      <c r="L559" s="283"/>
      <c r="M559" s="283"/>
      <c r="N559" s="283"/>
      <c r="O559" s="283"/>
      <c r="P559" s="283"/>
      <c r="Q559" s="283"/>
      <c r="R559" s="283"/>
      <c r="S559" s="283"/>
      <c r="T559" s="283"/>
    </row>
    <row r="560" spans="2:20">
      <c r="B560" s="283"/>
      <c r="C560" s="283"/>
      <c r="D560" s="283"/>
      <c r="E560" s="283"/>
      <c r="F560" s="283"/>
      <c r="G560" s="283"/>
      <c r="H560" s="283"/>
      <c r="I560" s="283"/>
      <c r="J560" s="283"/>
      <c r="K560" s="283"/>
      <c r="L560" s="283"/>
      <c r="M560" s="283"/>
      <c r="N560" s="283"/>
      <c r="O560" s="283"/>
      <c r="P560" s="283"/>
      <c r="Q560" s="283"/>
      <c r="R560" s="283"/>
      <c r="S560" s="283"/>
      <c r="T560" s="283"/>
    </row>
    <row r="561" spans="2:20">
      <c r="B561" s="283"/>
      <c r="C561" s="283"/>
      <c r="D561" s="283"/>
      <c r="E561" s="283"/>
      <c r="F561" s="283"/>
      <c r="G561" s="283"/>
      <c r="H561" s="283"/>
      <c r="I561" s="283"/>
      <c r="J561" s="283"/>
      <c r="K561" s="283"/>
      <c r="L561" s="283"/>
      <c r="M561" s="283"/>
      <c r="N561" s="283"/>
      <c r="O561" s="283"/>
      <c r="P561" s="283"/>
      <c r="Q561" s="283"/>
      <c r="R561" s="283"/>
      <c r="S561" s="283"/>
      <c r="T561" s="283"/>
    </row>
    <row r="562" spans="2:20">
      <c r="B562" s="283"/>
      <c r="C562" s="283"/>
      <c r="D562" s="283"/>
      <c r="E562" s="283"/>
      <c r="F562" s="283"/>
      <c r="G562" s="283"/>
      <c r="H562" s="283"/>
      <c r="I562" s="283"/>
      <c r="J562" s="283"/>
      <c r="K562" s="283"/>
      <c r="L562" s="283"/>
      <c r="M562" s="283"/>
      <c r="N562" s="283"/>
      <c r="O562" s="283"/>
      <c r="P562" s="283"/>
      <c r="Q562" s="283"/>
      <c r="R562" s="283"/>
      <c r="S562" s="283"/>
      <c r="T562" s="283"/>
    </row>
    <row r="563" spans="2:20">
      <c r="B563" s="283"/>
      <c r="C563" s="283"/>
      <c r="D563" s="283"/>
      <c r="E563" s="283"/>
      <c r="F563" s="283"/>
      <c r="G563" s="283"/>
      <c r="H563" s="283"/>
      <c r="I563" s="283"/>
      <c r="J563" s="283"/>
      <c r="K563" s="283"/>
      <c r="L563" s="283"/>
      <c r="M563" s="283"/>
      <c r="N563" s="283"/>
      <c r="O563" s="283"/>
      <c r="P563" s="283"/>
      <c r="Q563" s="283"/>
      <c r="R563" s="283"/>
      <c r="S563" s="283"/>
      <c r="T563" s="283"/>
    </row>
    <row r="564" spans="2:20">
      <c r="B564" s="283"/>
      <c r="C564" s="283"/>
      <c r="D564" s="283"/>
      <c r="E564" s="283"/>
      <c r="F564" s="283"/>
      <c r="G564" s="283"/>
      <c r="H564" s="283"/>
      <c r="I564" s="283"/>
      <c r="J564" s="283"/>
      <c r="K564" s="283"/>
      <c r="L564" s="283"/>
      <c r="M564" s="283"/>
      <c r="N564" s="283"/>
      <c r="O564" s="283"/>
      <c r="P564" s="283"/>
      <c r="Q564" s="283"/>
      <c r="R564" s="283"/>
      <c r="S564" s="283"/>
      <c r="T564" s="283"/>
    </row>
    <row r="565" spans="2:20">
      <c r="B565" s="283"/>
      <c r="C565" s="283"/>
      <c r="D565" s="283"/>
      <c r="E565" s="283"/>
      <c r="F565" s="283"/>
      <c r="G565" s="283"/>
      <c r="H565" s="283"/>
      <c r="I565" s="283"/>
      <c r="J565" s="283"/>
      <c r="K565" s="283"/>
      <c r="L565" s="283"/>
      <c r="M565" s="283"/>
      <c r="N565" s="283"/>
      <c r="O565" s="283"/>
      <c r="P565" s="283"/>
      <c r="Q565" s="283"/>
      <c r="R565" s="283"/>
      <c r="S565" s="283"/>
      <c r="T565" s="283"/>
    </row>
    <row r="566" spans="2:20">
      <c r="B566" s="283"/>
      <c r="C566" s="283"/>
      <c r="D566" s="283"/>
      <c r="E566" s="283"/>
      <c r="F566" s="283"/>
      <c r="G566" s="283"/>
      <c r="H566" s="283"/>
      <c r="I566" s="283"/>
      <c r="J566" s="283"/>
      <c r="K566" s="283"/>
      <c r="L566" s="283"/>
      <c r="M566" s="283"/>
      <c r="N566" s="283"/>
      <c r="O566" s="283"/>
      <c r="P566" s="283"/>
      <c r="Q566" s="283"/>
      <c r="R566" s="283"/>
      <c r="S566" s="283"/>
      <c r="T566" s="283"/>
    </row>
    <row r="567" spans="2:20">
      <c r="B567" s="283"/>
      <c r="C567" s="283"/>
      <c r="D567" s="283"/>
      <c r="E567" s="283"/>
      <c r="F567" s="283"/>
      <c r="G567" s="283"/>
      <c r="H567" s="283"/>
      <c r="I567" s="283"/>
      <c r="J567" s="283"/>
      <c r="K567" s="283"/>
      <c r="L567" s="283"/>
      <c r="M567" s="283"/>
      <c r="N567" s="283"/>
      <c r="O567" s="283"/>
      <c r="P567" s="283"/>
      <c r="Q567" s="283"/>
      <c r="R567" s="283"/>
      <c r="S567" s="283"/>
      <c r="T567" s="283"/>
    </row>
    <row r="568" spans="2:20">
      <c r="B568" s="283"/>
      <c r="C568" s="283"/>
      <c r="D568" s="283"/>
      <c r="E568" s="283"/>
      <c r="F568" s="283"/>
      <c r="G568" s="283"/>
      <c r="H568" s="283"/>
      <c r="I568" s="283"/>
      <c r="J568" s="283"/>
      <c r="K568" s="283"/>
      <c r="L568" s="283"/>
      <c r="M568" s="283"/>
      <c r="N568" s="283"/>
      <c r="O568" s="283"/>
      <c r="P568" s="283"/>
      <c r="Q568" s="283"/>
      <c r="R568" s="283"/>
      <c r="S568" s="283"/>
      <c r="T568" s="283"/>
    </row>
    <row r="569" spans="2:20">
      <c r="B569" s="283"/>
      <c r="C569" s="283"/>
      <c r="D569" s="283"/>
      <c r="E569" s="283"/>
      <c r="F569" s="283"/>
      <c r="G569" s="283"/>
      <c r="H569" s="283"/>
      <c r="I569" s="283"/>
      <c r="J569" s="283"/>
      <c r="K569" s="283"/>
      <c r="L569" s="283"/>
      <c r="M569" s="283"/>
      <c r="N569" s="283"/>
      <c r="O569" s="283"/>
      <c r="P569" s="283"/>
      <c r="Q569" s="283"/>
      <c r="R569" s="283"/>
      <c r="S569" s="283"/>
      <c r="T569" s="283"/>
    </row>
    <row r="570" spans="2:20">
      <c r="B570" s="283"/>
      <c r="C570" s="283"/>
      <c r="D570" s="283"/>
      <c r="E570" s="283"/>
      <c r="F570" s="283"/>
      <c r="G570" s="283"/>
      <c r="H570" s="283"/>
      <c r="I570" s="283"/>
      <c r="J570" s="283"/>
      <c r="K570" s="283"/>
      <c r="L570" s="283"/>
      <c r="M570" s="283"/>
      <c r="N570" s="283"/>
      <c r="O570" s="283"/>
      <c r="P570" s="283"/>
      <c r="Q570" s="283"/>
      <c r="R570" s="283"/>
      <c r="S570" s="283"/>
      <c r="T570" s="283"/>
    </row>
    <row r="571" spans="2:20">
      <c r="B571" s="283"/>
      <c r="C571" s="283"/>
      <c r="D571" s="283"/>
      <c r="E571" s="283"/>
      <c r="F571" s="283"/>
      <c r="G571" s="283"/>
      <c r="H571" s="283"/>
      <c r="I571" s="283"/>
      <c r="J571" s="283"/>
      <c r="K571" s="283"/>
      <c r="L571" s="283"/>
      <c r="M571" s="283"/>
      <c r="N571" s="283"/>
      <c r="O571" s="283"/>
      <c r="P571" s="283"/>
      <c r="Q571" s="283"/>
      <c r="R571" s="283"/>
      <c r="S571" s="283"/>
      <c r="T571" s="283"/>
    </row>
    <row r="572" spans="2:20">
      <c r="B572" s="283"/>
      <c r="C572" s="283"/>
      <c r="D572" s="283"/>
      <c r="E572" s="283"/>
      <c r="F572" s="283"/>
      <c r="G572" s="283"/>
      <c r="H572" s="283"/>
      <c r="I572" s="283"/>
      <c r="J572" s="283"/>
      <c r="K572" s="283"/>
      <c r="L572" s="283"/>
      <c r="O572" s="283"/>
      <c r="P572" s="283"/>
      <c r="Q572" s="283"/>
      <c r="R572" s="283"/>
      <c r="S572" s="283"/>
      <c r="T572" s="283"/>
    </row>
    <row r="573" spans="2:20">
      <c r="B573" s="283"/>
      <c r="C573" s="283"/>
      <c r="D573" s="283"/>
      <c r="E573" s="283"/>
      <c r="F573" s="283"/>
      <c r="G573" s="283"/>
      <c r="H573" s="283"/>
      <c r="I573" s="283"/>
      <c r="J573" s="283"/>
      <c r="K573" s="283"/>
      <c r="L573" s="283"/>
      <c r="O573" s="283"/>
      <c r="P573" s="283"/>
      <c r="Q573" s="283"/>
      <c r="R573" s="283"/>
      <c r="S573" s="283"/>
      <c r="T573" s="283"/>
    </row>
    <row r="574" spans="2:20">
      <c r="B574" s="283"/>
      <c r="C574" s="283"/>
      <c r="D574" s="283"/>
      <c r="E574" s="283"/>
      <c r="F574" s="283"/>
      <c r="G574" s="283"/>
      <c r="H574" s="283"/>
      <c r="I574" s="283"/>
      <c r="J574" s="283"/>
      <c r="K574" s="283"/>
      <c r="L574" s="283"/>
      <c r="O574" s="283"/>
      <c r="P574" s="283"/>
      <c r="Q574" s="283"/>
      <c r="R574" s="283"/>
      <c r="S574" s="283"/>
      <c r="T574" s="283"/>
    </row>
    <row r="575" spans="2:20">
      <c r="B575" s="283"/>
      <c r="C575" s="283"/>
      <c r="D575" s="283"/>
      <c r="E575" s="283"/>
      <c r="F575" s="283"/>
      <c r="G575" s="283"/>
      <c r="H575" s="283"/>
      <c r="I575" s="283"/>
      <c r="J575" s="283"/>
      <c r="K575" s="283"/>
      <c r="L575" s="283"/>
      <c r="O575" s="283"/>
      <c r="P575" s="283"/>
      <c r="Q575" s="283"/>
      <c r="R575" s="283"/>
      <c r="S575" s="283"/>
      <c r="T575" s="283"/>
    </row>
    <row r="576" spans="2:20">
      <c r="B576" s="283"/>
      <c r="C576" s="283"/>
      <c r="D576" s="283"/>
      <c r="E576" s="283"/>
      <c r="F576" s="283"/>
      <c r="G576" s="283"/>
      <c r="H576" s="283"/>
      <c r="I576" s="283"/>
      <c r="J576" s="283"/>
      <c r="K576" s="283"/>
      <c r="L576" s="283"/>
      <c r="O576" s="283"/>
      <c r="P576" s="283"/>
      <c r="Q576" s="283"/>
      <c r="R576" s="283"/>
      <c r="S576" s="283"/>
      <c r="T576" s="283"/>
    </row>
    <row r="577" spans="2:20">
      <c r="B577" s="283"/>
      <c r="C577" s="283"/>
      <c r="D577" s="283"/>
      <c r="E577" s="283"/>
      <c r="F577" s="283"/>
      <c r="G577" s="283"/>
      <c r="H577" s="283"/>
      <c r="I577" s="283"/>
      <c r="J577" s="283"/>
      <c r="K577" s="283"/>
      <c r="L577" s="283"/>
      <c r="O577" s="283"/>
      <c r="P577" s="283"/>
      <c r="Q577" s="283"/>
      <c r="R577" s="283"/>
      <c r="S577" s="283"/>
      <c r="T577" s="283"/>
    </row>
    <row r="578" spans="2:20">
      <c r="B578" s="283"/>
      <c r="C578" s="283"/>
      <c r="D578" s="283"/>
      <c r="E578" s="283"/>
      <c r="F578" s="283"/>
      <c r="G578" s="283"/>
      <c r="H578" s="283"/>
      <c r="I578" s="283"/>
      <c r="J578" s="283"/>
      <c r="K578" s="283"/>
      <c r="L578" s="283"/>
      <c r="O578" s="283"/>
      <c r="P578" s="283"/>
      <c r="Q578" s="283"/>
      <c r="R578" s="283"/>
      <c r="S578" s="283"/>
      <c r="T578" s="283"/>
    </row>
    <row r="579" spans="2:20">
      <c r="B579" s="283"/>
      <c r="C579" s="283"/>
      <c r="D579" s="283"/>
      <c r="E579" s="283"/>
      <c r="F579" s="283"/>
      <c r="G579" s="283"/>
      <c r="H579" s="283"/>
      <c r="I579" s="283"/>
      <c r="J579" s="283"/>
      <c r="K579" s="283"/>
      <c r="L579" s="283"/>
      <c r="O579" s="283"/>
      <c r="P579" s="283"/>
      <c r="Q579" s="283"/>
      <c r="R579" s="283"/>
      <c r="S579" s="283"/>
      <c r="T579" s="283"/>
    </row>
    <row r="580" spans="2:20">
      <c r="B580" s="283"/>
      <c r="C580" s="283"/>
      <c r="D580" s="283"/>
      <c r="E580" s="283"/>
      <c r="F580" s="283"/>
      <c r="G580" s="283"/>
      <c r="H580" s="283"/>
      <c r="I580" s="283"/>
      <c r="J580" s="283"/>
      <c r="K580" s="283"/>
      <c r="L580" s="283"/>
      <c r="O580" s="283"/>
      <c r="P580" s="283"/>
      <c r="Q580" s="283"/>
      <c r="R580" s="283"/>
      <c r="S580" s="283"/>
      <c r="T580" s="283"/>
    </row>
    <row r="581" spans="2:20">
      <c r="B581" s="283"/>
      <c r="C581" s="283"/>
      <c r="D581" s="283"/>
      <c r="E581" s="283"/>
      <c r="F581" s="283"/>
      <c r="G581" s="283"/>
      <c r="H581" s="283"/>
      <c r="I581" s="283"/>
      <c r="J581" s="283"/>
      <c r="K581" s="283"/>
      <c r="L581" s="283"/>
      <c r="O581" s="283"/>
      <c r="P581" s="283"/>
      <c r="Q581" s="283"/>
      <c r="R581" s="283"/>
      <c r="S581" s="283"/>
      <c r="T581" s="283"/>
    </row>
    <row r="582" spans="2:20">
      <c r="B582" s="283"/>
      <c r="C582" s="283"/>
      <c r="D582" s="283"/>
      <c r="E582" s="283"/>
      <c r="F582" s="283"/>
      <c r="G582" s="283"/>
      <c r="H582" s="283"/>
      <c r="I582" s="283"/>
      <c r="J582" s="283"/>
      <c r="K582" s="283"/>
      <c r="L582" s="283"/>
      <c r="O582" s="283"/>
      <c r="P582" s="283"/>
      <c r="Q582" s="283"/>
      <c r="R582" s="283"/>
      <c r="S582" s="283"/>
      <c r="T582" s="283"/>
    </row>
    <row r="583" spans="2:20">
      <c r="B583" s="283"/>
      <c r="C583" s="283"/>
      <c r="D583" s="283"/>
      <c r="E583" s="283"/>
      <c r="F583" s="283"/>
      <c r="G583" s="283"/>
      <c r="H583" s="283"/>
      <c r="I583" s="283"/>
      <c r="J583" s="283"/>
      <c r="K583" s="283"/>
      <c r="L583" s="283"/>
      <c r="O583" s="283"/>
      <c r="P583" s="283"/>
      <c r="Q583" s="283"/>
      <c r="R583" s="283"/>
      <c r="S583" s="283"/>
      <c r="T583" s="283"/>
    </row>
    <row r="584" spans="2:20">
      <c r="B584" s="283"/>
      <c r="C584" s="283"/>
      <c r="D584" s="283"/>
      <c r="E584" s="283"/>
      <c r="F584" s="283"/>
      <c r="G584" s="283"/>
      <c r="H584" s="283"/>
      <c r="I584" s="283"/>
      <c r="J584" s="283"/>
      <c r="K584" s="283"/>
      <c r="L584" s="283"/>
      <c r="O584" s="283"/>
      <c r="P584" s="283"/>
      <c r="Q584" s="283"/>
      <c r="R584" s="283"/>
      <c r="S584" s="283"/>
      <c r="T584" s="283"/>
    </row>
    <row r="585" spans="2:20">
      <c r="B585" s="283"/>
      <c r="C585" s="283"/>
      <c r="D585" s="283"/>
      <c r="E585" s="283"/>
      <c r="F585" s="283"/>
      <c r="G585" s="283"/>
      <c r="H585" s="283"/>
      <c r="I585" s="283"/>
      <c r="J585" s="283"/>
      <c r="K585" s="283"/>
      <c r="L585" s="283"/>
      <c r="O585" s="283"/>
      <c r="P585" s="283"/>
      <c r="Q585" s="283"/>
      <c r="R585" s="283"/>
      <c r="S585" s="283"/>
      <c r="T585" s="283"/>
    </row>
    <row r="586" spans="2:20">
      <c r="B586" s="283"/>
      <c r="C586" s="283"/>
      <c r="D586" s="283"/>
      <c r="E586" s="283"/>
      <c r="F586" s="283"/>
      <c r="G586" s="283"/>
      <c r="H586" s="283"/>
      <c r="I586" s="283"/>
      <c r="J586" s="283"/>
      <c r="K586" s="283"/>
      <c r="L586" s="283"/>
      <c r="O586" s="283"/>
      <c r="P586" s="283"/>
      <c r="Q586" s="283"/>
      <c r="R586" s="283"/>
      <c r="S586" s="283"/>
      <c r="T586" s="283"/>
    </row>
    <row r="587" spans="2:20">
      <c r="B587" s="283"/>
      <c r="C587" s="283"/>
      <c r="D587" s="283"/>
      <c r="E587" s="283"/>
      <c r="F587" s="283"/>
      <c r="G587" s="283"/>
      <c r="H587" s="283"/>
      <c r="I587" s="283"/>
      <c r="J587" s="283"/>
      <c r="K587" s="283"/>
      <c r="L587" s="283"/>
      <c r="O587" s="283"/>
      <c r="P587" s="283"/>
      <c r="Q587" s="283"/>
      <c r="R587" s="283"/>
      <c r="S587" s="283"/>
      <c r="T587" s="283"/>
    </row>
    <row r="588" spans="2:20">
      <c r="B588" s="283"/>
      <c r="C588" s="283"/>
      <c r="D588" s="283"/>
      <c r="E588" s="283"/>
      <c r="F588" s="283"/>
      <c r="G588" s="283"/>
      <c r="H588" s="283"/>
      <c r="I588" s="283"/>
      <c r="J588" s="283"/>
      <c r="K588" s="283"/>
      <c r="L588" s="283"/>
      <c r="O588" s="283"/>
      <c r="P588" s="283"/>
      <c r="Q588" s="283"/>
      <c r="R588" s="283"/>
      <c r="S588" s="283"/>
      <c r="T588" s="283"/>
    </row>
    <row r="589" spans="2:20">
      <c r="B589" s="283"/>
      <c r="C589" s="283"/>
      <c r="D589" s="283"/>
      <c r="E589" s="283"/>
      <c r="F589" s="283"/>
      <c r="G589" s="283"/>
      <c r="H589" s="283"/>
      <c r="I589" s="283"/>
      <c r="J589" s="283"/>
      <c r="K589" s="283"/>
      <c r="L589" s="283"/>
      <c r="O589" s="283"/>
      <c r="P589" s="283"/>
      <c r="Q589" s="283"/>
      <c r="R589" s="283"/>
      <c r="S589" s="283"/>
      <c r="T589" s="283"/>
    </row>
    <row r="590" spans="2:20">
      <c r="B590" s="283"/>
      <c r="C590" s="283"/>
      <c r="D590" s="283"/>
      <c r="E590" s="283"/>
      <c r="F590" s="283"/>
      <c r="G590" s="283"/>
      <c r="H590" s="283"/>
      <c r="I590" s="283"/>
      <c r="J590" s="283"/>
      <c r="K590" s="283"/>
      <c r="L590" s="283"/>
      <c r="O590" s="283"/>
      <c r="P590" s="283"/>
      <c r="Q590" s="283"/>
      <c r="R590" s="283"/>
      <c r="S590" s="283"/>
      <c r="T590" s="283"/>
    </row>
    <row r="591" spans="2:20">
      <c r="B591" s="283"/>
      <c r="C591" s="283"/>
      <c r="D591" s="283"/>
      <c r="E591" s="283"/>
      <c r="F591" s="283"/>
      <c r="G591" s="283"/>
      <c r="H591" s="283"/>
      <c r="I591" s="283"/>
      <c r="J591" s="283"/>
      <c r="K591" s="283"/>
      <c r="L591" s="283"/>
      <c r="O591" s="283"/>
      <c r="P591" s="283"/>
      <c r="Q591" s="283"/>
      <c r="R591" s="283"/>
      <c r="S591" s="283"/>
      <c r="T591" s="283"/>
    </row>
    <row r="592" spans="2:20">
      <c r="B592" s="283"/>
      <c r="C592" s="283"/>
      <c r="D592" s="283"/>
      <c r="E592" s="283"/>
      <c r="F592" s="283"/>
      <c r="G592" s="283"/>
      <c r="H592" s="283"/>
      <c r="I592" s="283"/>
      <c r="J592" s="283"/>
      <c r="K592" s="283"/>
      <c r="L592" s="283"/>
      <c r="O592" s="283"/>
      <c r="P592" s="283"/>
      <c r="Q592" s="283"/>
      <c r="R592" s="283"/>
      <c r="S592" s="283"/>
      <c r="T592" s="283"/>
    </row>
    <row r="593" spans="2:20">
      <c r="B593" s="283"/>
      <c r="C593" s="283"/>
      <c r="D593" s="283"/>
      <c r="E593" s="283"/>
      <c r="F593" s="283"/>
      <c r="G593" s="283"/>
      <c r="H593" s="283"/>
      <c r="I593" s="283"/>
      <c r="J593" s="283"/>
      <c r="K593" s="283"/>
      <c r="L593" s="283"/>
      <c r="O593" s="283"/>
      <c r="P593" s="283"/>
      <c r="Q593" s="283"/>
      <c r="R593" s="283"/>
      <c r="S593" s="283"/>
      <c r="T593" s="283"/>
    </row>
    <row r="594" spans="2:20">
      <c r="B594" s="283"/>
      <c r="C594" s="283"/>
      <c r="D594" s="283"/>
      <c r="E594" s="283"/>
      <c r="F594" s="283"/>
      <c r="G594" s="283"/>
      <c r="H594" s="283"/>
      <c r="I594" s="283"/>
      <c r="J594" s="283"/>
      <c r="K594" s="283"/>
      <c r="L594" s="283"/>
      <c r="O594" s="283"/>
      <c r="P594" s="283"/>
      <c r="Q594" s="283"/>
      <c r="R594" s="283"/>
      <c r="S594" s="283"/>
      <c r="T594" s="283"/>
    </row>
    <row r="595" spans="2:20">
      <c r="B595" s="283"/>
      <c r="C595" s="283"/>
      <c r="D595" s="283"/>
      <c r="E595" s="283"/>
      <c r="F595" s="283"/>
      <c r="G595" s="283"/>
      <c r="H595" s="283"/>
      <c r="I595" s="283"/>
      <c r="J595" s="283"/>
      <c r="K595" s="283"/>
      <c r="L595" s="283"/>
      <c r="O595" s="283"/>
      <c r="P595" s="283"/>
      <c r="Q595" s="283"/>
      <c r="R595" s="283"/>
      <c r="S595" s="283"/>
      <c r="T595" s="283"/>
    </row>
    <row r="596" spans="2:20">
      <c r="B596" s="283"/>
      <c r="C596" s="283"/>
      <c r="D596" s="283"/>
      <c r="E596" s="283"/>
      <c r="F596" s="283"/>
      <c r="G596" s="283"/>
      <c r="H596" s="283"/>
      <c r="I596" s="283"/>
      <c r="J596" s="283"/>
      <c r="K596" s="283"/>
      <c r="L596" s="283"/>
      <c r="O596" s="283"/>
      <c r="P596" s="283"/>
      <c r="Q596" s="283"/>
      <c r="R596" s="283"/>
      <c r="S596" s="283"/>
      <c r="T596" s="283"/>
    </row>
    <row r="597" spans="2:20">
      <c r="B597" s="283"/>
      <c r="C597" s="283"/>
      <c r="D597" s="283"/>
      <c r="E597" s="283"/>
      <c r="F597" s="283"/>
      <c r="G597" s="283"/>
      <c r="H597" s="283"/>
      <c r="I597" s="283"/>
      <c r="J597" s="283"/>
      <c r="K597" s="283"/>
      <c r="L597" s="283"/>
      <c r="O597" s="283"/>
      <c r="P597" s="283"/>
      <c r="Q597" s="283"/>
      <c r="R597" s="283"/>
      <c r="S597" s="283"/>
      <c r="T597" s="283"/>
    </row>
    <row r="598" spans="2:20">
      <c r="B598" s="283"/>
      <c r="C598" s="283"/>
      <c r="D598" s="283"/>
      <c r="E598" s="283"/>
      <c r="F598" s="283"/>
      <c r="G598" s="283"/>
      <c r="H598" s="283"/>
      <c r="I598" s="283"/>
      <c r="J598" s="283"/>
      <c r="K598" s="283"/>
      <c r="L598" s="283"/>
      <c r="O598" s="283"/>
      <c r="P598" s="283"/>
      <c r="Q598" s="283"/>
      <c r="R598" s="283"/>
      <c r="S598" s="283"/>
      <c r="T598" s="283"/>
    </row>
    <row r="599" spans="2:20">
      <c r="B599" s="283"/>
      <c r="C599" s="283"/>
      <c r="D599" s="283"/>
      <c r="E599" s="283"/>
      <c r="F599" s="283"/>
      <c r="G599" s="283"/>
      <c r="H599" s="283"/>
      <c r="I599" s="283"/>
      <c r="J599" s="283"/>
      <c r="K599" s="283"/>
      <c r="L599" s="283"/>
      <c r="O599" s="283"/>
      <c r="P599" s="283"/>
      <c r="Q599" s="283"/>
      <c r="R599" s="283"/>
      <c r="S599" s="283"/>
      <c r="T599" s="283"/>
    </row>
    <row r="600" spans="2:20">
      <c r="B600" s="283"/>
      <c r="C600" s="283"/>
      <c r="D600" s="283"/>
      <c r="E600" s="283"/>
      <c r="F600" s="283"/>
      <c r="G600" s="283"/>
      <c r="H600" s="283"/>
      <c r="I600" s="283"/>
      <c r="J600" s="283"/>
      <c r="K600" s="283"/>
      <c r="L600" s="283"/>
      <c r="O600" s="283"/>
      <c r="P600" s="283"/>
      <c r="Q600" s="283"/>
      <c r="R600" s="283"/>
      <c r="S600" s="283"/>
      <c r="T600" s="283"/>
    </row>
    <row r="601" spans="2:20">
      <c r="B601" s="283"/>
      <c r="C601" s="283"/>
      <c r="D601" s="283"/>
      <c r="E601" s="283"/>
      <c r="F601" s="283"/>
      <c r="G601" s="283"/>
      <c r="H601" s="283"/>
      <c r="I601" s="283"/>
      <c r="J601" s="283"/>
      <c r="K601" s="283"/>
      <c r="L601" s="283"/>
      <c r="O601" s="283"/>
      <c r="P601" s="283"/>
      <c r="Q601" s="283"/>
      <c r="R601" s="283"/>
      <c r="S601" s="283"/>
      <c r="T601" s="283"/>
    </row>
  </sheetData>
  <mergeCells count="35">
    <mergeCell ref="B287:K287"/>
    <mergeCell ref="B288:K288"/>
    <mergeCell ref="B289:K289"/>
    <mergeCell ref="B290:K290"/>
    <mergeCell ref="H1:L1"/>
    <mergeCell ref="K139:L139"/>
    <mergeCell ref="K206:L206"/>
    <mergeCell ref="K2:L2"/>
    <mergeCell ref="K73:L73"/>
    <mergeCell ref="C274:D274"/>
    <mergeCell ref="I274:K274"/>
    <mergeCell ref="B282:K282"/>
    <mergeCell ref="B283:K283"/>
    <mergeCell ref="B284:K284"/>
    <mergeCell ref="B285:K285"/>
    <mergeCell ref="B286:K286"/>
    <mergeCell ref="B291:K291"/>
    <mergeCell ref="B292:K292"/>
    <mergeCell ref="E294:K294"/>
    <mergeCell ref="E295:K295"/>
    <mergeCell ref="B296:K296"/>
    <mergeCell ref="B297:K297"/>
    <mergeCell ref="B298:K298"/>
    <mergeCell ref="B299:K299"/>
    <mergeCell ref="B300:K300"/>
    <mergeCell ref="B301:K301"/>
    <mergeCell ref="B307:K307"/>
    <mergeCell ref="B308:K308"/>
    <mergeCell ref="B309:K309"/>
    <mergeCell ref="B310:K310"/>
    <mergeCell ref="B302:K302"/>
    <mergeCell ref="B303:K303"/>
    <mergeCell ref="B304:K304"/>
    <mergeCell ref="B305:K305"/>
    <mergeCell ref="B306:K306"/>
  </mergeCells>
  <phoneticPr fontId="3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D2:U578"/>
  <sheetViews>
    <sheetView topLeftCell="G1" workbookViewId="0">
      <selection activeCell="T5" sqref="T5"/>
    </sheetView>
  </sheetViews>
  <sheetFormatPr defaultColWidth="9.140625" defaultRowHeight="12.75"/>
  <cols>
    <col min="1" max="2" width="9.140625" style="372"/>
    <col min="3" max="3" width="14.140625" style="372" customWidth="1"/>
    <col min="4" max="4" width="13.28515625" style="372" customWidth="1"/>
    <col min="5" max="5" width="21.42578125" style="372" customWidth="1"/>
    <col min="6" max="11" width="17.140625" style="372" customWidth="1"/>
    <col min="12" max="12" width="16" style="372" customWidth="1"/>
    <col min="13" max="13" width="13.140625" style="372" customWidth="1"/>
    <col min="14" max="16384" width="9.140625" style="372"/>
  </cols>
  <sheetData>
    <row r="2" spans="4:21" ht="45">
      <c r="D2" s="376" t="s">
        <v>711</v>
      </c>
      <c r="E2" s="377" t="s">
        <v>712</v>
      </c>
      <c r="F2" s="378" t="s">
        <v>504</v>
      </c>
      <c r="G2" s="378" t="s">
        <v>713</v>
      </c>
      <c r="H2" s="378" t="s">
        <v>714</v>
      </c>
      <c r="I2" s="378" t="s">
        <v>715</v>
      </c>
      <c r="J2" s="378" t="s">
        <v>773</v>
      </c>
      <c r="K2" s="378" t="s">
        <v>774</v>
      </c>
      <c r="L2" s="588" t="s">
        <v>716</v>
      </c>
      <c r="M2" s="378" t="s">
        <v>717</v>
      </c>
      <c r="N2" s="378" t="s">
        <v>718</v>
      </c>
      <c r="O2" s="378" t="s">
        <v>775</v>
      </c>
      <c r="P2" s="378" t="s">
        <v>776</v>
      </c>
      <c r="R2" s="375">
        <v>2012</v>
      </c>
      <c r="S2" s="375">
        <v>2013</v>
      </c>
      <c r="T2" s="375">
        <v>2014</v>
      </c>
      <c r="U2" s="375">
        <v>2015</v>
      </c>
    </row>
    <row r="3" spans="4:21">
      <c r="D3" s="374" t="s">
        <v>719</v>
      </c>
      <c r="E3" s="379" t="s">
        <v>720</v>
      </c>
      <c r="F3" s="380">
        <v>40927</v>
      </c>
      <c r="G3" s="381">
        <f t="shared" ref="G3:G66" si="0">YEAR(F3)</f>
        <v>2012</v>
      </c>
      <c r="H3" s="381">
        <f t="shared" ref="H3:H66" si="1">MONTH(F3)</f>
        <v>1</v>
      </c>
      <c r="I3" s="382">
        <v>19</v>
      </c>
      <c r="J3" s="382">
        <v>7.6239999999999997</v>
      </c>
      <c r="K3" s="382">
        <v>0</v>
      </c>
      <c r="L3" s="589">
        <v>7.6239999999999997</v>
      </c>
      <c r="M3" s="382">
        <v>6604</v>
      </c>
      <c r="N3" s="383">
        <v>1.1999999999999999E-3</v>
      </c>
      <c r="O3" s="382">
        <v>7.4189999999999996</v>
      </c>
      <c r="P3" s="382">
        <v>0</v>
      </c>
      <c r="Q3" s="372" t="s">
        <v>777</v>
      </c>
    </row>
    <row r="4" spans="4:21">
      <c r="D4" s="374" t="s">
        <v>719</v>
      </c>
      <c r="E4" s="379" t="s">
        <v>720</v>
      </c>
      <c r="F4" s="380">
        <v>40967</v>
      </c>
      <c r="G4" s="381">
        <f t="shared" si="0"/>
        <v>2012</v>
      </c>
      <c r="H4" s="381">
        <f t="shared" si="1"/>
        <v>2</v>
      </c>
      <c r="I4" s="382">
        <v>19</v>
      </c>
      <c r="J4" s="382">
        <v>6.66</v>
      </c>
      <c r="K4" s="382">
        <v>0.54400000000000004</v>
      </c>
      <c r="L4" s="589">
        <v>7.2039999999999997</v>
      </c>
      <c r="M4" s="382">
        <v>6178</v>
      </c>
      <c r="N4" s="383">
        <v>1.1999999999999999E-3</v>
      </c>
      <c r="O4" s="382">
        <v>6.4729999999999999</v>
      </c>
      <c r="P4" s="382">
        <v>0.54400000000000004</v>
      </c>
      <c r="Q4" s="372" t="s">
        <v>778</v>
      </c>
      <c r="R4" s="372">
        <f>AVERAGE(L51:L62)</f>
        <v>9.3786666666666676</v>
      </c>
      <c r="S4" s="372">
        <f>AVERAGE(L63:L74)</f>
        <v>9.5654166666666693</v>
      </c>
      <c r="T4" s="372">
        <f>AVERAGE(L75:L86)</f>
        <v>9.28541666666667</v>
      </c>
      <c r="U4" s="372">
        <f>AVERAGE(L87:L98)</f>
        <v>9.8222500000000004</v>
      </c>
    </row>
    <row r="5" spans="4:21">
      <c r="D5" s="374" t="s">
        <v>719</v>
      </c>
      <c r="E5" s="379" t="s">
        <v>720</v>
      </c>
      <c r="F5" s="380">
        <v>40987</v>
      </c>
      <c r="G5" s="381">
        <f t="shared" si="0"/>
        <v>2012</v>
      </c>
      <c r="H5" s="381">
        <f t="shared" si="1"/>
        <v>3</v>
      </c>
      <c r="I5" s="382">
        <v>14</v>
      </c>
      <c r="J5" s="382">
        <v>5.2949999999999999</v>
      </c>
      <c r="K5" s="382">
        <v>2.3420000000000001</v>
      </c>
      <c r="L5" s="589">
        <v>7.6369999999999996</v>
      </c>
      <c r="M5" s="382">
        <v>6170</v>
      </c>
      <c r="N5" s="383">
        <v>1.1999999999999999E-3</v>
      </c>
      <c r="O5" s="382">
        <v>5.0960000000000001</v>
      </c>
      <c r="P5" s="382">
        <v>2.3420000000000001</v>
      </c>
      <c r="Q5" s="477" t="s">
        <v>1770</v>
      </c>
      <c r="T5" s="372">
        <f>AVERAGE(L555:L566)</f>
        <v>10.318583333333333</v>
      </c>
    </row>
    <row r="6" spans="4:21">
      <c r="D6" s="374" t="s">
        <v>719</v>
      </c>
      <c r="E6" s="379" t="s">
        <v>720</v>
      </c>
      <c r="F6" s="380">
        <v>41024</v>
      </c>
      <c r="G6" s="381">
        <f t="shared" si="0"/>
        <v>2012</v>
      </c>
      <c r="H6" s="381">
        <f t="shared" si="1"/>
        <v>4</v>
      </c>
      <c r="I6" s="382">
        <v>15</v>
      </c>
      <c r="J6" s="382">
        <v>7.3550000000000004</v>
      </c>
      <c r="K6" s="382">
        <v>6.7000000000000004E-2</v>
      </c>
      <c r="L6" s="589">
        <v>7.4219999999999997</v>
      </c>
      <c r="M6" s="382">
        <v>5813</v>
      </c>
      <c r="N6" s="383">
        <v>1.2999999999999999E-3</v>
      </c>
      <c r="O6" s="382">
        <v>7.1589999999999998</v>
      </c>
      <c r="P6" s="382">
        <v>6.7000000000000004E-2</v>
      </c>
    </row>
    <row r="7" spans="4:21">
      <c r="D7" s="374" t="s">
        <v>719</v>
      </c>
      <c r="E7" s="379" t="s">
        <v>720</v>
      </c>
      <c r="F7" s="380">
        <v>41047</v>
      </c>
      <c r="G7" s="381">
        <f t="shared" si="0"/>
        <v>2012</v>
      </c>
      <c r="H7" s="381">
        <f t="shared" si="1"/>
        <v>5</v>
      </c>
      <c r="I7" s="382">
        <v>17</v>
      </c>
      <c r="J7" s="382">
        <v>7.3330000000000002</v>
      </c>
      <c r="K7" s="382">
        <v>1.6539999999999999</v>
      </c>
      <c r="L7" s="589">
        <v>8.9870000000000001</v>
      </c>
      <c r="M7" s="382">
        <v>7203</v>
      </c>
      <c r="N7" s="383">
        <v>1.1999999999999999E-3</v>
      </c>
      <c r="O7" s="382">
        <v>7.1539999999999999</v>
      </c>
      <c r="P7" s="382">
        <v>1.6539999999999999</v>
      </c>
    </row>
    <row r="8" spans="4:21">
      <c r="D8" s="374" t="s">
        <v>719</v>
      </c>
      <c r="E8" s="379" t="s">
        <v>720</v>
      </c>
      <c r="F8" s="380">
        <v>41087</v>
      </c>
      <c r="G8" s="381">
        <f t="shared" si="0"/>
        <v>2012</v>
      </c>
      <c r="H8" s="381">
        <f t="shared" si="1"/>
        <v>6</v>
      </c>
      <c r="I8" s="382">
        <v>17</v>
      </c>
      <c r="J8" s="382">
        <v>11.933</v>
      </c>
      <c r="K8" s="382">
        <v>0.46200000000000002</v>
      </c>
      <c r="L8" s="589">
        <v>12.395</v>
      </c>
      <c r="M8" s="382">
        <v>8833</v>
      </c>
      <c r="N8" s="383">
        <v>1.4E-3</v>
      </c>
      <c r="O8" s="382">
        <v>11.686999999999999</v>
      </c>
      <c r="P8" s="382">
        <v>0.46200000000000002</v>
      </c>
    </row>
    <row r="9" spans="4:21">
      <c r="D9" s="374" t="s">
        <v>719</v>
      </c>
      <c r="E9" s="379" t="s">
        <v>720</v>
      </c>
      <c r="F9" s="380">
        <v>41092</v>
      </c>
      <c r="G9" s="381">
        <f t="shared" si="0"/>
        <v>2012</v>
      </c>
      <c r="H9" s="381">
        <f t="shared" si="1"/>
        <v>7</v>
      </c>
      <c r="I9" s="382">
        <v>17</v>
      </c>
      <c r="J9" s="382">
        <v>10.741</v>
      </c>
      <c r="K9" s="382">
        <v>1.319</v>
      </c>
      <c r="L9" s="589">
        <v>12.06</v>
      </c>
      <c r="M9" s="382">
        <v>9682</v>
      </c>
      <c r="N9" s="383">
        <v>1.1999999999999999E-3</v>
      </c>
      <c r="O9" s="382">
        <v>10.555</v>
      </c>
      <c r="P9" s="382">
        <v>1.319</v>
      </c>
    </row>
    <row r="10" spans="4:21">
      <c r="D10" s="374" t="s">
        <v>719</v>
      </c>
      <c r="E10" s="379" t="s">
        <v>720</v>
      </c>
      <c r="F10" s="380">
        <v>41122</v>
      </c>
      <c r="G10" s="381">
        <f t="shared" si="0"/>
        <v>2012</v>
      </c>
      <c r="H10" s="381">
        <f t="shared" si="1"/>
        <v>8</v>
      </c>
      <c r="I10" s="382">
        <v>17</v>
      </c>
      <c r="J10" s="382">
        <v>13.132999999999999</v>
      </c>
      <c r="K10" s="382">
        <v>0.185</v>
      </c>
      <c r="L10" s="589">
        <v>13.318</v>
      </c>
      <c r="M10" s="382">
        <v>8979</v>
      </c>
      <c r="N10" s="383">
        <v>1.5E-3</v>
      </c>
      <c r="O10" s="382">
        <v>12.858000000000001</v>
      </c>
      <c r="P10" s="382">
        <v>0.185</v>
      </c>
      <c r="R10" s="372" t="s">
        <v>154</v>
      </c>
      <c r="T10" s="372" t="s">
        <v>154</v>
      </c>
    </row>
    <row r="11" spans="4:21">
      <c r="D11" s="374" t="s">
        <v>719</v>
      </c>
      <c r="E11" s="379" t="s">
        <v>720</v>
      </c>
      <c r="F11" s="380">
        <v>41156</v>
      </c>
      <c r="G11" s="381">
        <f t="shared" si="0"/>
        <v>2012</v>
      </c>
      <c r="H11" s="381">
        <f t="shared" si="1"/>
        <v>9</v>
      </c>
      <c r="I11" s="382">
        <v>16</v>
      </c>
      <c r="J11" s="382">
        <v>11.564</v>
      </c>
      <c r="K11" s="382">
        <v>0</v>
      </c>
      <c r="L11" s="589">
        <v>11.564</v>
      </c>
      <c r="M11" s="382">
        <v>8521</v>
      </c>
      <c r="N11" s="383">
        <v>1.4E-3</v>
      </c>
      <c r="O11" s="382">
        <v>11.27</v>
      </c>
      <c r="P11" s="382">
        <v>0</v>
      </c>
    </row>
    <row r="12" spans="4:21">
      <c r="D12" s="374" t="s">
        <v>719</v>
      </c>
      <c r="E12" s="379" t="s">
        <v>720</v>
      </c>
      <c r="F12" s="380">
        <v>41185</v>
      </c>
      <c r="G12" s="381">
        <f t="shared" si="0"/>
        <v>2012</v>
      </c>
      <c r="H12" s="381">
        <f t="shared" si="1"/>
        <v>10</v>
      </c>
      <c r="I12" s="382">
        <v>14</v>
      </c>
      <c r="J12" s="382">
        <v>7.1589999999999998</v>
      </c>
      <c r="K12" s="382">
        <v>0.80300000000000005</v>
      </c>
      <c r="L12" s="589">
        <v>7.9619999999999997</v>
      </c>
      <c r="M12" s="382">
        <v>6122</v>
      </c>
      <c r="N12" s="383">
        <v>1.2999999999999999E-3</v>
      </c>
      <c r="O12" s="382">
        <v>6.992</v>
      </c>
      <c r="P12" s="382">
        <v>0.80300000000000005</v>
      </c>
    </row>
    <row r="13" spans="4:21">
      <c r="D13" s="374" t="s">
        <v>719</v>
      </c>
      <c r="E13" s="379" t="s">
        <v>720</v>
      </c>
      <c r="F13" s="380">
        <v>41239</v>
      </c>
      <c r="G13" s="381">
        <f t="shared" si="0"/>
        <v>2012</v>
      </c>
      <c r="H13" s="381">
        <f t="shared" si="1"/>
        <v>11</v>
      </c>
      <c r="I13" s="382">
        <v>18</v>
      </c>
      <c r="J13" s="382">
        <v>6.391</v>
      </c>
      <c r="K13" s="382">
        <v>0.22900000000000001</v>
      </c>
      <c r="L13" s="589">
        <v>6.62</v>
      </c>
      <c r="M13" s="382">
        <v>6416</v>
      </c>
      <c r="N13" s="383">
        <v>1E-3</v>
      </c>
      <c r="O13" s="382">
        <v>6.1639999999999997</v>
      </c>
      <c r="P13" s="382">
        <v>0.22900000000000001</v>
      </c>
    </row>
    <row r="14" spans="4:21">
      <c r="D14" s="374" t="s">
        <v>719</v>
      </c>
      <c r="E14" s="379" t="s">
        <v>720</v>
      </c>
      <c r="F14" s="380">
        <v>41253</v>
      </c>
      <c r="G14" s="381">
        <f t="shared" si="0"/>
        <v>2012</v>
      </c>
      <c r="H14" s="381">
        <f t="shared" si="1"/>
        <v>12</v>
      </c>
      <c r="I14" s="382">
        <v>18</v>
      </c>
      <c r="J14" s="382">
        <v>8.1850000000000005</v>
      </c>
      <c r="K14" s="382">
        <v>0</v>
      </c>
      <c r="L14" s="589">
        <v>8.1850000000000005</v>
      </c>
      <c r="M14" s="382">
        <v>6609</v>
      </c>
      <c r="N14" s="383">
        <v>1.1999999999999999E-3</v>
      </c>
      <c r="O14" s="382">
        <v>7.9580000000000002</v>
      </c>
      <c r="P14" s="382">
        <v>0</v>
      </c>
    </row>
    <row r="15" spans="4:21">
      <c r="D15" s="374" t="s">
        <v>719</v>
      </c>
      <c r="E15" s="379" t="s">
        <v>720</v>
      </c>
      <c r="F15" s="380">
        <v>41295</v>
      </c>
      <c r="G15" s="381">
        <f t="shared" si="0"/>
        <v>2013</v>
      </c>
      <c r="H15" s="381">
        <f t="shared" si="1"/>
        <v>1</v>
      </c>
      <c r="I15" s="382">
        <v>19</v>
      </c>
      <c r="J15" s="382">
        <v>7.181</v>
      </c>
      <c r="K15" s="382">
        <v>0.60599999999999998</v>
      </c>
      <c r="L15" s="589">
        <v>7.7869999999999999</v>
      </c>
      <c r="M15" s="382">
        <v>6846</v>
      </c>
      <c r="N15" s="383">
        <v>1.1000000000000001E-3</v>
      </c>
      <c r="O15" s="382">
        <v>6.9729999999999999</v>
      </c>
      <c r="P15" s="382">
        <v>0.60599999999999998</v>
      </c>
    </row>
    <row r="16" spans="4:21">
      <c r="D16" s="374" t="s">
        <v>719</v>
      </c>
      <c r="E16" s="379" t="s">
        <v>720</v>
      </c>
      <c r="F16" s="380">
        <v>41324</v>
      </c>
      <c r="G16" s="381">
        <f t="shared" si="0"/>
        <v>2013</v>
      </c>
      <c r="H16" s="381">
        <f t="shared" si="1"/>
        <v>2</v>
      </c>
      <c r="I16" s="382">
        <v>19</v>
      </c>
      <c r="J16" s="382">
        <v>7.7690000000000001</v>
      </c>
      <c r="K16" s="382">
        <v>1.085</v>
      </c>
      <c r="L16" s="589">
        <v>8.8539999999999992</v>
      </c>
      <c r="M16" s="382">
        <v>6511</v>
      </c>
      <c r="N16" s="383">
        <v>1.4E-3</v>
      </c>
      <c r="O16" s="382">
        <v>7.5659999999999998</v>
      </c>
      <c r="P16" s="382">
        <v>1.085</v>
      </c>
    </row>
    <row r="17" spans="4:16">
      <c r="D17" s="374" t="s">
        <v>719</v>
      </c>
      <c r="E17" s="379" t="s">
        <v>720</v>
      </c>
      <c r="F17" s="380">
        <v>41337</v>
      </c>
      <c r="G17" s="381">
        <f t="shared" si="0"/>
        <v>2013</v>
      </c>
      <c r="H17" s="381">
        <f t="shared" si="1"/>
        <v>3</v>
      </c>
      <c r="I17" s="382">
        <v>19</v>
      </c>
      <c r="J17" s="382">
        <v>7.1639999999999997</v>
      </c>
      <c r="K17" s="382">
        <v>0.318</v>
      </c>
      <c r="L17" s="589">
        <v>7.4820000000000002</v>
      </c>
      <c r="M17" s="382">
        <v>6172</v>
      </c>
      <c r="N17" s="383">
        <v>1.1999999999999999E-3</v>
      </c>
      <c r="O17" s="382">
        <v>6.9290000000000003</v>
      </c>
      <c r="P17" s="382">
        <v>0.318</v>
      </c>
    </row>
    <row r="18" spans="4:16">
      <c r="D18" s="374" t="s">
        <v>719</v>
      </c>
      <c r="E18" s="379" t="s">
        <v>720</v>
      </c>
      <c r="F18" s="380">
        <v>41382</v>
      </c>
      <c r="G18" s="381">
        <f t="shared" si="0"/>
        <v>2013</v>
      </c>
      <c r="H18" s="381">
        <f t="shared" si="1"/>
        <v>4</v>
      </c>
      <c r="I18" s="382">
        <v>12</v>
      </c>
      <c r="J18" s="382">
        <v>5.7640000000000002</v>
      </c>
      <c r="K18" s="382">
        <v>1.1990000000000001</v>
      </c>
      <c r="L18" s="589">
        <v>6.9630000000000001</v>
      </c>
      <c r="M18" s="382">
        <v>5851</v>
      </c>
      <c r="N18" s="383">
        <v>1.1999999999999999E-3</v>
      </c>
      <c r="O18" s="382">
        <v>5.62</v>
      </c>
      <c r="P18" s="382">
        <v>1.1990000000000001</v>
      </c>
    </row>
    <row r="19" spans="4:16">
      <c r="D19" s="374" t="s">
        <v>719</v>
      </c>
      <c r="E19" s="379" t="s">
        <v>720</v>
      </c>
      <c r="F19" s="380">
        <v>41408</v>
      </c>
      <c r="G19" s="381">
        <f t="shared" si="0"/>
        <v>2013</v>
      </c>
      <c r="H19" s="381">
        <f t="shared" si="1"/>
        <v>5</v>
      </c>
      <c r="I19" s="382">
        <v>17</v>
      </c>
      <c r="J19" s="382">
        <v>7.1429999999999998</v>
      </c>
      <c r="K19" s="382">
        <v>1.67</v>
      </c>
      <c r="L19" s="589">
        <v>8.8130000000000006</v>
      </c>
      <c r="M19" s="382">
        <v>6516</v>
      </c>
      <c r="N19" s="383">
        <v>1.4E-3</v>
      </c>
      <c r="O19" s="382">
        <v>6.9829999999999997</v>
      </c>
      <c r="P19" s="382">
        <v>1.67</v>
      </c>
    </row>
    <row r="20" spans="4:16">
      <c r="D20" s="374" t="s">
        <v>719</v>
      </c>
      <c r="E20" s="379" t="s">
        <v>720</v>
      </c>
      <c r="F20" s="380">
        <v>41451</v>
      </c>
      <c r="G20" s="381">
        <f t="shared" si="0"/>
        <v>2013</v>
      </c>
      <c r="H20" s="381">
        <f t="shared" si="1"/>
        <v>6</v>
      </c>
      <c r="I20" s="382">
        <v>16</v>
      </c>
      <c r="J20" s="382">
        <v>9.1560000000000006</v>
      </c>
      <c r="K20" s="382">
        <v>1.7450000000000001</v>
      </c>
      <c r="L20" s="589">
        <v>10.901</v>
      </c>
      <c r="M20" s="382">
        <v>8280</v>
      </c>
      <c r="N20" s="383">
        <v>1.2999999999999999E-3</v>
      </c>
      <c r="O20" s="382">
        <v>8.952</v>
      </c>
      <c r="P20" s="382">
        <v>1.7450000000000001</v>
      </c>
    </row>
    <row r="21" spans="4:16">
      <c r="D21" s="374" t="s">
        <v>719</v>
      </c>
      <c r="E21" s="379" t="s">
        <v>720</v>
      </c>
      <c r="F21" s="380">
        <v>41473</v>
      </c>
      <c r="G21" s="381">
        <f t="shared" si="0"/>
        <v>2013</v>
      </c>
      <c r="H21" s="381">
        <f t="shared" si="1"/>
        <v>7</v>
      </c>
      <c r="I21" s="382">
        <v>17</v>
      </c>
      <c r="J21" s="382">
        <v>11.316000000000001</v>
      </c>
      <c r="K21" s="382">
        <v>1.746</v>
      </c>
      <c r="L21" s="589">
        <v>13.061999999999999</v>
      </c>
      <c r="M21" s="382">
        <v>9566</v>
      </c>
      <c r="N21" s="383">
        <v>1.4E-3</v>
      </c>
      <c r="O21" s="382">
        <v>11.128</v>
      </c>
      <c r="P21" s="382">
        <v>1.746</v>
      </c>
    </row>
    <row r="22" spans="4:16">
      <c r="D22" s="374" t="s">
        <v>719</v>
      </c>
      <c r="E22" s="379" t="s">
        <v>720</v>
      </c>
      <c r="F22" s="380">
        <v>41512</v>
      </c>
      <c r="G22" s="381">
        <f t="shared" si="0"/>
        <v>2013</v>
      </c>
      <c r="H22" s="381">
        <f t="shared" si="1"/>
        <v>8</v>
      </c>
      <c r="I22" s="382">
        <v>17</v>
      </c>
      <c r="J22" s="382">
        <v>12.284000000000001</v>
      </c>
      <c r="K22" s="382">
        <v>0.66100000000000003</v>
      </c>
      <c r="L22" s="589">
        <v>12.945</v>
      </c>
      <c r="M22" s="382">
        <v>9821</v>
      </c>
      <c r="N22" s="383">
        <v>1.2999999999999999E-3</v>
      </c>
      <c r="O22" s="382">
        <v>12.113</v>
      </c>
      <c r="P22" s="382">
        <v>0.66100000000000003</v>
      </c>
    </row>
    <row r="23" spans="4:16">
      <c r="D23" s="374" t="s">
        <v>719</v>
      </c>
      <c r="E23" s="379" t="s">
        <v>720</v>
      </c>
      <c r="F23" s="380">
        <v>41526</v>
      </c>
      <c r="G23" s="381">
        <f t="shared" si="0"/>
        <v>2013</v>
      </c>
      <c r="H23" s="381">
        <f t="shared" si="1"/>
        <v>9</v>
      </c>
      <c r="I23" s="382">
        <v>17</v>
      </c>
      <c r="J23" s="382">
        <v>11.632999999999999</v>
      </c>
      <c r="K23" s="382">
        <v>1.78</v>
      </c>
      <c r="L23" s="589">
        <v>13.413</v>
      </c>
      <c r="M23" s="382">
        <v>8781</v>
      </c>
      <c r="N23" s="383">
        <v>1.5E-3</v>
      </c>
      <c r="O23" s="382">
        <v>11.451000000000001</v>
      </c>
      <c r="P23" s="382">
        <v>1.78</v>
      </c>
    </row>
    <row r="24" spans="4:16">
      <c r="D24" s="374" t="s">
        <v>719</v>
      </c>
      <c r="E24" s="379" t="s">
        <v>720</v>
      </c>
      <c r="F24" s="380">
        <v>41548</v>
      </c>
      <c r="G24" s="381">
        <f t="shared" si="0"/>
        <v>2013</v>
      </c>
      <c r="H24" s="381">
        <f t="shared" si="1"/>
        <v>10</v>
      </c>
      <c r="I24" s="382">
        <v>14</v>
      </c>
      <c r="J24" s="382">
        <v>9.048</v>
      </c>
      <c r="K24" s="382">
        <v>0.107</v>
      </c>
      <c r="L24" s="589">
        <v>9.1549999999999994</v>
      </c>
      <c r="M24" s="382">
        <v>6214</v>
      </c>
      <c r="N24" s="383">
        <v>1.5E-3</v>
      </c>
      <c r="O24" s="382">
        <v>8.81</v>
      </c>
      <c r="P24" s="382">
        <v>0.107</v>
      </c>
    </row>
    <row r="25" spans="4:16">
      <c r="D25" s="374" t="s">
        <v>719</v>
      </c>
      <c r="E25" s="379" t="s">
        <v>720</v>
      </c>
      <c r="F25" s="380">
        <v>41604</v>
      </c>
      <c r="G25" s="381">
        <f t="shared" si="0"/>
        <v>2013</v>
      </c>
      <c r="H25" s="381">
        <f t="shared" si="1"/>
        <v>11</v>
      </c>
      <c r="I25" s="382">
        <v>18</v>
      </c>
      <c r="J25" s="382">
        <v>5.5739999999999998</v>
      </c>
      <c r="K25" s="382">
        <v>2.3109999999999999</v>
      </c>
      <c r="L25" s="589">
        <v>7.8849999999999998</v>
      </c>
      <c r="M25" s="382">
        <v>6372</v>
      </c>
      <c r="N25" s="383">
        <v>1.1999999999999999E-3</v>
      </c>
      <c r="O25" s="382">
        <v>5.39</v>
      </c>
      <c r="P25" s="382">
        <v>2.3109999999999999</v>
      </c>
    </row>
    <row r="26" spans="4:16">
      <c r="D26" s="374" t="s">
        <v>719</v>
      </c>
      <c r="E26" s="379" t="s">
        <v>720</v>
      </c>
      <c r="F26" s="380">
        <v>41619</v>
      </c>
      <c r="G26" s="381">
        <f t="shared" si="0"/>
        <v>2013</v>
      </c>
      <c r="H26" s="381">
        <f t="shared" si="1"/>
        <v>12</v>
      </c>
      <c r="I26" s="382">
        <v>18</v>
      </c>
      <c r="J26" s="382">
        <v>8.7360000000000007</v>
      </c>
      <c r="K26" s="382">
        <v>0.56100000000000005</v>
      </c>
      <c r="L26" s="589">
        <v>9.2970000000000006</v>
      </c>
      <c r="M26" s="382">
        <v>6972</v>
      </c>
      <c r="N26" s="383">
        <v>1.2999999999999999E-3</v>
      </c>
      <c r="O26" s="382">
        <v>8.5060000000000002</v>
      </c>
      <c r="P26" s="382">
        <v>0.56100000000000005</v>
      </c>
    </row>
    <row r="27" spans="4:16">
      <c r="D27" s="374" t="s">
        <v>719</v>
      </c>
      <c r="E27" s="590" t="s">
        <v>720</v>
      </c>
      <c r="F27" s="591">
        <v>41645</v>
      </c>
      <c r="G27" s="381">
        <f t="shared" si="0"/>
        <v>2014</v>
      </c>
      <c r="H27" s="381">
        <f t="shared" si="1"/>
        <v>1</v>
      </c>
      <c r="I27" s="592">
        <v>18</v>
      </c>
      <c r="J27" s="592">
        <v>6.7210000000000001</v>
      </c>
      <c r="K27" s="592">
        <v>1.548</v>
      </c>
      <c r="L27" s="593">
        <v>8.2690000000000001</v>
      </c>
      <c r="M27" s="594">
        <v>7188</v>
      </c>
      <c r="N27" s="592">
        <v>0.115</v>
      </c>
      <c r="O27" s="592">
        <v>6.5220000000000002</v>
      </c>
      <c r="P27" s="592">
        <v>1.548</v>
      </c>
    </row>
    <row r="28" spans="4:16">
      <c r="D28" s="374" t="s">
        <v>719</v>
      </c>
      <c r="E28" s="590" t="s">
        <v>720</v>
      </c>
      <c r="F28" s="591">
        <v>41676</v>
      </c>
      <c r="G28" s="381">
        <f t="shared" si="0"/>
        <v>2014</v>
      </c>
      <c r="H28" s="381">
        <f t="shared" si="1"/>
        <v>2</v>
      </c>
      <c r="I28" s="592">
        <v>19</v>
      </c>
      <c r="J28" s="592">
        <v>8.42</v>
      </c>
      <c r="K28" s="592">
        <v>0</v>
      </c>
      <c r="L28" s="593">
        <v>8.42</v>
      </c>
      <c r="M28" s="594">
        <v>6743</v>
      </c>
      <c r="N28" s="592">
        <v>0.125</v>
      </c>
      <c r="O28" s="592">
        <v>6.9779999999999998</v>
      </c>
      <c r="P28" s="592">
        <v>0</v>
      </c>
    </row>
    <row r="29" spans="4:16">
      <c r="D29" s="374" t="s">
        <v>719</v>
      </c>
      <c r="E29" s="590" t="s">
        <v>720</v>
      </c>
      <c r="F29" s="591">
        <v>41701</v>
      </c>
      <c r="G29" s="381">
        <f t="shared" si="0"/>
        <v>2014</v>
      </c>
      <c r="H29" s="381">
        <f t="shared" si="1"/>
        <v>3</v>
      </c>
      <c r="I29" s="592">
        <v>19</v>
      </c>
      <c r="J29" s="592">
        <v>6.9359999999999999</v>
      </c>
      <c r="K29" s="592">
        <v>0.59899999999999998</v>
      </c>
      <c r="L29" s="593">
        <v>7.5350000000000001</v>
      </c>
      <c r="M29" s="594">
        <v>6537</v>
      </c>
      <c r="N29" s="592">
        <v>0.115</v>
      </c>
      <c r="O29" s="592">
        <v>6.8449999999999998</v>
      </c>
      <c r="P29" s="592">
        <v>0.59899999999999998</v>
      </c>
    </row>
    <row r="30" spans="4:16">
      <c r="D30" s="374" t="s">
        <v>719</v>
      </c>
      <c r="E30" s="590" t="s">
        <v>720</v>
      </c>
      <c r="F30" s="591">
        <v>41730</v>
      </c>
      <c r="G30" s="381">
        <f t="shared" si="0"/>
        <v>2014</v>
      </c>
      <c r="H30" s="381">
        <f t="shared" si="1"/>
        <v>4</v>
      </c>
      <c r="I30" s="592">
        <v>11</v>
      </c>
      <c r="J30" s="592">
        <v>5.1139999999999999</v>
      </c>
      <c r="K30" s="592">
        <v>2.2879999999999998</v>
      </c>
      <c r="L30" s="593">
        <v>7.4020000000000001</v>
      </c>
      <c r="M30" s="594">
        <v>5924</v>
      </c>
      <c r="N30" s="592">
        <v>0.125</v>
      </c>
      <c r="O30" s="592">
        <v>5.2279999999999998</v>
      </c>
      <c r="P30" s="592">
        <v>2.2879999999999998</v>
      </c>
    </row>
    <row r="31" spans="4:16">
      <c r="D31" s="374" t="s">
        <v>719</v>
      </c>
      <c r="E31" s="590" t="s">
        <v>720</v>
      </c>
      <c r="F31" s="591">
        <v>41789</v>
      </c>
      <c r="G31" s="381">
        <f t="shared" si="0"/>
        <v>2014</v>
      </c>
      <c r="H31" s="381">
        <f t="shared" si="1"/>
        <v>5</v>
      </c>
      <c r="I31" s="592">
        <v>16</v>
      </c>
      <c r="J31" s="592">
        <v>9.8710000000000004</v>
      </c>
      <c r="K31" s="592">
        <v>0.56999999999999995</v>
      </c>
      <c r="L31" s="593">
        <v>10.441000000000001</v>
      </c>
      <c r="M31" s="594">
        <v>7422</v>
      </c>
      <c r="N31" s="592">
        <v>0.14099999999999999</v>
      </c>
      <c r="O31" s="592">
        <v>9.6780000000000008</v>
      </c>
      <c r="P31" s="592">
        <v>0.56999999999999995</v>
      </c>
    </row>
    <row r="32" spans="4:16">
      <c r="D32" s="374" t="s">
        <v>719</v>
      </c>
      <c r="E32" s="590" t="s">
        <v>720</v>
      </c>
      <c r="F32" s="591">
        <v>41814</v>
      </c>
      <c r="G32" s="381">
        <f t="shared" si="0"/>
        <v>2014</v>
      </c>
      <c r="H32" s="381">
        <f t="shared" si="1"/>
        <v>6</v>
      </c>
      <c r="I32" s="592">
        <v>16</v>
      </c>
      <c r="J32" s="592">
        <v>9.6449999999999996</v>
      </c>
      <c r="K32" s="592">
        <v>8.4000000000000005E-2</v>
      </c>
      <c r="L32" s="593">
        <v>9.7289999999999992</v>
      </c>
      <c r="M32" s="594">
        <v>7670</v>
      </c>
      <c r="N32" s="592">
        <v>0.127</v>
      </c>
      <c r="O32" s="592">
        <v>9.6449999999999996</v>
      </c>
      <c r="P32" s="592">
        <v>8.4000000000000005E-2</v>
      </c>
    </row>
    <row r="33" spans="4:16">
      <c r="D33" s="374" t="s">
        <v>719</v>
      </c>
      <c r="E33" s="590" t="s">
        <v>720</v>
      </c>
      <c r="F33" s="591">
        <v>41841</v>
      </c>
      <c r="G33" s="381">
        <f t="shared" si="0"/>
        <v>2014</v>
      </c>
      <c r="H33" s="381">
        <f t="shared" si="1"/>
        <v>7</v>
      </c>
      <c r="I33" s="592">
        <v>17</v>
      </c>
      <c r="J33" s="592">
        <v>11.457000000000001</v>
      </c>
      <c r="K33" s="592">
        <v>0</v>
      </c>
      <c r="L33" s="593">
        <v>11.457000000000001</v>
      </c>
      <c r="M33" s="594">
        <v>9150</v>
      </c>
      <c r="N33" s="592">
        <v>0.125</v>
      </c>
      <c r="O33" s="592">
        <v>11.228</v>
      </c>
      <c r="P33" s="592">
        <v>0</v>
      </c>
    </row>
    <row r="34" spans="4:16">
      <c r="D34" s="374" t="s">
        <v>719</v>
      </c>
      <c r="E34" s="590" t="s">
        <v>720</v>
      </c>
      <c r="F34" s="591">
        <v>41869</v>
      </c>
      <c r="G34" s="381">
        <f t="shared" si="0"/>
        <v>2014</v>
      </c>
      <c r="H34" s="381">
        <f t="shared" si="1"/>
        <v>8</v>
      </c>
      <c r="I34" s="592">
        <v>16</v>
      </c>
      <c r="J34" s="592">
        <v>11.097</v>
      </c>
      <c r="K34" s="592">
        <v>7.8E-2</v>
      </c>
      <c r="L34" s="593">
        <v>11.175000000000001</v>
      </c>
      <c r="M34" s="594">
        <v>8190</v>
      </c>
      <c r="N34" s="592">
        <v>0.13600000000000001</v>
      </c>
      <c r="O34" s="592">
        <v>10.875</v>
      </c>
      <c r="P34" s="592">
        <v>7.8E-2</v>
      </c>
    </row>
    <row r="35" spans="4:16">
      <c r="D35" s="374" t="s">
        <v>719</v>
      </c>
      <c r="E35" s="590" t="s">
        <v>720</v>
      </c>
      <c r="F35" s="591">
        <v>41886</v>
      </c>
      <c r="G35" s="381">
        <f t="shared" si="0"/>
        <v>2014</v>
      </c>
      <c r="H35" s="381">
        <f t="shared" si="1"/>
        <v>9</v>
      </c>
      <c r="I35" s="592">
        <v>15</v>
      </c>
      <c r="J35" s="592">
        <v>11.45</v>
      </c>
      <c r="K35" s="592">
        <v>8.0000000000000002E-3</v>
      </c>
      <c r="L35" s="593">
        <v>11.458</v>
      </c>
      <c r="M35" s="594">
        <v>7758</v>
      </c>
      <c r="N35" s="592">
        <v>0.14799999999999999</v>
      </c>
      <c r="O35" s="592">
        <v>11.221</v>
      </c>
      <c r="P35" s="592">
        <v>8.0000000000000002E-3</v>
      </c>
    </row>
    <row r="36" spans="4:16">
      <c r="D36" s="374" t="s">
        <v>719</v>
      </c>
      <c r="E36" s="590" t="s">
        <v>720</v>
      </c>
      <c r="F36" s="591">
        <v>41942</v>
      </c>
      <c r="G36" s="381">
        <f t="shared" si="0"/>
        <v>2014</v>
      </c>
      <c r="H36" s="381">
        <f t="shared" si="1"/>
        <v>10</v>
      </c>
      <c r="I36" s="592">
        <v>20</v>
      </c>
      <c r="J36" s="592">
        <v>4.5389999999999997</v>
      </c>
      <c r="K36" s="592">
        <v>0</v>
      </c>
      <c r="L36" s="593">
        <v>4.5389999999999997</v>
      </c>
      <c r="M36" s="594">
        <v>5901</v>
      </c>
      <c r="N36" s="592">
        <v>7.6999999999999999E-2</v>
      </c>
      <c r="O36" s="592">
        <v>4.4480000000000004</v>
      </c>
      <c r="P36" s="592">
        <v>0</v>
      </c>
    </row>
    <row r="37" spans="4:16">
      <c r="D37" s="374" t="s">
        <v>719</v>
      </c>
      <c r="E37" s="590" t="s">
        <v>720</v>
      </c>
      <c r="F37" s="591">
        <v>41960</v>
      </c>
      <c r="G37" s="381">
        <f t="shared" si="0"/>
        <v>2014</v>
      </c>
      <c r="H37" s="381">
        <f t="shared" si="1"/>
        <v>11</v>
      </c>
      <c r="I37" s="592">
        <v>18</v>
      </c>
      <c r="J37" s="592">
        <v>5.9059999999999997</v>
      </c>
      <c r="K37" s="592">
        <v>2.1349999999999998</v>
      </c>
      <c r="L37" s="593">
        <v>8.0410000000000004</v>
      </c>
      <c r="M37" s="594">
        <v>6677</v>
      </c>
      <c r="N37" s="592">
        <v>0.12</v>
      </c>
      <c r="O37" s="592">
        <v>5.7880000000000003</v>
      </c>
      <c r="P37" s="592">
        <v>2.1349999999999998</v>
      </c>
    </row>
    <row r="38" spans="4:16">
      <c r="D38" s="374" t="s">
        <v>719</v>
      </c>
      <c r="E38" s="590" t="s">
        <v>720</v>
      </c>
      <c r="F38" s="591">
        <v>41974</v>
      </c>
      <c r="G38" s="381">
        <f t="shared" si="0"/>
        <v>2014</v>
      </c>
      <c r="H38" s="381">
        <f t="shared" si="1"/>
        <v>12</v>
      </c>
      <c r="I38" s="592">
        <v>18</v>
      </c>
      <c r="J38" s="592">
        <v>8.5399999999999991</v>
      </c>
      <c r="K38" s="592">
        <v>0.13400000000000001</v>
      </c>
      <c r="L38" s="593">
        <v>8.6739999999999995</v>
      </c>
      <c r="M38" s="594">
        <v>6850</v>
      </c>
      <c r="N38" s="592">
        <v>0.127</v>
      </c>
      <c r="O38" s="592">
        <v>8.3689999999999998</v>
      </c>
      <c r="P38" s="592">
        <v>0.13400000000000001</v>
      </c>
    </row>
    <row r="39" spans="4:16">
      <c r="D39" s="374" t="s">
        <v>719</v>
      </c>
      <c r="E39" s="590" t="s">
        <v>720</v>
      </c>
      <c r="F39" s="591">
        <v>42011</v>
      </c>
      <c r="G39" s="381">
        <f t="shared" si="0"/>
        <v>2015</v>
      </c>
      <c r="H39" s="381">
        <f t="shared" si="1"/>
        <v>1</v>
      </c>
      <c r="I39" s="592">
        <v>18</v>
      </c>
      <c r="J39" s="592">
        <v>7.9850000000000003</v>
      </c>
      <c r="K39" s="592">
        <v>0.27800000000000002</v>
      </c>
      <c r="L39" s="593">
        <v>8.2629999999999999</v>
      </c>
      <c r="M39" s="594">
        <v>6978</v>
      </c>
      <c r="N39" s="592">
        <v>0.11799999999999999</v>
      </c>
      <c r="O39" s="592">
        <v>7.8250000000000002</v>
      </c>
      <c r="P39" s="592">
        <v>0.27800000000000002</v>
      </c>
    </row>
    <row r="40" spans="4:16">
      <c r="D40" s="374" t="s">
        <v>719</v>
      </c>
      <c r="E40" s="590" t="s">
        <v>720</v>
      </c>
      <c r="F40" s="591">
        <v>42053</v>
      </c>
      <c r="G40" s="381">
        <f t="shared" si="0"/>
        <v>2015</v>
      </c>
      <c r="H40" s="381">
        <f t="shared" si="1"/>
        <v>2</v>
      </c>
      <c r="I40" s="592">
        <v>19</v>
      </c>
      <c r="J40" s="592">
        <v>6.1120000000000001</v>
      </c>
      <c r="K40" s="592">
        <v>1.9350000000000001</v>
      </c>
      <c r="L40" s="593">
        <v>8.0470000000000006</v>
      </c>
      <c r="M40" s="594">
        <v>6744</v>
      </c>
      <c r="N40" s="592">
        <v>0.11899999999999999</v>
      </c>
      <c r="O40" s="592">
        <v>5.9189999999999996</v>
      </c>
      <c r="P40" s="592">
        <v>1.9350000000000001</v>
      </c>
    </row>
    <row r="41" spans="4:16">
      <c r="D41" s="374" t="s">
        <v>719</v>
      </c>
      <c r="E41" s="590" t="s">
        <v>720</v>
      </c>
      <c r="F41" s="591">
        <v>42067</v>
      </c>
      <c r="G41" s="381">
        <f t="shared" si="0"/>
        <v>2015</v>
      </c>
      <c r="H41" s="381">
        <f t="shared" si="1"/>
        <v>3</v>
      </c>
      <c r="I41" s="592">
        <v>20</v>
      </c>
      <c r="J41" s="592">
        <v>6.3550000000000004</v>
      </c>
      <c r="K41" s="592">
        <v>1.2490000000000001</v>
      </c>
      <c r="L41" s="593">
        <v>7.6040000000000001</v>
      </c>
      <c r="M41" s="594">
        <v>6470</v>
      </c>
      <c r="N41" s="592">
        <v>0.11799999999999999</v>
      </c>
      <c r="O41" s="592">
        <v>6.2080000000000002</v>
      </c>
      <c r="P41" s="592">
        <v>1.2490000000000001</v>
      </c>
    </row>
    <row r="42" spans="4:16">
      <c r="D42" s="374" t="s">
        <v>719</v>
      </c>
      <c r="E42" s="590" t="s">
        <v>720</v>
      </c>
      <c r="F42" s="591">
        <v>42103</v>
      </c>
      <c r="G42" s="381">
        <f t="shared" si="0"/>
        <v>2015</v>
      </c>
      <c r="H42" s="381">
        <f t="shared" si="1"/>
        <v>4</v>
      </c>
      <c r="I42" s="592">
        <v>12</v>
      </c>
      <c r="J42" s="592">
        <v>5.4560000000000004</v>
      </c>
      <c r="K42" s="592">
        <v>1.798</v>
      </c>
      <c r="L42" s="593">
        <v>7.2539999999999996</v>
      </c>
      <c r="M42" s="594">
        <v>5914</v>
      </c>
      <c r="N42" s="592">
        <v>0.123</v>
      </c>
      <c r="O42" s="592">
        <v>5.2770000000000001</v>
      </c>
      <c r="P42" s="592">
        <v>1.798</v>
      </c>
    </row>
    <row r="43" spans="4:16">
      <c r="D43" s="374" t="s">
        <v>719</v>
      </c>
      <c r="E43" s="590" t="s">
        <v>720</v>
      </c>
      <c r="F43" s="591">
        <v>42152</v>
      </c>
      <c r="G43" s="381">
        <f t="shared" si="0"/>
        <v>2015</v>
      </c>
      <c r="H43" s="381">
        <f t="shared" si="1"/>
        <v>5</v>
      </c>
      <c r="I43" s="592">
        <v>16</v>
      </c>
      <c r="J43" s="592">
        <v>7.149</v>
      </c>
      <c r="K43" s="592">
        <v>1.494</v>
      </c>
      <c r="L43" s="593">
        <v>8.6430000000000007</v>
      </c>
      <c r="M43" s="594">
        <v>6837</v>
      </c>
      <c r="N43" s="592">
        <v>0.126</v>
      </c>
      <c r="O43" s="592">
        <v>6.9379999999999997</v>
      </c>
      <c r="P43" s="592">
        <v>1.494</v>
      </c>
    </row>
    <row r="44" spans="4:16">
      <c r="D44" s="374" t="s">
        <v>719</v>
      </c>
      <c r="E44" s="590" t="s">
        <v>720</v>
      </c>
      <c r="F44" s="591">
        <v>42164</v>
      </c>
      <c r="G44" s="381">
        <f t="shared" si="0"/>
        <v>2015</v>
      </c>
      <c r="H44" s="381">
        <f t="shared" si="1"/>
        <v>6</v>
      </c>
      <c r="I44" s="592">
        <v>17</v>
      </c>
      <c r="J44" s="592">
        <v>10.420999999999999</v>
      </c>
      <c r="K44" s="592">
        <v>0.68</v>
      </c>
      <c r="L44" s="593">
        <v>11.101000000000001</v>
      </c>
      <c r="M44" s="594">
        <v>8136</v>
      </c>
      <c r="N44" s="592">
        <v>0.13600000000000001</v>
      </c>
      <c r="O44" s="592">
        <v>10.28</v>
      </c>
      <c r="P44" s="592">
        <v>0.68</v>
      </c>
    </row>
    <row r="45" spans="4:16">
      <c r="D45" s="374" t="s">
        <v>719</v>
      </c>
      <c r="E45" s="590" t="s">
        <v>720</v>
      </c>
      <c r="F45" s="591">
        <v>42212</v>
      </c>
      <c r="G45" s="381">
        <f t="shared" si="0"/>
        <v>2015</v>
      </c>
      <c r="H45" s="381">
        <f t="shared" si="1"/>
        <v>7</v>
      </c>
      <c r="I45" s="592">
        <v>17</v>
      </c>
      <c r="J45" s="592">
        <v>9.2620000000000005</v>
      </c>
      <c r="K45" s="592">
        <v>0.94599999999999995</v>
      </c>
      <c r="L45" s="593">
        <v>10.208</v>
      </c>
      <c r="M45" s="594">
        <v>8769</v>
      </c>
      <c r="N45" s="592">
        <v>0.11600000000000001</v>
      </c>
      <c r="O45" s="592">
        <v>9.0749999999999993</v>
      </c>
      <c r="P45" s="592">
        <v>0.94599999999999995</v>
      </c>
    </row>
    <row r="46" spans="4:16">
      <c r="D46" s="374" t="s">
        <v>719</v>
      </c>
      <c r="E46" s="590" t="s">
        <v>720</v>
      </c>
      <c r="F46" s="591">
        <v>42230</v>
      </c>
      <c r="G46" s="381">
        <f t="shared" si="0"/>
        <v>2015</v>
      </c>
      <c r="H46" s="381">
        <f t="shared" si="1"/>
        <v>8</v>
      </c>
      <c r="I46" s="592">
        <v>16</v>
      </c>
      <c r="J46" s="592">
        <v>11.696999999999999</v>
      </c>
      <c r="K46" s="592">
        <v>0.122</v>
      </c>
      <c r="L46" s="593">
        <v>11.819000000000001</v>
      </c>
      <c r="M46" s="594">
        <v>8926</v>
      </c>
      <c r="N46" s="592">
        <v>0.13200000000000001</v>
      </c>
      <c r="O46" s="592">
        <v>11.432</v>
      </c>
      <c r="P46" s="592">
        <v>0.122</v>
      </c>
    </row>
    <row r="47" spans="4:16">
      <c r="D47" s="374" t="s">
        <v>719</v>
      </c>
      <c r="E47" s="590" t="s">
        <v>720</v>
      </c>
      <c r="F47" s="591">
        <v>42250</v>
      </c>
      <c r="G47" s="381">
        <f t="shared" si="0"/>
        <v>2015</v>
      </c>
      <c r="H47" s="381">
        <f t="shared" si="1"/>
        <v>9</v>
      </c>
      <c r="I47" s="592">
        <v>17</v>
      </c>
      <c r="J47" s="592">
        <v>12.102</v>
      </c>
      <c r="K47" s="592">
        <v>0.14599999999999999</v>
      </c>
      <c r="L47" s="593">
        <v>12.247999999999999</v>
      </c>
      <c r="M47" s="594">
        <v>8657</v>
      </c>
      <c r="N47" s="592">
        <v>0.14099999999999999</v>
      </c>
      <c r="O47" s="592">
        <v>11.907</v>
      </c>
      <c r="P47" s="592">
        <v>0.14599999999999999</v>
      </c>
    </row>
    <row r="48" spans="4:16">
      <c r="D48" s="374" t="s">
        <v>719</v>
      </c>
      <c r="E48" s="590" t="s">
        <v>720</v>
      </c>
      <c r="F48" s="591">
        <v>42285</v>
      </c>
      <c r="G48" s="381">
        <f t="shared" si="0"/>
        <v>2015</v>
      </c>
      <c r="H48" s="381">
        <f t="shared" si="1"/>
        <v>10</v>
      </c>
      <c r="I48" s="592">
        <v>12</v>
      </c>
      <c r="J48" s="592">
        <v>7.3460000000000001</v>
      </c>
      <c r="K48" s="592">
        <v>0.55200000000000005</v>
      </c>
      <c r="L48" s="593">
        <v>7.8979999999999997</v>
      </c>
      <c r="M48" s="594">
        <v>5943</v>
      </c>
      <c r="N48" s="592">
        <v>0.13300000000000001</v>
      </c>
      <c r="O48" s="592">
        <v>7.0949999999999998</v>
      </c>
      <c r="P48" s="592">
        <v>0.55200000000000005</v>
      </c>
    </row>
    <row r="49" spans="4:16">
      <c r="D49" s="374" t="s">
        <v>719</v>
      </c>
      <c r="E49" s="590" t="s">
        <v>720</v>
      </c>
      <c r="F49" s="591">
        <v>42338</v>
      </c>
      <c r="G49" s="381">
        <f t="shared" si="0"/>
        <v>2015</v>
      </c>
      <c r="H49" s="381">
        <f t="shared" si="1"/>
        <v>11</v>
      </c>
      <c r="I49" s="592">
        <v>18</v>
      </c>
      <c r="J49" s="592">
        <v>6.9589999999999996</v>
      </c>
      <c r="K49" s="592">
        <v>0.51900000000000002</v>
      </c>
      <c r="L49" s="593">
        <v>7.4779999999999998</v>
      </c>
      <c r="M49" s="594">
        <v>6574</v>
      </c>
      <c r="N49" s="592">
        <v>0.114</v>
      </c>
      <c r="O49" s="592">
        <v>6.5949999999999998</v>
      </c>
      <c r="P49" s="592">
        <v>0.51900000000000002</v>
      </c>
    </row>
    <row r="50" spans="4:16">
      <c r="D50" s="374" t="s">
        <v>719</v>
      </c>
      <c r="E50" s="590" t="s">
        <v>720</v>
      </c>
      <c r="F50" s="591">
        <v>42355</v>
      </c>
      <c r="G50" s="381">
        <f t="shared" si="0"/>
        <v>2015</v>
      </c>
      <c r="H50" s="381">
        <f t="shared" si="1"/>
        <v>12</v>
      </c>
      <c r="I50" s="592">
        <v>18</v>
      </c>
      <c r="J50" s="592">
        <v>5.915</v>
      </c>
      <c r="K50" s="592">
        <v>1.7050000000000001</v>
      </c>
      <c r="L50" s="593">
        <v>7.62</v>
      </c>
      <c r="M50" s="594">
        <v>6450</v>
      </c>
      <c r="N50" s="592">
        <v>0.11799999999999999</v>
      </c>
      <c r="O50" s="592">
        <v>5.4189999999999996</v>
      </c>
      <c r="P50" s="592">
        <v>1.7050000000000001</v>
      </c>
    </row>
    <row r="51" spans="4:16">
      <c r="D51" s="374" t="s">
        <v>719</v>
      </c>
      <c r="E51" s="379" t="s">
        <v>721</v>
      </c>
      <c r="F51" s="380">
        <v>40927</v>
      </c>
      <c r="G51" s="381">
        <f t="shared" si="0"/>
        <v>2012</v>
      </c>
      <c r="H51" s="381">
        <f t="shared" si="1"/>
        <v>1</v>
      </c>
      <c r="I51" s="382">
        <v>19</v>
      </c>
      <c r="J51" s="382">
        <v>8.0950000000000006</v>
      </c>
      <c r="K51" s="382">
        <v>0</v>
      </c>
      <c r="L51" s="589">
        <v>8.0950000000000006</v>
      </c>
      <c r="M51" s="382">
        <v>6604</v>
      </c>
      <c r="N51" s="383">
        <v>1.1999999999999999E-3</v>
      </c>
      <c r="O51" s="382">
        <v>8.1769999999999996</v>
      </c>
      <c r="P51" s="382">
        <v>0</v>
      </c>
    </row>
    <row r="52" spans="4:16">
      <c r="D52" s="374" t="s">
        <v>719</v>
      </c>
      <c r="E52" s="379" t="s">
        <v>721</v>
      </c>
      <c r="F52" s="380">
        <v>40967</v>
      </c>
      <c r="G52" s="381">
        <f t="shared" si="0"/>
        <v>2012</v>
      </c>
      <c r="H52" s="381">
        <f t="shared" si="1"/>
        <v>2</v>
      </c>
      <c r="I52" s="382">
        <v>19</v>
      </c>
      <c r="J52" s="382">
        <v>7.4610000000000003</v>
      </c>
      <c r="K52" s="382">
        <v>0</v>
      </c>
      <c r="L52" s="589">
        <v>7.4610000000000003</v>
      </c>
      <c r="M52" s="382">
        <v>6178</v>
      </c>
      <c r="N52" s="383">
        <v>1.1999999999999999E-3</v>
      </c>
      <c r="O52" s="382">
        <v>7.5380000000000003</v>
      </c>
      <c r="P52" s="382">
        <v>0</v>
      </c>
    </row>
    <row r="53" spans="4:16">
      <c r="D53" s="374" t="s">
        <v>719</v>
      </c>
      <c r="E53" s="379" t="s">
        <v>721</v>
      </c>
      <c r="F53" s="380">
        <v>40987</v>
      </c>
      <c r="G53" s="381">
        <f t="shared" si="0"/>
        <v>2012</v>
      </c>
      <c r="H53" s="381">
        <f t="shared" si="1"/>
        <v>3</v>
      </c>
      <c r="I53" s="382">
        <v>14</v>
      </c>
      <c r="J53" s="382">
        <v>8.2810000000000006</v>
      </c>
      <c r="K53" s="382">
        <v>0</v>
      </c>
      <c r="L53" s="589">
        <v>8.2810000000000006</v>
      </c>
      <c r="M53" s="382">
        <v>6170</v>
      </c>
      <c r="N53" s="383">
        <v>1.2999999999999999E-3</v>
      </c>
      <c r="O53" s="382">
        <v>8.3559999999999999</v>
      </c>
      <c r="P53" s="382">
        <v>0</v>
      </c>
    </row>
    <row r="54" spans="4:16">
      <c r="D54" s="374" t="s">
        <v>719</v>
      </c>
      <c r="E54" s="379" t="s">
        <v>721</v>
      </c>
      <c r="F54" s="380">
        <v>41024</v>
      </c>
      <c r="G54" s="381">
        <f t="shared" si="0"/>
        <v>2012</v>
      </c>
      <c r="H54" s="381">
        <f t="shared" si="1"/>
        <v>4</v>
      </c>
      <c r="I54" s="382">
        <v>15</v>
      </c>
      <c r="J54" s="382">
        <v>7.5259999999999998</v>
      </c>
      <c r="K54" s="382">
        <v>0</v>
      </c>
      <c r="L54" s="589">
        <v>7.5259999999999998</v>
      </c>
      <c r="M54" s="382">
        <v>5813</v>
      </c>
      <c r="N54" s="383">
        <v>1.2999999999999999E-3</v>
      </c>
      <c r="O54" s="382">
        <v>7.5919999999999996</v>
      </c>
      <c r="P54" s="382">
        <v>0</v>
      </c>
    </row>
    <row r="55" spans="4:16">
      <c r="D55" s="374" t="s">
        <v>719</v>
      </c>
      <c r="E55" s="379" t="s">
        <v>721</v>
      </c>
      <c r="F55" s="380">
        <v>41047</v>
      </c>
      <c r="G55" s="381">
        <f t="shared" si="0"/>
        <v>2012</v>
      </c>
      <c r="H55" s="381">
        <f t="shared" si="1"/>
        <v>5</v>
      </c>
      <c r="I55" s="382">
        <v>17</v>
      </c>
      <c r="J55" s="382">
        <v>9.0589999999999993</v>
      </c>
      <c r="K55" s="382">
        <v>0</v>
      </c>
      <c r="L55" s="589">
        <v>9.0589999999999993</v>
      </c>
      <c r="M55" s="382">
        <v>7203</v>
      </c>
      <c r="N55" s="383">
        <v>1.2999999999999999E-3</v>
      </c>
      <c r="O55" s="382">
        <v>9.15</v>
      </c>
      <c r="P55" s="382">
        <v>0</v>
      </c>
    </row>
    <row r="56" spans="4:16">
      <c r="D56" s="374" t="s">
        <v>719</v>
      </c>
      <c r="E56" s="379" t="s">
        <v>721</v>
      </c>
      <c r="F56" s="380">
        <v>41087</v>
      </c>
      <c r="G56" s="381">
        <f t="shared" si="0"/>
        <v>2012</v>
      </c>
      <c r="H56" s="381">
        <f t="shared" si="1"/>
        <v>6</v>
      </c>
      <c r="I56" s="382">
        <v>17</v>
      </c>
      <c r="J56" s="382">
        <v>11.82</v>
      </c>
      <c r="K56" s="382">
        <v>0</v>
      </c>
      <c r="L56" s="589">
        <v>11.82</v>
      </c>
      <c r="M56" s="382">
        <v>8833</v>
      </c>
      <c r="N56" s="383">
        <v>1.2999999999999999E-3</v>
      </c>
      <c r="O56" s="382">
        <v>11.930999999999999</v>
      </c>
      <c r="P56" s="382">
        <v>0</v>
      </c>
    </row>
    <row r="57" spans="4:16">
      <c r="D57" s="374" t="s">
        <v>719</v>
      </c>
      <c r="E57" s="379" t="s">
        <v>721</v>
      </c>
      <c r="F57" s="380">
        <v>41092</v>
      </c>
      <c r="G57" s="381">
        <f t="shared" si="0"/>
        <v>2012</v>
      </c>
      <c r="H57" s="381">
        <f t="shared" si="1"/>
        <v>7</v>
      </c>
      <c r="I57" s="382">
        <v>17</v>
      </c>
      <c r="J57" s="382">
        <v>12.789</v>
      </c>
      <c r="K57" s="382">
        <v>0</v>
      </c>
      <c r="L57" s="589">
        <v>12.789</v>
      </c>
      <c r="M57" s="382">
        <v>9682</v>
      </c>
      <c r="N57" s="383">
        <v>1.2999999999999999E-3</v>
      </c>
      <c r="O57" s="382">
        <v>12.896000000000001</v>
      </c>
      <c r="P57" s="382">
        <v>0</v>
      </c>
    </row>
    <row r="58" spans="4:16">
      <c r="D58" s="374" t="s">
        <v>719</v>
      </c>
      <c r="E58" s="379" t="s">
        <v>721</v>
      </c>
      <c r="F58" s="380">
        <v>41122</v>
      </c>
      <c r="G58" s="381">
        <f t="shared" si="0"/>
        <v>2012</v>
      </c>
      <c r="H58" s="381">
        <f t="shared" si="1"/>
        <v>8</v>
      </c>
      <c r="I58" s="382">
        <v>17</v>
      </c>
      <c r="J58" s="382">
        <v>12.018000000000001</v>
      </c>
      <c r="K58" s="382">
        <v>0</v>
      </c>
      <c r="L58" s="589">
        <v>12.018000000000001</v>
      </c>
      <c r="M58" s="382">
        <v>8979</v>
      </c>
      <c r="N58" s="383">
        <v>1.2999999999999999E-3</v>
      </c>
      <c r="O58" s="382">
        <v>12.132</v>
      </c>
      <c r="P58" s="382">
        <v>0</v>
      </c>
    </row>
    <row r="59" spans="4:16">
      <c r="D59" s="374" t="s">
        <v>719</v>
      </c>
      <c r="E59" s="379" t="s">
        <v>721</v>
      </c>
      <c r="F59" s="380">
        <v>41156</v>
      </c>
      <c r="G59" s="381">
        <f t="shared" si="0"/>
        <v>2012</v>
      </c>
      <c r="H59" s="381">
        <f t="shared" si="1"/>
        <v>9</v>
      </c>
      <c r="I59" s="382">
        <v>16</v>
      </c>
      <c r="J59" s="382">
        <v>11.038</v>
      </c>
      <c r="K59" s="382">
        <v>0</v>
      </c>
      <c r="L59" s="589">
        <v>11.038</v>
      </c>
      <c r="M59" s="382">
        <v>8521</v>
      </c>
      <c r="N59" s="383">
        <v>1.2999999999999999E-3</v>
      </c>
      <c r="O59" s="382">
        <v>11.143000000000001</v>
      </c>
      <c r="P59" s="382">
        <v>0</v>
      </c>
    </row>
    <row r="60" spans="4:16">
      <c r="D60" s="374" t="s">
        <v>719</v>
      </c>
      <c r="E60" s="379" t="s">
        <v>721</v>
      </c>
      <c r="F60" s="380">
        <v>41185</v>
      </c>
      <c r="G60" s="381">
        <f t="shared" si="0"/>
        <v>2012</v>
      </c>
      <c r="H60" s="381">
        <f t="shared" si="1"/>
        <v>10</v>
      </c>
      <c r="I60" s="382">
        <v>14</v>
      </c>
      <c r="J60" s="382">
        <v>7.9020000000000001</v>
      </c>
      <c r="K60" s="382">
        <v>0</v>
      </c>
      <c r="L60" s="589">
        <v>7.9020000000000001</v>
      </c>
      <c r="M60" s="382">
        <v>6122</v>
      </c>
      <c r="N60" s="383">
        <v>1.2999999999999999E-3</v>
      </c>
      <c r="O60" s="382">
        <v>7.9809999999999999</v>
      </c>
      <c r="P60" s="382">
        <v>0</v>
      </c>
    </row>
    <row r="61" spans="4:16">
      <c r="D61" s="374" t="s">
        <v>719</v>
      </c>
      <c r="E61" s="379" t="s">
        <v>721</v>
      </c>
      <c r="F61" s="380">
        <v>41239</v>
      </c>
      <c r="G61" s="381">
        <f t="shared" si="0"/>
        <v>2012</v>
      </c>
      <c r="H61" s="381">
        <f t="shared" si="1"/>
        <v>11</v>
      </c>
      <c r="I61" s="382">
        <v>18</v>
      </c>
      <c r="J61" s="382">
        <v>8.0030000000000001</v>
      </c>
      <c r="K61" s="382">
        <v>0</v>
      </c>
      <c r="L61" s="589">
        <v>8.0030000000000001</v>
      </c>
      <c r="M61" s="382">
        <v>6416</v>
      </c>
      <c r="N61" s="383">
        <v>1.1999999999999999E-3</v>
      </c>
      <c r="O61" s="382">
        <v>8.0660000000000007</v>
      </c>
      <c r="P61" s="382">
        <v>0</v>
      </c>
    </row>
    <row r="62" spans="4:16">
      <c r="D62" s="374" t="s">
        <v>719</v>
      </c>
      <c r="E62" s="379" t="s">
        <v>721</v>
      </c>
      <c r="F62" s="380">
        <v>41253</v>
      </c>
      <c r="G62" s="381">
        <f t="shared" si="0"/>
        <v>2012</v>
      </c>
      <c r="H62" s="381">
        <f t="shared" si="1"/>
        <v>12</v>
      </c>
      <c r="I62" s="382">
        <v>18</v>
      </c>
      <c r="J62" s="382">
        <v>8.5519999999999996</v>
      </c>
      <c r="K62" s="382">
        <v>0</v>
      </c>
      <c r="L62" s="589">
        <v>8.5519999999999996</v>
      </c>
      <c r="M62" s="382">
        <v>6609</v>
      </c>
      <c r="N62" s="383">
        <v>1.2999999999999999E-3</v>
      </c>
      <c r="O62" s="382">
        <v>8.673</v>
      </c>
      <c r="P62" s="382">
        <v>0</v>
      </c>
    </row>
    <row r="63" spans="4:16">
      <c r="D63" s="374" t="s">
        <v>719</v>
      </c>
      <c r="E63" s="379" t="s">
        <v>721</v>
      </c>
      <c r="F63" s="380">
        <v>41295</v>
      </c>
      <c r="G63" s="381">
        <f t="shared" si="0"/>
        <v>2013</v>
      </c>
      <c r="H63" s="381">
        <f t="shared" si="1"/>
        <v>1</v>
      </c>
      <c r="I63" s="382">
        <v>19</v>
      </c>
      <c r="J63" s="382">
        <v>8.3889999999999993</v>
      </c>
      <c r="K63" s="382">
        <v>0</v>
      </c>
      <c r="L63" s="589">
        <v>8.3889999999999993</v>
      </c>
      <c r="M63" s="382">
        <v>6846</v>
      </c>
      <c r="N63" s="383">
        <v>1.1999999999999999E-3</v>
      </c>
      <c r="O63" s="382">
        <v>8.4740000000000002</v>
      </c>
      <c r="P63" s="382">
        <v>0</v>
      </c>
    </row>
    <row r="64" spans="4:16">
      <c r="D64" s="374" t="s">
        <v>719</v>
      </c>
      <c r="E64" s="379" t="s">
        <v>721</v>
      </c>
      <c r="F64" s="380">
        <v>41324</v>
      </c>
      <c r="G64" s="381">
        <f t="shared" si="0"/>
        <v>2013</v>
      </c>
      <c r="H64" s="381">
        <f t="shared" si="1"/>
        <v>2</v>
      </c>
      <c r="I64" s="382">
        <v>19</v>
      </c>
      <c r="J64" s="382">
        <v>7.9219999999999997</v>
      </c>
      <c r="K64" s="382">
        <v>0</v>
      </c>
      <c r="L64" s="589">
        <v>7.9219999999999997</v>
      </c>
      <c r="M64" s="382">
        <v>6511</v>
      </c>
      <c r="N64" s="383">
        <v>1.1999999999999999E-3</v>
      </c>
      <c r="O64" s="382">
        <v>8.0020000000000007</v>
      </c>
      <c r="P64" s="382">
        <v>0</v>
      </c>
    </row>
    <row r="65" spans="4:16">
      <c r="D65" s="374" t="s">
        <v>719</v>
      </c>
      <c r="E65" s="379" t="s">
        <v>721</v>
      </c>
      <c r="F65" s="380">
        <v>41337</v>
      </c>
      <c r="G65" s="381">
        <f t="shared" si="0"/>
        <v>2013</v>
      </c>
      <c r="H65" s="381">
        <f t="shared" si="1"/>
        <v>3</v>
      </c>
      <c r="I65" s="382">
        <v>19</v>
      </c>
      <c r="J65" s="382">
        <v>7.7130000000000001</v>
      </c>
      <c r="K65" s="382">
        <v>0</v>
      </c>
      <c r="L65" s="589">
        <v>7.7130000000000001</v>
      </c>
      <c r="M65" s="382">
        <v>6172</v>
      </c>
      <c r="N65" s="383">
        <v>1.1999999999999999E-3</v>
      </c>
      <c r="O65" s="382">
        <v>7.7919999999999998</v>
      </c>
      <c r="P65" s="382">
        <v>0</v>
      </c>
    </row>
    <row r="66" spans="4:16">
      <c r="D66" s="374" t="s">
        <v>719</v>
      </c>
      <c r="E66" s="379" t="s">
        <v>721</v>
      </c>
      <c r="F66" s="380">
        <v>41382</v>
      </c>
      <c r="G66" s="381">
        <f t="shared" si="0"/>
        <v>2013</v>
      </c>
      <c r="H66" s="381">
        <f t="shared" si="1"/>
        <v>4</v>
      </c>
      <c r="I66" s="382">
        <v>12</v>
      </c>
      <c r="J66" s="382">
        <v>8.1270000000000007</v>
      </c>
      <c r="K66" s="382">
        <v>0</v>
      </c>
      <c r="L66" s="589">
        <v>8.1270000000000007</v>
      </c>
      <c r="M66" s="382">
        <v>5851</v>
      </c>
      <c r="N66" s="383">
        <v>1.4E-3</v>
      </c>
      <c r="O66" s="382">
        <v>8.1910000000000007</v>
      </c>
      <c r="P66" s="382">
        <v>0</v>
      </c>
    </row>
    <row r="67" spans="4:16">
      <c r="D67" s="374" t="s">
        <v>719</v>
      </c>
      <c r="E67" s="379" t="s">
        <v>721</v>
      </c>
      <c r="F67" s="380">
        <v>41408</v>
      </c>
      <c r="G67" s="381">
        <f t="shared" ref="G67:G130" si="2">YEAR(F67)</f>
        <v>2013</v>
      </c>
      <c r="H67" s="381">
        <f t="shared" ref="H67:H130" si="3">MONTH(F67)</f>
        <v>5</v>
      </c>
      <c r="I67" s="382">
        <v>17</v>
      </c>
      <c r="J67" s="382">
        <v>8.1150000000000002</v>
      </c>
      <c r="K67" s="382">
        <v>0</v>
      </c>
      <c r="L67" s="589">
        <v>8.1150000000000002</v>
      </c>
      <c r="M67" s="382">
        <v>6516</v>
      </c>
      <c r="N67" s="383">
        <v>1.1999999999999999E-3</v>
      </c>
      <c r="O67" s="382">
        <v>8.19</v>
      </c>
      <c r="P67" s="382">
        <v>0</v>
      </c>
    </row>
    <row r="68" spans="4:16">
      <c r="D68" s="374" t="s">
        <v>719</v>
      </c>
      <c r="E68" s="379" t="s">
        <v>721</v>
      </c>
      <c r="F68" s="380">
        <v>41451</v>
      </c>
      <c r="G68" s="381">
        <f t="shared" si="2"/>
        <v>2013</v>
      </c>
      <c r="H68" s="381">
        <f t="shared" si="3"/>
        <v>6</v>
      </c>
      <c r="I68" s="382">
        <v>16</v>
      </c>
      <c r="J68" s="382">
        <v>11.577999999999999</v>
      </c>
      <c r="K68" s="382">
        <v>0</v>
      </c>
      <c r="L68" s="589">
        <v>11.577999999999999</v>
      </c>
      <c r="M68" s="382">
        <v>8280</v>
      </c>
      <c r="N68" s="383">
        <v>1.4E-3</v>
      </c>
      <c r="O68" s="382">
        <v>11.678000000000001</v>
      </c>
      <c r="P68" s="382">
        <v>0</v>
      </c>
    </row>
    <row r="69" spans="4:16">
      <c r="D69" s="374" t="s">
        <v>719</v>
      </c>
      <c r="E69" s="379" t="s">
        <v>721</v>
      </c>
      <c r="F69" s="380">
        <v>41473</v>
      </c>
      <c r="G69" s="381">
        <f t="shared" si="2"/>
        <v>2013</v>
      </c>
      <c r="H69" s="381">
        <f t="shared" si="3"/>
        <v>7</v>
      </c>
      <c r="I69" s="382">
        <v>17</v>
      </c>
      <c r="J69" s="382">
        <v>12.465</v>
      </c>
      <c r="K69" s="382">
        <v>0</v>
      </c>
      <c r="L69" s="589">
        <v>12.465</v>
      </c>
      <c r="M69" s="382">
        <v>9566</v>
      </c>
      <c r="N69" s="383">
        <v>1.2999999999999999E-3</v>
      </c>
      <c r="O69" s="382">
        <v>12.584</v>
      </c>
      <c r="P69" s="382">
        <v>0</v>
      </c>
    </row>
    <row r="70" spans="4:16">
      <c r="D70" s="374" t="s">
        <v>719</v>
      </c>
      <c r="E70" s="379" t="s">
        <v>721</v>
      </c>
      <c r="F70" s="380">
        <v>41512</v>
      </c>
      <c r="G70" s="381">
        <f t="shared" si="2"/>
        <v>2013</v>
      </c>
      <c r="H70" s="381">
        <f t="shared" si="3"/>
        <v>8</v>
      </c>
      <c r="I70" s="382">
        <v>17</v>
      </c>
      <c r="J70" s="382">
        <v>12.738</v>
      </c>
      <c r="K70" s="382">
        <v>0</v>
      </c>
      <c r="L70" s="589">
        <v>12.738</v>
      </c>
      <c r="M70" s="382">
        <v>9821</v>
      </c>
      <c r="N70" s="383">
        <v>1.2999999999999999E-3</v>
      </c>
      <c r="O70" s="382">
        <v>12.86</v>
      </c>
      <c r="P70" s="382">
        <v>0</v>
      </c>
    </row>
    <row r="71" spans="4:16">
      <c r="D71" s="374" t="s">
        <v>719</v>
      </c>
      <c r="E71" s="379" t="s">
        <v>721</v>
      </c>
      <c r="F71" s="380">
        <v>41526</v>
      </c>
      <c r="G71" s="381">
        <f t="shared" si="2"/>
        <v>2013</v>
      </c>
      <c r="H71" s="381">
        <f t="shared" si="3"/>
        <v>9</v>
      </c>
      <c r="I71" s="382">
        <v>17</v>
      </c>
      <c r="J71" s="382">
        <v>11.677</v>
      </c>
      <c r="K71" s="382">
        <v>0</v>
      </c>
      <c r="L71" s="589">
        <v>11.677</v>
      </c>
      <c r="M71" s="382">
        <v>8781</v>
      </c>
      <c r="N71" s="383">
        <v>1.2999999999999999E-3</v>
      </c>
      <c r="O71" s="382">
        <v>11.8</v>
      </c>
      <c r="P71" s="382">
        <v>0</v>
      </c>
    </row>
    <row r="72" spans="4:16">
      <c r="D72" s="374" t="s">
        <v>719</v>
      </c>
      <c r="E72" s="379" t="s">
        <v>721</v>
      </c>
      <c r="F72" s="380">
        <v>41548</v>
      </c>
      <c r="G72" s="381">
        <f t="shared" si="2"/>
        <v>2013</v>
      </c>
      <c r="H72" s="381">
        <f t="shared" si="3"/>
        <v>10</v>
      </c>
      <c r="I72" s="382">
        <v>14</v>
      </c>
      <c r="J72" s="382">
        <v>8.7349999999999994</v>
      </c>
      <c r="K72" s="382">
        <v>0</v>
      </c>
      <c r="L72" s="589">
        <v>8.7349999999999994</v>
      </c>
      <c r="M72" s="382">
        <v>6214</v>
      </c>
      <c r="N72" s="383">
        <v>1.4E-3</v>
      </c>
      <c r="O72" s="382">
        <v>8.8130000000000006</v>
      </c>
      <c r="P72" s="382">
        <v>0</v>
      </c>
    </row>
    <row r="73" spans="4:16">
      <c r="D73" s="374" t="s">
        <v>719</v>
      </c>
      <c r="E73" s="379" t="s">
        <v>721</v>
      </c>
      <c r="F73" s="380">
        <v>41604</v>
      </c>
      <c r="G73" s="381">
        <f t="shared" si="2"/>
        <v>2013</v>
      </c>
      <c r="H73" s="381">
        <f t="shared" si="3"/>
        <v>11</v>
      </c>
      <c r="I73" s="382">
        <v>18</v>
      </c>
      <c r="J73" s="382">
        <v>8.14</v>
      </c>
      <c r="K73" s="382">
        <v>0</v>
      </c>
      <c r="L73" s="589">
        <v>8.14</v>
      </c>
      <c r="M73" s="382">
        <v>6372</v>
      </c>
      <c r="N73" s="383">
        <v>1.2999999999999999E-3</v>
      </c>
      <c r="O73" s="382">
        <v>8.2249999999999996</v>
      </c>
      <c r="P73" s="382">
        <v>0</v>
      </c>
    </row>
    <row r="74" spans="4:16">
      <c r="D74" s="374" t="s">
        <v>719</v>
      </c>
      <c r="E74" s="379" t="s">
        <v>721</v>
      </c>
      <c r="F74" s="380">
        <v>41619</v>
      </c>
      <c r="G74" s="381">
        <f t="shared" si="2"/>
        <v>2013</v>
      </c>
      <c r="H74" s="381">
        <f t="shared" si="3"/>
        <v>12</v>
      </c>
      <c r="I74" s="382">
        <v>18</v>
      </c>
      <c r="J74" s="382">
        <v>9.1859999999999999</v>
      </c>
      <c r="K74" s="382">
        <v>0</v>
      </c>
      <c r="L74" s="589">
        <v>9.1859999999999999</v>
      </c>
      <c r="M74" s="382">
        <v>6972</v>
      </c>
      <c r="N74" s="383">
        <v>1.2999999999999999E-3</v>
      </c>
      <c r="O74" s="382">
        <v>9.2750000000000004</v>
      </c>
      <c r="P74" s="382">
        <v>0</v>
      </c>
    </row>
    <row r="75" spans="4:16">
      <c r="D75" s="374" t="s">
        <v>719</v>
      </c>
      <c r="E75" s="590" t="s">
        <v>721</v>
      </c>
      <c r="F75" s="591">
        <v>41645</v>
      </c>
      <c r="G75" s="381">
        <f t="shared" si="2"/>
        <v>2014</v>
      </c>
      <c r="H75" s="381">
        <f t="shared" si="3"/>
        <v>1</v>
      </c>
      <c r="I75" s="592">
        <v>18</v>
      </c>
      <c r="J75" s="592">
        <v>8.9139999999999997</v>
      </c>
      <c r="K75" s="592">
        <v>0</v>
      </c>
      <c r="L75" s="593">
        <v>8.9139999999999997</v>
      </c>
      <c r="M75" s="594">
        <v>7188</v>
      </c>
      <c r="N75" s="592">
        <v>0.124</v>
      </c>
      <c r="O75" s="592">
        <v>9.0039999999999996</v>
      </c>
      <c r="P75" s="592">
        <v>0</v>
      </c>
    </row>
    <row r="76" spans="4:16">
      <c r="D76" s="374" t="s">
        <v>719</v>
      </c>
      <c r="E76" s="590" t="s">
        <v>721</v>
      </c>
      <c r="F76" s="591">
        <v>41676</v>
      </c>
      <c r="G76" s="381">
        <f t="shared" si="2"/>
        <v>2014</v>
      </c>
      <c r="H76" s="381">
        <f t="shared" si="3"/>
        <v>2</v>
      </c>
      <c r="I76" s="592">
        <v>19</v>
      </c>
      <c r="J76" s="592">
        <v>8.4879999999999995</v>
      </c>
      <c r="K76" s="592">
        <v>0</v>
      </c>
      <c r="L76" s="593">
        <v>8.4879999999999995</v>
      </c>
      <c r="M76" s="594">
        <v>6743</v>
      </c>
      <c r="N76" s="592">
        <v>0.126</v>
      </c>
      <c r="O76" s="592">
        <v>8.5809999999999995</v>
      </c>
      <c r="P76" s="592">
        <v>0</v>
      </c>
    </row>
    <row r="77" spans="4:16">
      <c r="D77" s="374" t="s">
        <v>719</v>
      </c>
      <c r="E77" s="590" t="s">
        <v>721</v>
      </c>
      <c r="F77" s="591">
        <v>41701</v>
      </c>
      <c r="G77" s="381">
        <f t="shared" si="2"/>
        <v>2014</v>
      </c>
      <c r="H77" s="381">
        <f t="shared" si="3"/>
        <v>3</v>
      </c>
      <c r="I77" s="592">
        <v>19</v>
      </c>
      <c r="J77" s="592">
        <v>8.1240000000000006</v>
      </c>
      <c r="K77" s="592">
        <v>0</v>
      </c>
      <c r="L77" s="593">
        <v>8.1240000000000006</v>
      </c>
      <c r="M77" s="594">
        <v>6537</v>
      </c>
      <c r="N77" s="592">
        <v>0.124</v>
      </c>
      <c r="O77" s="592">
        <v>8.2080000000000002</v>
      </c>
      <c r="P77" s="592">
        <v>0</v>
      </c>
    </row>
    <row r="78" spans="4:16">
      <c r="D78" s="374" t="s">
        <v>719</v>
      </c>
      <c r="E78" s="590" t="s">
        <v>721</v>
      </c>
      <c r="F78" s="591">
        <v>41730</v>
      </c>
      <c r="G78" s="381">
        <f t="shared" si="2"/>
        <v>2014</v>
      </c>
      <c r="H78" s="381">
        <f t="shared" si="3"/>
        <v>4</v>
      </c>
      <c r="I78" s="592">
        <v>11</v>
      </c>
      <c r="J78" s="592">
        <v>7.6790000000000003</v>
      </c>
      <c r="K78" s="592">
        <v>0.223</v>
      </c>
      <c r="L78" s="593">
        <v>7.9020000000000001</v>
      </c>
      <c r="M78" s="594">
        <v>5924</v>
      </c>
      <c r="N78" s="592">
        <v>0.13300000000000001</v>
      </c>
      <c r="O78" s="592">
        <v>7.78</v>
      </c>
      <c r="P78" s="592">
        <v>0.223</v>
      </c>
    </row>
    <row r="79" spans="4:16">
      <c r="D79" s="374" t="s">
        <v>719</v>
      </c>
      <c r="E79" s="590" t="s">
        <v>721</v>
      </c>
      <c r="F79" s="591">
        <v>41789</v>
      </c>
      <c r="G79" s="381">
        <f t="shared" si="2"/>
        <v>2014</v>
      </c>
      <c r="H79" s="381">
        <f t="shared" si="3"/>
        <v>5</v>
      </c>
      <c r="I79" s="592">
        <v>16</v>
      </c>
      <c r="J79" s="592">
        <v>10.023999999999999</v>
      </c>
      <c r="K79" s="592">
        <v>0</v>
      </c>
      <c r="L79" s="593">
        <v>10.023999999999999</v>
      </c>
      <c r="M79" s="594">
        <v>7422</v>
      </c>
      <c r="N79" s="592">
        <v>0.13500000000000001</v>
      </c>
      <c r="O79" s="592">
        <v>10.135</v>
      </c>
      <c r="P79" s="592">
        <v>0</v>
      </c>
    </row>
    <row r="80" spans="4:16">
      <c r="D80" s="374" t="s">
        <v>719</v>
      </c>
      <c r="E80" s="590" t="s">
        <v>721</v>
      </c>
      <c r="F80" s="591">
        <v>41814</v>
      </c>
      <c r="G80" s="381">
        <f t="shared" si="2"/>
        <v>2014</v>
      </c>
      <c r="H80" s="381">
        <f t="shared" si="3"/>
        <v>6</v>
      </c>
      <c r="I80" s="592">
        <v>16</v>
      </c>
      <c r="J80" s="592">
        <v>10.457000000000001</v>
      </c>
      <c r="K80" s="592">
        <v>0</v>
      </c>
      <c r="L80" s="593">
        <v>10.457000000000001</v>
      </c>
      <c r="M80" s="594">
        <v>7670</v>
      </c>
      <c r="N80" s="592">
        <v>0.13600000000000001</v>
      </c>
      <c r="O80" s="592">
        <v>10.574</v>
      </c>
      <c r="P80" s="592">
        <v>0</v>
      </c>
    </row>
    <row r="81" spans="4:16">
      <c r="D81" s="374" t="s">
        <v>719</v>
      </c>
      <c r="E81" s="590" t="s">
        <v>721</v>
      </c>
      <c r="F81" s="591">
        <v>41841</v>
      </c>
      <c r="G81" s="381">
        <f t="shared" si="2"/>
        <v>2014</v>
      </c>
      <c r="H81" s="381">
        <f t="shared" si="3"/>
        <v>7</v>
      </c>
      <c r="I81" s="592">
        <v>17</v>
      </c>
      <c r="J81" s="592">
        <v>11.715</v>
      </c>
      <c r="K81" s="592">
        <v>0</v>
      </c>
      <c r="L81" s="593">
        <v>11.715</v>
      </c>
      <c r="M81" s="594">
        <v>9150</v>
      </c>
      <c r="N81" s="592">
        <v>0.128</v>
      </c>
      <c r="O81" s="592">
        <v>11.832000000000001</v>
      </c>
      <c r="P81" s="592">
        <v>0</v>
      </c>
    </row>
    <row r="82" spans="4:16">
      <c r="D82" s="374" t="s">
        <v>719</v>
      </c>
      <c r="E82" s="590" t="s">
        <v>721</v>
      </c>
      <c r="F82" s="591">
        <v>41869</v>
      </c>
      <c r="G82" s="381">
        <f t="shared" si="2"/>
        <v>2014</v>
      </c>
      <c r="H82" s="381">
        <f t="shared" si="3"/>
        <v>8</v>
      </c>
      <c r="I82" s="592">
        <v>16</v>
      </c>
      <c r="J82" s="592">
        <v>11.052</v>
      </c>
      <c r="K82" s="592">
        <v>0</v>
      </c>
      <c r="L82" s="593">
        <v>11.052</v>
      </c>
      <c r="M82" s="594">
        <v>8190</v>
      </c>
      <c r="N82" s="592">
        <v>0.13500000000000001</v>
      </c>
      <c r="O82" s="592">
        <v>11.175000000000001</v>
      </c>
      <c r="P82" s="592">
        <v>0</v>
      </c>
    </row>
    <row r="83" spans="4:16">
      <c r="D83" s="374" t="s">
        <v>719</v>
      </c>
      <c r="E83" s="590" t="s">
        <v>721</v>
      </c>
      <c r="F83" s="591">
        <v>41886</v>
      </c>
      <c r="G83" s="381">
        <f t="shared" si="2"/>
        <v>2014</v>
      </c>
      <c r="H83" s="381">
        <f t="shared" si="3"/>
        <v>9</v>
      </c>
      <c r="I83" s="592">
        <v>15</v>
      </c>
      <c r="J83" s="592">
        <v>10.436</v>
      </c>
      <c r="K83" s="592">
        <v>0</v>
      </c>
      <c r="L83" s="593">
        <v>10.436</v>
      </c>
      <c r="M83" s="594">
        <v>7758</v>
      </c>
      <c r="N83" s="592">
        <v>0.13500000000000001</v>
      </c>
      <c r="O83" s="592">
        <v>10.539</v>
      </c>
      <c r="P83" s="592">
        <v>0</v>
      </c>
    </row>
    <row r="84" spans="4:16">
      <c r="D84" s="374" t="s">
        <v>719</v>
      </c>
      <c r="E84" s="590" t="s">
        <v>721</v>
      </c>
      <c r="F84" s="591">
        <v>41942</v>
      </c>
      <c r="G84" s="381">
        <f t="shared" si="2"/>
        <v>2014</v>
      </c>
      <c r="H84" s="381">
        <f t="shared" si="3"/>
        <v>10</v>
      </c>
      <c r="I84" s="592">
        <v>20</v>
      </c>
      <c r="J84" s="592">
        <v>7.1859999999999999</v>
      </c>
      <c r="K84" s="592">
        <v>0</v>
      </c>
      <c r="L84" s="593">
        <v>7.1859999999999999</v>
      </c>
      <c r="M84" s="594">
        <v>5901</v>
      </c>
      <c r="N84" s="592">
        <v>0.122</v>
      </c>
      <c r="O84" s="592">
        <v>7.28</v>
      </c>
      <c r="P84" s="592">
        <v>0</v>
      </c>
    </row>
    <row r="85" spans="4:16">
      <c r="D85" s="374" t="s">
        <v>719</v>
      </c>
      <c r="E85" s="590" t="s">
        <v>721</v>
      </c>
      <c r="F85" s="591">
        <v>41960</v>
      </c>
      <c r="G85" s="381">
        <f t="shared" si="2"/>
        <v>2014</v>
      </c>
      <c r="H85" s="381">
        <f t="shared" si="3"/>
        <v>11</v>
      </c>
      <c r="I85" s="592">
        <v>18</v>
      </c>
      <c r="J85" s="592">
        <v>8.4359999999999999</v>
      </c>
      <c r="K85" s="592">
        <v>0</v>
      </c>
      <c r="L85" s="593">
        <v>8.4359999999999999</v>
      </c>
      <c r="M85" s="594">
        <v>6677</v>
      </c>
      <c r="N85" s="592">
        <v>0.126</v>
      </c>
      <c r="O85" s="592">
        <v>8.5090000000000003</v>
      </c>
      <c r="P85" s="592">
        <v>0</v>
      </c>
    </row>
    <row r="86" spans="4:16">
      <c r="D86" s="374" t="s">
        <v>719</v>
      </c>
      <c r="E86" s="590" t="s">
        <v>721</v>
      </c>
      <c r="F86" s="591">
        <v>41974</v>
      </c>
      <c r="G86" s="381">
        <f t="shared" si="2"/>
        <v>2014</v>
      </c>
      <c r="H86" s="381">
        <f t="shared" si="3"/>
        <v>12</v>
      </c>
      <c r="I86" s="592">
        <v>18</v>
      </c>
      <c r="J86" s="592">
        <v>8.6910000000000007</v>
      </c>
      <c r="K86" s="592">
        <v>0</v>
      </c>
      <c r="L86" s="593">
        <v>8.6910000000000007</v>
      </c>
      <c r="M86" s="594">
        <v>6850</v>
      </c>
      <c r="N86" s="592">
        <v>0.127</v>
      </c>
      <c r="O86" s="592">
        <v>8.7550000000000008</v>
      </c>
      <c r="P86" s="592">
        <v>0</v>
      </c>
    </row>
    <row r="87" spans="4:16">
      <c r="D87" s="374" t="s">
        <v>719</v>
      </c>
      <c r="E87" s="590" t="s">
        <v>721</v>
      </c>
      <c r="F87" s="591">
        <v>42011</v>
      </c>
      <c r="G87" s="381">
        <f t="shared" si="2"/>
        <v>2015</v>
      </c>
      <c r="H87" s="381">
        <f t="shared" si="3"/>
        <v>1</v>
      </c>
      <c r="I87" s="592">
        <v>18</v>
      </c>
      <c r="J87" s="592">
        <v>8.9250000000000007</v>
      </c>
      <c r="K87" s="592">
        <v>0</v>
      </c>
      <c r="L87" s="593">
        <v>8.9250000000000007</v>
      </c>
      <c r="M87" s="594">
        <v>6978</v>
      </c>
      <c r="N87" s="592">
        <v>0.128</v>
      </c>
      <c r="O87" s="592">
        <v>9</v>
      </c>
      <c r="P87" s="592">
        <v>0</v>
      </c>
    </row>
    <row r="88" spans="4:16">
      <c r="D88" s="374" t="s">
        <v>719</v>
      </c>
      <c r="E88" s="590" t="s">
        <v>721</v>
      </c>
      <c r="F88" s="591">
        <v>42053</v>
      </c>
      <c r="G88" s="381">
        <f t="shared" si="2"/>
        <v>2015</v>
      </c>
      <c r="H88" s="381">
        <f t="shared" si="3"/>
        <v>2</v>
      </c>
      <c r="I88" s="592">
        <v>19</v>
      </c>
      <c r="J88" s="592">
        <v>8.8620000000000001</v>
      </c>
      <c r="K88" s="592">
        <v>0</v>
      </c>
      <c r="L88" s="593">
        <v>8.8620000000000001</v>
      </c>
      <c r="M88" s="594">
        <v>6744</v>
      </c>
      <c r="N88" s="592">
        <v>0.13100000000000001</v>
      </c>
      <c r="O88" s="592">
        <v>8.9450000000000003</v>
      </c>
      <c r="P88" s="592">
        <v>0</v>
      </c>
    </row>
    <row r="89" spans="4:16">
      <c r="D89" s="374" t="s">
        <v>719</v>
      </c>
      <c r="E89" s="590" t="s">
        <v>721</v>
      </c>
      <c r="F89" s="591">
        <v>42067</v>
      </c>
      <c r="G89" s="381">
        <f t="shared" si="2"/>
        <v>2015</v>
      </c>
      <c r="H89" s="381">
        <f t="shared" si="3"/>
        <v>3</v>
      </c>
      <c r="I89" s="592">
        <v>20</v>
      </c>
      <c r="J89" s="592">
        <v>8.5839999999999996</v>
      </c>
      <c r="K89" s="592">
        <v>0</v>
      </c>
      <c r="L89" s="593">
        <v>8.5839999999999996</v>
      </c>
      <c r="M89" s="594">
        <v>6470</v>
      </c>
      <c r="N89" s="592">
        <v>0.13300000000000001</v>
      </c>
      <c r="O89" s="592">
        <v>8.6620000000000008</v>
      </c>
      <c r="P89" s="592">
        <v>0</v>
      </c>
    </row>
    <row r="90" spans="4:16">
      <c r="D90" s="374" t="s">
        <v>719</v>
      </c>
      <c r="E90" s="590" t="s">
        <v>721</v>
      </c>
      <c r="F90" s="591">
        <v>42103</v>
      </c>
      <c r="G90" s="381">
        <f t="shared" si="2"/>
        <v>2015</v>
      </c>
      <c r="H90" s="381">
        <f t="shared" si="3"/>
        <v>4</v>
      </c>
      <c r="I90" s="592">
        <v>12</v>
      </c>
      <c r="J90" s="592">
        <v>8.3059999999999992</v>
      </c>
      <c r="K90" s="592">
        <v>0</v>
      </c>
      <c r="L90" s="593">
        <v>8.3059999999999992</v>
      </c>
      <c r="M90" s="594">
        <v>5914</v>
      </c>
      <c r="N90" s="592">
        <v>0.14000000000000001</v>
      </c>
      <c r="O90" s="592">
        <v>8.3859999999999992</v>
      </c>
      <c r="P90" s="592">
        <v>0</v>
      </c>
    </row>
    <row r="91" spans="4:16">
      <c r="D91" s="374" t="s">
        <v>719</v>
      </c>
      <c r="E91" s="590" t="s">
        <v>721</v>
      </c>
      <c r="F91" s="591">
        <v>42152</v>
      </c>
      <c r="G91" s="381">
        <f t="shared" si="2"/>
        <v>2015</v>
      </c>
      <c r="H91" s="381">
        <f t="shared" si="3"/>
        <v>5</v>
      </c>
      <c r="I91" s="592">
        <v>16</v>
      </c>
      <c r="J91" s="592">
        <v>9.5909999999999993</v>
      </c>
      <c r="K91" s="592">
        <v>0</v>
      </c>
      <c r="L91" s="593">
        <v>9.5909999999999993</v>
      </c>
      <c r="M91" s="594">
        <v>6837</v>
      </c>
      <c r="N91" s="592">
        <v>0.14000000000000001</v>
      </c>
      <c r="O91" s="592">
        <v>9.6890000000000001</v>
      </c>
      <c r="P91" s="592">
        <v>0</v>
      </c>
    </row>
    <row r="92" spans="4:16">
      <c r="D92" s="374" t="s">
        <v>719</v>
      </c>
      <c r="E92" s="590" t="s">
        <v>721</v>
      </c>
      <c r="F92" s="591">
        <v>42164</v>
      </c>
      <c r="G92" s="381">
        <f t="shared" si="2"/>
        <v>2015</v>
      </c>
      <c r="H92" s="381">
        <f t="shared" si="3"/>
        <v>6</v>
      </c>
      <c r="I92" s="592">
        <v>17</v>
      </c>
      <c r="J92" s="592">
        <v>11.484999999999999</v>
      </c>
      <c r="K92" s="592">
        <v>0</v>
      </c>
      <c r="L92" s="593">
        <v>11.484999999999999</v>
      </c>
      <c r="M92" s="594">
        <v>8136</v>
      </c>
      <c r="N92" s="592">
        <v>0.14099999999999999</v>
      </c>
      <c r="O92" s="592">
        <v>11.609</v>
      </c>
      <c r="P92" s="592">
        <v>0</v>
      </c>
    </row>
    <row r="93" spans="4:16">
      <c r="D93" s="374" t="s">
        <v>719</v>
      </c>
      <c r="E93" s="590" t="s">
        <v>721</v>
      </c>
      <c r="F93" s="591">
        <v>42212</v>
      </c>
      <c r="G93" s="381">
        <f t="shared" si="2"/>
        <v>2015</v>
      </c>
      <c r="H93" s="381">
        <f t="shared" si="3"/>
        <v>7</v>
      </c>
      <c r="I93" s="592">
        <v>17</v>
      </c>
      <c r="J93" s="592">
        <v>12.162000000000001</v>
      </c>
      <c r="K93" s="592">
        <v>0</v>
      </c>
      <c r="L93" s="593">
        <v>12.162000000000001</v>
      </c>
      <c r="M93" s="594">
        <v>8769</v>
      </c>
      <c r="N93" s="592">
        <v>0.13900000000000001</v>
      </c>
      <c r="O93" s="592">
        <v>12.26</v>
      </c>
      <c r="P93" s="592">
        <v>0</v>
      </c>
    </row>
    <row r="94" spans="4:16">
      <c r="D94" s="374" t="s">
        <v>719</v>
      </c>
      <c r="E94" s="590" t="s">
        <v>721</v>
      </c>
      <c r="F94" s="591">
        <v>42230</v>
      </c>
      <c r="G94" s="381">
        <f t="shared" si="2"/>
        <v>2015</v>
      </c>
      <c r="H94" s="381">
        <f t="shared" si="3"/>
        <v>8</v>
      </c>
      <c r="I94" s="592">
        <v>16</v>
      </c>
      <c r="J94" s="592">
        <v>12.263</v>
      </c>
      <c r="K94" s="592">
        <v>0</v>
      </c>
      <c r="L94" s="593">
        <v>12.263</v>
      </c>
      <c r="M94" s="594">
        <v>8926</v>
      </c>
      <c r="N94" s="592">
        <v>0.13700000000000001</v>
      </c>
      <c r="O94" s="592">
        <v>12.375</v>
      </c>
      <c r="P94" s="592">
        <v>0</v>
      </c>
    </row>
    <row r="95" spans="4:16">
      <c r="D95" s="374" t="s">
        <v>719</v>
      </c>
      <c r="E95" s="590" t="s">
        <v>721</v>
      </c>
      <c r="F95" s="591">
        <v>42250</v>
      </c>
      <c r="G95" s="381">
        <f t="shared" si="2"/>
        <v>2015</v>
      </c>
      <c r="H95" s="381">
        <f t="shared" si="3"/>
        <v>9</v>
      </c>
      <c r="I95" s="592">
        <v>17</v>
      </c>
      <c r="J95" s="592">
        <v>12.021000000000001</v>
      </c>
      <c r="K95" s="592">
        <v>0</v>
      </c>
      <c r="L95" s="593">
        <v>12.021000000000001</v>
      </c>
      <c r="M95" s="594">
        <v>8657</v>
      </c>
      <c r="N95" s="592">
        <v>0.13900000000000001</v>
      </c>
      <c r="O95" s="592">
        <v>12.135999999999999</v>
      </c>
      <c r="P95" s="592">
        <v>0</v>
      </c>
    </row>
    <row r="96" spans="4:16">
      <c r="D96" s="374" t="s">
        <v>719</v>
      </c>
      <c r="E96" s="590" t="s">
        <v>721</v>
      </c>
      <c r="F96" s="591">
        <v>42285</v>
      </c>
      <c r="G96" s="381">
        <f t="shared" si="2"/>
        <v>2015</v>
      </c>
      <c r="H96" s="381">
        <f t="shared" si="3"/>
        <v>10</v>
      </c>
      <c r="I96" s="592">
        <v>12</v>
      </c>
      <c r="J96" s="592">
        <v>8.08</v>
      </c>
      <c r="K96" s="592">
        <v>0</v>
      </c>
      <c r="L96" s="593">
        <v>8.08</v>
      </c>
      <c r="M96" s="594">
        <v>5943</v>
      </c>
      <c r="N96" s="592">
        <v>0.13600000000000001</v>
      </c>
      <c r="O96" s="592">
        <v>8.2509999999999994</v>
      </c>
      <c r="P96" s="592">
        <v>0</v>
      </c>
    </row>
    <row r="97" spans="4:16">
      <c r="D97" s="374" t="s">
        <v>719</v>
      </c>
      <c r="E97" s="590" t="s">
        <v>721</v>
      </c>
      <c r="F97" s="591">
        <v>42338</v>
      </c>
      <c r="G97" s="381">
        <f t="shared" si="2"/>
        <v>2015</v>
      </c>
      <c r="H97" s="381">
        <f t="shared" si="3"/>
        <v>11</v>
      </c>
      <c r="I97" s="592">
        <v>18</v>
      </c>
      <c r="J97" s="592">
        <v>8.7469999999999999</v>
      </c>
      <c r="K97" s="592">
        <v>0</v>
      </c>
      <c r="L97" s="593">
        <v>8.7469999999999999</v>
      </c>
      <c r="M97" s="594">
        <v>6574</v>
      </c>
      <c r="N97" s="592">
        <v>0.13300000000000001</v>
      </c>
      <c r="O97" s="592">
        <v>8.8330000000000002</v>
      </c>
      <c r="P97" s="592">
        <v>0</v>
      </c>
    </row>
    <row r="98" spans="4:16">
      <c r="D98" s="374" t="s">
        <v>719</v>
      </c>
      <c r="E98" s="590" t="s">
        <v>721</v>
      </c>
      <c r="F98" s="591">
        <v>42355</v>
      </c>
      <c r="G98" s="381">
        <f t="shared" si="2"/>
        <v>2015</v>
      </c>
      <c r="H98" s="381">
        <f t="shared" si="3"/>
        <v>12</v>
      </c>
      <c r="I98" s="592">
        <v>18</v>
      </c>
      <c r="J98" s="592">
        <v>8.8409999999999993</v>
      </c>
      <c r="K98" s="592">
        <v>0</v>
      </c>
      <c r="L98" s="593">
        <v>8.8409999999999993</v>
      </c>
      <c r="M98" s="594">
        <v>6450</v>
      </c>
      <c r="N98" s="592">
        <v>0.13700000000000001</v>
      </c>
      <c r="O98" s="592">
        <v>8.9220000000000006</v>
      </c>
      <c r="P98" s="592">
        <v>0</v>
      </c>
    </row>
    <row r="99" spans="4:16">
      <c r="D99" s="374" t="s">
        <v>719</v>
      </c>
      <c r="E99" s="379" t="s">
        <v>722</v>
      </c>
      <c r="F99" s="380">
        <v>40927</v>
      </c>
      <c r="G99" s="381">
        <f t="shared" si="2"/>
        <v>2012</v>
      </c>
      <c r="H99" s="381">
        <f t="shared" si="3"/>
        <v>1</v>
      </c>
      <c r="I99" s="382">
        <v>19</v>
      </c>
      <c r="J99" s="382">
        <v>2.6880000000000002</v>
      </c>
      <c r="K99" s="382">
        <v>0</v>
      </c>
      <c r="L99" s="589">
        <v>0.68799999999999994</v>
      </c>
      <c r="M99" s="382">
        <v>6604</v>
      </c>
      <c r="N99" s="383">
        <v>4.0000000000000002E-4</v>
      </c>
      <c r="O99" s="382">
        <v>2.7069999999999999</v>
      </c>
      <c r="P99" s="382">
        <v>0</v>
      </c>
    </row>
    <row r="100" spans="4:16">
      <c r="D100" s="374" t="s">
        <v>719</v>
      </c>
      <c r="E100" s="379" t="s">
        <v>722</v>
      </c>
      <c r="F100" s="380">
        <v>40967</v>
      </c>
      <c r="G100" s="381">
        <f t="shared" si="2"/>
        <v>2012</v>
      </c>
      <c r="H100" s="381">
        <f t="shared" si="3"/>
        <v>2</v>
      </c>
      <c r="I100" s="382">
        <v>19</v>
      </c>
      <c r="J100" s="382">
        <v>2.3820000000000001</v>
      </c>
      <c r="K100" s="382">
        <v>0</v>
      </c>
      <c r="L100" s="589">
        <v>0.38200000000000001</v>
      </c>
      <c r="M100" s="382">
        <v>6178</v>
      </c>
      <c r="N100" s="383">
        <v>4.0000000000000002E-4</v>
      </c>
      <c r="O100" s="382">
        <v>2.3980000000000001</v>
      </c>
      <c r="P100" s="382">
        <v>0</v>
      </c>
    </row>
    <row r="101" spans="4:16">
      <c r="D101" s="374" t="s">
        <v>719</v>
      </c>
      <c r="E101" s="379" t="s">
        <v>722</v>
      </c>
      <c r="F101" s="380">
        <v>40987</v>
      </c>
      <c r="G101" s="381">
        <f t="shared" si="2"/>
        <v>2012</v>
      </c>
      <c r="H101" s="381">
        <f t="shared" si="3"/>
        <v>3</v>
      </c>
      <c r="I101" s="382">
        <v>14</v>
      </c>
      <c r="J101" s="382">
        <v>1.591</v>
      </c>
      <c r="K101" s="382">
        <v>0</v>
      </c>
      <c r="L101" s="589">
        <v>0.59099999999999997</v>
      </c>
      <c r="M101" s="382">
        <v>6170</v>
      </c>
      <c r="N101" s="383">
        <v>2.9999999999999997E-4</v>
      </c>
      <c r="O101" s="382">
        <v>1.597</v>
      </c>
      <c r="P101" s="382">
        <v>0</v>
      </c>
    </row>
    <row r="102" spans="4:16">
      <c r="D102" s="374" t="s">
        <v>719</v>
      </c>
      <c r="E102" s="379" t="s">
        <v>722</v>
      </c>
      <c r="F102" s="380">
        <v>41024</v>
      </c>
      <c r="G102" s="381">
        <f t="shared" si="2"/>
        <v>2012</v>
      </c>
      <c r="H102" s="381">
        <f t="shared" si="3"/>
        <v>4</v>
      </c>
      <c r="I102" s="382">
        <v>15</v>
      </c>
      <c r="J102" s="382">
        <v>1.673</v>
      </c>
      <c r="K102" s="382">
        <v>0</v>
      </c>
      <c r="L102" s="589">
        <v>0.67300000000000004</v>
      </c>
      <c r="M102" s="382">
        <v>5813</v>
      </c>
      <c r="N102" s="383">
        <v>2.9999999999999997E-4</v>
      </c>
      <c r="O102" s="382">
        <v>1.7</v>
      </c>
      <c r="P102" s="382">
        <v>0</v>
      </c>
    </row>
    <row r="103" spans="4:16">
      <c r="D103" s="374" t="s">
        <v>719</v>
      </c>
      <c r="E103" s="379" t="s">
        <v>722</v>
      </c>
      <c r="F103" s="380">
        <v>41047</v>
      </c>
      <c r="G103" s="381">
        <f t="shared" si="2"/>
        <v>2012</v>
      </c>
      <c r="H103" s="381">
        <f t="shared" si="3"/>
        <v>5</v>
      </c>
      <c r="I103" s="382">
        <v>17</v>
      </c>
      <c r="J103" s="382">
        <v>2.09</v>
      </c>
      <c r="K103" s="382">
        <v>0</v>
      </c>
      <c r="L103" s="589">
        <v>1.0900000000000001</v>
      </c>
      <c r="M103" s="382">
        <v>7203</v>
      </c>
      <c r="N103" s="383">
        <v>2.9999999999999997E-4</v>
      </c>
      <c r="O103" s="382">
        <v>2.093</v>
      </c>
      <c r="P103" s="382">
        <v>0</v>
      </c>
    </row>
    <row r="104" spans="4:16">
      <c r="D104" s="374" t="s">
        <v>719</v>
      </c>
      <c r="E104" s="379" t="s">
        <v>722</v>
      </c>
      <c r="F104" s="380">
        <v>41087</v>
      </c>
      <c r="G104" s="381">
        <f t="shared" si="2"/>
        <v>2012</v>
      </c>
      <c r="H104" s="381">
        <f t="shared" si="3"/>
        <v>6</v>
      </c>
      <c r="I104" s="382">
        <v>17</v>
      </c>
      <c r="J104" s="382">
        <v>2.0539999999999998</v>
      </c>
      <c r="K104" s="382">
        <v>0</v>
      </c>
      <c r="L104" s="589">
        <v>1.054</v>
      </c>
      <c r="M104" s="382">
        <v>8833</v>
      </c>
      <c r="N104" s="383">
        <v>2.0000000000000001E-4</v>
      </c>
      <c r="O104" s="382">
        <v>2.0859999999999999</v>
      </c>
      <c r="P104" s="382">
        <v>0</v>
      </c>
    </row>
    <row r="105" spans="4:16">
      <c r="D105" s="374" t="s">
        <v>719</v>
      </c>
      <c r="E105" s="379" t="s">
        <v>722</v>
      </c>
      <c r="F105" s="380">
        <v>41092</v>
      </c>
      <c r="G105" s="381">
        <f t="shared" si="2"/>
        <v>2012</v>
      </c>
      <c r="H105" s="381">
        <f t="shared" si="3"/>
        <v>7</v>
      </c>
      <c r="I105" s="382">
        <v>17</v>
      </c>
      <c r="J105" s="382">
        <v>2.7240000000000002</v>
      </c>
      <c r="K105" s="382">
        <v>0</v>
      </c>
      <c r="L105" s="589">
        <v>1.724</v>
      </c>
      <c r="M105" s="382">
        <v>9682</v>
      </c>
      <c r="N105" s="383">
        <v>2.9999999999999997E-4</v>
      </c>
      <c r="O105" s="382">
        <v>2.7570000000000001</v>
      </c>
      <c r="P105" s="382">
        <v>0</v>
      </c>
    </row>
    <row r="106" spans="4:16">
      <c r="D106" s="374" t="s">
        <v>719</v>
      </c>
      <c r="E106" s="379" t="s">
        <v>722</v>
      </c>
      <c r="F106" s="380">
        <v>41122</v>
      </c>
      <c r="G106" s="381">
        <f t="shared" si="2"/>
        <v>2012</v>
      </c>
      <c r="H106" s="381">
        <f t="shared" si="3"/>
        <v>8</v>
      </c>
      <c r="I106" s="382">
        <v>17</v>
      </c>
      <c r="J106" s="382">
        <v>2.4020000000000001</v>
      </c>
      <c r="K106" s="382">
        <v>0</v>
      </c>
      <c r="L106" s="589">
        <v>1.4019999999999999</v>
      </c>
      <c r="M106" s="382">
        <v>8979</v>
      </c>
      <c r="N106" s="383">
        <v>2.9999999999999997E-4</v>
      </c>
      <c r="O106" s="382">
        <v>2.4300000000000002</v>
      </c>
      <c r="P106" s="382">
        <v>0</v>
      </c>
    </row>
    <row r="107" spans="4:16">
      <c r="D107" s="374" t="s">
        <v>719</v>
      </c>
      <c r="E107" s="379" t="s">
        <v>722</v>
      </c>
      <c r="F107" s="380">
        <v>41156</v>
      </c>
      <c r="G107" s="381">
        <f t="shared" si="2"/>
        <v>2012</v>
      </c>
      <c r="H107" s="381">
        <f t="shared" si="3"/>
        <v>9</v>
      </c>
      <c r="I107" s="382">
        <v>16</v>
      </c>
      <c r="J107" s="382">
        <v>1.73</v>
      </c>
      <c r="K107" s="382">
        <v>0</v>
      </c>
      <c r="L107" s="589">
        <v>0.73</v>
      </c>
      <c r="M107" s="382">
        <v>8521</v>
      </c>
      <c r="N107" s="383">
        <v>2.0000000000000001E-4</v>
      </c>
      <c r="O107" s="382">
        <v>2.1779999999999999</v>
      </c>
      <c r="P107" s="382">
        <v>0</v>
      </c>
    </row>
    <row r="108" spans="4:16">
      <c r="D108" s="374" t="s">
        <v>719</v>
      </c>
      <c r="E108" s="379" t="s">
        <v>722</v>
      </c>
      <c r="F108" s="380">
        <v>41185</v>
      </c>
      <c r="G108" s="381">
        <f t="shared" si="2"/>
        <v>2012</v>
      </c>
      <c r="H108" s="381">
        <f t="shared" si="3"/>
        <v>10</v>
      </c>
      <c r="I108" s="382">
        <v>14</v>
      </c>
      <c r="J108" s="382">
        <v>1.4930000000000001</v>
      </c>
      <c r="K108" s="382">
        <v>0</v>
      </c>
      <c r="L108" s="589">
        <v>0.49299999999999999</v>
      </c>
      <c r="M108" s="382">
        <v>6122</v>
      </c>
      <c r="N108" s="383">
        <v>2.0000000000000001E-4</v>
      </c>
      <c r="O108" s="382">
        <v>1.5089999999999999</v>
      </c>
      <c r="P108" s="382">
        <v>0</v>
      </c>
    </row>
    <row r="109" spans="4:16">
      <c r="D109" s="374" t="s">
        <v>719</v>
      </c>
      <c r="E109" s="379" t="s">
        <v>722</v>
      </c>
      <c r="F109" s="380">
        <v>41239</v>
      </c>
      <c r="G109" s="381">
        <f t="shared" si="2"/>
        <v>2012</v>
      </c>
      <c r="H109" s="381">
        <f t="shared" si="3"/>
        <v>11</v>
      </c>
      <c r="I109" s="382">
        <v>18</v>
      </c>
      <c r="J109" s="382">
        <v>2.2930000000000001</v>
      </c>
      <c r="K109" s="382">
        <v>0</v>
      </c>
      <c r="L109" s="589">
        <v>0.29299999999999998</v>
      </c>
      <c r="M109" s="382">
        <v>6416</v>
      </c>
      <c r="N109" s="383">
        <v>4.0000000000000002E-4</v>
      </c>
      <c r="O109" s="382">
        <v>2.319</v>
      </c>
      <c r="P109" s="382">
        <v>0</v>
      </c>
    </row>
    <row r="110" spans="4:16">
      <c r="D110" s="374" t="s">
        <v>719</v>
      </c>
      <c r="E110" s="379" t="s">
        <v>722</v>
      </c>
      <c r="F110" s="380">
        <v>41253</v>
      </c>
      <c r="G110" s="381">
        <f t="shared" si="2"/>
        <v>2012</v>
      </c>
      <c r="H110" s="381">
        <f t="shared" si="3"/>
        <v>12</v>
      </c>
      <c r="I110" s="382">
        <v>18</v>
      </c>
      <c r="J110" s="382">
        <v>2.6339999999999999</v>
      </c>
      <c r="K110" s="382">
        <v>0</v>
      </c>
      <c r="L110" s="589">
        <v>0.63400000000000001</v>
      </c>
      <c r="M110" s="382">
        <v>6609</v>
      </c>
      <c r="N110" s="383">
        <v>4.0000000000000002E-4</v>
      </c>
      <c r="O110" s="382">
        <v>2.657</v>
      </c>
      <c r="P110" s="382">
        <v>0</v>
      </c>
    </row>
    <row r="111" spans="4:16">
      <c r="D111" s="374" t="s">
        <v>719</v>
      </c>
      <c r="E111" s="379" t="s">
        <v>722</v>
      </c>
      <c r="F111" s="380">
        <v>41295</v>
      </c>
      <c r="G111" s="381">
        <f t="shared" si="2"/>
        <v>2013</v>
      </c>
      <c r="H111" s="381">
        <f t="shared" si="3"/>
        <v>1</v>
      </c>
      <c r="I111" s="382">
        <v>19</v>
      </c>
      <c r="J111" s="382">
        <v>2.7240000000000002</v>
      </c>
      <c r="K111" s="382">
        <v>0</v>
      </c>
      <c r="L111" s="589">
        <v>0.72399999999999998</v>
      </c>
      <c r="M111" s="382">
        <v>6846</v>
      </c>
      <c r="N111" s="383">
        <v>4.0000000000000002E-4</v>
      </c>
      <c r="O111" s="382">
        <v>2.7229999999999999</v>
      </c>
      <c r="P111" s="382">
        <v>0</v>
      </c>
    </row>
    <row r="112" spans="4:16">
      <c r="D112" s="374" t="s">
        <v>719</v>
      </c>
      <c r="E112" s="379" t="s">
        <v>722</v>
      </c>
      <c r="F112" s="380">
        <v>41324</v>
      </c>
      <c r="G112" s="381">
        <f t="shared" si="2"/>
        <v>2013</v>
      </c>
      <c r="H112" s="381">
        <f t="shared" si="3"/>
        <v>2</v>
      </c>
      <c r="I112" s="382">
        <v>19</v>
      </c>
      <c r="J112" s="382">
        <v>2.6629999999999998</v>
      </c>
      <c r="K112" s="382">
        <v>0</v>
      </c>
      <c r="L112" s="589">
        <v>0.66300000000000003</v>
      </c>
      <c r="M112" s="382">
        <v>6511</v>
      </c>
      <c r="N112" s="383">
        <v>4.0000000000000002E-4</v>
      </c>
      <c r="O112" s="382">
        <v>2.7029999999999998</v>
      </c>
      <c r="P112" s="382">
        <v>0</v>
      </c>
    </row>
    <row r="113" spans="4:16">
      <c r="D113" s="374" t="s">
        <v>719</v>
      </c>
      <c r="E113" s="379" t="s">
        <v>722</v>
      </c>
      <c r="F113" s="380">
        <v>41337</v>
      </c>
      <c r="G113" s="381">
        <f t="shared" si="2"/>
        <v>2013</v>
      </c>
      <c r="H113" s="381">
        <f t="shared" si="3"/>
        <v>3</v>
      </c>
      <c r="I113" s="382">
        <v>19</v>
      </c>
      <c r="J113" s="382">
        <v>1.85</v>
      </c>
      <c r="K113" s="382">
        <v>0</v>
      </c>
      <c r="L113" s="589">
        <v>-0.15</v>
      </c>
      <c r="M113" s="382">
        <v>6172</v>
      </c>
      <c r="N113" s="383">
        <v>2.9999999999999997E-4</v>
      </c>
      <c r="O113" s="382">
        <v>2.157</v>
      </c>
      <c r="P113" s="382">
        <v>0</v>
      </c>
    </row>
    <row r="114" spans="4:16">
      <c r="D114" s="374" t="s">
        <v>719</v>
      </c>
      <c r="E114" s="379" t="s">
        <v>722</v>
      </c>
      <c r="F114" s="380">
        <v>41382</v>
      </c>
      <c r="G114" s="381">
        <f t="shared" si="2"/>
        <v>2013</v>
      </c>
      <c r="H114" s="381">
        <f t="shared" si="3"/>
        <v>4</v>
      </c>
      <c r="I114" s="382">
        <v>12</v>
      </c>
      <c r="J114" s="382">
        <v>1.8640000000000001</v>
      </c>
      <c r="K114" s="382">
        <v>0</v>
      </c>
      <c r="L114" s="589">
        <v>0.86399999999999999</v>
      </c>
      <c r="M114" s="382">
        <v>5851</v>
      </c>
      <c r="N114" s="383">
        <v>2.9999999999999997E-4</v>
      </c>
      <c r="O114" s="382">
        <v>1.8819999999999999</v>
      </c>
      <c r="P114" s="382">
        <v>0</v>
      </c>
    </row>
    <row r="115" spans="4:16">
      <c r="D115" s="374" t="s">
        <v>719</v>
      </c>
      <c r="E115" s="379" t="s">
        <v>722</v>
      </c>
      <c r="F115" s="380">
        <v>41408</v>
      </c>
      <c r="G115" s="381">
        <f t="shared" si="2"/>
        <v>2013</v>
      </c>
      <c r="H115" s="381">
        <f t="shared" si="3"/>
        <v>5</v>
      </c>
      <c r="I115" s="382">
        <v>17</v>
      </c>
      <c r="J115" s="382">
        <v>1.5960000000000001</v>
      </c>
      <c r="K115" s="382">
        <v>0</v>
      </c>
      <c r="L115" s="589">
        <v>0.59599999999999997</v>
      </c>
      <c r="M115" s="382">
        <v>6516</v>
      </c>
      <c r="N115" s="383">
        <v>2.0000000000000001E-4</v>
      </c>
      <c r="O115" s="382">
        <v>1.617</v>
      </c>
      <c r="P115" s="382">
        <v>0</v>
      </c>
    </row>
    <row r="116" spans="4:16">
      <c r="D116" s="374" t="s">
        <v>719</v>
      </c>
      <c r="E116" s="379" t="s">
        <v>722</v>
      </c>
      <c r="F116" s="380">
        <v>41451</v>
      </c>
      <c r="G116" s="381">
        <f t="shared" si="2"/>
        <v>2013</v>
      </c>
      <c r="H116" s="381">
        <f t="shared" si="3"/>
        <v>6</v>
      </c>
      <c r="I116" s="382">
        <v>16</v>
      </c>
      <c r="J116" s="382">
        <v>2.1059999999999999</v>
      </c>
      <c r="K116" s="382">
        <v>0</v>
      </c>
      <c r="L116" s="589">
        <v>1.1060000000000001</v>
      </c>
      <c r="M116" s="382">
        <v>8280</v>
      </c>
      <c r="N116" s="383">
        <v>2.9999999999999997E-4</v>
      </c>
      <c r="O116" s="382">
        <v>2.1429999999999998</v>
      </c>
      <c r="P116" s="382">
        <v>0</v>
      </c>
    </row>
    <row r="117" spans="4:16">
      <c r="D117" s="374" t="s">
        <v>719</v>
      </c>
      <c r="E117" s="379" t="s">
        <v>722</v>
      </c>
      <c r="F117" s="380">
        <v>41473</v>
      </c>
      <c r="G117" s="381">
        <f t="shared" si="2"/>
        <v>2013</v>
      </c>
      <c r="H117" s="381">
        <f t="shared" si="3"/>
        <v>7</v>
      </c>
      <c r="I117" s="382">
        <v>17</v>
      </c>
      <c r="J117" s="382">
        <v>2.577</v>
      </c>
      <c r="K117" s="382">
        <v>0</v>
      </c>
      <c r="L117" s="589">
        <v>1.577</v>
      </c>
      <c r="M117" s="382">
        <v>9566</v>
      </c>
      <c r="N117" s="383">
        <v>2.9999999999999997E-4</v>
      </c>
      <c r="O117" s="382">
        <v>2.6040000000000001</v>
      </c>
      <c r="P117" s="382">
        <v>0</v>
      </c>
    </row>
    <row r="118" spans="4:16">
      <c r="D118" s="374" t="s">
        <v>719</v>
      </c>
      <c r="E118" s="379" t="s">
        <v>722</v>
      </c>
      <c r="F118" s="380">
        <v>41512</v>
      </c>
      <c r="G118" s="381">
        <f t="shared" si="2"/>
        <v>2013</v>
      </c>
      <c r="H118" s="381">
        <f t="shared" si="3"/>
        <v>8</v>
      </c>
      <c r="I118" s="382">
        <v>17</v>
      </c>
      <c r="J118" s="382">
        <v>2.726</v>
      </c>
      <c r="K118" s="382">
        <v>0</v>
      </c>
      <c r="L118" s="589">
        <v>1.726</v>
      </c>
      <c r="M118" s="382">
        <v>9821</v>
      </c>
      <c r="N118" s="383">
        <v>2.9999999999999997E-4</v>
      </c>
      <c r="O118" s="382">
        <v>2.7480000000000002</v>
      </c>
      <c r="P118" s="382">
        <v>0</v>
      </c>
    </row>
    <row r="119" spans="4:16">
      <c r="D119" s="374" t="s">
        <v>719</v>
      </c>
      <c r="E119" s="379" t="s">
        <v>722</v>
      </c>
      <c r="F119" s="380">
        <v>41526</v>
      </c>
      <c r="G119" s="381">
        <f t="shared" si="2"/>
        <v>2013</v>
      </c>
      <c r="H119" s="381">
        <f t="shared" si="3"/>
        <v>9</v>
      </c>
      <c r="I119" s="382">
        <v>17</v>
      </c>
      <c r="J119" s="382">
        <v>2.5070000000000001</v>
      </c>
      <c r="K119" s="382">
        <v>0</v>
      </c>
      <c r="L119" s="589">
        <v>1.5069999999999999</v>
      </c>
      <c r="M119" s="382">
        <v>8781</v>
      </c>
      <c r="N119" s="383">
        <v>2.9999999999999997E-4</v>
      </c>
      <c r="O119" s="382">
        <v>2.5299999999999998</v>
      </c>
      <c r="P119" s="382">
        <v>0</v>
      </c>
    </row>
    <row r="120" spans="4:16">
      <c r="D120" s="374" t="s">
        <v>719</v>
      </c>
      <c r="E120" s="379" t="s">
        <v>722</v>
      </c>
      <c r="F120" s="380">
        <v>41548</v>
      </c>
      <c r="G120" s="381">
        <f t="shared" si="2"/>
        <v>2013</v>
      </c>
      <c r="H120" s="381">
        <f t="shared" si="3"/>
        <v>10</v>
      </c>
      <c r="I120" s="382">
        <v>14</v>
      </c>
      <c r="J120" s="382">
        <v>1.637</v>
      </c>
      <c r="K120" s="382">
        <v>0</v>
      </c>
      <c r="L120" s="589">
        <v>0.63700000000000001</v>
      </c>
      <c r="M120" s="382">
        <v>6214</v>
      </c>
      <c r="N120" s="383">
        <v>2.9999999999999997E-4</v>
      </c>
      <c r="O120" s="382">
        <v>1.653</v>
      </c>
      <c r="P120" s="382">
        <v>0</v>
      </c>
    </row>
    <row r="121" spans="4:16">
      <c r="D121" s="374" t="s">
        <v>719</v>
      </c>
      <c r="E121" s="379" t="s">
        <v>722</v>
      </c>
      <c r="F121" s="380">
        <v>41604</v>
      </c>
      <c r="G121" s="381">
        <f t="shared" si="2"/>
        <v>2013</v>
      </c>
      <c r="H121" s="381">
        <f t="shared" si="3"/>
        <v>11</v>
      </c>
      <c r="I121" s="382">
        <v>18</v>
      </c>
      <c r="J121" s="382">
        <v>2.423</v>
      </c>
      <c r="K121" s="382">
        <v>0</v>
      </c>
      <c r="L121" s="589">
        <v>0.42299999999999999</v>
      </c>
      <c r="M121" s="382">
        <v>6372</v>
      </c>
      <c r="N121" s="383">
        <v>4.0000000000000002E-4</v>
      </c>
      <c r="O121" s="382">
        <v>2.4580000000000002</v>
      </c>
      <c r="P121" s="382">
        <v>0</v>
      </c>
    </row>
    <row r="122" spans="4:16">
      <c r="D122" s="374" t="s">
        <v>719</v>
      </c>
      <c r="E122" s="379" t="s">
        <v>722</v>
      </c>
      <c r="F122" s="380">
        <v>41619</v>
      </c>
      <c r="G122" s="381">
        <f t="shared" si="2"/>
        <v>2013</v>
      </c>
      <c r="H122" s="381">
        <f t="shared" si="3"/>
        <v>12</v>
      </c>
      <c r="I122" s="382">
        <v>18</v>
      </c>
      <c r="J122" s="382">
        <v>2.5019999999999998</v>
      </c>
      <c r="K122" s="382">
        <v>0</v>
      </c>
      <c r="L122" s="589">
        <v>0.502</v>
      </c>
      <c r="M122" s="382">
        <v>6972</v>
      </c>
      <c r="N122" s="383">
        <v>4.0000000000000002E-4</v>
      </c>
      <c r="O122" s="382">
        <v>2.5249999999999999</v>
      </c>
      <c r="P122" s="382">
        <v>0</v>
      </c>
    </row>
    <row r="123" spans="4:16">
      <c r="D123" s="374" t="s">
        <v>719</v>
      </c>
      <c r="E123" s="590" t="s">
        <v>722</v>
      </c>
      <c r="F123" s="591">
        <v>41645</v>
      </c>
      <c r="G123" s="381">
        <f t="shared" si="2"/>
        <v>2014</v>
      </c>
      <c r="H123" s="381">
        <f t="shared" si="3"/>
        <v>1</v>
      </c>
      <c r="I123" s="592">
        <v>18</v>
      </c>
      <c r="J123" s="592">
        <v>2.36</v>
      </c>
      <c r="K123" s="592">
        <v>0</v>
      </c>
      <c r="L123" s="593">
        <v>2.36</v>
      </c>
      <c r="M123" s="594">
        <v>7188</v>
      </c>
      <c r="N123" s="592">
        <v>3.3000000000000002E-2</v>
      </c>
      <c r="O123" s="592">
        <v>2.6269999999999998</v>
      </c>
      <c r="P123" s="592">
        <v>0</v>
      </c>
    </row>
    <row r="124" spans="4:16">
      <c r="D124" s="374" t="s">
        <v>719</v>
      </c>
      <c r="E124" s="590" t="s">
        <v>722</v>
      </c>
      <c r="F124" s="591">
        <v>41676</v>
      </c>
      <c r="G124" s="381">
        <f t="shared" si="2"/>
        <v>2014</v>
      </c>
      <c r="H124" s="381">
        <f t="shared" si="3"/>
        <v>2</v>
      </c>
      <c r="I124" s="592">
        <v>19</v>
      </c>
      <c r="J124" s="592">
        <v>2.573</v>
      </c>
      <c r="K124" s="592">
        <v>0</v>
      </c>
      <c r="L124" s="593">
        <v>2.573</v>
      </c>
      <c r="M124" s="594">
        <v>6743</v>
      </c>
      <c r="N124" s="592">
        <v>3.7999999999999999E-2</v>
      </c>
      <c r="O124" s="592">
        <v>2.601</v>
      </c>
      <c r="P124" s="592">
        <v>0</v>
      </c>
    </row>
    <row r="125" spans="4:16">
      <c r="D125" s="374" t="s">
        <v>719</v>
      </c>
      <c r="E125" s="590" t="s">
        <v>722</v>
      </c>
      <c r="F125" s="591">
        <v>41701</v>
      </c>
      <c r="G125" s="381">
        <f t="shared" si="2"/>
        <v>2014</v>
      </c>
      <c r="H125" s="381">
        <f t="shared" si="3"/>
        <v>3</v>
      </c>
      <c r="I125" s="592">
        <v>19</v>
      </c>
      <c r="J125" s="592">
        <v>2.4129999999999998</v>
      </c>
      <c r="K125" s="592">
        <v>0</v>
      </c>
      <c r="L125" s="593">
        <v>2.4129999999999998</v>
      </c>
      <c r="M125" s="594">
        <v>6537</v>
      </c>
      <c r="N125" s="592">
        <v>3.6999999999999998E-2</v>
      </c>
      <c r="O125" s="592">
        <v>2.4329999999999998</v>
      </c>
      <c r="P125" s="592">
        <v>0</v>
      </c>
    </row>
    <row r="126" spans="4:16">
      <c r="D126" s="374" t="s">
        <v>719</v>
      </c>
      <c r="E126" s="590" t="s">
        <v>722</v>
      </c>
      <c r="F126" s="591">
        <v>41730</v>
      </c>
      <c r="G126" s="381">
        <f t="shared" si="2"/>
        <v>2014</v>
      </c>
      <c r="H126" s="381">
        <f t="shared" si="3"/>
        <v>4</v>
      </c>
      <c r="I126" s="592">
        <v>11</v>
      </c>
      <c r="J126" s="592">
        <v>2.0070000000000001</v>
      </c>
      <c r="K126" s="592">
        <v>0</v>
      </c>
      <c r="L126" s="593">
        <v>2.0070000000000001</v>
      </c>
      <c r="M126" s="594">
        <v>5924</v>
      </c>
      <c r="N126" s="592">
        <v>3.4000000000000002E-2</v>
      </c>
      <c r="O126" s="592">
        <v>2.0579999999999998</v>
      </c>
      <c r="P126" s="592">
        <v>0</v>
      </c>
    </row>
    <row r="127" spans="4:16">
      <c r="D127" s="374" t="s">
        <v>719</v>
      </c>
      <c r="E127" s="590" t="s">
        <v>722</v>
      </c>
      <c r="F127" s="591">
        <v>41789</v>
      </c>
      <c r="G127" s="381">
        <f t="shared" si="2"/>
        <v>2014</v>
      </c>
      <c r="H127" s="381">
        <f t="shared" si="3"/>
        <v>5</v>
      </c>
      <c r="I127" s="592">
        <v>16</v>
      </c>
      <c r="J127" s="592">
        <v>1.8979999999999999</v>
      </c>
      <c r="K127" s="592">
        <v>0</v>
      </c>
      <c r="L127" s="593">
        <v>1.8979999999999999</v>
      </c>
      <c r="M127" s="594">
        <v>7422</v>
      </c>
      <c r="N127" s="592">
        <v>2.5999999999999999E-2</v>
      </c>
      <c r="O127" s="592">
        <v>1.917</v>
      </c>
      <c r="P127" s="592">
        <v>0</v>
      </c>
    </row>
    <row r="128" spans="4:16">
      <c r="D128" s="374" t="s">
        <v>719</v>
      </c>
      <c r="E128" s="590" t="s">
        <v>722</v>
      </c>
      <c r="F128" s="591">
        <v>41814</v>
      </c>
      <c r="G128" s="381">
        <f t="shared" si="2"/>
        <v>2014</v>
      </c>
      <c r="H128" s="381">
        <f t="shared" si="3"/>
        <v>6</v>
      </c>
      <c r="I128" s="592">
        <v>16</v>
      </c>
      <c r="J128" s="592">
        <v>1.8919999999999999</v>
      </c>
      <c r="K128" s="592">
        <v>0</v>
      </c>
      <c r="L128" s="593">
        <v>1.8919999999999999</v>
      </c>
      <c r="M128" s="594">
        <v>7670</v>
      </c>
      <c r="N128" s="592">
        <v>2.5000000000000001E-2</v>
      </c>
      <c r="O128" s="592">
        <v>1.9139999999999999</v>
      </c>
      <c r="P128" s="592">
        <v>0</v>
      </c>
    </row>
    <row r="129" spans="4:16">
      <c r="D129" s="374" t="s">
        <v>719</v>
      </c>
      <c r="E129" s="590" t="s">
        <v>722</v>
      </c>
      <c r="F129" s="591">
        <v>41841</v>
      </c>
      <c r="G129" s="381">
        <f t="shared" si="2"/>
        <v>2014</v>
      </c>
      <c r="H129" s="381">
        <f t="shared" si="3"/>
        <v>7</v>
      </c>
      <c r="I129" s="592">
        <v>17</v>
      </c>
      <c r="J129" s="592">
        <v>2.2000000000000002</v>
      </c>
      <c r="K129" s="592">
        <v>0</v>
      </c>
      <c r="L129" s="593">
        <v>2.2000000000000002</v>
      </c>
      <c r="M129" s="594">
        <v>9150</v>
      </c>
      <c r="N129" s="592">
        <v>2.4E-2</v>
      </c>
      <c r="O129" s="592">
        <v>2.1949999999999998</v>
      </c>
      <c r="P129" s="592">
        <v>0</v>
      </c>
    </row>
    <row r="130" spans="4:16">
      <c r="D130" s="374" t="s">
        <v>719</v>
      </c>
      <c r="E130" s="590" t="s">
        <v>722</v>
      </c>
      <c r="F130" s="591">
        <v>41869</v>
      </c>
      <c r="G130" s="381">
        <f t="shared" si="2"/>
        <v>2014</v>
      </c>
      <c r="H130" s="381">
        <f t="shared" si="3"/>
        <v>8</v>
      </c>
      <c r="I130" s="592">
        <v>16</v>
      </c>
      <c r="J130" s="592">
        <v>1.853</v>
      </c>
      <c r="K130" s="592">
        <v>0</v>
      </c>
      <c r="L130" s="593">
        <v>1.853</v>
      </c>
      <c r="M130" s="594">
        <v>8190</v>
      </c>
      <c r="N130" s="592">
        <v>2.3E-2</v>
      </c>
      <c r="O130" s="592">
        <v>1.8660000000000001</v>
      </c>
      <c r="P130" s="592">
        <v>0</v>
      </c>
    </row>
    <row r="131" spans="4:16">
      <c r="D131" s="374" t="s">
        <v>719</v>
      </c>
      <c r="E131" s="590" t="s">
        <v>722</v>
      </c>
      <c r="F131" s="591">
        <v>41886</v>
      </c>
      <c r="G131" s="381">
        <f t="shared" ref="G131:G194" si="4">YEAR(F131)</f>
        <v>2014</v>
      </c>
      <c r="H131" s="381">
        <f t="shared" ref="H131:H194" si="5">MONTH(F131)</f>
        <v>9</v>
      </c>
      <c r="I131" s="592">
        <v>15</v>
      </c>
      <c r="J131" s="592">
        <v>1.849</v>
      </c>
      <c r="K131" s="592">
        <v>0</v>
      </c>
      <c r="L131" s="593">
        <v>1.849</v>
      </c>
      <c r="M131" s="594">
        <v>7758</v>
      </c>
      <c r="N131" s="592">
        <v>2.4E-2</v>
      </c>
      <c r="O131" s="592">
        <v>1.87</v>
      </c>
      <c r="P131" s="592">
        <v>0</v>
      </c>
    </row>
    <row r="132" spans="4:16">
      <c r="D132" s="374" t="s">
        <v>719</v>
      </c>
      <c r="E132" s="590" t="s">
        <v>722</v>
      </c>
      <c r="F132" s="591">
        <v>41942</v>
      </c>
      <c r="G132" s="381">
        <f t="shared" si="4"/>
        <v>2014</v>
      </c>
      <c r="H132" s="381">
        <f t="shared" si="5"/>
        <v>10</v>
      </c>
      <c r="I132" s="592">
        <v>20</v>
      </c>
      <c r="J132" s="592">
        <v>1.456</v>
      </c>
      <c r="K132" s="592">
        <v>0</v>
      </c>
      <c r="L132" s="593">
        <v>1.456</v>
      </c>
      <c r="M132" s="594">
        <v>5901</v>
      </c>
      <c r="N132" s="592">
        <v>2.5000000000000001E-2</v>
      </c>
      <c r="O132" s="592">
        <v>1.468</v>
      </c>
      <c r="P132" s="592">
        <v>0</v>
      </c>
    </row>
    <row r="133" spans="4:16">
      <c r="D133" s="374" t="s">
        <v>719</v>
      </c>
      <c r="E133" s="590" t="s">
        <v>722</v>
      </c>
      <c r="F133" s="591">
        <v>41960</v>
      </c>
      <c r="G133" s="381">
        <f t="shared" si="4"/>
        <v>2014</v>
      </c>
      <c r="H133" s="381">
        <f t="shared" si="5"/>
        <v>11</v>
      </c>
      <c r="I133" s="592">
        <v>18</v>
      </c>
      <c r="J133" s="592">
        <v>2.16</v>
      </c>
      <c r="K133" s="592">
        <v>0</v>
      </c>
      <c r="L133" s="593">
        <v>2.16</v>
      </c>
      <c r="M133" s="594">
        <v>6677</v>
      </c>
      <c r="N133" s="592">
        <v>3.2000000000000001E-2</v>
      </c>
      <c r="O133" s="592">
        <v>2.1800000000000002</v>
      </c>
      <c r="P133" s="592">
        <v>0</v>
      </c>
    </row>
    <row r="134" spans="4:16">
      <c r="D134" s="374" t="s">
        <v>719</v>
      </c>
      <c r="E134" s="590" t="s">
        <v>722</v>
      </c>
      <c r="F134" s="591">
        <v>41974</v>
      </c>
      <c r="G134" s="381">
        <f t="shared" si="4"/>
        <v>2014</v>
      </c>
      <c r="H134" s="381">
        <f t="shared" si="5"/>
        <v>12</v>
      </c>
      <c r="I134" s="592">
        <v>18</v>
      </c>
      <c r="J134" s="592">
        <v>2.16</v>
      </c>
      <c r="K134" s="592">
        <v>0</v>
      </c>
      <c r="L134" s="593">
        <v>2.16</v>
      </c>
      <c r="M134" s="594">
        <v>6850</v>
      </c>
      <c r="N134" s="592">
        <v>3.2000000000000001E-2</v>
      </c>
      <c r="O134" s="592">
        <v>2.1819999999999999</v>
      </c>
      <c r="P134" s="592">
        <v>0</v>
      </c>
    </row>
    <row r="135" spans="4:16">
      <c r="D135" s="374" t="s">
        <v>719</v>
      </c>
      <c r="E135" s="590" t="s">
        <v>722</v>
      </c>
      <c r="F135" s="591">
        <v>42011</v>
      </c>
      <c r="G135" s="381">
        <f t="shared" si="4"/>
        <v>2015</v>
      </c>
      <c r="H135" s="381">
        <f t="shared" si="5"/>
        <v>1</v>
      </c>
      <c r="I135" s="592">
        <v>18</v>
      </c>
      <c r="J135" s="592">
        <v>2.2120000000000002</v>
      </c>
      <c r="K135" s="592">
        <v>0</v>
      </c>
      <c r="L135" s="593">
        <v>2.2120000000000002</v>
      </c>
      <c r="M135" s="594">
        <v>6978</v>
      </c>
      <c r="N135" s="592">
        <v>3.2000000000000001E-2</v>
      </c>
      <c r="O135" s="592">
        <v>2.2349999999999999</v>
      </c>
      <c r="P135" s="592">
        <v>0</v>
      </c>
    </row>
    <row r="136" spans="4:16">
      <c r="D136" s="374" t="s">
        <v>719</v>
      </c>
      <c r="E136" s="590" t="s">
        <v>722</v>
      </c>
      <c r="F136" s="591">
        <v>42053</v>
      </c>
      <c r="G136" s="381">
        <f t="shared" si="4"/>
        <v>2015</v>
      </c>
      <c r="H136" s="381">
        <f t="shared" si="5"/>
        <v>2</v>
      </c>
      <c r="I136" s="592">
        <v>19</v>
      </c>
      <c r="J136" s="592">
        <v>2.4990000000000001</v>
      </c>
      <c r="K136" s="592">
        <v>0</v>
      </c>
      <c r="L136" s="593">
        <v>2.4990000000000001</v>
      </c>
      <c r="M136" s="594">
        <v>6744</v>
      </c>
      <c r="N136" s="592">
        <v>3.6999999999999998E-2</v>
      </c>
      <c r="O136" s="592">
        <v>2.5179999999999998</v>
      </c>
      <c r="P136" s="592">
        <v>0</v>
      </c>
    </row>
    <row r="137" spans="4:16">
      <c r="D137" s="374" t="s">
        <v>719</v>
      </c>
      <c r="E137" s="590" t="s">
        <v>722</v>
      </c>
      <c r="F137" s="591">
        <v>42067</v>
      </c>
      <c r="G137" s="381">
        <f t="shared" si="4"/>
        <v>2015</v>
      </c>
      <c r="H137" s="381">
        <f t="shared" si="5"/>
        <v>3</v>
      </c>
      <c r="I137" s="592">
        <v>20</v>
      </c>
      <c r="J137" s="592">
        <v>2.2440000000000002</v>
      </c>
      <c r="K137" s="592">
        <v>0</v>
      </c>
      <c r="L137" s="593">
        <v>2.2440000000000002</v>
      </c>
      <c r="M137" s="594">
        <v>6470</v>
      </c>
      <c r="N137" s="592">
        <v>3.5000000000000003E-2</v>
      </c>
      <c r="O137" s="592">
        <v>2.2629999999999999</v>
      </c>
      <c r="P137" s="592">
        <v>0</v>
      </c>
    </row>
    <row r="138" spans="4:16">
      <c r="D138" s="374" t="s">
        <v>719</v>
      </c>
      <c r="E138" s="590" t="s">
        <v>722</v>
      </c>
      <c r="F138" s="591">
        <v>42103</v>
      </c>
      <c r="G138" s="381">
        <f t="shared" si="4"/>
        <v>2015</v>
      </c>
      <c r="H138" s="381">
        <f t="shared" si="5"/>
        <v>4</v>
      </c>
      <c r="I138" s="592">
        <v>12</v>
      </c>
      <c r="J138" s="592">
        <v>1.6539999999999999</v>
      </c>
      <c r="K138" s="592">
        <v>0</v>
      </c>
      <c r="L138" s="593">
        <v>1.6539999999999999</v>
      </c>
      <c r="M138" s="594">
        <v>5914</v>
      </c>
      <c r="N138" s="592">
        <v>2.8000000000000001E-2</v>
      </c>
      <c r="O138" s="592">
        <v>1.677</v>
      </c>
      <c r="P138" s="592">
        <v>0</v>
      </c>
    </row>
    <row r="139" spans="4:16">
      <c r="D139" s="374" t="s">
        <v>719</v>
      </c>
      <c r="E139" s="590" t="s">
        <v>722</v>
      </c>
      <c r="F139" s="591">
        <v>42152</v>
      </c>
      <c r="G139" s="381">
        <f t="shared" si="4"/>
        <v>2015</v>
      </c>
      <c r="H139" s="381">
        <f t="shared" si="5"/>
        <v>5</v>
      </c>
      <c r="I139" s="592">
        <v>16</v>
      </c>
      <c r="J139" s="592">
        <v>1.5660000000000001</v>
      </c>
      <c r="K139" s="592">
        <v>0</v>
      </c>
      <c r="L139" s="593">
        <v>1.5660000000000001</v>
      </c>
      <c r="M139" s="594">
        <v>6837</v>
      </c>
      <c r="N139" s="592">
        <v>2.3E-2</v>
      </c>
      <c r="O139" s="592">
        <v>1.587</v>
      </c>
      <c r="P139" s="592">
        <v>0</v>
      </c>
    </row>
    <row r="140" spans="4:16">
      <c r="D140" s="374" t="s">
        <v>719</v>
      </c>
      <c r="E140" s="590" t="s">
        <v>722</v>
      </c>
      <c r="F140" s="591">
        <v>42164</v>
      </c>
      <c r="G140" s="381">
        <f t="shared" si="4"/>
        <v>2015</v>
      </c>
      <c r="H140" s="381">
        <f t="shared" si="5"/>
        <v>6</v>
      </c>
      <c r="I140" s="592">
        <v>17</v>
      </c>
      <c r="J140" s="592">
        <v>2.0910000000000002</v>
      </c>
      <c r="K140" s="592">
        <v>0</v>
      </c>
      <c r="L140" s="593">
        <v>2.0910000000000002</v>
      </c>
      <c r="M140" s="594">
        <v>8136</v>
      </c>
      <c r="N140" s="592">
        <v>2.5999999999999999E-2</v>
      </c>
      <c r="O140" s="592">
        <v>2.12</v>
      </c>
      <c r="P140" s="592">
        <v>0</v>
      </c>
    </row>
    <row r="141" spans="4:16">
      <c r="D141" s="374" t="s">
        <v>719</v>
      </c>
      <c r="E141" s="590" t="s">
        <v>722</v>
      </c>
      <c r="F141" s="591">
        <v>42212</v>
      </c>
      <c r="G141" s="381">
        <f t="shared" si="4"/>
        <v>2015</v>
      </c>
      <c r="H141" s="381">
        <f t="shared" si="5"/>
        <v>7</v>
      </c>
      <c r="I141" s="592">
        <v>17</v>
      </c>
      <c r="J141" s="592">
        <v>2.1629999999999998</v>
      </c>
      <c r="K141" s="592">
        <v>0</v>
      </c>
      <c r="L141" s="593">
        <v>2.1629999999999998</v>
      </c>
      <c r="M141" s="594">
        <v>8769</v>
      </c>
      <c r="N141" s="592">
        <v>2.5000000000000001E-2</v>
      </c>
      <c r="O141" s="592">
        <v>2.1880000000000002</v>
      </c>
      <c r="P141" s="592">
        <v>0</v>
      </c>
    </row>
    <row r="142" spans="4:16">
      <c r="D142" s="374" t="s">
        <v>719</v>
      </c>
      <c r="E142" s="590" t="s">
        <v>722</v>
      </c>
      <c r="F142" s="591">
        <v>42230</v>
      </c>
      <c r="G142" s="381">
        <f t="shared" si="4"/>
        <v>2015</v>
      </c>
      <c r="H142" s="381">
        <f t="shared" si="5"/>
        <v>8</v>
      </c>
      <c r="I142" s="592">
        <v>16</v>
      </c>
      <c r="J142" s="592">
        <v>2.2050000000000001</v>
      </c>
      <c r="K142" s="592">
        <v>0</v>
      </c>
      <c r="L142" s="593">
        <v>2.2050000000000001</v>
      </c>
      <c r="M142" s="594">
        <v>8926</v>
      </c>
      <c r="N142" s="592">
        <v>2.5000000000000001E-2</v>
      </c>
      <c r="O142" s="592">
        <v>2.2320000000000002</v>
      </c>
      <c r="P142" s="592">
        <v>0</v>
      </c>
    </row>
    <row r="143" spans="4:16">
      <c r="D143" s="374" t="s">
        <v>719</v>
      </c>
      <c r="E143" s="590" t="s">
        <v>722</v>
      </c>
      <c r="F143" s="591">
        <v>42250</v>
      </c>
      <c r="G143" s="381">
        <f t="shared" si="4"/>
        <v>2015</v>
      </c>
      <c r="H143" s="381">
        <f t="shared" si="5"/>
        <v>9</v>
      </c>
      <c r="I143" s="592">
        <v>17</v>
      </c>
      <c r="J143" s="592">
        <v>2.2559999999999998</v>
      </c>
      <c r="K143" s="592">
        <v>0</v>
      </c>
      <c r="L143" s="593">
        <v>2.2559999999999998</v>
      </c>
      <c r="M143" s="594">
        <v>8657</v>
      </c>
      <c r="N143" s="592">
        <v>2.5999999999999999E-2</v>
      </c>
      <c r="O143" s="592">
        <v>2.2869999999999999</v>
      </c>
      <c r="P143" s="592">
        <v>0</v>
      </c>
    </row>
    <row r="144" spans="4:16">
      <c r="D144" s="374" t="s">
        <v>719</v>
      </c>
      <c r="E144" s="590" t="s">
        <v>722</v>
      </c>
      <c r="F144" s="591">
        <v>42285</v>
      </c>
      <c r="G144" s="381">
        <f t="shared" si="4"/>
        <v>2015</v>
      </c>
      <c r="H144" s="381">
        <f t="shared" si="5"/>
        <v>10</v>
      </c>
      <c r="I144" s="592">
        <v>12</v>
      </c>
      <c r="J144" s="592">
        <v>1.4370000000000001</v>
      </c>
      <c r="K144" s="592">
        <v>0</v>
      </c>
      <c r="L144" s="593">
        <v>1.4370000000000001</v>
      </c>
      <c r="M144" s="594">
        <v>5943</v>
      </c>
      <c r="N144" s="592">
        <v>2.4E-2</v>
      </c>
      <c r="O144" s="592">
        <v>1.34</v>
      </c>
      <c r="P144" s="592">
        <v>0</v>
      </c>
    </row>
    <row r="145" spans="4:16">
      <c r="D145" s="374" t="s">
        <v>719</v>
      </c>
      <c r="E145" s="590" t="s">
        <v>722</v>
      </c>
      <c r="F145" s="591">
        <v>42338</v>
      </c>
      <c r="G145" s="381">
        <f t="shared" si="4"/>
        <v>2015</v>
      </c>
      <c r="H145" s="381">
        <f t="shared" si="5"/>
        <v>11</v>
      </c>
      <c r="I145" s="592">
        <v>18</v>
      </c>
      <c r="J145" s="592">
        <v>1.9810000000000001</v>
      </c>
      <c r="K145" s="592">
        <v>0</v>
      </c>
      <c r="L145" s="593">
        <v>1.9810000000000001</v>
      </c>
      <c r="M145" s="594">
        <v>6574</v>
      </c>
      <c r="N145" s="592">
        <v>0.03</v>
      </c>
      <c r="O145" s="592">
        <v>2.0110000000000001</v>
      </c>
      <c r="P145" s="592">
        <v>0</v>
      </c>
    </row>
    <row r="146" spans="4:16">
      <c r="D146" s="374" t="s">
        <v>719</v>
      </c>
      <c r="E146" s="590" t="s">
        <v>722</v>
      </c>
      <c r="F146" s="591">
        <v>42355</v>
      </c>
      <c r="G146" s="381">
        <f t="shared" si="4"/>
        <v>2015</v>
      </c>
      <c r="H146" s="381">
        <f t="shared" si="5"/>
        <v>12</v>
      </c>
      <c r="I146" s="592">
        <v>18</v>
      </c>
      <c r="J146" s="592">
        <v>2.036</v>
      </c>
      <c r="K146" s="592">
        <v>0</v>
      </c>
      <c r="L146" s="593">
        <v>2.036</v>
      </c>
      <c r="M146" s="594">
        <v>6450</v>
      </c>
      <c r="N146" s="592">
        <v>3.2000000000000001E-2</v>
      </c>
      <c r="O146" s="592">
        <v>2.0739999999999998</v>
      </c>
      <c r="P146" s="592">
        <v>0</v>
      </c>
    </row>
    <row r="147" spans="4:16">
      <c r="D147" s="374" t="s">
        <v>719</v>
      </c>
      <c r="E147" s="379" t="s">
        <v>723</v>
      </c>
      <c r="F147" s="380">
        <v>40927</v>
      </c>
      <c r="G147" s="381">
        <f t="shared" si="4"/>
        <v>2012</v>
      </c>
      <c r="H147" s="381">
        <f t="shared" si="5"/>
        <v>1</v>
      </c>
      <c r="I147" s="382">
        <v>19</v>
      </c>
      <c r="J147" s="382">
        <v>4.556</v>
      </c>
      <c r="K147" s="382">
        <v>0.312</v>
      </c>
      <c r="L147" s="589">
        <v>2.8679999999999999</v>
      </c>
      <c r="M147" s="382">
        <v>6604</v>
      </c>
      <c r="N147" s="383">
        <v>6.9999999999999999E-4</v>
      </c>
      <c r="O147" s="382">
        <v>2.5870000000000002</v>
      </c>
      <c r="P147" s="382">
        <v>0.312</v>
      </c>
    </row>
    <row r="148" spans="4:16">
      <c r="D148" s="374" t="s">
        <v>719</v>
      </c>
      <c r="E148" s="379" t="s">
        <v>723</v>
      </c>
      <c r="F148" s="380">
        <v>40967</v>
      </c>
      <c r="G148" s="381">
        <f t="shared" si="4"/>
        <v>2012</v>
      </c>
      <c r="H148" s="381">
        <f t="shared" si="5"/>
        <v>2</v>
      </c>
      <c r="I148" s="382">
        <v>19</v>
      </c>
      <c r="J148" s="382">
        <v>4.3949999999999996</v>
      </c>
      <c r="K148" s="382">
        <v>0</v>
      </c>
      <c r="L148" s="589">
        <v>2.395</v>
      </c>
      <c r="M148" s="382">
        <v>6178</v>
      </c>
      <c r="N148" s="383">
        <v>6.9999999999999999E-4</v>
      </c>
      <c r="O148" s="382">
        <v>2.4249999999999998</v>
      </c>
      <c r="P148" s="382">
        <v>0</v>
      </c>
    </row>
    <row r="149" spans="4:16">
      <c r="D149" s="374" t="s">
        <v>719</v>
      </c>
      <c r="E149" s="379" t="s">
        <v>723</v>
      </c>
      <c r="F149" s="380">
        <v>40987</v>
      </c>
      <c r="G149" s="381">
        <f t="shared" si="4"/>
        <v>2012</v>
      </c>
      <c r="H149" s="381">
        <f t="shared" si="5"/>
        <v>3</v>
      </c>
      <c r="I149" s="382">
        <v>14</v>
      </c>
      <c r="J149" s="382">
        <v>4.0759999999999996</v>
      </c>
      <c r="K149" s="382">
        <v>0.72399999999999998</v>
      </c>
      <c r="L149" s="589">
        <v>3.8</v>
      </c>
      <c r="M149" s="382">
        <v>6170</v>
      </c>
      <c r="N149" s="383">
        <v>8.0000000000000004E-4</v>
      </c>
      <c r="O149" s="382">
        <v>3.1179999999999999</v>
      </c>
      <c r="P149" s="382">
        <v>0.72399999999999998</v>
      </c>
    </row>
    <row r="150" spans="4:16">
      <c r="D150" s="374" t="s">
        <v>719</v>
      </c>
      <c r="E150" s="379" t="s">
        <v>723</v>
      </c>
      <c r="F150" s="380">
        <v>41024</v>
      </c>
      <c r="G150" s="381">
        <f t="shared" si="4"/>
        <v>2012</v>
      </c>
      <c r="H150" s="381">
        <f t="shared" si="5"/>
        <v>4</v>
      </c>
      <c r="I150" s="382">
        <v>15</v>
      </c>
      <c r="J150" s="382">
        <v>3.806</v>
      </c>
      <c r="K150" s="382">
        <v>0.73599999999999999</v>
      </c>
      <c r="L150" s="589">
        <v>3.5419999999999998</v>
      </c>
      <c r="M150" s="382">
        <v>5813</v>
      </c>
      <c r="N150" s="383">
        <v>8.0000000000000004E-4</v>
      </c>
      <c r="O150" s="382">
        <v>2.847</v>
      </c>
      <c r="P150" s="382">
        <v>0.73599999999999999</v>
      </c>
    </row>
    <row r="151" spans="4:16">
      <c r="D151" s="374" t="s">
        <v>719</v>
      </c>
      <c r="E151" s="379" t="s">
        <v>723</v>
      </c>
      <c r="F151" s="380">
        <v>41047</v>
      </c>
      <c r="G151" s="381">
        <f t="shared" si="4"/>
        <v>2012</v>
      </c>
      <c r="H151" s="381">
        <f t="shared" si="5"/>
        <v>5</v>
      </c>
      <c r="I151" s="382">
        <v>17</v>
      </c>
      <c r="J151" s="382">
        <v>4.8780000000000001</v>
      </c>
      <c r="K151" s="382">
        <v>0.75700000000000001</v>
      </c>
      <c r="L151" s="589">
        <v>4.6349999999999998</v>
      </c>
      <c r="M151" s="382">
        <v>7203</v>
      </c>
      <c r="N151" s="383">
        <v>8.0000000000000004E-4</v>
      </c>
      <c r="O151" s="382">
        <v>3.9239999999999999</v>
      </c>
      <c r="P151" s="382">
        <v>0.75700000000000001</v>
      </c>
    </row>
    <row r="152" spans="4:16">
      <c r="D152" s="374" t="s">
        <v>719</v>
      </c>
      <c r="E152" s="379" t="s">
        <v>723</v>
      </c>
      <c r="F152" s="380">
        <v>41087</v>
      </c>
      <c r="G152" s="381">
        <f t="shared" si="4"/>
        <v>2012</v>
      </c>
      <c r="H152" s="381">
        <f t="shared" si="5"/>
        <v>6</v>
      </c>
      <c r="I152" s="382">
        <v>17</v>
      </c>
      <c r="J152" s="382">
        <v>6.1870000000000003</v>
      </c>
      <c r="K152" s="382">
        <v>0.68899999999999995</v>
      </c>
      <c r="L152" s="589">
        <v>5.8760000000000003</v>
      </c>
      <c r="M152" s="382">
        <v>8833</v>
      </c>
      <c r="N152" s="383">
        <v>8.0000000000000004E-4</v>
      </c>
      <c r="O152" s="382">
        <v>5.2430000000000003</v>
      </c>
      <c r="P152" s="382">
        <v>0.68899999999999995</v>
      </c>
    </row>
    <row r="153" spans="4:16">
      <c r="D153" s="374" t="s">
        <v>719</v>
      </c>
      <c r="E153" s="379" t="s">
        <v>723</v>
      </c>
      <c r="F153" s="380">
        <v>41092</v>
      </c>
      <c r="G153" s="381">
        <f t="shared" si="4"/>
        <v>2012</v>
      </c>
      <c r="H153" s="381">
        <f t="shared" si="5"/>
        <v>7</v>
      </c>
      <c r="I153" s="382">
        <v>17</v>
      </c>
      <c r="J153" s="382">
        <v>6.6539999999999999</v>
      </c>
      <c r="K153" s="382">
        <v>0.73</v>
      </c>
      <c r="L153" s="589">
        <v>5.3840000000000003</v>
      </c>
      <c r="M153" s="382">
        <v>9682</v>
      </c>
      <c r="N153" s="383">
        <v>8.0000000000000004E-4</v>
      </c>
      <c r="O153" s="382">
        <v>4.6950000000000003</v>
      </c>
      <c r="P153" s="382">
        <v>0.73</v>
      </c>
    </row>
    <row r="154" spans="4:16">
      <c r="D154" s="374" t="s">
        <v>719</v>
      </c>
      <c r="E154" s="379" t="s">
        <v>723</v>
      </c>
      <c r="F154" s="380">
        <v>41122</v>
      </c>
      <c r="G154" s="381">
        <f t="shared" si="4"/>
        <v>2012</v>
      </c>
      <c r="H154" s="381">
        <f t="shared" si="5"/>
        <v>8</v>
      </c>
      <c r="I154" s="382">
        <v>17</v>
      </c>
      <c r="J154" s="382">
        <v>7.3029999999999999</v>
      </c>
      <c r="K154" s="382">
        <v>0</v>
      </c>
      <c r="L154" s="589">
        <v>6.3029999999999999</v>
      </c>
      <c r="M154" s="382">
        <v>8979</v>
      </c>
      <c r="N154" s="383">
        <v>8.0000000000000004E-4</v>
      </c>
      <c r="O154" s="382">
        <v>6.3630000000000004</v>
      </c>
      <c r="P154" s="382">
        <v>0</v>
      </c>
    </row>
    <row r="155" spans="4:16">
      <c r="D155" s="374" t="s">
        <v>719</v>
      </c>
      <c r="E155" s="379" t="s">
        <v>723</v>
      </c>
      <c r="F155" s="380">
        <v>41156</v>
      </c>
      <c r="G155" s="381">
        <f t="shared" si="4"/>
        <v>2012</v>
      </c>
      <c r="H155" s="381">
        <f t="shared" si="5"/>
        <v>9</v>
      </c>
      <c r="I155" s="382">
        <v>16</v>
      </c>
      <c r="J155" s="382">
        <v>6.6070000000000002</v>
      </c>
      <c r="K155" s="382">
        <v>0</v>
      </c>
      <c r="L155" s="589">
        <v>5.6070000000000002</v>
      </c>
      <c r="M155" s="382">
        <v>8521</v>
      </c>
      <c r="N155" s="383">
        <v>8.0000000000000004E-4</v>
      </c>
      <c r="O155" s="382">
        <v>5.6829999999999998</v>
      </c>
      <c r="P155" s="382">
        <v>0</v>
      </c>
    </row>
    <row r="156" spans="4:16">
      <c r="D156" s="374" t="s">
        <v>719</v>
      </c>
      <c r="E156" s="379" t="s">
        <v>723</v>
      </c>
      <c r="F156" s="380">
        <v>41185</v>
      </c>
      <c r="G156" s="381">
        <f t="shared" si="4"/>
        <v>2012</v>
      </c>
      <c r="H156" s="381">
        <f t="shared" si="5"/>
        <v>10</v>
      </c>
      <c r="I156" s="382">
        <v>14</v>
      </c>
      <c r="J156" s="382">
        <v>4.3979999999999997</v>
      </c>
      <c r="K156" s="382">
        <v>0</v>
      </c>
      <c r="L156" s="589">
        <v>3.3980000000000001</v>
      </c>
      <c r="M156" s="382">
        <v>6122</v>
      </c>
      <c r="N156" s="383">
        <v>6.9999999999999999E-4</v>
      </c>
      <c r="O156" s="382">
        <v>3.45</v>
      </c>
      <c r="P156" s="382">
        <v>0</v>
      </c>
    </row>
    <row r="157" spans="4:16">
      <c r="D157" s="374" t="s">
        <v>719</v>
      </c>
      <c r="E157" s="379" t="s">
        <v>723</v>
      </c>
      <c r="F157" s="380">
        <v>41239</v>
      </c>
      <c r="G157" s="381">
        <f t="shared" si="4"/>
        <v>2012</v>
      </c>
      <c r="H157" s="381">
        <f t="shared" si="5"/>
        <v>11</v>
      </c>
      <c r="I157" s="382">
        <v>18</v>
      </c>
      <c r="J157" s="382">
        <v>4.5149999999999997</v>
      </c>
      <c r="K157" s="382">
        <v>0</v>
      </c>
      <c r="L157" s="589">
        <v>2.5150000000000001</v>
      </c>
      <c r="M157" s="382">
        <v>6416</v>
      </c>
      <c r="N157" s="383">
        <v>6.9999999999999999E-4</v>
      </c>
      <c r="O157" s="382">
        <v>2.556</v>
      </c>
      <c r="P157" s="382">
        <v>0</v>
      </c>
    </row>
    <row r="158" spans="4:16">
      <c r="D158" s="374" t="s">
        <v>719</v>
      </c>
      <c r="E158" s="379" t="s">
        <v>723</v>
      </c>
      <c r="F158" s="380">
        <v>41253</v>
      </c>
      <c r="G158" s="381">
        <f t="shared" si="4"/>
        <v>2012</v>
      </c>
      <c r="H158" s="381">
        <f t="shared" si="5"/>
        <v>12</v>
      </c>
      <c r="I158" s="382">
        <v>18</v>
      </c>
      <c r="J158" s="382">
        <v>4.7649999999999997</v>
      </c>
      <c r="K158" s="382">
        <v>0</v>
      </c>
      <c r="L158" s="589">
        <v>2.7650000000000001</v>
      </c>
      <c r="M158" s="382">
        <v>6609</v>
      </c>
      <c r="N158" s="383">
        <v>6.9999999999999999E-4</v>
      </c>
      <c r="O158" s="382">
        <v>2.8090000000000002</v>
      </c>
      <c r="P158" s="382">
        <v>0</v>
      </c>
    </row>
    <row r="159" spans="4:16">
      <c r="D159" s="374" t="s">
        <v>719</v>
      </c>
      <c r="E159" s="379" t="s">
        <v>723</v>
      </c>
      <c r="F159" s="380">
        <v>41295</v>
      </c>
      <c r="G159" s="381">
        <f t="shared" si="4"/>
        <v>2013</v>
      </c>
      <c r="H159" s="381">
        <f t="shared" si="5"/>
        <v>1</v>
      </c>
      <c r="I159" s="382">
        <v>19</v>
      </c>
      <c r="J159" s="382">
        <v>4.8570000000000002</v>
      </c>
      <c r="K159" s="382">
        <v>0</v>
      </c>
      <c r="L159" s="589">
        <v>2.8570000000000002</v>
      </c>
      <c r="M159" s="382">
        <v>6846</v>
      </c>
      <c r="N159" s="383">
        <v>6.9999999999999999E-4</v>
      </c>
      <c r="O159" s="382">
        <v>2.8959999999999999</v>
      </c>
      <c r="P159" s="382">
        <v>0</v>
      </c>
    </row>
    <row r="160" spans="4:16">
      <c r="D160" s="374" t="s">
        <v>719</v>
      </c>
      <c r="E160" s="379" t="s">
        <v>723</v>
      </c>
      <c r="F160" s="380">
        <v>41324</v>
      </c>
      <c r="G160" s="381">
        <f t="shared" si="4"/>
        <v>2013</v>
      </c>
      <c r="H160" s="381">
        <f t="shared" si="5"/>
        <v>2</v>
      </c>
      <c r="I160" s="382">
        <v>19</v>
      </c>
      <c r="J160" s="382">
        <v>4.67</v>
      </c>
      <c r="K160" s="382">
        <v>0</v>
      </c>
      <c r="L160" s="589">
        <v>2.67</v>
      </c>
      <c r="M160" s="382">
        <v>6511</v>
      </c>
      <c r="N160" s="383">
        <v>6.9999999999999999E-4</v>
      </c>
      <c r="O160" s="382">
        <v>2.871</v>
      </c>
      <c r="P160" s="382">
        <v>0</v>
      </c>
    </row>
    <row r="161" spans="4:16">
      <c r="D161" s="374" t="s">
        <v>719</v>
      </c>
      <c r="E161" s="379" t="s">
        <v>723</v>
      </c>
      <c r="F161" s="380">
        <v>41337</v>
      </c>
      <c r="G161" s="381">
        <f t="shared" si="4"/>
        <v>2013</v>
      </c>
      <c r="H161" s="381">
        <f t="shared" si="5"/>
        <v>3</v>
      </c>
      <c r="I161" s="382">
        <v>19</v>
      </c>
      <c r="J161" s="382">
        <v>4.1639999999999997</v>
      </c>
      <c r="K161" s="382">
        <v>0</v>
      </c>
      <c r="L161" s="589">
        <v>2.1640000000000001</v>
      </c>
      <c r="M161" s="382">
        <v>6172</v>
      </c>
      <c r="N161" s="383">
        <v>6.9999999999999999E-4</v>
      </c>
      <c r="O161" s="382">
        <v>2.206</v>
      </c>
      <c r="P161" s="382">
        <v>0</v>
      </c>
    </row>
    <row r="162" spans="4:16">
      <c r="D162" s="374" t="s">
        <v>719</v>
      </c>
      <c r="E162" s="379" t="s">
        <v>723</v>
      </c>
      <c r="F162" s="380">
        <v>41382</v>
      </c>
      <c r="G162" s="381">
        <f t="shared" si="4"/>
        <v>2013</v>
      </c>
      <c r="H162" s="381">
        <f t="shared" si="5"/>
        <v>4</v>
      </c>
      <c r="I162" s="382">
        <v>12</v>
      </c>
      <c r="J162" s="382">
        <v>3.8879999999999999</v>
      </c>
      <c r="K162" s="382">
        <v>0.67200000000000004</v>
      </c>
      <c r="L162" s="589">
        <v>4.5599999999999996</v>
      </c>
      <c r="M162" s="382">
        <v>5851</v>
      </c>
      <c r="N162" s="383">
        <v>8.0000000000000004E-4</v>
      </c>
      <c r="O162" s="382">
        <v>3.9289999999999998</v>
      </c>
      <c r="P162" s="382">
        <v>0.67200000000000004</v>
      </c>
    </row>
    <row r="163" spans="4:16">
      <c r="D163" s="374" t="s">
        <v>719</v>
      </c>
      <c r="E163" s="379" t="s">
        <v>723</v>
      </c>
      <c r="F163" s="380">
        <v>41408</v>
      </c>
      <c r="G163" s="381">
        <f t="shared" si="4"/>
        <v>2013</v>
      </c>
      <c r="H163" s="381">
        <f t="shared" si="5"/>
        <v>5</v>
      </c>
      <c r="I163" s="382">
        <v>17</v>
      </c>
      <c r="J163" s="382">
        <v>4.4669999999999996</v>
      </c>
      <c r="K163" s="382">
        <v>0.65600000000000003</v>
      </c>
      <c r="L163" s="589">
        <v>4.1230000000000002</v>
      </c>
      <c r="M163" s="382">
        <v>6516</v>
      </c>
      <c r="N163" s="383">
        <v>8.0000000000000004E-4</v>
      </c>
      <c r="O163" s="382">
        <v>3.4990000000000001</v>
      </c>
      <c r="P163" s="382">
        <v>0.65600000000000003</v>
      </c>
    </row>
    <row r="164" spans="4:16">
      <c r="D164" s="374" t="s">
        <v>719</v>
      </c>
      <c r="E164" s="379" t="s">
        <v>723</v>
      </c>
      <c r="F164" s="380">
        <v>41451</v>
      </c>
      <c r="G164" s="381">
        <f t="shared" si="4"/>
        <v>2013</v>
      </c>
      <c r="H164" s="381">
        <f t="shared" si="5"/>
        <v>6</v>
      </c>
      <c r="I164" s="382">
        <v>16</v>
      </c>
      <c r="J164" s="382">
        <v>6.1120000000000001</v>
      </c>
      <c r="K164" s="382">
        <v>0.66400000000000003</v>
      </c>
      <c r="L164" s="589">
        <v>5.7759999999999998</v>
      </c>
      <c r="M164" s="382">
        <v>8280</v>
      </c>
      <c r="N164" s="383">
        <v>8.0000000000000004E-4</v>
      </c>
      <c r="O164" s="382">
        <v>5.1779999999999999</v>
      </c>
      <c r="P164" s="382">
        <v>0.66400000000000003</v>
      </c>
    </row>
    <row r="165" spans="4:16">
      <c r="D165" s="374" t="s">
        <v>719</v>
      </c>
      <c r="E165" s="379" t="s">
        <v>723</v>
      </c>
      <c r="F165" s="380">
        <v>41473</v>
      </c>
      <c r="G165" s="381">
        <f t="shared" si="4"/>
        <v>2013</v>
      </c>
      <c r="H165" s="381">
        <f t="shared" si="5"/>
        <v>7</v>
      </c>
      <c r="I165" s="382">
        <v>17</v>
      </c>
      <c r="J165" s="382">
        <v>6.5549999999999997</v>
      </c>
      <c r="K165" s="382">
        <v>0.67600000000000005</v>
      </c>
      <c r="L165" s="589">
        <v>5.2309999999999999</v>
      </c>
      <c r="M165" s="382">
        <v>9566</v>
      </c>
      <c r="N165" s="383">
        <v>8.0000000000000004E-4</v>
      </c>
      <c r="O165" s="382">
        <v>6.6269999999999998</v>
      </c>
      <c r="P165" s="382">
        <v>0.67600000000000005</v>
      </c>
    </row>
    <row r="166" spans="4:16">
      <c r="D166" s="374" t="s">
        <v>719</v>
      </c>
      <c r="E166" s="379" t="s">
        <v>723</v>
      </c>
      <c r="F166" s="380">
        <v>41512</v>
      </c>
      <c r="G166" s="381">
        <f t="shared" si="4"/>
        <v>2013</v>
      </c>
      <c r="H166" s="381">
        <f t="shared" si="5"/>
        <v>8</v>
      </c>
      <c r="I166" s="382">
        <v>17</v>
      </c>
      <c r="J166" s="382">
        <v>7.3789999999999996</v>
      </c>
      <c r="K166" s="382">
        <v>0</v>
      </c>
      <c r="L166" s="589">
        <v>5.3789999999999996</v>
      </c>
      <c r="M166" s="382">
        <v>9821</v>
      </c>
      <c r="N166" s="383">
        <v>8.0000000000000004E-4</v>
      </c>
      <c r="O166" s="382">
        <v>7.46</v>
      </c>
      <c r="P166" s="382">
        <v>0</v>
      </c>
    </row>
    <row r="167" spans="4:16">
      <c r="D167" s="374" t="s">
        <v>719</v>
      </c>
      <c r="E167" s="379" t="s">
        <v>723</v>
      </c>
      <c r="F167" s="380">
        <v>41526</v>
      </c>
      <c r="G167" s="381">
        <f t="shared" si="4"/>
        <v>2013</v>
      </c>
      <c r="H167" s="381">
        <f t="shared" si="5"/>
        <v>9</v>
      </c>
      <c r="I167" s="382">
        <v>17</v>
      </c>
      <c r="J167" s="382">
        <v>7.0419999999999998</v>
      </c>
      <c r="K167" s="382">
        <v>0</v>
      </c>
      <c r="L167" s="589">
        <v>6.0419999999999998</v>
      </c>
      <c r="M167" s="382">
        <v>8781</v>
      </c>
      <c r="N167" s="383">
        <v>8.0000000000000004E-4</v>
      </c>
      <c r="O167" s="382">
        <v>7.1310000000000002</v>
      </c>
      <c r="P167" s="382">
        <v>0</v>
      </c>
    </row>
    <row r="168" spans="4:16">
      <c r="D168" s="374" t="s">
        <v>719</v>
      </c>
      <c r="E168" s="379" t="s">
        <v>723</v>
      </c>
      <c r="F168" s="380">
        <v>41548</v>
      </c>
      <c r="G168" s="381">
        <f t="shared" si="4"/>
        <v>2013</v>
      </c>
      <c r="H168" s="381">
        <f t="shared" si="5"/>
        <v>10</v>
      </c>
      <c r="I168" s="382">
        <v>14</v>
      </c>
      <c r="J168" s="382">
        <v>4.532</v>
      </c>
      <c r="K168" s="382">
        <v>0</v>
      </c>
      <c r="L168" s="589">
        <v>3.532</v>
      </c>
      <c r="M168" s="382">
        <v>6214</v>
      </c>
      <c r="N168" s="383">
        <v>6.9999999999999999E-4</v>
      </c>
      <c r="O168" s="382">
        <v>4.5869999999999997</v>
      </c>
      <c r="P168" s="382">
        <v>0</v>
      </c>
    </row>
    <row r="169" spans="4:16">
      <c r="D169" s="374" t="s">
        <v>719</v>
      </c>
      <c r="E169" s="379" t="s">
        <v>723</v>
      </c>
      <c r="F169" s="380">
        <v>41604</v>
      </c>
      <c r="G169" s="381">
        <f t="shared" si="4"/>
        <v>2013</v>
      </c>
      <c r="H169" s="381">
        <f t="shared" si="5"/>
        <v>11</v>
      </c>
      <c r="I169" s="382">
        <v>18</v>
      </c>
      <c r="J169" s="382">
        <v>4.3369999999999997</v>
      </c>
      <c r="K169" s="382">
        <v>0</v>
      </c>
      <c r="L169" s="589">
        <v>2.3370000000000002</v>
      </c>
      <c r="M169" s="382">
        <v>6372</v>
      </c>
      <c r="N169" s="383">
        <v>6.9999999999999999E-4</v>
      </c>
      <c r="O169" s="382">
        <v>4.3979999999999997</v>
      </c>
      <c r="P169" s="382">
        <v>0</v>
      </c>
    </row>
    <row r="170" spans="4:16">
      <c r="D170" s="374" t="s">
        <v>719</v>
      </c>
      <c r="E170" s="379" t="s">
        <v>723</v>
      </c>
      <c r="F170" s="380">
        <v>41619</v>
      </c>
      <c r="G170" s="381">
        <f t="shared" si="4"/>
        <v>2013</v>
      </c>
      <c r="H170" s="381">
        <f t="shared" si="5"/>
        <v>12</v>
      </c>
      <c r="I170" s="382">
        <v>18</v>
      </c>
      <c r="J170" s="382">
        <v>5.1180000000000003</v>
      </c>
      <c r="K170" s="382">
        <v>0</v>
      </c>
      <c r="L170" s="589">
        <v>3.1179999999999999</v>
      </c>
      <c r="M170" s="382">
        <v>6972</v>
      </c>
      <c r="N170" s="383">
        <v>6.9999999999999999E-4</v>
      </c>
      <c r="O170" s="382">
        <v>5.1820000000000004</v>
      </c>
      <c r="P170" s="382">
        <v>0</v>
      </c>
    </row>
    <row r="171" spans="4:16">
      <c r="D171" s="374" t="s">
        <v>719</v>
      </c>
      <c r="E171" s="590" t="s">
        <v>723</v>
      </c>
      <c r="F171" s="591">
        <v>41645</v>
      </c>
      <c r="G171" s="381">
        <f t="shared" si="4"/>
        <v>2014</v>
      </c>
      <c r="H171" s="381">
        <f t="shared" si="5"/>
        <v>1</v>
      </c>
      <c r="I171" s="592">
        <v>18</v>
      </c>
      <c r="J171" s="592">
        <v>5.4219999999999997</v>
      </c>
      <c r="K171" s="592">
        <v>0</v>
      </c>
      <c r="L171" s="593">
        <v>5.4219999999999997</v>
      </c>
      <c r="M171" s="594">
        <v>7188</v>
      </c>
      <c r="N171" s="592">
        <v>7.4999999999999997E-2</v>
      </c>
      <c r="O171" s="592">
        <v>5.48</v>
      </c>
      <c r="P171" s="592">
        <v>0</v>
      </c>
    </row>
    <row r="172" spans="4:16">
      <c r="D172" s="374" t="s">
        <v>719</v>
      </c>
      <c r="E172" s="590" t="s">
        <v>723</v>
      </c>
      <c r="F172" s="591">
        <v>41676</v>
      </c>
      <c r="G172" s="381">
        <f t="shared" si="4"/>
        <v>2014</v>
      </c>
      <c r="H172" s="381">
        <f t="shared" si="5"/>
        <v>2</v>
      </c>
      <c r="I172" s="592">
        <v>19</v>
      </c>
      <c r="J172" s="592">
        <v>4.95</v>
      </c>
      <c r="K172" s="592">
        <v>0</v>
      </c>
      <c r="L172" s="593">
        <v>4.95</v>
      </c>
      <c r="M172" s="594">
        <v>6743</v>
      </c>
      <c r="N172" s="592">
        <v>7.2999999999999995E-2</v>
      </c>
      <c r="O172" s="592">
        <v>4.8099999999999996</v>
      </c>
      <c r="P172" s="592">
        <v>0</v>
      </c>
    </row>
    <row r="173" spans="4:16">
      <c r="D173" s="374" t="s">
        <v>719</v>
      </c>
      <c r="E173" s="590" t="s">
        <v>723</v>
      </c>
      <c r="F173" s="591">
        <v>41701</v>
      </c>
      <c r="G173" s="381">
        <f t="shared" si="4"/>
        <v>2014</v>
      </c>
      <c r="H173" s="381">
        <f t="shared" si="5"/>
        <v>3</v>
      </c>
      <c r="I173" s="592">
        <v>19</v>
      </c>
      <c r="J173" s="592">
        <v>4.9400000000000004</v>
      </c>
      <c r="K173" s="592">
        <v>0</v>
      </c>
      <c r="L173" s="593">
        <v>4.9400000000000004</v>
      </c>
      <c r="M173" s="594">
        <v>6537</v>
      </c>
      <c r="N173" s="592">
        <v>7.5999999999999998E-2</v>
      </c>
      <c r="O173" s="592">
        <v>4.681</v>
      </c>
      <c r="P173" s="592">
        <v>0</v>
      </c>
    </row>
    <row r="174" spans="4:16">
      <c r="D174" s="374" t="s">
        <v>719</v>
      </c>
      <c r="E174" s="590" t="s">
        <v>723</v>
      </c>
      <c r="F174" s="591">
        <v>41730</v>
      </c>
      <c r="G174" s="381">
        <f t="shared" si="4"/>
        <v>2014</v>
      </c>
      <c r="H174" s="381">
        <f t="shared" si="5"/>
        <v>4</v>
      </c>
      <c r="I174" s="592">
        <v>11</v>
      </c>
      <c r="J174" s="592">
        <v>4.71</v>
      </c>
      <c r="K174" s="592">
        <v>0</v>
      </c>
      <c r="L174" s="593">
        <v>4.71</v>
      </c>
      <c r="M174" s="594">
        <v>5924</v>
      </c>
      <c r="N174" s="592">
        <v>0.08</v>
      </c>
      <c r="O174" s="592">
        <v>4.585</v>
      </c>
      <c r="P174" s="592">
        <v>0</v>
      </c>
    </row>
    <row r="175" spans="4:16">
      <c r="D175" s="374" t="s">
        <v>719</v>
      </c>
      <c r="E175" s="590" t="s">
        <v>723</v>
      </c>
      <c r="F175" s="591">
        <v>41789</v>
      </c>
      <c r="G175" s="381">
        <f t="shared" si="4"/>
        <v>2014</v>
      </c>
      <c r="H175" s="381">
        <f t="shared" si="5"/>
        <v>5</v>
      </c>
      <c r="I175" s="592">
        <v>16</v>
      </c>
      <c r="J175" s="592">
        <v>5.3719999999999999</v>
      </c>
      <c r="K175" s="592">
        <v>0.69099999999999995</v>
      </c>
      <c r="L175" s="593">
        <v>6.0629999999999997</v>
      </c>
      <c r="M175" s="594">
        <v>7422</v>
      </c>
      <c r="N175" s="592">
        <v>8.2000000000000003E-2</v>
      </c>
      <c r="O175" s="592">
        <v>5.4260000000000002</v>
      </c>
      <c r="P175" s="592">
        <v>0.69099999999999995</v>
      </c>
    </row>
    <row r="176" spans="4:16">
      <c r="D176" s="374" t="s">
        <v>719</v>
      </c>
      <c r="E176" s="590" t="s">
        <v>723</v>
      </c>
      <c r="F176" s="591">
        <v>41814</v>
      </c>
      <c r="G176" s="381">
        <f t="shared" si="4"/>
        <v>2014</v>
      </c>
      <c r="H176" s="381">
        <f t="shared" si="5"/>
        <v>6</v>
      </c>
      <c r="I176" s="592">
        <v>16</v>
      </c>
      <c r="J176" s="592">
        <v>5.3780000000000001</v>
      </c>
      <c r="K176" s="592">
        <v>0.50600000000000001</v>
      </c>
      <c r="L176" s="593">
        <v>5.8840000000000003</v>
      </c>
      <c r="M176" s="594">
        <v>7670</v>
      </c>
      <c r="N176" s="592">
        <v>7.6999999999999999E-2</v>
      </c>
      <c r="O176" s="592">
        <v>5.4320000000000004</v>
      </c>
      <c r="P176" s="592">
        <v>0.50600000000000001</v>
      </c>
    </row>
    <row r="177" spans="4:16">
      <c r="D177" s="374" t="s">
        <v>719</v>
      </c>
      <c r="E177" s="590" t="s">
        <v>723</v>
      </c>
      <c r="F177" s="591">
        <v>41841</v>
      </c>
      <c r="G177" s="381">
        <f t="shared" si="4"/>
        <v>2014</v>
      </c>
      <c r="H177" s="381">
        <f t="shared" si="5"/>
        <v>7</v>
      </c>
      <c r="I177" s="592">
        <v>17</v>
      </c>
      <c r="J177" s="592">
        <v>6.6</v>
      </c>
      <c r="K177" s="592">
        <v>0.622</v>
      </c>
      <c r="L177" s="593">
        <v>7.2220000000000004</v>
      </c>
      <c r="M177" s="594">
        <v>9150</v>
      </c>
      <c r="N177" s="592">
        <v>7.9000000000000001E-2</v>
      </c>
      <c r="O177" s="592">
        <v>6.43</v>
      </c>
      <c r="P177" s="592">
        <v>0.622</v>
      </c>
    </row>
    <row r="178" spans="4:16">
      <c r="D178" s="374" t="s">
        <v>719</v>
      </c>
      <c r="E178" s="590" t="s">
        <v>723</v>
      </c>
      <c r="F178" s="591">
        <v>41869</v>
      </c>
      <c r="G178" s="381">
        <f t="shared" si="4"/>
        <v>2014</v>
      </c>
      <c r="H178" s="381">
        <f t="shared" si="5"/>
        <v>8</v>
      </c>
      <c r="I178" s="592">
        <v>16</v>
      </c>
      <c r="J178" s="592">
        <v>6.0750000000000002</v>
      </c>
      <c r="K178" s="592">
        <v>0.72599999999999998</v>
      </c>
      <c r="L178" s="593">
        <v>6.8010000000000002</v>
      </c>
      <c r="M178" s="594">
        <v>8190</v>
      </c>
      <c r="N178" s="592">
        <v>8.3000000000000004E-2</v>
      </c>
      <c r="O178" s="592">
        <v>5.8959999999999999</v>
      </c>
      <c r="P178" s="592">
        <v>0.72599999999999998</v>
      </c>
    </row>
    <row r="179" spans="4:16">
      <c r="D179" s="374" t="s">
        <v>719</v>
      </c>
      <c r="E179" s="590" t="s">
        <v>723</v>
      </c>
      <c r="F179" s="591">
        <v>41886</v>
      </c>
      <c r="G179" s="381">
        <f t="shared" si="4"/>
        <v>2014</v>
      </c>
      <c r="H179" s="381">
        <f t="shared" si="5"/>
        <v>9</v>
      </c>
      <c r="I179" s="592">
        <v>15</v>
      </c>
      <c r="J179" s="592">
        <v>5.3470000000000004</v>
      </c>
      <c r="K179" s="592">
        <v>0.71199999999999997</v>
      </c>
      <c r="L179" s="593">
        <v>6.0590000000000002</v>
      </c>
      <c r="M179" s="594">
        <v>7758</v>
      </c>
      <c r="N179" s="592">
        <v>7.8E-2</v>
      </c>
      <c r="O179" s="592">
        <v>5.1929999999999996</v>
      </c>
      <c r="P179" s="592">
        <v>0.71199999999999997</v>
      </c>
    </row>
    <row r="180" spans="4:16">
      <c r="D180" s="374" t="s">
        <v>719</v>
      </c>
      <c r="E180" s="590" t="s">
        <v>723</v>
      </c>
      <c r="F180" s="591">
        <v>41942</v>
      </c>
      <c r="G180" s="381">
        <f t="shared" si="4"/>
        <v>2014</v>
      </c>
      <c r="H180" s="381">
        <f t="shared" si="5"/>
        <v>10</v>
      </c>
      <c r="I180" s="592">
        <v>20</v>
      </c>
      <c r="J180" s="592">
        <v>3.7450000000000001</v>
      </c>
      <c r="K180" s="592">
        <v>0</v>
      </c>
      <c r="L180" s="593">
        <v>3.7450000000000001</v>
      </c>
      <c r="M180" s="594">
        <v>5901</v>
      </c>
      <c r="N180" s="592">
        <v>6.3E-2</v>
      </c>
      <c r="O180" s="592">
        <v>3.718</v>
      </c>
      <c r="P180" s="592">
        <v>0</v>
      </c>
    </row>
    <row r="181" spans="4:16">
      <c r="D181" s="374" t="s">
        <v>719</v>
      </c>
      <c r="E181" s="590" t="s">
        <v>723</v>
      </c>
      <c r="F181" s="591">
        <v>41960</v>
      </c>
      <c r="G181" s="381">
        <f t="shared" si="4"/>
        <v>2014</v>
      </c>
      <c r="H181" s="381">
        <f t="shared" si="5"/>
        <v>11</v>
      </c>
      <c r="I181" s="592">
        <v>18</v>
      </c>
      <c r="J181" s="592">
        <v>4.8860000000000001</v>
      </c>
      <c r="K181" s="592">
        <v>0</v>
      </c>
      <c r="L181" s="593">
        <v>4.8860000000000001</v>
      </c>
      <c r="M181" s="594">
        <v>6677</v>
      </c>
      <c r="N181" s="592">
        <v>7.2999999999999995E-2</v>
      </c>
      <c r="O181" s="592">
        <v>4.8419999999999996</v>
      </c>
      <c r="P181" s="592">
        <v>0</v>
      </c>
    </row>
    <row r="182" spans="4:16">
      <c r="D182" s="374" t="s">
        <v>719</v>
      </c>
      <c r="E182" s="590" t="s">
        <v>723</v>
      </c>
      <c r="F182" s="591">
        <v>41974</v>
      </c>
      <c r="G182" s="381">
        <f t="shared" si="4"/>
        <v>2014</v>
      </c>
      <c r="H182" s="381">
        <f t="shared" si="5"/>
        <v>12</v>
      </c>
      <c r="I182" s="592">
        <v>18</v>
      </c>
      <c r="J182" s="592">
        <v>5.1340000000000003</v>
      </c>
      <c r="K182" s="592">
        <v>0</v>
      </c>
      <c r="L182" s="593">
        <v>5.1340000000000003</v>
      </c>
      <c r="M182" s="594">
        <v>6850</v>
      </c>
      <c r="N182" s="592">
        <v>7.4999999999999997E-2</v>
      </c>
      <c r="O182" s="592">
        <v>4.9550000000000001</v>
      </c>
      <c r="P182" s="592">
        <v>0</v>
      </c>
    </row>
    <row r="183" spans="4:16">
      <c r="D183" s="374" t="s">
        <v>719</v>
      </c>
      <c r="E183" s="590" t="s">
        <v>723</v>
      </c>
      <c r="F183" s="591">
        <v>42011</v>
      </c>
      <c r="G183" s="381">
        <f t="shared" si="4"/>
        <v>2015</v>
      </c>
      <c r="H183" s="381">
        <f t="shared" si="5"/>
        <v>1</v>
      </c>
      <c r="I183" s="592">
        <v>18</v>
      </c>
      <c r="J183" s="592">
        <v>5.1079999999999997</v>
      </c>
      <c r="K183" s="592">
        <v>0</v>
      </c>
      <c r="L183" s="593">
        <v>5.1079999999999997</v>
      </c>
      <c r="M183" s="594">
        <v>6978</v>
      </c>
      <c r="N183" s="592">
        <v>7.2999999999999995E-2</v>
      </c>
      <c r="O183" s="592">
        <v>4.9550000000000001</v>
      </c>
      <c r="P183" s="592">
        <v>0</v>
      </c>
    </row>
    <row r="184" spans="4:16">
      <c r="D184" s="374" t="s">
        <v>719</v>
      </c>
      <c r="E184" s="590" t="s">
        <v>723</v>
      </c>
      <c r="F184" s="591">
        <v>42053</v>
      </c>
      <c r="G184" s="381">
        <f t="shared" si="4"/>
        <v>2015</v>
      </c>
      <c r="H184" s="381">
        <f t="shared" si="5"/>
        <v>2</v>
      </c>
      <c r="I184" s="592">
        <v>19</v>
      </c>
      <c r="J184" s="592">
        <v>4.7789999999999999</v>
      </c>
      <c r="K184" s="592">
        <v>0</v>
      </c>
      <c r="L184" s="593">
        <v>4.7789999999999999</v>
      </c>
      <c r="M184" s="594">
        <v>6744</v>
      </c>
      <c r="N184" s="592">
        <v>7.0999999999999994E-2</v>
      </c>
      <c r="O184" s="592">
        <v>4.6340000000000003</v>
      </c>
      <c r="P184" s="592">
        <v>0</v>
      </c>
    </row>
    <row r="185" spans="4:16">
      <c r="D185" s="374" t="s">
        <v>719</v>
      </c>
      <c r="E185" s="590" t="s">
        <v>723</v>
      </c>
      <c r="F185" s="591">
        <v>42067</v>
      </c>
      <c r="G185" s="381">
        <f t="shared" si="4"/>
        <v>2015</v>
      </c>
      <c r="H185" s="381">
        <f t="shared" si="5"/>
        <v>3</v>
      </c>
      <c r="I185" s="592">
        <v>20</v>
      </c>
      <c r="J185" s="592">
        <v>4.6589999999999998</v>
      </c>
      <c r="K185" s="592">
        <v>0</v>
      </c>
      <c r="L185" s="593">
        <v>4.6589999999999998</v>
      </c>
      <c r="M185" s="594">
        <v>6470</v>
      </c>
      <c r="N185" s="592">
        <v>7.1999999999999995E-2</v>
      </c>
      <c r="O185" s="592">
        <v>4.4740000000000002</v>
      </c>
      <c r="P185" s="592">
        <v>0</v>
      </c>
    </row>
    <row r="186" spans="4:16">
      <c r="D186" s="374" t="s">
        <v>719</v>
      </c>
      <c r="E186" s="590" t="s">
        <v>723</v>
      </c>
      <c r="F186" s="591">
        <v>42103</v>
      </c>
      <c r="G186" s="381">
        <f t="shared" si="4"/>
        <v>2015</v>
      </c>
      <c r="H186" s="381">
        <f t="shared" si="5"/>
        <v>4</v>
      </c>
      <c r="I186" s="592">
        <v>12</v>
      </c>
      <c r="J186" s="592">
        <v>3.798</v>
      </c>
      <c r="K186" s="592">
        <v>0.7</v>
      </c>
      <c r="L186" s="593">
        <v>4.4980000000000002</v>
      </c>
      <c r="M186" s="594">
        <v>5914</v>
      </c>
      <c r="N186" s="592">
        <v>7.5999999999999998E-2</v>
      </c>
      <c r="O186" s="592">
        <v>3.6840000000000002</v>
      </c>
      <c r="P186" s="592">
        <v>0.7</v>
      </c>
    </row>
    <row r="187" spans="4:16">
      <c r="D187" s="374" t="s">
        <v>719</v>
      </c>
      <c r="E187" s="590" t="s">
        <v>723</v>
      </c>
      <c r="F187" s="591">
        <v>42152</v>
      </c>
      <c r="G187" s="381">
        <f t="shared" si="4"/>
        <v>2015</v>
      </c>
      <c r="H187" s="381">
        <f t="shared" si="5"/>
        <v>5</v>
      </c>
      <c r="I187" s="592">
        <v>16</v>
      </c>
      <c r="J187" s="592">
        <v>4.4969999999999999</v>
      </c>
      <c r="K187" s="592">
        <v>0.67100000000000004</v>
      </c>
      <c r="L187" s="593">
        <v>5.1680000000000001</v>
      </c>
      <c r="M187" s="594">
        <v>6837</v>
      </c>
      <c r="N187" s="592">
        <v>7.5999999999999998E-2</v>
      </c>
      <c r="O187" s="592">
        <v>4.3719999999999999</v>
      </c>
      <c r="P187" s="592">
        <v>0.67100000000000004</v>
      </c>
    </row>
    <row r="188" spans="4:16">
      <c r="D188" s="374" t="s">
        <v>719</v>
      </c>
      <c r="E188" s="590" t="s">
        <v>723</v>
      </c>
      <c r="F188" s="591">
        <v>42164</v>
      </c>
      <c r="G188" s="381">
        <f t="shared" si="4"/>
        <v>2015</v>
      </c>
      <c r="H188" s="381">
        <f t="shared" si="5"/>
        <v>6</v>
      </c>
      <c r="I188" s="592">
        <v>17</v>
      </c>
      <c r="J188" s="592">
        <v>6.1360000000000001</v>
      </c>
      <c r="K188" s="592">
        <v>0.66600000000000004</v>
      </c>
      <c r="L188" s="593">
        <v>6.8019999999999996</v>
      </c>
      <c r="M188" s="594">
        <v>8136</v>
      </c>
      <c r="N188" s="592">
        <v>8.4000000000000005E-2</v>
      </c>
      <c r="O188" s="592">
        <v>5.9660000000000002</v>
      </c>
      <c r="P188" s="592">
        <v>0.66600000000000004</v>
      </c>
    </row>
    <row r="189" spans="4:16">
      <c r="D189" s="374" t="s">
        <v>719</v>
      </c>
      <c r="E189" s="590" t="s">
        <v>723</v>
      </c>
      <c r="F189" s="591">
        <v>42212</v>
      </c>
      <c r="G189" s="381">
        <f t="shared" si="4"/>
        <v>2015</v>
      </c>
      <c r="H189" s="381">
        <f t="shared" si="5"/>
        <v>7</v>
      </c>
      <c r="I189" s="592">
        <v>17</v>
      </c>
      <c r="J189" s="592">
        <v>6.2430000000000003</v>
      </c>
      <c r="K189" s="592">
        <v>0.71499999999999997</v>
      </c>
      <c r="L189" s="593">
        <v>6.9580000000000002</v>
      </c>
      <c r="M189" s="594">
        <v>8769</v>
      </c>
      <c r="N189" s="592">
        <v>7.9000000000000001E-2</v>
      </c>
      <c r="O189" s="592">
        <v>5.9779999999999998</v>
      </c>
      <c r="P189" s="592">
        <v>0.71499999999999997</v>
      </c>
    </row>
    <row r="190" spans="4:16">
      <c r="D190" s="374" t="s">
        <v>719</v>
      </c>
      <c r="E190" s="590" t="s">
        <v>723</v>
      </c>
      <c r="F190" s="591">
        <v>42230</v>
      </c>
      <c r="G190" s="381">
        <f t="shared" si="4"/>
        <v>2015</v>
      </c>
      <c r="H190" s="381">
        <f t="shared" si="5"/>
        <v>8</v>
      </c>
      <c r="I190" s="592">
        <v>16</v>
      </c>
      <c r="J190" s="592">
        <v>6.915</v>
      </c>
      <c r="K190" s="592">
        <v>0</v>
      </c>
      <c r="L190" s="593">
        <v>6.915</v>
      </c>
      <c r="M190" s="594">
        <v>8926</v>
      </c>
      <c r="N190" s="592">
        <v>7.6999999999999999E-2</v>
      </c>
      <c r="O190" s="592">
        <v>6.6779999999999999</v>
      </c>
      <c r="P190" s="592">
        <v>0</v>
      </c>
    </row>
    <row r="191" spans="4:16">
      <c r="D191" s="374" t="s">
        <v>719</v>
      </c>
      <c r="E191" s="590" t="s">
        <v>723</v>
      </c>
      <c r="F191" s="591">
        <v>42250</v>
      </c>
      <c r="G191" s="381">
        <f t="shared" si="4"/>
        <v>2015</v>
      </c>
      <c r="H191" s="381">
        <f t="shared" si="5"/>
        <v>9</v>
      </c>
      <c r="I191" s="592">
        <v>17</v>
      </c>
      <c r="J191" s="592">
        <v>6.5209999999999999</v>
      </c>
      <c r="K191" s="592">
        <v>0.70499999999999996</v>
      </c>
      <c r="L191" s="593">
        <v>7.226</v>
      </c>
      <c r="M191" s="594">
        <v>8657</v>
      </c>
      <c r="N191" s="592">
        <v>8.3000000000000004E-2</v>
      </c>
      <c r="O191" s="592">
        <v>6.2590000000000003</v>
      </c>
      <c r="P191" s="592">
        <v>0.70499999999999996</v>
      </c>
    </row>
    <row r="192" spans="4:16">
      <c r="D192" s="374" t="s">
        <v>719</v>
      </c>
      <c r="E192" s="590" t="s">
        <v>723</v>
      </c>
      <c r="F192" s="591">
        <v>42285</v>
      </c>
      <c r="G192" s="381">
        <f t="shared" si="4"/>
        <v>2015</v>
      </c>
      <c r="H192" s="381">
        <f t="shared" si="5"/>
        <v>10</v>
      </c>
      <c r="I192" s="592">
        <v>12</v>
      </c>
      <c r="J192" s="592">
        <v>4.2690000000000001</v>
      </c>
      <c r="K192" s="592">
        <v>0</v>
      </c>
      <c r="L192" s="593">
        <v>4.2690000000000001</v>
      </c>
      <c r="M192" s="594">
        <v>5943</v>
      </c>
      <c r="N192" s="592">
        <v>7.1999999999999995E-2</v>
      </c>
      <c r="O192" s="592">
        <v>4.1379999999999999</v>
      </c>
      <c r="P192" s="592">
        <v>0</v>
      </c>
    </row>
    <row r="193" spans="4:16">
      <c r="D193" s="374" t="s">
        <v>719</v>
      </c>
      <c r="E193" s="590" t="s">
        <v>723</v>
      </c>
      <c r="F193" s="591">
        <v>42338</v>
      </c>
      <c r="G193" s="381">
        <f t="shared" si="4"/>
        <v>2015</v>
      </c>
      <c r="H193" s="381">
        <f t="shared" si="5"/>
        <v>11</v>
      </c>
      <c r="I193" s="592">
        <v>18</v>
      </c>
      <c r="J193" s="592">
        <v>3.6160000000000001</v>
      </c>
      <c r="K193" s="592">
        <v>0.76500000000000001</v>
      </c>
      <c r="L193" s="593">
        <v>4.3810000000000002</v>
      </c>
      <c r="M193" s="594">
        <v>6574</v>
      </c>
      <c r="N193" s="592">
        <v>6.7000000000000004E-2</v>
      </c>
      <c r="O193" s="592">
        <v>3.5259999999999998</v>
      </c>
      <c r="P193" s="592">
        <v>0.76500000000000001</v>
      </c>
    </row>
    <row r="194" spans="4:16">
      <c r="D194" s="374" t="s">
        <v>719</v>
      </c>
      <c r="E194" s="590" t="s">
        <v>723</v>
      </c>
      <c r="F194" s="591">
        <v>42355</v>
      </c>
      <c r="G194" s="381">
        <f t="shared" si="4"/>
        <v>2015</v>
      </c>
      <c r="H194" s="381">
        <f t="shared" si="5"/>
        <v>12</v>
      </c>
      <c r="I194" s="592">
        <v>18</v>
      </c>
      <c r="J194" s="592">
        <v>4.55</v>
      </c>
      <c r="K194" s="592">
        <v>0</v>
      </c>
      <c r="L194" s="593">
        <v>4.55</v>
      </c>
      <c r="M194" s="594">
        <v>6450</v>
      </c>
      <c r="N194" s="592">
        <v>7.0999999999999994E-2</v>
      </c>
      <c r="O194" s="592">
        <v>4.383</v>
      </c>
      <c r="P194" s="592">
        <v>0</v>
      </c>
    </row>
    <row r="195" spans="4:16">
      <c r="D195" s="374" t="s">
        <v>719</v>
      </c>
      <c r="E195" s="379" t="s">
        <v>724</v>
      </c>
      <c r="F195" s="380">
        <v>40927</v>
      </c>
      <c r="G195" s="381">
        <f t="shared" ref="G195:G258" si="6">YEAR(F195)</f>
        <v>2012</v>
      </c>
      <c r="H195" s="381">
        <f t="shared" ref="H195:H258" si="7">MONTH(F195)</f>
        <v>1</v>
      </c>
      <c r="I195" s="382">
        <v>19</v>
      </c>
      <c r="J195" s="382">
        <v>6.5119999999999996</v>
      </c>
      <c r="K195" s="382">
        <v>2.8460000000000001</v>
      </c>
      <c r="L195" s="589">
        <v>9.3580000000000005</v>
      </c>
      <c r="M195" s="382">
        <v>6604</v>
      </c>
      <c r="N195" s="383">
        <v>1.4E-3</v>
      </c>
      <c r="O195" s="382">
        <v>6.5940000000000003</v>
      </c>
      <c r="P195" s="382">
        <v>2.8460000000000001</v>
      </c>
    </row>
    <row r="196" spans="4:16">
      <c r="D196" s="374" t="s">
        <v>719</v>
      </c>
      <c r="E196" s="379" t="s">
        <v>724</v>
      </c>
      <c r="F196" s="380">
        <v>40967</v>
      </c>
      <c r="G196" s="381">
        <f t="shared" si="6"/>
        <v>2012</v>
      </c>
      <c r="H196" s="381">
        <f t="shared" si="7"/>
        <v>2</v>
      </c>
      <c r="I196" s="382">
        <v>19</v>
      </c>
      <c r="J196" s="382">
        <v>5.9139999999999997</v>
      </c>
      <c r="K196" s="382">
        <v>2.7850000000000001</v>
      </c>
      <c r="L196" s="589">
        <v>8.6989999999999998</v>
      </c>
      <c r="M196" s="382">
        <v>6178</v>
      </c>
      <c r="N196" s="383">
        <v>1.4E-3</v>
      </c>
      <c r="O196" s="382">
        <v>5.9880000000000004</v>
      </c>
      <c r="P196" s="382">
        <v>2.7850000000000001</v>
      </c>
    </row>
    <row r="197" spans="4:16">
      <c r="D197" s="374" t="s">
        <v>719</v>
      </c>
      <c r="E197" s="379" t="s">
        <v>724</v>
      </c>
      <c r="F197" s="380">
        <v>40987</v>
      </c>
      <c r="G197" s="381">
        <f t="shared" si="6"/>
        <v>2012</v>
      </c>
      <c r="H197" s="381">
        <f t="shared" si="7"/>
        <v>3</v>
      </c>
      <c r="I197" s="382">
        <v>14</v>
      </c>
      <c r="J197" s="382">
        <v>5.0599999999999996</v>
      </c>
      <c r="K197" s="382">
        <v>3.028</v>
      </c>
      <c r="L197" s="589">
        <v>8.0879999999999992</v>
      </c>
      <c r="M197" s="382">
        <v>6170</v>
      </c>
      <c r="N197" s="383">
        <v>1.2999999999999999E-3</v>
      </c>
      <c r="O197" s="382">
        <v>5.1100000000000003</v>
      </c>
      <c r="P197" s="382">
        <v>3.028</v>
      </c>
    </row>
    <row r="198" spans="4:16">
      <c r="D198" s="374" t="s">
        <v>719</v>
      </c>
      <c r="E198" s="379" t="s">
        <v>724</v>
      </c>
      <c r="F198" s="380">
        <v>41024</v>
      </c>
      <c r="G198" s="381">
        <f t="shared" si="6"/>
        <v>2012</v>
      </c>
      <c r="H198" s="381">
        <f t="shared" si="7"/>
        <v>4</v>
      </c>
      <c r="I198" s="382">
        <v>15</v>
      </c>
      <c r="J198" s="382">
        <v>4.9480000000000004</v>
      </c>
      <c r="K198" s="382">
        <v>2.7429999999999999</v>
      </c>
      <c r="L198" s="589">
        <v>7.6909999999999998</v>
      </c>
      <c r="M198" s="382">
        <v>5813</v>
      </c>
      <c r="N198" s="383">
        <v>1.2999999999999999E-3</v>
      </c>
      <c r="O198" s="382">
        <v>5.0069999999999997</v>
      </c>
      <c r="P198" s="382">
        <v>2.7429999999999999</v>
      </c>
    </row>
    <row r="199" spans="4:16">
      <c r="D199" s="374" t="s">
        <v>719</v>
      </c>
      <c r="E199" s="379" t="s">
        <v>724</v>
      </c>
      <c r="F199" s="380">
        <v>41047</v>
      </c>
      <c r="G199" s="381">
        <f t="shared" si="6"/>
        <v>2012</v>
      </c>
      <c r="H199" s="381">
        <f t="shared" si="7"/>
        <v>5</v>
      </c>
      <c r="I199" s="382">
        <v>17</v>
      </c>
      <c r="J199" s="382">
        <v>6.6539999999999999</v>
      </c>
      <c r="K199" s="382">
        <v>2.964</v>
      </c>
      <c r="L199" s="589">
        <v>9.6180000000000003</v>
      </c>
      <c r="M199" s="382">
        <v>7203</v>
      </c>
      <c r="N199" s="383">
        <v>1.2999999999999999E-3</v>
      </c>
      <c r="O199" s="382">
        <v>6.7210000000000001</v>
      </c>
      <c r="P199" s="382">
        <v>2.964</v>
      </c>
    </row>
    <row r="200" spans="4:16">
      <c r="D200" s="374" t="s">
        <v>719</v>
      </c>
      <c r="E200" s="379" t="s">
        <v>724</v>
      </c>
      <c r="F200" s="380">
        <v>41087</v>
      </c>
      <c r="G200" s="381">
        <f t="shared" si="6"/>
        <v>2012</v>
      </c>
      <c r="H200" s="381">
        <f t="shared" si="7"/>
        <v>6</v>
      </c>
      <c r="I200" s="382">
        <v>17</v>
      </c>
      <c r="J200" s="382">
        <v>10.6</v>
      </c>
      <c r="K200" s="382">
        <v>3.1</v>
      </c>
      <c r="L200" s="589">
        <v>13.7</v>
      </c>
      <c r="M200" s="382">
        <v>8833</v>
      </c>
      <c r="N200" s="383">
        <v>1.6000000000000001E-3</v>
      </c>
      <c r="O200" s="382">
        <v>10.72</v>
      </c>
      <c r="P200" s="382">
        <v>3.1</v>
      </c>
    </row>
    <row r="201" spans="4:16">
      <c r="D201" s="374" t="s">
        <v>719</v>
      </c>
      <c r="E201" s="379" t="s">
        <v>724</v>
      </c>
      <c r="F201" s="380">
        <v>41092</v>
      </c>
      <c r="G201" s="381">
        <f t="shared" si="6"/>
        <v>2012</v>
      </c>
      <c r="H201" s="381">
        <f t="shared" si="7"/>
        <v>7</v>
      </c>
      <c r="I201" s="382">
        <v>17</v>
      </c>
      <c r="J201" s="382">
        <v>16.855</v>
      </c>
      <c r="K201" s="382">
        <v>3.0859999999999999</v>
      </c>
      <c r="L201" s="589">
        <v>19.940999999999999</v>
      </c>
      <c r="M201" s="382">
        <v>9682</v>
      </c>
      <c r="N201" s="383">
        <v>2.0999999999999999E-3</v>
      </c>
      <c r="O201" s="382">
        <v>17.027000000000001</v>
      </c>
      <c r="P201" s="382">
        <v>3.0859999999999999</v>
      </c>
    </row>
    <row r="202" spans="4:16">
      <c r="D202" s="374" t="s">
        <v>719</v>
      </c>
      <c r="E202" s="379" t="s">
        <v>724</v>
      </c>
      <c r="F202" s="380">
        <v>41122</v>
      </c>
      <c r="G202" s="381">
        <f t="shared" si="6"/>
        <v>2012</v>
      </c>
      <c r="H202" s="381">
        <f t="shared" si="7"/>
        <v>8</v>
      </c>
      <c r="I202" s="382">
        <v>17</v>
      </c>
      <c r="J202" s="382">
        <v>18.501999999999999</v>
      </c>
      <c r="K202" s="382">
        <v>3.0640000000000001</v>
      </c>
      <c r="L202" s="589">
        <v>21.565999999999999</v>
      </c>
      <c r="M202" s="382">
        <v>8979</v>
      </c>
      <c r="N202" s="383">
        <v>2.3999999999999998E-3</v>
      </c>
      <c r="O202" s="382">
        <v>18.704000000000001</v>
      </c>
      <c r="P202" s="382">
        <v>3.0640000000000001</v>
      </c>
    </row>
    <row r="203" spans="4:16">
      <c r="D203" s="374" t="s">
        <v>719</v>
      </c>
      <c r="E203" s="379" t="s">
        <v>724</v>
      </c>
      <c r="F203" s="380">
        <v>41156</v>
      </c>
      <c r="G203" s="381">
        <f t="shared" si="6"/>
        <v>2012</v>
      </c>
      <c r="H203" s="381">
        <f t="shared" si="7"/>
        <v>9</v>
      </c>
      <c r="I203" s="382">
        <v>16</v>
      </c>
      <c r="J203" s="382">
        <v>14.412000000000001</v>
      </c>
      <c r="K203" s="382">
        <v>3.0219999999999998</v>
      </c>
      <c r="L203" s="589">
        <v>17.434000000000001</v>
      </c>
      <c r="M203" s="382">
        <v>8521</v>
      </c>
      <c r="N203" s="383">
        <v>2E-3</v>
      </c>
      <c r="O203" s="382">
        <v>14.622</v>
      </c>
      <c r="P203" s="382">
        <v>3.0219999999999998</v>
      </c>
    </row>
    <row r="204" spans="4:16">
      <c r="D204" s="374" t="s">
        <v>719</v>
      </c>
      <c r="E204" s="379" t="s">
        <v>724</v>
      </c>
      <c r="F204" s="380">
        <v>41185</v>
      </c>
      <c r="G204" s="381">
        <f t="shared" si="6"/>
        <v>2012</v>
      </c>
      <c r="H204" s="381">
        <f t="shared" si="7"/>
        <v>10</v>
      </c>
      <c r="I204" s="382">
        <v>14</v>
      </c>
      <c r="J204" s="382">
        <v>6.7279999999999998</v>
      </c>
      <c r="K204" s="382">
        <v>3.089</v>
      </c>
      <c r="L204" s="589">
        <v>9.8170000000000002</v>
      </c>
      <c r="M204" s="382">
        <v>6122</v>
      </c>
      <c r="N204" s="383">
        <v>1.6000000000000001E-3</v>
      </c>
      <c r="O204" s="382">
        <v>6.8259999999999996</v>
      </c>
      <c r="P204" s="382">
        <v>3.089</v>
      </c>
    </row>
    <row r="205" spans="4:16">
      <c r="D205" s="374" t="s">
        <v>719</v>
      </c>
      <c r="E205" s="379" t="s">
        <v>724</v>
      </c>
      <c r="F205" s="380">
        <v>41239</v>
      </c>
      <c r="G205" s="381">
        <f t="shared" si="6"/>
        <v>2012</v>
      </c>
      <c r="H205" s="381">
        <f t="shared" si="7"/>
        <v>11</v>
      </c>
      <c r="I205" s="382">
        <v>18</v>
      </c>
      <c r="J205" s="382">
        <v>6.0590000000000002</v>
      </c>
      <c r="K205" s="382">
        <v>3.032</v>
      </c>
      <c r="L205" s="589">
        <v>9.0909999999999993</v>
      </c>
      <c r="M205" s="382">
        <v>6416</v>
      </c>
      <c r="N205" s="383">
        <v>1.4E-3</v>
      </c>
      <c r="O205" s="382">
        <v>6.117</v>
      </c>
      <c r="P205" s="382">
        <v>3.032</v>
      </c>
    </row>
    <row r="206" spans="4:16">
      <c r="D206" s="374" t="s">
        <v>719</v>
      </c>
      <c r="E206" s="379" t="s">
        <v>724</v>
      </c>
      <c r="F206" s="380">
        <v>41253</v>
      </c>
      <c r="G206" s="381">
        <f t="shared" si="6"/>
        <v>2012</v>
      </c>
      <c r="H206" s="381">
        <f t="shared" si="7"/>
        <v>12</v>
      </c>
      <c r="I206" s="382">
        <v>18</v>
      </c>
      <c r="J206" s="382">
        <v>6.6429999999999998</v>
      </c>
      <c r="K206" s="382">
        <v>3.105</v>
      </c>
      <c r="L206" s="589">
        <v>9.7479999999999993</v>
      </c>
      <c r="M206" s="382">
        <v>6609</v>
      </c>
      <c r="N206" s="383">
        <v>1.5E-3</v>
      </c>
      <c r="O206" s="382">
        <v>6.7389999999999999</v>
      </c>
      <c r="P206" s="382">
        <v>3.105</v>
      </c>
    </row>
    <row r="207" spans="4:16">
      <c r="D207" s="374" t="s">
        <v>719</v>
      </c>
      <c r="E207" s="379" t="s">
        <v>724</v>
      </c>
      <c r="F207" s="380">
        <v>41295</v>
      </c>
      <c r="G207" s="381">
        <f t="shared" si="6"/>
        <v>2013</v>
      </c>
      <c r="H207" s="381">
        <f t="shared" si="7"/>
        <v>1</v>
      </c>
      <c r="I207" s="382">
        <v>19</v>
      </c>
      <c r="J207" s="382">
        <v>6.7839999999999998</v>
      </c>
      <c r="K207" s="382">
        <v>3.0529999999999999</v>
      </c>
      <c r="L207" s="589">
        <v>9.8369999999999997</v>
      </c>
      <c r="M207" s="382">
        <v>6846</v>
      </c>
      <c r="N207" s="383">
        <v>1.4E-3</v>
      </c>
      <c r="O207" s="382">
        <v>6.875</v>
      </c>
      <c r="P207" s="382">
        <v>3.0529999999999999</v>
      </c>
    </row>
    <row r="208" spans="4:16">
      <c r="D208" s="374" t="s">
        <v>719</v>
      </c>
      <c r="E208" s="379" t="s">
        <v>724</v>
      </c>
      <c r="F208" s="380">
        <v>41324</v>
      </c>
      <c r="G208" s="381">
        <f t="shared" si="6"/>
        <v>2013</v>
      </c>
      <c r="H208" s="381">
        <f t="shared" si="7"/>
        <v>2</v>
      </c>
      <c r="I208" s="382">
        <v>19</v>
      </c>
      <c r="J208" s="382">
        <v>6.7569999999999997</v>
      </c>
      <c r="K208" s="382">
        <v>2.6389999999999998</v>
      </c>
      <c r="L208" s="589">
        <v>9.3960000000000008</v>
      </c>
      <c r="M208" s="382">
        <v>6511</v>
      </c>
      <c r="N208" s="383">
        <v>1.4E-3</v>
      </c>
      <c r="O208" s="382">
        <v>6.8460000000000001</v>
      </c>
      <c r="P208" s="382">
        <v>2.6389999999999998</v>
      </c>
    </row>
    <row r="209" spans="4:16">
      <c r="D209" s="374" t="s">
        <v>719</v>
      </c>
      <c r="E209" s="379" t="s">
        <v>724</v>
      </c>
      <c r="F209" s="380">
        <v>41337</v>
      </c>
      <c r="G209" s="381">
        <f t="shared" si="6"/>
        <v>2013</v>
      </c>
      <c r="H209" s="381">
        <f t="shared" si="7"/>
        <v>3</v>
      </c>
      <c r="I209" s="382">
        <v>19</v>
      </c>
      <c r="J209" s="382">
        <v>5.8410000000000002</v>
      </c>
      <c r="K209" s="382">
        <v>3.1019999999999999</v>
      </c>
      <c r="L209" s="589">
        <v>8.9429999999999996</v>
      </c>
      <c r="M209" s="382">
        <v>6172</v>
      </c>
      <c r="N209" s="383">
        <v>1.4E-3</v>
      </c>
      <c r="O209" s="382">
        <v>5.9</v>
      </c>
      <c r="P209" s="382">
        <v>3.1019999999999999</v>
      </c>
    </row>
    <row r="210" spans="4:16">
      <c r="D210" s="374" t="s">
        <v>719</v>
      </c>
      <c r="E210" s="379" t="s">
        <v>724</v>
      </c>
      <c r="F210" s="380">
        <v>41382</v>
      </c>
      <c r="G210" s="381">
        <f t="shared" si="6"/>
        <v>2013</v>
      </c>
      <c r="H210" s="381">
        <f t="shared" si="7"/>
        <v>4</v>
      </c>
      <c r="I210" s="382">
        <v>12</v>
      </c>
      <c r="J210" s="382">
        <v>5.51</v>
      </c>
      <c r="K210" s="382">
        <v>3.1440000000000001</v>
      </c>
      <c r="L210" s="589">
        <v>8.6539999999999999</v>
      </c>
      <c r="M210" s="382">
        <v>5851</v>
      </c>
      <c r="N210" s="383">
        <v>1.5E-3</v>
      </c>
      <c r="O210" s="382">
        <v>5.5679999999999996</v>
      </c>
      <c r="P210" s="382">
        <v>3.1440000000000001</v>
      </c>
    </row>
    <row r="211" spans="4:16">
      <c r="D211" s="374" t="s">
        <v>719</v>
      </c>
      <c r="E211" s="379" t="s">
        <v>724</v>
      </c>
      <c r="F211" s="380">
        <v>41408</v>
      </c>
      <c r="G211" s="381">
        <f t="shared" si="6"/>
        <v>2013</v>
      </c>
      <c r="H211" s="381">
        <f t="shared" si="7"/>
        <v>5</v>
      </c>
      <c r="I211" s="382">
        <v>17</v>
      </c>
      <c r="J211" s="382">
        <v>5.8529999999999998</v>
      </c>
      <c r="K211" s="382">
        <v>2.988</v>
      </c>
      <c r="L211" s="589">
        <v>8.8409999999999993</v>
      </c>
      <c r="M211" s="382">
        <v>6516</v>
      </c>
      <c r="N211" s="383">
        <v>1.4E-3</v>
      </c>
      <c r="O211" s="382">
        <v>5.9260000000000002</v>
      </c>
      <c r="P211" s="382">
        <v>2.988</v>
      </c>
    </row>
    <row r="212" spans="4:16">
      <c r="D212" s="374" t="s">
        <v>719</v>
      </c>
      <c r="E212" s="379" t="s">
        <v>724</v>
      </c>
      <c r="F212" s="380">
        <v>41451</v>
      </c>
      <c r="G212" s="381">
        <f t="shared" si="6"/>
        <v>2013</v>
      </c>
      <c r="H212" s="381">
        <f t="shared" si="7"/>
        <v>6</v>
      </c>
      <c r="I212" s="382">
        <v>16</v>
      </c>
      <c r="J212" s="382">
        <v>10.445</v>
      </c>
      <c r="K212" s="382">
        <v>3.0680000000000001</v>
      </c>
      <c r="L212" s="589">
        <v>13.513</v>
      </c>
      <c r="M212" s="382">
        <v>8280</v>
      </c>
      <c r="N212" s="383">
        <v>1.6000000000000001E-3</v>
      </c>
      <c r="O212" s="382">
        <v>10.521000000000001</v>
      </c>
      <c r="P212" s="382">
        <v>3.0680000000000001</v>
      </c>
    </row>
    <row r="213" spans="4:16">
      <c r="D213" s="374" t="s">
        <v>719</v>
      </c>
      <c r="E213" s="379" t="s">
        <v>724</v>
      </c>
      <c r="F213" s="380">
        <v>41473</v>
      </c>
      <c r="G213" s="381">
        <f t="shared" si="6"/>
        <v>2013</v>
      </c>
      <c r="H213" s="381">
        <f t="shared" si="7"/>
        <v>7</v>
      </c>
      <c r="I213" s="382">
        <v>17</v>
      </c>
      <c r="J213" s="382">
        <v>13.795999999999999</v>
      </c>
      <c r="K213" s="382">
        <v>2.7719999999999998</v>
      </c>
      <c r="L213" s="589">
        <v>16.568000000000001</v>
      </c>
      <c r="M213" s="382">
        <v>9566</v>
      </c>
      <c r="N213" s="383">
        <v>1.6999999999999999E-3</v>
      </c>
      <c r="O213" s="382">
        <v>13.911</v>
      </c>
      <c r="P213" s="382">
        <v>2.7719999999999998</v>
      </c>
    </row>
    <row r="214" spans="4:16">
      <c r="D214" s="374" t="s">
        <v>719</v>
      </c>
      <c r="E214" s="379" t="s">
        <v>724</v>
      </c>
      <c r="F214" s="380">
        <v>41512</v>
      </c>
      <c r="G214" s="381">
        <f t="shared" si="6"/>
        <v>2013</v>
      </c>
      <c r="H214" s="381">
        <f t="shared" si="7"/>
        <v>8</v>
      </c>
      <c r="I214" s="382">
        <v>17</v>
      </c>
      <c r="J214" s="382">
        <v>19.170999999999999</v>
      </c>
      <c r="K214" s="382">
        <v>2.3959999999999999</v>
      </c>
      <c r="L214" s="589">
        <v>21.567</v>
      </c>
      <c r="M214" s="382">
        <v>9821</v>
      </c>
      <c r="N214" s="383">
        <v>2.2000000000000001E-3</v>
      </c>
      <c r="O214" s="382">
        <v>19.344999999999999</v>
      </c>
      <c r="P214" s="382">
        <v>2.3959999999999999</v>
      </c>
    </row>
    <row r="215" spans="4:16">
      <c r="D215" s="374" t="s">
        <v>719</v>
      </c>
      <c r="E215" s="379" t="s">
        <v>724</v>
      </c>
      <c r="F215" s="380">
        <v>41526</v>
      </c>
      <c r="G215" s="381">
        <f t="shared" si="6"/>
        <v>2013</v>
      </c>
      <c r="H215" s="381">
        <f t="shared" si="7"/>
        <v>9</v>
      </c>
      <c r="I215" s="382">
        <v>17</v>
      </c>
      <c r="J215" s="382">
        <v>17.827999999999999</v>
      </c>
      <c r="K215" s="382">
        <v>1.7829999999999999</v>
      </c>
      <c r="L215" s="589">
        <v>19.611000000000001</v>
      </c>
      <c r="M215" s="382">
        <v>8781</v>
      </c>
      <c r="N215" s="383">
        <v>2.2000000000000001E-3</v>
      </c>
      <c r="O215" s="382">
        <v>18.007999999999999</v>
      </c>
      <c r="P215" s="382">
        <v>1.7829999999999999</v>
      </c>
    </row>
    <row r="216" spans="4:16">
      <c r="D216" s="374" t="s">
        <v>719</v>
      </c>
      <c r="E216" s="379" t="s">
        <v>724</v>
      </c>
      <c r="F216" s="380">
        <v>41548</v>
      </c>
      <c r="G216" s="381">
        <f t="shared" si="6"/>
        <v>2013</v>
      </c>
      <c r="H216" s="381">
        <f t="shared" si="7"/>
        <v>10</v>
      </c>
      <c r="I216" s="382">
        <v>14</v>
      </c>
      <c r="J216" s="382">
        <v>11.746</v>
      </c>
      <c r="K216" s="382">
        <v>2.2869999999999999</v>
      </c>
      <c r="L216" s="589">
        <v>14.032999999999999</v>
      </c>
      <c r="M216" s="382">
        <v>6214</v>
      </c>
      <c r="N216" s="383">
        <v>2.3E-3</v>
      </c>
      <c r="O216" s="382">
        <v>11.94</v>
      </c>
      <c r="P216" s="382">
        <v>2.2869999999999999</v>
      </c>
    </row>
    <row r="217" spans="4:16">
      <c r="D217" s="374" t="s">
        <v>719</v>
      </c>
      <c r="E217" s="379" t="s">
        <v>724</v>
      </c>
      <c r="F217" s="380">
        <v>41604</v>
      </c>
      <c r="G217" s="381">
        <f t="shared" si="6"/>
        <v>2013</v>
      </c>
      <c r="H217" s="381">
        <f t="shared" si="7"/>
        <v>11</v>
      </c>
      <c r="I217" s="382">
        <v>18</v>
      </c>
      <c r="J217" s="382">
        <v>5.7809999999999997</v>
      </c>
      <c r="K217" s="382">
        <v>3.105</v>
      </c>
      <c r="L217" s="589">
        <v>8.8859999999999992</v>
      </c>
      <c r="M217" s="382">
        <v>6372</v>
      </c>
      <c r="N217" s="383">
        <v>1.4E-3</v>
      </c>
      <c r="O217" s="382">
        <v>5.8440000000000003</v>
      </c>
      <c r="P217" s="382">
        <v>3.105</v>
      </c>
    </row>
    <row r="218" spans="4:16">
      <c r="D218" s="374" t="s">
        <v>719</v>
      </c>
      <c r="E218" s="379" t="s">
        <v>724</v>
      </c>
      <c r="F218" s="380">
        <v>41619</v>
      </c>
      <c r="G218" s="381">
        <f t="shared" si="6"/>
        <v>2013</v>
      </c>
      <c r="H218" s="381">
        <f t="shared" si="7"/>
        <v>12</v>
      </c>
      <c r="I218" s="382">
        <v>18</v>
      </c>
      <c r="J218" s="382">
        <v>7.4790000000000001</v>
      </c>
      <c r="K218" s="382">
        <v>2.7349999999999999</v>
      </c>
      <c r="L218" s="589">
        <v>10.214</v>
      </c>
      <c r="M218" s="382">
        <v>6972</v>
      </c>
      <c r="N218" s="383">
        <v>1.5E-3</v>
      </c>
      <c r="O218" s="382">
        <v>7.569</v>
      </c>
      <c r="P218" s="382">
        <v>2.7349999999999999</v>
      </c>
    </row>
    <row r="219" spans="4:16">
      <c r="D219" s="374" t="s">
        <v>719</v>
      </c>
      <c r="E219" s="590" t="s">
        <v>724</v>
      </c>
      <c r="F219" s="591">
        <v>41645</v>
      </c>
      <c r="G219" s="381">
        <f t="shared" si="6"/>
        <v>2014</v>
      </c>
      <c r="H219" s="381">
        <f t="shared" si="7"/>
        <v>1</v>
      </c>
      <c r="I219" s="592">
        <v>18</v>
      </c>
      <c r="J219" s="592">
        <v>7.867</v>
      </c>
      <c r="K219" s="592">
        <v>2.8210000000000002</v>
      </c>
      <c r="L219" s="593">
        <v>10.688000000000001</v>
      </c>
      <c r="M219" s="594">
        <v>7188</v>
      </c>
      <c r="N219" s="592">
        <v>0.14899999999999999</v>
      </c>
      <c r="O219" s="592">
        <v>7.968</v>
      </c>
      <c r="P219" s="592">
        <v>2.8210000000000002</v>
      </c>
    </row>
    <row r="220" spans="4:16">
      <c r="D220" s="374" t="s">
        <v>719</v>
      </c>
      <c r="E220" s="590" t="s">
        <v>724</v>
      </c>
      <c r="F220" s="591">
        <v>41676</v>
      </c>
      <c r="G220" s="381">
        <f t="shared" si="6"/>
        <v>2014</v>
      </c>
      <c r="H220" s="381">
        <f t="shared" si="7"/>
        <v>2</v>
      </c>
      <c r="I220" s="592">
        <v>19</v>
      </c>
      <c r="J220" s="592">
        <v>6.9930000000000003</v>
      </c>
      <c r="K220" s="592">
        <v>2.6379999999999999</v>
      </c>
      <c r="L220" s="593">
        <v>9.6310000000000002</v>
      </c>
      <c r="M220" s="594">
        <v>6743</v>
      </c>
      <c r="N220" s="592">
        <v>0.14299999999999999</v>
      </c>
      <c r="O220" s="592">
        <v>7.0830000000000002</v>
      </c>
      <c r="P220" s="592">
        <v>2.6379999999999999</v>
      </c>
    </row>
    <row r="221" spans="4:16">
      <c r="D221" s="374" t="s">
        <v>719</v>
      </c>
      <c r="E221" s="590" t="s">
        <v>724</v>
      </c>
      <c r="F221" s="591">
        <v>41701</v>
      </c>
      <c r="G221" s="381">
        <f t="shared" si="6"/>
        <v>2014</v>
      </c>
      <c r="H221" s="381">
        <f t="shared" si="7"/>
        <v>3</v>
      </c>
      <c r="I221" s="592">
        <v>19</v>
      </c>
      <c r="J221" s="592">
        <v>6.7590000000000003</v>
      </c>
      <c r="K221" s="592">
        <v>2.3359999999999999</v>
      </c>
      <c r="L221" s="593">
        <v>9.0950000000000006</v>
      </c>
      <c r="M221" s="594">
        <v>6537</v>
      </c>
      <c r="N221" s="592">
        <v>0.13900000000000001</v>
      </c>
      <c r="O221" s="592">
        <v>6.8220000000000001</v>
      </c>
      <c r="P221" s="592">
        <v>2.3359999999999999</v>
      </c>
    </row>
    <row r="222" spans="4:16">
      <c r="D222" s="374" t="s">
        <v>719</v>
      </c>
      <c r="E222" s="590" t="s">
        <v>724</v>
      </c>
      <c r="F222" s="591">
        <v>41730</v>
      </c>
      <c r="G222" s="381">
        <f t="shared" si="6"/>
        <v>2014</v>
      </c>
      <c r="H222" s="381">
        <f t="shared" si="7"/>
        <v>4</v>
      </c>
      <c r="I222" s="592">
        <v>11</v>
      </c>
      <c r="J222" s="592">
        <v>3.2829999999999999</v>
      </c>
      <c r="K222" s="592">
        <v>5.4589999999999996</v>
      </c>
      <c r="L222" s="593">
        <v>8.7420000000000009</v>
      </c>
      <c r="M222" s="594">
        <v>5924</v>
      </c>
      <c r="N222" s="592">
        <v>0.14799999999999999</v>
      </c>
      <c r="O222" s="592">
        <v>3.387</v>
      </c>
      <c r="P222" s="592">
        <v>5.4589999999999996</v>
      </c>
    </row>
    <row r="223" spans="4:16">
      <c r="D223" s="374" t="s">
        <v>719</v>
      </c>
      <c r="E223" s="590" t="s">
        <v>724</v>
      </c>
      <c r="F223" s="591">
        <v>41789</v>
      </c>
      <c r="G223" s="381">
        <f t="shared" si="6"/>
        <v>2014</v>
      </c>
      <c r="H223" s="381">
        <f t="shared" si="7"/>
        <v>5</v>
      </c>
      <c r="I223" s="592">
        <v>16</v>
      </c>
      <c r="J223" s="592">
        <v>7.2290000000000001</v>
      </c>
      <c r="K223" s="592">
        <v>3.1459999999999999</v>
      </c>
      <c r="L223" s="593">
        <v>10.375</v>
      </c>
      <c r="M223" s="594">
        <v>7422</v>
      </c>
      <c r="N223" s="592">
        <v>0.14000000000000001</v>
      </c>
      <c r="O223" s="592">
        <v>7.2930000000000001</v>
      </c>
      <c r="P223" s="592">
        <v>3.1459999999999999</v>
      </c>
    </row>
    <row r="224" spans="4:16">
      <c r="D224" s="374" t="s">
        <v>719</v>
      </c>
      <c r="E224" s="590" t="s">
        <v>724</v>
      </c>
      <c r="F224" s="591">
        <v>41814</v>
      </c>
      <c r="G224" s="381">
        <f t="shared" si="6"/>
        <v>2014</v>
      </c>
      <c r="H224" s="381">
        <f t="shared" si="7"/>
        <v>6</v>
      </c>
      <c r="I224" s="592">
        <v>16</v>
      </c>
      <c r="J224" s="592">
        <v>9.048</v>
      </c>
      <c r="K224" s="592">
        <v>3.1070000000000002</v>
      </c>
      <c r="L224" s="593">
        <v>12.154999999999999</v>
      </c>
      <c r="M224" s="594">
        <v>7670</v>
      </c>
      <c r="N224" s="592">
        <v>0.158</v>
      </c>
      <c r="O224" s="592">
        <v>9.0969999999999995</v>
      </c>
      <c r="P224" s="592">
        <v>3.1070000000000002</v>
      </c>
    </row>
    <row r="225" spans="4:16">
      <c r="D225" s="374" t="s">
        <v>719</v>
      </c>
      <c r="E225" s="590" t="s">
        <v>724</v>
      </c>
      <c r="F225" s="591">
        <v>41841</v>
      </c>
      <c r="G225" s="381">
        <f t="shared" si="6"/>
        <v>2014</v>
      </c>
      <c r="H225" s="381">
        <f t="shared" si="7"/>
        <v>7</v>
      </c>
      <c r="I225" s="592">
        <v>17</v>
      </c>
      <c r="J225" s="592">
        <v>14.111000000000001</v>
      </c>
      <c r="K225" s="592">
        <v>3.0870000000000002</v>
      </c>
      <c r="L225" s="593">
        <v>17.198</v>
      </c>
      <c r="M225" s="594">
        <v>9150</v>
      </c>
      <c r="N225" s="592">
        <v>0.188</v>
      </c>
      <c r="O225" s="592">
        <v>14.202999999999999</v>
      </c>
      <c r="P225" s="592">
        <v>3.0870000000000002</v>
      </c>
    </row>
    <row r="226" spans="4:16">
      <c r="D226" s="374" t="s">
        <v>719</v>
      </c>
      <c r="E226" s="590" t="s">
        <v>724</v>
      </c>
      <c r="F226" s="591">
        <v>41869</v>
      </c>
      <c r="G226" s="381">
        <f t="shared" si="6"/>
        <v>2014</v>
      </c>
      <c r="H226" s="381">
        <f t="shared" si="7"/>
        <v>8</v>
      </c>
      <c r="I226" s="592">
        <v>16</v>
      </c>
      <c r="J226" s="592">
        <v>17.620999999999999</v>
      </c>
      <c r="K226" s="592">
        <v>2.3929999999999998</v>
      </c>
      <c r="L226" s="593">
        <v>20.013999999999999</v>
      </c>
      <c r="M226" s="594">
        <v>8190</v>
      </c>
      <c r="N226" s="592">
        <v>0.24399999999999999</v>
      </c>
      <c r="O226" s="592">
        <v>17.780999999999999</v>
      </c>
      <c r="P226" s="592">
        <v>2.3929999999999998</v>
      </c>
    </row>
    <row r="227" spans="4:16">
      <c r="D227" s="374" t="s">
        <v>719</v>
      </c>
      <c r="E227" s="590" t="s">
        <v>724</v>
      </c>
      <c r="F227" s="591">
        <v>41886</v>
      </c>
      <c r="G227" s="381">
        <f t="shared" si="6"/>
        <v>2014</v>
      </c>
      <c r="H227" s="381">
        <f t="shared" si="7"/>
        <v>9</v>
      </c>
      <c r="I227" s="592">
        <v>15</v>
      </c>
      <c r="J227" s="592">
        <v>13.897</v>
      </c>
      <c r="K227" s="592">
        <v>2.76</v>
      </c>
      <c r="L227" s="593">
        <v>16.657</v>
      </c>
      <c r="M227" s="594">
        <v>7758</v>
      </c>
      <c r="N227" s="592">
        <v>0.215</v>
      </c>
      <c r="O227" s="592">
        <v>14.141999999999999</v>
      </c>
      <c r="P227" s="592">
        <v>2.76</v>
      </c>
    </row>
    <row r="228" spans="4:16">
      <c r="D228" s="374" t="s">
        <v>719</v>
      </c>
      <c r="E228" s="590" t="s">
        <v>724</v>
      </c>
      <c r="F228" s="591">
        <v>41942</v>
      </c>
      <c r="G228" s="381">
        <f t="shared" si="6"/>
        <v>2014</v>
      </c>
      <c r="H228" s="381">
        <f t="shared" si="7"/>
        <v>10</v>
      </c>
      <c r="I228" s="592">
        <v>20</v>
      </c>
      <c r="J228" s="592">
        <v>5.3360000000000003</v>
      </c>
      <c r="K228" s="592">
        <v>3.0979999999999999</v>
      </c>
      <c r="L228" s="593">
        <v>8.4339999999999993</v>
      </c>
      <c r="M228" s="594">
        <v>5901</v>
      </c>
      <c r="N228" s="592">
        <v>0.14299999999999999</v>
      </c>
      <c r="O228" s="592">
        <v>5.407</v>
      </c>
      <c r="P228" s="592">
        <v>3.0979999999999999</v>
      </c>
    </row>
    <row r="229" spans="4:16">
      <c r="D229" s="374" t="s">
        <v>719</v>
      </c>
      <c r="E229" s="590" t="s">
        <v>724</v>
      </c>
      <c r="F229" s="591">
        <v>41960</v>
      </c>
      <c r="G229" s="381">
        <f t="shared" si="6"/>
        <v>2014</v>
      </c>
      <c r="H229" s="381">
        <f t="shared" si="7"/>
        <v>11</v>
      </c>
      <c r="I229" s="592">
        <v>18</v>
      </c>
      <c r="J229" s="592">
        <v>6.4240000000000004</v>
      </c>
      <c r="K229" s="592">
        <v>3.101</v>
      </c>
      <c r="L229" s="593">
        <v>9.5250000000000004</v>
      </c>
      <c r="M229" s="594">
        <v>6677</v>
      </c>
      <c r="N229" s="592">
        <v>0.14299999999999999</v>
      </c>
      <c r="O229" s="592">
        <v>6.4870000000000001</v>
      </c>
      <c r="P229" s="592">
        <v>3.101</v>
      </c>
    </row>
    <row r="230" spans="4:16">
      <c r="D230" s="374" t="s">
        <v>719</v>
      </c>
      <c r="E230" s="590" t="s">
        <v>724</v>
      </c>
      <c r="F230" s="591">
        <v>41974</v>
      </c>
      <c r="G230" s="381">
        <f t="shared" si="6"/>
        <v>2014</v>
      </c>
      <c r="H230" s="381">
        <f t="shared" si="7"/>
        <v>12</v>
      </c>
      <c r="I230" s="592">
        <v>18</v>
      </c>
      <c r="J230" s="592">
        <v>6.7640000000000002</v>
      </c>
      <c r="K230" s="592">
        <v>3.0939999999999999</v>
      </c>
      <c r="L230" s="593">
        <v>9.8580000000000005</v>
      </c>
      <c r="M230" s="594">
        <v>6850</v>
      </c>
      <c r="N230" s="592">
        <v>0.14399999999999999</v>
      </c>
      <c r="O230" s="592">
        <v>6.84</v>
      </c>
      <c r="P230" s="592">
        <v>3.0939999999999999</v>
      </c>
    </row>
    <row r="231" spans="4:16">
      <c r="D231" s="374" t="s">
        <v>719</v>
      </c>
      <c r="E231" s="590" t="s">
        <v>724</v>
      </c>
      <c r="F231" s="591">
        <v>42011</v>
      </c>
      <c r="G231" s="381">
        <f t="shared" si="6"/>
        <v>2015</v>
      </c>
      <c r="H231" s="381">
        <f t="shared" si="7"/>
        <v>1</v>
      </c>
      <c r="I231" s="592">
        <v>18</v>
      </c>
      <c r="J231" s="592">
        <v>7.2480000000000002</v>
      </c>
      <c r="K231" s="592">
        <v>2.9020000000000001</v>
      </c>
      <c r="L231" s="593">
        <v>10.15</v>
      </c>
      <c r="M231" s="594">
        <v>6978</v>
      </c>
      <c r="N231" s="592">
        <v>0.14499999999999999</v>
      </c>
      <c r="O231" s="592">
        <v>7.35</v>
      </c>
      <c r="P231" s="592">
        <v>2.9020000000000001</v>
      </c>
    </row>
    <row r="232" spans="4:16">
      <c r="D232" s="374" t="s">
        <v>719</v>
      </c>
      <c r="E232" s="590" t="s">
        <v>724</v>
      </c>
      <c r="F232" s="591">
        <v>42053</v>
      </c>
      <c r="G232" s="381">
        <f t="shared" si="6"/>
        <v>2015</v>
      </c>
      <c r="H232" s="381">
        <f t="shared" si="7"/>
        <v>2</v>
      </c>
      <c r="I232" s="592">
        <v>19</v>
      </c>
      <c r="J232" s="592">
        <v>6.8470000000000004</v>
      </c>
      <c r="K232" s="592">
        <v>2.9809999999999999</v>
      </c>
      <c r="L232" s="593">
        <v>9.8279999999999994</v>
      </c>
      <c r="M232" s="594">
        <v>6744</v>
      </c>
      <c r="N232" s="592">
        <v>0.14599999999999999</v>
      </c>
      <c r="O232" s="592">
        <v>6.9379999999999997</v>
      </c>
      <c r="P232" s="592">
        <v>2.9809999999999999</v>
      </c>
    </row>
    <row r="233" spans="4:16">
      <c r="D233" s="374" t="s">
        <v>719</v>
      </c>
      <c r="E233" s="590" t="s">
        <v>724</v>
      </c>
      <c r="F233" s="591">
        <v>42067</v>
      </c>
      <c r="G233" s="381">
        <f t="shared" si="6"/>
        <v>2015</v>
      </c>
      <c r="H233" s="381">
        <f t="shared" si="7"/>
        <v>3</v>
      </c>
      <c r="I233" s="592">
        <v>20</v>
      </c>
      <c r="J233" s="592">
        <v>6.218</v>
      </c>
      <c r="K233" s="592">
        <v>3.0579999999999998</v>
      </c>
      <c r="L233" s="593">
        <v>9.2759999999999998</v>
      </c>
      <c r="M233" s="594">
        <v>6470</v>
      </c>
      <c r="N233" s="592">
        <v>0.14299999999999999</v>
      </c>
      <c r="O233" s="592">
        <v>6.3</v>
      </c>
      <c r="P233" s="592">
        <v>3.0579999999999998</v>
      </c>
    </row>
    <row r="234" spans="4:16">
      <c r="D234" s="374" t="s">
        <v>719</v>
      </c>
      <c r="E234" s="590" t="s">
        <v>724</v>
      </c>
      <c r="F234" s="591">
        <v>42103</v>
      </c>
      <c r="G234" s="381">
        <f t="shared" si="6"/>
        <v>2015</v>
      </c>
      <c r="H234" s="381">
        <f t="shared" si="7"/>
        <v>4</v>
      </c>
      <c r="I234" s="592">
        <v>12</v>
      </c>
      <c r="J234" s="592">
        <v>5.7670000000000003</v>
      </c>
      <c r="K234" s="592">
        <v>2.5990000000000002</v>
      </c>
      <c r="L234" s="593">
        <v>8.3659999999999997</v>
      </c>
      <c r="M234" s="594">
        <v>5914</v>
      </c>
      <c r="N234" s="592">
        <v>0.14099999999999999</v>
      </c>
      <c r="O234" s="592">
        <v>5.8520000000000003</v>
      </c>
      <c r="P234" s="592">
        <v>2.5990000000000002</v>
      </c>
    </row>
    <row r="235" spans="4:16">
      <c r="D235" s="374" t="s">
        <v>719</v>
      </c>
      <c r="E235" s="590" t="s">
        <v>724</v>
      </c>
      <c r="F235" s="591">
        <v>42152</v>
      </c>
      <c r="G235" s="381">
        <f t="shared" si="6"/>
        <v>2015</v>
      </c>
      <c r="H235" s="381">
        <f t="shared" si="7"/>
        <v>5</v>
      </c>
      <c r="I235" s="592">
        <v>16</v>
      </c>
      <c r="J235" s="592">
        <v>6.633</v>
      </c>
      <c r="K235" s="592">
        <v>3.0630000000000002</v>
      </c>
      <c r="L235" s="593">
        <v>9.6959999999999997</v>
      </c>
      <c r="M235" s="594">
        <v>6837</v>
      </c>
      <c r="N235" s="592">
        <v>0.14199999999999999</v>
      </c>
      <c r="O235" s="592">
        <v>6.7</v>
      </c>
      <c r="P235" s="592">
        <v>3.0630000000000002</v>
      </c>
    </row>
    <row r="236" spans="4:16">
      <c r="D236" s="374" t="s">
        <v>719</v>
      </c>
      <c r="E236" s="590" t="s">
        <v>724</v>
      </c>
      <c r="F236" s="591">
        <v>42164</v>
      </c>
      <c r="G236" s="381">
        <f t="shared" si="6"/>
        <v>2015</v>
      </c>
      <c r="H236" s="381">
        <f t="shared" si="7"/>
        <v>6</v>
      </c>
      <c r="I236" s="592">
        <v>17</v>
      </c>
      <c r="J236" s="592">
        <v>9.8040000000000003</v>
      </c>
      <c r="K236" s="592">
        <v>2.641</v>
      </c>
      <c r="L236" s="593">
        <v>12.445</v>
      </c>
      <c r="M236" s="594">
        <v>8136</v>
      </c>
      <c r="N236" s="592">
        <v>0.153</v>
      </c>
      <c r="O236" s="592">
        <v>9.8710000000000004</v>
      </c>
      <c r="P236" s="592">
        <v>2.641</v>
      </c>
    </row>
    <row r="237" spans="4:16">
      <c r="D237" s="374" t="s">
        <v>719</v>
      </c>
      <c r="E237" s="590" t="s">
        <v>724</v>
      </c>
      <c r="F237" s="591">
        <v>42212</v>
      </c>
      <c r="G237" s="381">
        <f t="shared" si="6"/>
        <v>2015</v>
      </c>
      <c r="H237" s="381">
        <f t="shared" si="7"/>
        <v>7</v>
      </c>
      <c r="I237" s="592">
        <v>17</v>
      </c>
      <c r="J237" s="592">
        <v>11.95</v>
      </c>
      <c r="K237" s="592">
        <v>3.0609999999999999</v>
      </c>
      <c r="L237" s="593">
        <v>15.010999999999999</v>
      </c>
      <c r="M237" s="594">
        <v>8769</v>
      </c>
      <c r="N237" s="592">
        <v>0.17100000000000001</v>
      </c>
      <c r="O237" s="592">
        <v>12.054</v>
      </c>
      <c r="P237" s="592">
        <v>3.0609999999999999</v>
      </c>
    </row>
    <row r="238" spans="4:16">
      <c r="D238" s="374" t="s">
        <v>719</v>
      </c>
      <c r="E238" s="590" t="s">
        <v>724</v>
      </c>
      <c r="F238" s="591">
        <v>42230</v>
      </c>
      <c r="G238" s="381">
        <f t="shared" si="6"/>
        <v>2015</v>
      </c>
      <c r="H238" s="381">
        <f t="shared" si="7"/>
        <v>8</v>
      </c>
      <c r="I238" s="592">
        <v>16</v>
      </c>
      <c r="J238" s="592">
        <v>18.081</v>
      </c>
      <c r="K238" s="592">
        <v>3.06</v>
      </c>
      <c r="L238" s="593">
        <v>21.140999999999998</v>
      </c>
      <c r="M238" s="594">
        <v>8926</v>
      </c>
      <c r="N238" s="592">
        <v>0.23699999999999999</v>
      </c>
      <c r="O238" s="592">
        <v>18.231999999999999</v>
      </c>
      <c r="P238" s="592">
        <v>3.06</v>
      </c>
    </row>
    <row r="239" spans="4:16">
      <c r="D239" s="374" t="s">
        <v>719</v>
      </c>
      <c r="E239" s="590" t="s">
        <v>724</v>
      </c>
      <c r="F239" s="591">
        <v>42250</v>
      </c>
      <c r="G239" s="381">
        <f t="shared" si="6"/>
        <v>2015</v>
      </c>
      <c r="H239" s="381">
        <f t="shared" si="7"/>
        <v>9</v>
      </c>
      <c r="I239" s="592">
        <v>17</v>
      </c>
      <c r="J239" s="592">
        <v>18.384</v>
      </c>
      <c r="K239" s="592">
        <v>2.7770000000000001</v>
      </c>
      <c r="L239" s="593">
        <v>21.161000000000001</v>
      </c>
      <c r="M239" s="594">
        <v>8657</v>
      </c>
      <c r="N239" s="592">
        <v>0.24399999999999999</v>
      </c>
      <c r="O239" s="592">
        <v>18.547999999999998</v>
      </c>
      <c r="P239" s="592">
        <v>2.7770000000000001</v>
      </c>
    </row>
    <row r="240" spans="4:16">
      <c r="D240" s="374" t="s">
        <v>719</v>
      </c>
      <c r="E240" s="590" t="s">
        <v>724</v>
      </c>
      <c r="F240" s="591">
        <v>42285</v>
      </c>
      <c r="G240" s="381">
        <f t="shared" si="6"/>
        <v>2015</v>
      </c>
      <c r="H240" s="381">
        <f t="shared" si="7"/>
        <v>10</v>
      </c>
      <c r="I240" s="592">
        <v>12</v>
      </c>
      <c r="J240" s="592">
        <v>8.3539999999999992</v>
      </c>
      <c r="K240" s="592">
        <v>3.0619999999999998</v>
      </c>
      <c r="L240" s="593">
        <v>11.416</v>
      </c>
      <c r="M240" s="594">
        <v>5943</v>
      </c>
      <c r="N240" s="592">
        <v>0.192</v>
      </c>
      <c r="O240" s="592">
        <v>8.4450000000000003</v>
      </c>
      <c r="P240" s="592">
        <v>3.0619999999999998</v>
      </c>
    </row>
    <row r="241" spans="4:16">
      <c r="D241" s="374" t="s">
        <v>719</v>
      </c>
      <c r="E241" s="590" t="s">
        <v>724</v>
      </c>
      <c r="F241" s="591">
        <v>42338</v>
      </c>
      <c r="G241" s="381">
        <f t="shared" si="6"/>
        <v>2015</v>
      </c>
      <c r="H241" s="381">
        <f t="shared" si="7"/>
        <v>11</v>
      </c>
      <c r="I241" s="592">
        <v>18</v>
      </c>
      <c r="J241" s="592">
        <v>6.1550000000000002</v>
      </c>
      <c r="K241" s="592">
        <v>3.0950000000000002</v>
      </c>
      <c r="L241" s="593">
        <v>9.25</v>
      </c>
      <c r="M241" s="594">
        <v>6574</v>
      </c>
      <c r="N241" s="592">
        <v>0.14099999999999999</v>
      </c>
      <c r="O241" s="592">
        <v>6.23</v>
      </c>
      <c r="P241" s="592">
        <v>3.0950000000000002</v>
      </c>
    </row>
    <row r="242" spans="4:16">
      <c r="D242" s="374" t="s">
        <v>719</v>
      </c>
      <c r="E242" s="590" t="s">
        <v>724</v>
      </c>
      <c r="F242" s="591">
        <v>42355</v>
      </c>
      <c r="G242" s="381">
        <f t="shared" si="6"/>
        <v>2015</v>
      </c>
      <c r="H242" s="381">
        <f t="shared" si="7"/>
        <v>12</v>
      </c>
      <c r="I242" s="592">
        <v>18</v>
      </c>
      <c r="J242" s="592">
        <v>6.3479999999999999</v>
      </c>
      <c r="K242" s="592">
        <v>3.0419999999999998</v>
      </c>
      <c r="L242" s="593">
        <v>9.39</v>
      </c>
      <c r="M242" s="594">
        <v>6450</v>
      </c>
      <c r="N242" s="592">
        <v>0.14599999999999999</v>
      </c>
      <c r="O242" s="592">
        <v>6.4210000000000003</v>
      </c>
      <c r="P242" s="592">
        <v>3.0419999999999998</v>
      </c>
    </row>
    <row r="243" spans="4:16">
      <c r="D243" s="374" t="s">
        <v>719</v>
      </c>
      <c r="E243" s="379" t="s">
        <v>725</v>
      </c>
      <c r="F243" s="380">
        <v>40927</v>
      </c>
      <c r="G243" s="381">
        <f t="shared" si="6"/>
        <v>2012</v>
      </c>
      <c r="H243" s="381">
        <f t="shared" si="7"/>
        <v>1</v>
      </c>
      <c r="I243" s="382">
        <v>19</v>
      </c>
      <c r="J243" s="382">
        <v>1.9430000000000001</v>
      </c>
      <c r="K243" s="382">
        <v>0</v>
      </c>
      <c r="L243" s="589">
        <v>1.9430000000000001</v>
      </c>
      <c r="M243" s="382">
        <v>6604</v>
      </c>
      <c r="N243" s="383">
        <v>2.9999999999999997E-4</v>
      </c>
      <c r="O243" s="382">
        <v>1.97</v>
      </c>
      <c r="P243" s="382">
        <v>0</v>
      </c>
    </row>
    <row r="244" spans="4:16">
      <c r="D244" s="374" t="s">
        <v>719</v>
      </c>
      <c r="E244" s="379" t="s">
        <v>725</v>
      </c>
      <c r="F244" s="380">
        <v>40967</v>
      </c>
      <c r="G244" s="381">
        <f t="shared" si="6"/>
        <v>2012</v>
      </c>
      <c r="H244" s="381">
        <f t="shared" si="7"/>
        <v>2</v>
      </c>
      <c r="I244" s="382">
        <v>19</v>
      </c>
      <c r="J244" s="382">
        <v>1.768</v>
      </c>
      <c r="K244" s="382">
        <v>0</v>
      </c>
      <c r="L244" s="589">
        <v>1.768</v>
      </c>
      <c r="M244" s="382">
        <v>6178</v>
      </c>
      <c r="N244" s="383">
        <v>2.9999999999999997E-4</v>
      </c>
      <c r="O244" s="382">
        <v>1.796</v>
      </c>
      <c r="P244" s="382">
        <v>0</v>
      </c>
    </row>
    <row r="245" spans="4:16">
      <c r="D245" s="374" t="s">
        <v>719</v>
      </c>
      <c r="E245" s="379" t="s">
        <v>725</v>
      </c>
      <c r="F245" s="380">
        <v>40987</v>
      </c>
      <c r="G245" s="381">
        <f t="shared" si="6"/>
        <v>2012</v>
      </c>
      <c r="H245" s="381">
        <f t="shared" si="7"/>
        <v>3</v>
      </c>
      <c r="I245" s="382">
        <v>14</v>
      </c>
      <c r="J245" s="382">
        <v>1.3320000000000001</v>
      </c>
      <c r="K245" s="382">
        <v>0</v>
      </c>
      <c r="L245" s="589">
        <v>1.3320000000000001</v>
      </c>
      <c r="M245" s="382">
        <v>6170</v>
      </c>
      <c r="N245" s="383">
        <v>2.0000000000000001E-4</v>
      </c>
      <c r="O245" s="382">
        <v>1.351</v>
      </c>
      <c r="P245" s="382">
        <v>0</v>
      </c>
    </row>
    <row r="246" spans="4:16">
      <c r="D246" s="374" t="s">
        <v>719</v>
      </c>
      <c r="E246" s="379" t="s">
        <v>725</v>
      </c>
      <c r="F246" s="380">
        <v>41024</v>
      </c>
      <c r="G246" s="381">
        <f t="shared" si="6"/>
        <v>2012</v>
      </c>
      <c r="H246" s="381">
        <f t="shared" si="7"/>
        <v>4</v>
      </c>
      <c r="I246" s="382">
        <v>15</v>
      </c>
      <c r="J246" s="382">
        <v>1.2969999999999999</v>
      </c>
      <c r="K246" s="382">
        <v>0</v>
      </c>
      <c r="L246" s="589">
        <v>1.2969999999999999</v>
      </c>
      <c r="M246" s="382">
        <v>5813</v>
      </c>
      <c r="N246" s="383">
        <v>2.0000000000000001E-4</v>
      </c>
      <c r="O246" s="382">
        <v>1.3160000000000001</v>
      </c>
      <c r="P246" s="382">
        <v>0</v>
      </c>
    </row>
    <row r="247" spans="4:16">
      <c r="D247" s="374" t="s">
        <v>719</v>
      </c>
      <c r="E247" s="379" t="s">
        <v>725</v>
      </c>
      <c r="F247" s="380">
        <v>41047</v>
      </c>
      <c r="G247" s="381">
        <f t="shared" si="6"/>
        <v>2012</v>
      </c>
      <c r="H247" s="381">
        <f t="shared" si="7"/>
        <v>5</v>
      </c>
      <c r="I247" s="382">
        <v>17</v>
      </c>
      <c r="J247" s="382">
        <v>2.0640000000000001</v>
      </c>
      <c r="K247" s="382">
        <v>0</v>
      </c>
      <c r="L247" s="589">
        <v>2.0640000000000001</v>
      </c>
      <c r="M247" s="382">
        <v>7203</v>
      </c>
      <c r="N247" s="383">
        <v>2.9999999999999997E-4</v>
      </c>
      <c r="O247" s="382">
        <v>2.0939999999999999</v>
      </c>
      <c r="P247" s="382">
        <v>0</v>
      </c>
    </row>
    <row r="248" spans="4:16">
      <c r="D248" s="374" t="s">
        <v>719</v>
      </c>
      <c r="E248" s="379" t="s">
        <v>725</v>
      </c>
      <c r="F248" s="380">
        <v>41087</v>
      </c>
      <c r="G248" s="381">
        <f t="shared" si="6"/>
        <v>2012</v>
      </c>
      <c r="H248" s="381">
        <f t="shared" si="7"/>
        <v>6</v>
      </c>
      <c r="I248" s="382">
        <v>17</v>
      </c>
      <c r="J248" s="382">
        <v>3.0289999999999999</v>
      </c>
      <c r="K248" s="382">
        <v>0</v>
      </c>
      <c r="L248" s="589">
        <v>3.0289999999999999</v>
      </c>
      <c r="M248" s="382">
        <v>8833</v>
      </c>
      <c r="N248" s="383">
        <v>2.9999999999999997E-4</v>
      </c>
      <c r="O248" s="382">
        <v>3.0750000000000002</v>
      </c>
      <c r="P248" s="382">
        <v>0</v>
      </c>
    </row>
    <row r="249" spans="4:16">
      <c r="D249" s="374" t="s">
        <v>719</v>
      </c>
      <c r="E249" s="379" t="s">
        <v>725</v>
      </c>
      <c r="F249" s="380">
        <v>41092</v>
      </c>
      <c r="G249" s="381">
        <f t="shared" si="6"/>
        <v>2012</v>
      </c>
      <c r="H249" s="381">
        <f t="shared" si="7"/>
        <v>7</v>
      </c>
      <c r="I249" s="382">
        <v>17</v>
      </c>
      <c r="J249" s="382">
        <v>3.327</v>
      </c>
      <c r="K249" s="382">
        <v>0</v>
      </c>
      <c r="L249" s="589">
        <v>3.327</v>
      </c>
      <c r="M249" s="382">
        <v>9682</v>
      </c>
      <c r="N249" s="383">
        <v>2.9999999999999997E-4</v>
      </c>
      <c r="O249" s="382">
        <v>3.379</v>
      </c>
      <c r="P249" s="382">
        <v>0</v>
      </c>
    </row>
    <row r="250" spans="4:16">
      <c r="D250" s="374" t="s">
        <v>719</v>
      </c>
      <c r="E250" s="379" t="s">
        <v>725</v>
      </c>
      <c r="F250" s="380">
        <v>41122</v>
      </c>
      <c r="G250" s="381">
        <f t="shared" si="6"/>
        <v>2012</v>
      </c>
      <c r="H250" s="381">
        <f t="shared" si="7"/>
        <v>8</v>
      </c>
      <c r="I250" s="382">
        <v>17</v>
      </c>
      <c r="J250" s="382">
        <v>3.0059999999999998</v>
      </c>
      <c r="K250" s="382">
        <v>0</v>
      </c>
      <c r="L250" s="589">
        <v>3.0059999999999998</v>
      </c>
      <c r="M250" s="382">
        <v>8979</v>
      </c>
      <c r="N250" s="383">
        <v>2.9999999999999997E-4</v>
      </c>
      <c r="O250" s="382">
        <v>3.052</v>
      </c>
      <c r="P250" s="382">
        <v>0</v>
      </c>
    </row>
    <row r="251" spans="4:16">
      <c r="D251" s="374" t="s">
        <v>719</v>
      </c>
      <c r="E251" s="379" t="s">
        <v>725</v>
      </c>
      <c r="F251" s="380">
        <v>41156</v>
      </c>
      <c r="G251" s="381">
        <f t="shared" si="6"/>
        <v>2012</v>
      </c>
      <c r="H251" s="381">
        <f t="shared" si="7"/>
        <v>9</v>
      </c>
      <c r="I251" s="382">
        <v>16</v>
      </c>
      <c r="J251" s="382">
        <v>2.8119999999999998</v>
      </c>
      <c r="K251" s="382">
        <v>0</v>
      </c>
      <c r="L251" s="589">
        <v>2.8119999999999998</v>
      </c>
      <c r="M251" s="382">
        <v>8521</v>
      </c>
      <c r="N251" s="383">
        <v>2.9999999999999997E-4</v>
      </c>
      <c r="O251" s="382">
        <v>2.855</v>
      </c>
      <c r="P251" s="382">
        <v>0</v>
      </c>
    </row>
    <row r="252" spans="4:16">
      <c r="D252" s="374" t="s">
        <v>719</v>
      </c>
      <c r="E252" s="379" t="s">
        <v>725</v>
      </c>
      <c r="F252" s="380">
        <v>41185</v>
      </c>
      <c r="G252" s="381">
        <f t="shared" si="6"/>
        <v>2012</v>
      </c>
      <c r="H252" s="381">
        <f t="shared" si="7"/>
        <v>10</v>
      </c>
      <c r="I252" s="382">
        <v>14</v>
      </c>
      <c r="J252" s="382">
        <v>1.347</v>
      </c>
      <c r="K252" s="382">
        <v>0</v>
      </c>
      <c r="L252" s="589">
        <v>1.347</v>
      </c>
      <c r="M252" s="382">
        <v>6122</v>
      </c>
      <c r="N252" s="383">
        <v>2.0000000000000001E-4</v>
      </c>
      <c r="O252" s="382">
        <v>1.365</v>
      </c>
      <c r="P252" s="382">
        <v>0</v>
      </c>
    </row>
    <row r="253" spans="4:16">
      <c r="D253" s="374" t="s">
        <v>719</v>
      </c>
      <c r="E253" s="379" t="s">
        <v>725</v>
      </c>
      <c r="F253" s="380">
        <v>41239</v>
      </c>
      <c r="G253" s="381">
        <f t="shared" si="6"/>
        <v>2012</v>
      </c>
      <c r="H253" s="381">
        <f t="shared" si="7"/>
        <v>11</v>
      </c>
      <c r="I253" s="382">
        <v>18</v>
      </c>
      <c r="J253" s="382">
        <v>1.9810000000000001</v>
      </c>
      <c r="K253" s="382">
        <v>0</v>
      </c>
      <c r="L253" s="589">
        <v>1.9810000000000001</v>
      </c>
      <c r="M253" s="382">
        <v>6416</v>
      </c>
      <c r="N253" s="383">
        <v>2.9999999999999997E-4</v>
      </c>
      <c r="O253" s="382">
        <v>2.0070000000000001</v>
      </c>
      <c r="P253" s="382">
        <v>0</v>
      </c>
    </row>
    <row r="254" spans="4:16">
      <c r="D254" s="374" t="s">
        <v>719</v>
      </c>
      <c r="E254" s="379" t="s">
        <v>725</v>
      </c>
      <c r="F254" s="380">
        <v>41253</v>
      </c>
      <c r="G254" s="381">
        <f t="shared" si="6"/>
        <v>2012</v>
      </c>
      <c r="H254" s="381">
        <f t="shared" si="7"/>
        <v>12</v>
      </c>
      <c r="I254" s="382">
        <v>18</v>
      </c>
      <c r="J254" s="382">
        <v>2.0920000000000001</v>
      </c>
      <c r="K254" s="382">
        <v>0</v>
      </c>
      <c r="L254" s="589">
        <v>2.0920000000000001</v>
      </c>
      <c r="M254" s="382">
        <v>6609</v>
      </c>
      <c r="N254" s="383">
        <v>2.9999999999999997E-4</v>
      </c>
      <c r="O254" s="382">
        <v>2.1219999999999999</v>
      </c>
      <c r="P254" s="382">
        <v>0</v>
      </c>
    </row>
    <row r="255" spans="4:16">
      <c r="D255" s="374" t="s">
        <v>719</v>
      </c>
      <c r="E255" s="379" t="s">
        <v>725</v>
      </c>
      <c r="F255" s="380">
        <v>41295</v>
      </c>
      <c r="G255" s="381">
        <f t="shared" si="6"/>
        <v>2013</v>
      </c>
      <c r="H255" s="381">
        <f t="shared" si="7"/>
        <v>1</v>
      </c>
      <c r="I255" s="382">
        <v>19</v>
      </c>
      <c r="J255" s="382">
        <v>2.008</v>
      </c>
      <c r="K255" s="382">
        <v>0</v>
      </c>
      <c r="L255" s="589">
        <v>2.008</v>
      </c>
      <c r="M255" s="382">
        <v>6846</v>
      </c>
      <c r="N255" s="383">
        <v>2.9999999999999997E-4</v>
      </c>
      <c r="O255" s="382">
        <v>2.0390000000000001</v>
      </c>
      <c r="P255" s="382">
        <v>0</v>
      </c>
    </row>
    <row r="256" spans="4:16">
      <c r="D256" s="374" t="s">
        <v>719</v>
      </c>
      <c r="E256" s="379" t="s">
        <v>725</v>
      </c>
      <c r="F256" s="380">
        <v>41324</v>
      </c>
      <c r="G256" s="381">
        <f t="shared" si="6"/>
        <v>2013</v>
      </c>
      <c r="H256" s="381">
        <f t="shared" si="7"/>
        <v>2</v>
      </c>
      <c r="I256" s="382">
        <v>19</v>
      </c>
      <c r="J256" s="382">
        <v>1.9319999999999999</v>
      </c>
      <c r="K256" s="382">
        <v>0</v>
      </c>
      <c r="L256" s="589">
        <v>1.9319999999999999</v>
      </c>
      <c r="M256" s="382">
        <v>6511</v>
      </c>
      <c r="N256" s="383">
        <v>2.9999999999999997E-4</v>
      </c>
      <c r="O256" s="382">
        <v>1.9590000000000001</v>
      </c>
      <c r="P256" s="382">
        <v>0</v>
      </c>
    </row>
    <row r="257" spans="4:16">
      <c r="D257" s="374" t="s">
        <v>719</v>
      </c>
      <c r="E257" s="379" t="s">
        <v>725</v>
      </c>
      <c r="F257" s="380">
        <v>41337</v>
      </c>
      <c r="G257" s="381">
        <f t="shared" si="6"/>
        <v>2013</v>
      </c>
      <c r="H257" s="381">
        <f t="shared" si="7"/>
        <v>3</v>
      </c>
      <c r="I257" s="382">
        <v>19</v>
      </c>
      <c r="J257" s="382">
        <v>1.7110000000000001</v>
      </c>
      <c r="K257" s="382">
        <v>0</v>
      </c>
      <c r="L257" s="589">
        <v>1.7110000000000001</v>
      </c>
      <c r="M257" s="382">
        <v>6172</v>
      </c>
      <c r="N257" s="383">
        <v>2.9999999999999997E-4</v>
      </c>
      <c r="O257" s="382">
        <v>1.74</v>
      </c>
      <c r="P257" s="382">
        <v>0</v>
      </c>
    </row>
    <row r="258" spans="4:16">
      <c r="D258" s="374" t="s">
        <v>719</v>
      </c>
      <c r="E258" s="379" t="s">
        <v>725</v>
      </c>
      <c r="F258" s="380">
        <v>41382</v>
      </c>
      <c r="G258" s="381">
        <f t="shared" si="6"/>
        <v>2013</v>
      </c>
      <c r="H258" s="381">
        <f t="shared" si="7"/>
        <v>4</v>
      </c>
      <c r="I258" s="382">
        <v>12</v>
      </c>
      <c r="J258" s="382">
        <v>1.42</v>
      </c>
      <c r="K258" s="382">
        <v>0</v>
      </c>
      <c r="L258" s="589">
        <v>1.42</v>
      </c>
      <c r="M258" s="382">
        <v>5851</v>
      </c>
      <c r="N258" s="383">
        <v>2.0000000000000001E-4</v>
      </c>
      <c r="O258" s="382">
        <v>1.4410000000000001</v>
      </c>
      <c r="P258" s="382">
        <v>0</v>
      </c>
    </row>
    <row r="259" spans="4:16">
      <c r="D259" s="374" t="s">
        <v>719</v>
      </c>
      <c r="E259" s="379" t="s">
        <v>725</v>
      </c>
      <c r="F259" s="380">
        <v>41408</v>
      </c>
      <c r="G259" s="381">
        <f t="shared" ref="G259:G322" si="8">YEAR(F259)</f>
        <v>2013</v>
      </c>
      <c r="H259" s="381">
        <f t="shared" ref="H259:H322" si="9">MONTH(F259)</f>
        <v>5</v>
      </c>
      <c r="I259" s="382">
        <v>17</v>
      </c>
      <c r="J259" s="382">
        <v>1.7210000000000001</v>
      </c>
      <c r="K259" s="382">
        <v>0</v>
      </c>
      <c r="L259" s="589">
        <v>1.7210000000000001</v>
      </c>
      <c r="M259" s="382">
        <v>6516</v>
      </c>
      <c r="N259" s="383">
        <v>2.9999999999999997E-4</v>
      </c>
      <c r="O259" s="382">
        <v>1.742</v>
      </c>
      <c r="P259" s="382">
        <v>0</v>
      </c>
    </row>
    <row r="260" spans="4:16">
      <c r="D260" s="374" t="s">
        <v>719</v>
      </c>
      <c r="E260" s="379" t="s">
        <v>725</v>
      </c>
      <c r="F260" s="380">
        <v>41451</v>
      </c>
      <c r="G260" s="381">
        <f t="shared" si="8"/>
        <v>2013</v>
      </c>
      <c r="H260" s="381">
        <f t="shared" si="9"/>
        <v>6</v>
      </c>
      <c r="I260" s="382">
        <v>16</v>
      </c>
      <c r="J260" s="382">
        <v>2.5739999999999998</v>
      </c>
      <c r="K260" s="382">
        <v>0</v>
      </c>
      <c r="L260" s="589">
        <v>2.5739999999999998</v>
      </c>
      <c r="M260" s="382">
        <v>8280</v>
      </c>
      <c r="N260" s="383">
        <v>2.9999999999999997E-4</v>
      </c>
      <c r="O260" s="382">
        <v>2.6110000000000002</v>
      </c>
      <c r="P260" s="382">
        <v>0</v>
      </c>
    </row>
    <row r="261" spans="4:16">
      <c r="D261" s="374" t="s">
        <v>719</v>
      </c>
      <c r="E261" s="379" t="s">
        <v>725</v>
      </c>
      <c r="F261" s="380">
        <v>41473</v>
      </c>
      <c r="G261" s="381">
        <f t="shared" si="8"/>
        <v>2013</v>
      </c>
      <c r="H261" s="381">
        <f t="shared" si="9"/>
        <v>7</v>
      </c>
      <c r="I261" s="382">
        <v>17</v>
      </c>
      <c r="J261" s="382">
        <v>3.137</v>
      </c>
      <c r="K261" s="382">
        <v>0</v>
      </c>
      <c r="L261" s="589">
        <v>3.137</v>
      </c>
      <c r="M261" s="382">
        <v>9566</v>
      </c>
      <c r="N261" s="383">
        <v>2.9999999999999997E-4</v>
      </c>
      <c r="O261" s="382">
        <v>3.1829999999999998</v>
      </c>
      <c r="P261" s="382">
        <v>0</v>
      </c>
    </row>
    <row r="262" spans="4:16">
      <c r="D262" s="374" t="s">
        <v>719</v>
      </c>
      <c r="E262" s="379" t="s">
        <v>725</v>
      </c>
      <c r="F262" s="380">
        <v>41512</v>
      </c>
      <c r="G262" s="381">
        <f t="shared" si="8"/>
        <v>2013</v>
      </c>
      <c r="H262" s="381">
        <f t="shared" si="9"/>
        <v>8</v>
      </c>
      <c r="I262" s="382">
        <v>17</v>
      </c>
      <c r="J262" s="382">
        <v>3.153</v>
      </c>
      <c r="K262" s="382">
        <v>0</v>
      </c>
      <c r="L262" s="589">
        <v>3.153</v>
      </c>
      <c r="M262" s="382">
        <v>9821</v>
      </c>
      <c r="N262" s="383">
        <v>2.9999999999999997E-4</v>
      </c>
      <c r="O262" s="382">
        <v>3.1989999999999998</v>
      </c>
      <c r="P262" s="382">
        <v>0</v>
      </c>
    </row>
    <row r="263" spans="4:16">
      <c r="D263" s="374" t="s">
        <v>719</v>
      </c>
      <c r="E263" s="379" t="s">
        <v>725</v>
      </c>
      <c r="F263" s="380">
        <v>41526</v>
      </c>
      <c r="G263" s="381">
        <f t="shared" si="8"/>
        <v>2013</v>
      </c>
      <c r="H263" s="381">
        <f t="shared" si="9"/>
        <v>9</v>
      </c>
      <c r="I263" s="382">
        <v>17</v>
      </c>
      <c r="J263" s="382">
        <v>3.077</v>
      </c>
      <c r="K263" s="382">
        <v>0</v>
      </c>
      <c r="L263" s="589">
        <v>3.077</v>
      </c>
      <c r="M263" s="382">
        <v>8781</v>
      </c>
      <c r="N263" s="383">
        <v>4.0000000000000002E-4</v>
      </c>
      <c r="O263" s="382">
        <v>3.1219999999999999</v>
      </c>
      <c r="P263" s="382">
        <v>0</v>
      </c>
    </row>
    <row r="264" spans="4:16">
      <c r="D264" s="374" t="s">
        <v>719</v>
      </c>
      <c r="E264" s="379" t="s">
        <v>725</v>
      </c>
      <c r="F264" s="380">
        <v>41548</v>
      </c>
      <c r="G264" s="381">
        <f t="shared" si="8"/>
        <v>2013</v>
      </c>
      <c r="H264" s="381">
        <f t="shared" si="9"/>
        <v>10</v>
      </c>
      <c r="I264" s="382">
        <v>14</v>
      </c>
      <c r="J264" s="382">
        <v>1.409</v>
      </c>
      <c r="K264" s="382">
        <v>0</v>
      </c>
      <c r="L264" s="589">
        <v>1.409</v>
      </c>
      <c r="M264" s="382">
        <v>6214</v>
      </c>
      <c r="N264" s="383">
        <v>2.0000000000000001E-4</v>
      </c>
      <c r="O264" s="382">
        <v>1.429</v>
      </c>
      <c r="P264" s="382">
        <v>0</v>
      </c>
    </row>
    <row r="265" spans="4:16">
      <c r="D265" s="374" t="s">
        <v>719</v>
      </c>
      <c r="E265" s="379" t="s">
        <v>725</v>
      </c>
      <c r="F265" s="380">
        <v>41604</v>
      </c>
      <c r="G265" s="381">
        <f t="shared" si="8"/>
        <v>2013</v>
      </c>
      <c r="H265" s="381">
        <f t="shared" si="9"/>
        <v>11</v>
      </c>
      <c r="I265" s="382">
        <v>18</v>
      </c>
      <c r="J265" s="382">
        <v>1.9410000000000001</v>
      </c>
      <c r="K265" s="382">
        <v>0</v>
      </c>
      <c r="L265" s="589">
        <v>1.9410000000000001</v>
      </c>
      <c r="M265" s="382">
        <v>6372</v>
      </c>
      <c r="N265" s="383">
        <v>2.9999999999999997E-4</v>
      </c>
      <c r="O265" s="382">
        <v>1.9650000000000001</v>
      </c>
      <c r="P265" s="382">
        <v>0</v>
      </c>
    </row>
    <row r="266" spans="4:16">
      <c r="D266" s="374" t="s">
        <v>719</v>
      </c>
      <c r="E266" s="379" t="s">
        <v>725</v>
      </c>
      <c r="F266" s="380">
        <v>41619</v>
      </c>
      <c r="G266" s="381">
        <f t="shared" si="8"/>
        <v>2013</v>
      </c>
      <c r="H266" s="381">
        <f t="shared" si="9"/>
        <v>12</v>
      </c>
      <c r="I266" s="382">
        <v>18</v>
      </c>
      <c r="J266" s="382">
        <v>2.1120000000000001</v>
      </c>
      <c r="K266" s="382">
        <v>0</v>
      </c>
      <c r="L266" s="589">
        <v>2.1120000000000001</v>
      </c>
      <c r="M266" s="382">
        <v>6972</v>
      </c>
      <c r="N266" s="383">
        <v>2.9999999999999997E-4</v>
      </c>
      <c r="O266" s="382">
        <v>2.1360000000000001</v>
      </c>
      <c r="P266" s="382">
        <v>0</v>
      </c>
    </row>
    <row r="267" spans="4:16">
      <c r="D267" s="374" t="s">
        <v>719</v>
      </c>
      <c r="E267" s="590" t="s">
        <v>725</v>
      </c>
      <c r="F267" s="591">
        <v>41645</v>
      </c>
      <c r="G267" s="381">
        <f t="shared" si="8"/>
        <v>2014</v>
      </c>
      <c r="H267" s="381">
        <f t="shared" si="9"/>
        <v>1</v>
      </c>
      <c r="I267" s="592">
        <v>18</v>
      </c>
      <c r="J267" s="592">
        <v>2.2639999999999998</v>
      </c>
      <c r="K267" s="592">
        <v>0</v>
      </c>
      <c r="L267" s="593">
        <v>2.2639999999999998</v>
      </c>
      <c r="M267" s="594">
        <v>7188</v>
      </c>
      <c r="N267" s="592">
        <v>3.1E-2</v>
      </c>
      <c r="O267" s="592">
        <v>2.29</v>
      </c>
      <c r="P267" s="592">
        <v>0</v>
      </c>
    </row>
    <row r="268" spans="4:16">
      <c r="D268" s="374" t="s">
        <v>719</v>
      </c>
      <c r="E268" s="590" t="s">
        <v>725</v>
      </c>
      <c r="F268" s="591">
        <v>41676</v>
      </c>
      <c r="G268" s="381">
        <f t="shared" si="8"/>
        <v>2014</v>
      </c>
      <c r="H268" s="381">
        <f t="shared" si="9"/>
        <v>2</v>
      </c>
      <c r="I268" s="592">
        <v>19</v>
      </c>
      <c r="J268" s="592">
        <v>1.9239999999999999</v>
      </c>
      <c r="K268" s="592">
        <v>0</v>
      </c>
      <c r="L268" s="593">
        <v>1.9239999999999999</v>
      </c>
      <c r="M268" s="594">
        <v>6743</v>
      </c>
      <c r="N268" s="592">
        <v>2.9000000000000001E-2</v>
      </c>
      <c r="O268" s="592">
        <v>1.9550000000000001</v>
      </c>
      <c r="P268" s="592">
        <v>0</v>
      </c>
    </row>
    <row r="269" spans="4:16">
      <c r="D269" s="374" t="s">
        <v>719</v>
      </c>
      <c r="E269" s="590" t="s">
        <v>725</v>
      </c>
      <c r="F269" s="591">
        <v>41701</v>
      </c>
      <c r="G269" s="381">
        <f t="shared" si="8"/>
        <v>2014</v>
      </c>
      <c r="H269" s="381">
        <f t="shared" si="9"/>
        <v>3</v>
      </c>
      <c r="I269" s="592">
        <v>19</v>
      </c>
      <c r="J269" s="592">
        <v>1.88</v>
      </c>
      <c r="K269" s="592">
        <v>0</v>
      </c>
      <c r="L269" s="593">
        <v>1.88</v>
      </c>
      <c r="M269" s="594">
        <v>6537</v>
      </c>
      <c r="N269" s="592">
        <v>2.9000000000000001E-2</v>
      </c>
      <c r="O269" s="592">
        <v>1.9079999999999999</v>
      </c>
      <c r="P269" s="592">
        <v>0</v>
      </c>
    </row>
    <row r="270" spans="4:16">
      <c r="D270" s="374" t="s">
        <v>719</v>
      </c>
      <c r="E270" s="590" t="s">
        <v>725</v>
      </c>
      <c r="F270" s="591">
        <v>41730</v>
      </c>
      <c r="G270" s="381">
        <f t="shared" si="8"/>
        <v>2014</v>
      </c>
      <c r="H270" s="381">
        <f t="shared" si="9"/>
        <v>4</v>
      </c>
      <c r="I270" s="592">
        <v>11</v>
      </c>
      <c r="J270" s="592">
        <v>1.4670000000000001</v>
      </c>
      <c r="K270" s="592">
        <v>0</v>
      </c>
      <c r="L270" s="593">
        <v>1.4670000000000001</v>
      </c>
      <c r="M270" s="594">
        <v>5924</v>
      </c>
      <c r="N270" s="592">
        <v>2.5000000000000001E-2</v>
      </c>
      <c r="O270" s="592">
        <v>1.4870000000000001</v>
      </c>
      <c r="P270" s="592">
        <v>0</v>
      </c>
    </row>
    <row r="271" spans="4:16">
      <c r="D271" s="374" t="s">
        <v>719</v>
      </c>
      <c r="E271" s="590" t="s">
        <v>725</v>
      </c>
      <c r="F271" s="591">
        <v>41789</v>
      </c>
      <c r="G271" s="381">
        <f t="shared" si="8"/>
        <v>2014</v>
      </c>
      <c r="H271" s="381">
        <f t="shared" si="9"/>
        <v>5</v>
      </c>
      <c r="I271" s="592">
        <v>16</v>
      </c>
      <c r="J271" s="592">
        <v>2.0840000000000001</v>
      </c>
      <c r="K271" s="592">
        <v>0</v>
      </c>
      <c r="L271" s="593">
        <v>2.0840000000000001</v>
      </c>
      <c r="M271" s="594">
        <v>7422</v>
      </c>
      <c r="N271" s="592">
        <v>2.8000000000000001E-2</v>
      </c>
      <c r="O271" s="592">
        <v>2.1080000000000001</v>
      </c>
      <c r="P271" s="592">
        <v>0</v>
      </c>
    </row>
    <row r="272" spans="4:16">
      <c r="D272" s="374" t="s">
        <v>719</v>
      </c>
      <c r="E272" s="590" t="s">
        <v>725</v>
      </c>
      <c r="F272" s="591">
        <v>41814</v>
      </c>
      <c r="G272" s="381">
        <f t="shared" si="8"/>
        <v>2014</v>
      </c>
      <c r="H272" s="381">
        <f t="shared" si="9"/>
        <v>6</v>
      </c>
      <c r="I272" s="592">
        <v>16</v>
      </c>
      <c r="J272" s="592">
        <v>2.1309999999999998</v>
      </c>
      <c r="K272" s="592">
        <v>0</v>
      </c>
      <c r="L272" s="593">
        <v>2.1309999999999998</v>
      </c>
      <c r="M272" s="594">
        <v>7670</v>
      </c>
      <c r="N272" s="592">
        <v>2.8000000000000001E-2</v>
      </c>
      <c r="O272" s="592">
        <v>2.157</v>
      </c>
      <c r="P272" s="592">
        <v>0</v>
      </c>
    </row>
    <row r="273" spans="4:16">
      <c r="D273" s="374" t="s">
        <v>719</v>
      </c>
      <c r="E273" s="590" t="s">
        <v>725</v>
      </c>
      <c r="F273" s="591">
        <v>41841</v>
      </c>
      <c r="G273" s="381">
        <f t="shared" si="8"/>
        <v>2014</v>
      </c>
      <c r="H273" s="381">
        <f t="shared" si="9"/>
        <v>7</v>
      </c>
      <c r="I273" s="592">
        <v>17</v>
      </c>
      <c r="J273" s="592">
        <v>2.8570000000000002</v>
      </c>
      <c r="K273" s="592">
        <v>0</v>
      </c>
      <c r="L273" s="593">
        <v>2.8570000000000002</v>
      </c>
      <c r="M273" s="594">
        <v>9150</v>
      </c>
      <c r="N273" s="592">
        <v>3.1E-2</v>
      </c>
      <c r="O273" s="592">
        <v>2.8919999999999999</v>
      </c>
      <c r="P273" s="592">
        <v>0</v>
      </c>
    </row>
    <row r="274" spans="4:16">
      <c r="D274" s="374" t="s">
        <v>719</v>
      </c>
      <c r="E274" s="590" t="s">
        <v>725</v>
      </c>
      <c r="F274" s="591">
        <v>41869</v>
      </c>
      <c r="G274" s="381">
        <f t="shared" si="8"/>
        <v>2014</v>
      </c>
      <c r="H274" s="381">
        <f t="shared" si="9"/>
        <v>8</v>
      </c>
      <c r="I274" s="592">
        <v>16</v>
      </c>
      <c r="J274" s="592">
        <v>2.6389999999999998</v>
      </c>
      <c r="K274" s="592">
        <v>0</v>
      </c>
      <c r="L274" s="593">
        <v>2.6389999999999998</v>
      </c>
      <c r="M274" s="594">
        <v>8190</v>
      </c>
      <c r="N274" s="592">
        <v>3.2000000000000001E-2</v>
      </c>
      <c r="O274" s="592">
        <v>2.673</v>
      </c>
      <c r="P274" s="592">
        <v>0</v>
      </c>
    </row>
    <row r="275" spans="4:16">
      <c r="D275" s="374" t="s">
        <v>719</v>
      </c>
      <c r="E275" s="590" t="s">
        <v>725</v>
      </c>
      <c r="F275" s="591">
        <v>41886</v>
      </c>
      <c r="G275" s="381">
        <f t="shared" si="8"/>
        <v>2014</v>
      </c>
      <c r="H275" s="381">
        <f t="shared" si="9"/>
        <v>9</v>
      </c>
      <c r="I275" s="592">
        <v>15</v>
      </c>
      <c r="J275" s="592">
        <v>2.4180000000000001</v>
      </c>
      <c r="K275" s="592">
        <v>0</v>
      </c>
      <c r="L275" s="593">
        <v>2.4180000000000001</v>
      </c>
      <c r="M275" s="594">
        <v>7758</v>
      </c>
      <c r="N275" s="592">
        <v>3.1E-2</v>
      </c>
      <c r="O275" s="592">
        <v>2.4569999999999999</v>
      </c>
      <c r="P275" s="592">
        <v>0</v>
      </c>
    </row>
    <row r="276" spans="4:16">
      <c r="D276" s="374" t="s">
        <v>719</v>
      </c>
      <c r="E276" s="590" t="s">
        <v>725</v>
      </c>
      <c r="F276" s="591">
        <v>41942</v>
      </c>
      <c r="G276" s="381">
        <f t="shared" si="8"/>
        <v>2014</v>
      </c>
      <c r="H276" s="381">
        <f t="shared" si="9"/>
        <v>10</v>
      </c>
      <c r="I276" s="592">
        <v>20</v>
      </c>
      <c r="J276" s="592">
        <v>1.726</v>
      </c>
      <c r="K276" s="592">
        <v>0</v>
      </c>
      <c r="L276" s="593">
        <v>1.726</v>
      </c>
      <c r="M276" s="594">
        <v>5901</v>
      </c>
      <c r="N276" s="592">
        <v>2.9000000000000001E-2</v>
      </c>
      <c r="O276" s="592">
        <v>1.7509999999999999</v>
      </c>
      <c r="P276" s="592">
        <v>0</v>
      </c>
    </row>
    <row r="277" spans="4:16">
      <c r="D277" s="374" t="s">
        <v>719</v>
      </c>
      <c r="E277" s="590" t="s">
        <v>725</v>
      </c>
      <c r="F277" s="591">
        <v>41960</v>
      </c>
      <c r="G277" s="381">
        <f t="shared" si="8"/>
        <v>2014</v>
      </c>
      <c r="H277" s="381">
        <f t="shared" si="9"/>
        <v>11</v>
      </c>
      <c r="I277" s="592">
        <v>18</v>
      </c>
      <c r="J277" s="592">
        <v>1.9670000000000001</v>
      </c>
      <c r="K277" s="592">
        <v>0</v>
      </c>
      <c r="L277" s="593">
        <v>1.9670000000000001</v>
      </c>
      <c r="M277" s="594">
        <v>6677</v>
      </c>
      <c r="N277" s="592">
        <v>2.9000000000000001E-2</v>
      </c>
      <c r="O277" s="592">
        <v>1.9810000000000001</v>
      </c>
      <c r="P277" s="592">
        <v>0</v>
      </c>
    </row>
    <row r="278" spans="4:16">
      <c r="D278" s="374" t="s">
        <v>719</v>
      </c>
      <c r="E278" s="590" t="s">
        <v>725</v>
      </c>
      <c r="F278" s="591">
        <v>41974</v>
      </c>
      <c r="G278" s="381">
        <f t="shared" si="8"/>
        <v>2014</v>
      </c>
      <c r="H278" s="381">
        <f t="shared" si="9"/>
        <v>12</v>
      </c>
      <c r="I278" s="592">
        <v>18</v>
      </c>
      <c r="J278" s="592">
        <v>1.994</v>
      </c>
      <c r="K278" s="592">
        <v>0</v>
      </c>
      <c r="L278" s="593">
        <v>1.994</v>
      </c>
      <c r="M278" s="594">
        <v>6850</v>
      </c>
      <c r="N278" s="592">
        <v>2.9000000000000001E-2</v>
      </c>
      <c r="O278" s="592">
        <v>2.0049999999999999</v>
      </c>
      <c r="P278" s="592">
        <v>0</v>
      </c>
    </row>
    <row r="279" spans="4:16">
      <c r="D279" s="374" t="s">
        <v>719</v>
      </c>
      <c r="E279" s="590" t="s">
        <v>725</v>
      </c>
      <c r="F279" s="591">
        <v>42011</v>
      </c>
      <c r="G279" s="381">
        <f t="shared" si="8"/>
        <v>2015</v>
      </c>
      <c r="H279" s="381">
        <f t="shared" si="9"/>
        <v>1</v>
      </c>
      <c r="I279" s="592">
        <v>18</v>
      </c>
      <c r="J279" s="592">
        <v>2.0960000000000001</v>
      </c>
      <c r="K279" s="592">
        <v>0</v>
      </c>
      <c r="L279" s="593">
        <v>2.0960000000000001</v>
      </c>
      <c r="M279" s="594">
        <v>6978</v>
      </c>
      <c r="N279" s="592">
        <v>0.03</v>
      </c>
      <c r="O279" s="592">
        <v>2.1030000000000002</v>
      </c>
      <c r="P279" s="592">
        <v>0</v>
      </c>
    </row>
    <row r="280" spans="4:16">
      <c r="D280" s="374" t="s">
        <v>719</v>
      </c>
      <c r="E280" s="590" t="s">
        <v>725</v>
      </c>
      <c r="F280" s="591">
        <v>42053</v>
      </c>
      <c r="G280" s="381">
        <f t="shared" si="8"/>
        <v>2015</v>
      </c>
      <c r="H280" s="381">
        <f t="shared" si="9"/>
        <v>2</v>
      </c>
      <c r="I280" s="592">
        <v>19</v>
      </c>
      <c r="J280" s="592">
        <v>1.9630000000000001</v>
      </c>
      <c r="K280" s="592">
        <v>0</v>
      </c>
      <c r="L280" s="593">
        <v>1.9630000000000001</v>
      </c>
      <c r="M280" s="594">
        <v>6744</v>
      </c>
      <c r="N280" s="592">
        <v>2.9000000000000001E-2</v>
      </c>
      <c r="O280" s="592">
        <v>1.9950000000000001</v>
      </c>
      <c r="P280" s="592">
        <v>0</v>
      </c>
    </row>
    <row r="281" spans="4:16">
      <c r="D281" s="374" t="s">
        <v>719</v>
      </c>
      <c r="E281" s="590" t="s">
        <v>725</v>
      </c>
      <c r="F281" s="591">
        <v>42067</v>
      </c>
      <c r="G281" s="381">
        <f t="shared" si="8"/>
        <v>2015</v>
      </c>
      <c r="H281" s="381">
        <f t="shared" si="9"/>
        <v>3</v>
      </c>
      <c r="I281" s="592">
        <v>20</v>
      </c>
      <c r="J281" s="592">
        <v>1.804</v>
      </c>
      <c r="K281" s="592">
        <v>0</v>
      </c>
      <c r="L281" s="593">
        <v>1.804</v>
      </c>
      <c r="M281" s="594">
        <v>6470</v>
      </c>
      <c r="N281" s="592">
        <v>2.8000000000000001E-2</v>
      </c>
      <c r="O281" s="592">
        <v>1.835</v>
      </c>
      <c r="P281" s="592">
        <v>0</v>
      </c>
    </row>
    <row r="282" spans="4:16">
      <c r="D282" s="374" t="s">
        <v>719</v>
      </c>
      <c r="E282" s="590" t="s">
        <v>725</v>
      </c>
      <c r="F282" s="591">
        <v>42103</v>
      </c>
      <c r="G282" s="381">
        <f t="shared" si="8"/>
        <v>2015</v>
      </c>
      <c r="H282" s="381">
        <f t="shared" si="9"/>
        <v>4</v>
      </c>
      <c r="I282" s="592">
        <v>12</v>
      </c>
      <c r="J282" s="592">
        <v>1.3939999999999999</v>
      </c>
      <c r="K282" s="592">
        <v>0</v>
      </c>
      <c r="L282" s="593">
        <v>1.3939999999999999</v>
      </c>
      <c r="M282" s="594">
        <v>5914</v>
      </c>
      <c r="N282" s="592">
        <v>2.4E-2</v>
      </c>
      <c r="O282" s="592">
        <v>1.415</v>
      </c>
      <c r="P282" s="592">
        <v>0</v>
      </c>
    </row>
    <row r="283" spans="4:16">
      <c r="D283" s="374" t="s">
        <v>719</v>
      </c>
      <c r="E283" s="590" t="s">
        <v>725</v>
      </c>
      <c r="F283" s="591">
        <v>42152</v>
      </c>
      <c r="G283" s="381">
        <f t="shared" si="8"/>
        <v>2015</v>
      </c>
      <c r="H283" s="381">
        <f t="shared" si="9"/>
        <v>5</v>
      </c>
      <c r="I283" s="592">
        <v>16</v>
      </c>
      <c r="J283" s="592">
        <v>1.649</v>
      </c>
      <c r="K283" s="592">
        <v>0</v>
      </c>
      <c r="L283" s="593">
        <v>1.649</v>
      </c>
      <c r="M283" s="594">
        <v>6837</v>
      </c>
      <c r="N283" s="592">
        <v>2.4E-2</v>
      </c>
      <c r="O283" s="592">
        <v>1.671</v>
      </c>
      <c r="P283" s="592">
        <v>0</v>
      </c>
    </row>
    <row r="284" spans="4:16">
      <c r="D284" s="374" t="s">
        <v>719</v>
      </c>
      <c r="E284" s="590" t="s">
        <v>725</v>
      </c>
      <c r="F284" s="591">
        <v>42164</v>
      </c>
      <c r="G284" s="381">
        <f t="shared" si="8"/>
        <v>2015</v>
      </c>
      <c r="H284" s="381">
        <f t="shared" si="9"/>
        <v>6</v>
      </c>
      <c r="I284" s="592">
        <v>17</v>
      </c>
      <c r="J284" s="592">
        <v>2.5619999999999998</v>
      </c>
      <c r="K284" s="592">
        <v>0</v>
      </c>
      <c r="L284" s="593">
        <v>2.5619999999999998</v>
      </c>
      <c r="M284" s="594">
        <v>8136</v>
      </c>
      <c r="N284" s="592">
        <v>3.1E-2</v>
      </c>
      <c r="O284" s="592">
        <v>2.5950000000000002</v>
      </c>
      <c r="P284" s="592">
        <v>0</v>
      </c>
    </row>
    <row r="285" spans="4:16">
      <c r="D285" s="374" t="s">
        <v>719</v>
      </c>
      <c r="E285" s="590" t="s">
        <v>725</v>
      </c>
      <c r="F285" s="591">
        <v>42212</v>
      </c>
      <c r="G285" s="381">
        <f t="shared" si="8"/>
        <v>2015</v>
      </c>
      <c r="H285" s="381">
        <f t="shared" si="9"/>
        <v>7</v>
      </c>
      <c r="I285" s="592">
        <v>17</v>
      </c>
      <c r="J285" s="592">
        <v>2.6629999999999998</v>
      </c>
      <c r="K285" s="592">
        <v>0</v>
      </c>
      <c r="L285" s="593">
        <v>2.6629999999999998</v>
      </c>
      <c r="M285" s="594">
        <v>8769</v>
      </c>
      <c r="N285" s="592">
        <v>0.03</v>
      </c>
      <c r="O285" s="592">
        <v>2.702</v>
      </c>
      <c r="P285" s="592">
        <v>0</v>
      </c>
    </row>
    <row r="286" spans="4:16">
      <c r="D286" s="374" t="s">
        <v>719</v>
      </c>
      <c r="E286" s="590" t="s">
        <v>725</v>
      </c>
      <c r="F286" s="591">
        <v>42230</v>
      </c>
      <c r="G286" s="381">
        <f t="shared" si="8"/>
        <v>2015</v>
      </c>
      <c r="H286" s="381">
        <f t="shared" si="9"/>
        <v>8</v>
      </c>
      <c r="I286" s="592">
        <v>16</v>
      </c>
      <c r="J286" s="592">
        <v>2.9359999999999999</v>
      </c>
      <c r="K286" s="592">
        <v>0</v>
      </c>
      <c r="L286" s="593">
        <v>2.9359999999999999</v>
      </c>
      <c r="M286" s="594">
        <v>8926</v>
      </c>
      <c r="N286" s="592">
        <v>3.3000000000000002E-2</v>
      </c>
      <c r="O286" s="592">
        <v>2.9809999999999999</v>
      </c>
      <c r="P286" s="592">
        <v>0</v>
      </c>
    </row>
    <row r="287" spans="4:16">
      <c r="D287" s="374" t="s">
        <v>719</v>
      </c>
      <c r="E287" s="590" t="s">
        <v>725</v>
      </c>
      <c r="F287" s="591">
        <v>42250</v>
      </c>
      <c r="G287" s="381">
        <f t="shared" si="8"/>
        <v>2015</v>
      </c>
      <c r="H287" s="381">
        <f t="shared" si="9"/>
        <v>9</v>
      </c>
      <c r="I287" s="592">
        <v>17</v>
      </c>
      <c r="J287" s="592">
        <v>2.48</v>
      </c>
      <c r="K287" s="592">
        <v>0</v>
      </c>
      <c r="L287" s="593">
        <v>2.48</v>
      </c>
      <c r="M287" s="594">
        <v>8657</v>
      </c>
      <c r="N287" s="592">
        <v>2.9000000000000001E-2</v>
      </c>
      <c r="O287" s="592">
        <v>3.109</v>
      </c>
      <c r="P287" s="592">
        <v>0</v>
      </c>
    </row>
    <row r="288" spans="4:16">
      <c r="D288" s="374" t="s">
        <v>719</v>
      </c>
      <c r="E288" s="590" t="s">
        <v>725</v>
      </c>
      <c r="F288" s="591">
        <v>42285</v>
      </c>
      <c r="G288" s="381">
        <f t="shared" si="8"/>
        <v>2015</v>
      </c>
      <c r="H288" s="381">
        <f t="shared" si="9"/>
        <v>10</v>
      </c>
      <c r="I288" s="592">
        <v>12</v>
      </c>
      <c r="J288" s="592">
        <v>1.3240000000000001</v>
      </c>
      <c r="K288" s="592">
        <v>0</v>
      </c>
      <c r="L288" s="593">
        <v>1.3240000000000001</v>
      </c>
      <c r="M288" s="594">
        <v>5943</v>
      </c>
      <c r="N288" s="592">
        <v>2.1999999999999999E-2</v>
      </c>
      <c r="O288" s="592">
        <v>1.3420000000000001</v>
      </c>
      <c r="P288" s="592">
        <v>0</v>
      </c>
    </row>
    <row r="289" spans="4:16">
      <c r="D289" s="38" t="s">
        <v>719</v>
      </c>
      <c r="E289" s="595" t="s">
        <v>725</v>
      </c>
      <c r="F289" s="596">
        <v>42338</v>
      </c>
      <c r="G289" s="597">
        <f t="shared" si="8"/>
        <v>2015</v>
      </c>
      <c r="H289" s="597">
        <f t="shared" si="9"/>
        <v>11</v>
      </c>
      <c r="I289" s="598">
        <v>18</v>
      </c>
      <c r="J289" s="598">
        <v>1.907</v>
      </c>
      <c r="K289" s="598">
        <v>0</v>
      </c>
      <c r="L289" s="599">
        <v>1.907</v>
      </c>
      <c r="M289" s="600">
        <v>6574</v>
      </c>
      <c r="N289" s="598">
        <v>2.9000000000000001E-2</v>
      </c>
      <c r="O289" s="598">
        <v>1.9350000000000001</v>
      </c>
      <c r="P289" s="598">
        <v>0</v>
      </c>
    </row>
    <row r="290" spans="4:16">
      <c r="D290" s="374" t="s">
        <v>719</v>
      </c>
      <c r="E290" s="374" t="s">
        <v>725</v>
      </c>
      <c r="F290" s="601">
        <v>42355</v>
      </c>
      <c r="G290" s="602">
        <f t="shared" si="8"/>
        <v>2015</v>
      </c>
      <c r="H290" s="602">
        <f t="shared" si="9"/>
        <v>12</v>
      </c>
      <c r="I290" s="374">
        <v>18</v>
      </c>
      <c r="J290" s="374">
        <v>1.883</v>
      </c>
      <c r="K290" s="374">
        <v>0</v>
      </c>
      <c r="L290" s="603">
        <v>1.883</v>
      </c>
      <c r="M290" s="604">
        <v>6450</v>
      </c>
      <c r="N290" s="374">
        <v>2.9000000000000001E-2</v>
      </c>
      <c r="O290" s="374">
        <v>1.9119999999999999</v>
      </c>
      <c r="P290" s="374">
        <v>0</v>
      </c>
    </row>
    <row r="291" spans="4:16">
      <c r="D291" s="374" t="s">
        <v>719</v>
      </c>
      <c r="E291" s="605" t="s">
        <v>726</v>
      </c>
      <c r="F291" s="606">
        <v>40927</v>
      </c>
      <c r="G291" s="602">
        <f t="shared" si="8"/>
        <v>2012</v>
      </c>
      <c r="H291" s="602">
        <f t="shared" si="9"/>
        <v>1</v>
      </c>
      <c r="I291" s="605">
        <v>19</v>
      </c>
      <c r="J291" s="605">
        <v>5.4589999999999996</v>
      </c>
      <c r="K291" s="605">
        <v>0</v>
      </c>
      <c r="L291" s="607">
        <v>5.4589999999999996</v>
      </c>
      <c r="M291" s="605">
        <v>6604</v>
      </c>
      <c r="N291" s="608">
        <v>8.0000000000000004E-4</v>
      </c>
      <c r="O291" s="605">
        <v>5.5469999999999997</v>
      </c>
      <c r="P291" s="605">
        <v>0</v>
      </c>
    </row>
    <row r="292" spans="4:16">
      <c r="D292" s="374" t="s">
        <v>719</v>
      </c>
      <c r="E292" s="605" t="s">
        <v>726</v>
      </c>
      <c r="F292" s="606">
        <v>40967</v>
      </c>
      <c r="G292" s="602">
        <f t="shared" si="8"/>
        <v>2012</v>
      </c>
      <c r="H292" s="602">
        <f t="shared" si="9"/>
        <v>2</v>
      </c>
      <c r="I292" s="605">
        <v>19</v>
      </c>
      <c r="J292" s="605">
        <v>5.0599999999999996</v>
      </c>
      <c r="K292" s="605">
        <v>0</v>
      </c>
      <c r="L292" s="607">
        <v>5.0599999999999996</v>
      </c>
      <c r="M292" s="605">
        <v>6178</v>
      </c>
      <c r="N292" s="608">
        <v>8.0000000000000004E-4</v>
      </c>
      <c r="O292" s="605">
        <v>5.1180000000000003</v>
      </c>
      <c r="P292" s="605">
        <v>0</v>
      </c>
    </row>
    <row r="293" spans="4:16">
      <c r="D293" s="374" t="s">
        <v>719</v>
      </c>
      <c r="E293" s="605" t="s">
        <v>726</v>
      </c>
      <c r="F293" s="606">
        <v>40987</v>
      </c>
      <c r="G293" s="602">
        <f t="shared" si="8"/>
        <v>2012</v>
      </c>
      <c r="H293" s="602">
        <f t="shared" si="9"/>
        <v>3</v>
      </c>
      <c r="I293" s="605">
        <v>14</v>
      </c>
      <c r="J293" s="605">
        <v>4.117</v>
      </c>
      <c r="K293" s="605">
        <v>0</v>
      </c>
      <c r="L293" s="607">
        <v>4.117</v>
      </c>
      <c r="M293" s="605">
        <v>6170</v>
      </c>
      <c r="N293" s="608">
        <v>6.9999999999999999E-4</v>
      </c>
      <c r="O293" s="605">
        <v>4.1520000000000001</v>
      </c>
      <c r="P293" s="605">
        <v>0</v>
      </c>
    </row>
    <row r="294" spans="4:16">
      <c r="D294" s="374" t="s">
        <v>719</v>
      </c>
      <c r="E294" s="605" t="s">
        <v>726</v>
      </c>
      <c r="F294" s="606">
        <v>41024</v>
      </c>
      <c r="G294" s="602">
        <f t="shared" si="8"/>
        <v>2012</v>
      </c>
      <c r="H294" s="602">
        <f t="shared" si="9"/>
        <v>4</v>
      </c>
      <c r="I294" s="605">
        <v>15</v>
      </c>
      <c r="J294" s="605">
        <v>3.9140000000000001</v>
      </c>
      <c r="K294" s="605">
        <v>0</v>
      </c>
      <c r="L294" s="607">
        <v>3.9140000000000001</v>
      </c>
      <c r="M294" s="605">
        <v>5813</v>
      </c>
      <c r="N294" s="608">
        <v>6.9999999999999999E-4</v>
      </c>
      <c r="O294" s="605">
        <v>3.9569999999999999</v>
      </c>
      <c r="P294" s="605">
        <v>0</v>
      </c>
    </row>
    <row r="295" spans="4:16">
      <c r="D295" s="374" t="s">
        <v>719</v>
      </c>
      <c r="E295" s="605" t="s">
        <v>726</v>
      </c>
      <c r="F295" s="606">
        <v>41047</v>
      </c>
      <c r="G295" s="602">
        <f t="shared" si="8"/>
        <v>2012</v>
      </c>
      <c r="H295" s="602">
        <f t="shared" si="9"/>
        <v>5</v>
      </c>
      <c r="I295" s="605">
        <v>17</v>
      </c>
      <c r="J295" s="605">
        <v>5.7140000000000004</v>
      </c>
      <c r="K295" s="605">
        <v>0</v>
      </c>
      <c r="L295" s="607">
        <v>5.7140000000000004</v>
      </c>
      <c r="M295" s="605">
        <v>7203</v>
      </c>
      <c r="N295" s="608">
        <v>8.0000000000000004E-4</v>
      </c>
      <c r="O295" s="605">
        <v>5.76</v>
      </c>
      <c r="P295" s="605">
        <v>0</v>
      </c>
    </row>
    <row r="296" spans="4:16">
      <c r="D296" s="374" t="s">
        <v>719</v>
      </c>
      <c r="E296" s="605" t="s">
        <v>726</v>
      </c>
      <c r="F296" s="606">
        <v>41087</v>
      </c>
      <c r="G296" s="602">
        <f t="shared" si="8"/>
        <v>2012</v>
      </c>
      <c r="H296" s="602">
        <f t="shared" si="9"/>
        <v>6</v>
      </c>
      <c r="I296" s="605">
        <v>17</v>
      </c>
      <c r="J296" s="605">
        <v>8.766</v>
      </c>
      <c r="K296" s="605">
        <v>0</v>
      </c>
      <c r="L296" s="607">
        <v>8.766</v>
      </c>
      <c r="M296" s="605">
        <v>8833</v>
      </c>
      <c r="N296" s="608">
        <v>1E-3</v>
      </c>
      <c r="O296" s="605">
        <v>8.8659999999999997</v>
      </c>
      <c r="P296" s="605">
        <v>0</v>
      </c>
    </row>
    <row r="297" spans="4:16">
      <c r="D297" s="374" t="s">
        <v>719</v>
      </c>
      <c r="E297" s="605" t="s">
        <v>726</v>
      </c>
      <c r="F297" s="606">
        <v>41092</v>
      </c>
      <c r="G297" s="602">
        <f t="shared" si="8"/>
        <v>2012</v>
      </c>
      <c r="H297" s="602">
        <f t="shared" si="9"/>
        <v>7</v>
      </c>
      <c r="I297" s="605">
        <v>17</v>
      </c>
      <c r="J297" s="605">
        <v>9.3569999999999993</v>
      </c>
      <c r="K297" s="605">
        <v>0</v>
      </c>
      <c r="L297" s="607">
        <v>9.3569999999999993</v>
      </c>
      <c r="M297" s="605">
        <v>9682</v>
      </c>
      <c r="N297" s="608">
        <v>1E-3</v>
      </c>
      <c r="O297" s="605">
        <v>9.4459999999999997</v>
      </c>
      <c r="P297" s="605">
        <v>0</v>
      </c>
    </row>
    <row r="298" spans="4:16">
      <c r="D298" s="374" t="s">
        <v>719</v>
      </c>
      <c r="E298" s="605" t="s">
        <v>726</v>
      </c>
      <c r="F298" s="606">
        <v>41122</v>
      </c>
      <c r="G298" s="602">
        <f t="shared" si="8"/>
        <v>2012</v>
      </c>
      <c r="H298" s="602">
        <f t="shared" si="9"/>
        <v>8</v>
      </c>
      <c r="I298" s="605">
        <v>17</v>
      </c>
      <c r="J298" s="605">
        <v>8.5210000000000008</v>
      </c>
      <c r="K298" s="605">
        <v>0</v>
      </c>
      <c r="L298" s="607">
        <v>8.5210000000000008</v>
      </c>
      <c r="M298" s="605">
        <v>8979</v>
      </c>
      <c r="N298" s="608">
        <v>8.9999999999999998E-4</v>
      </c>
      <c r="O298" s="605">
        <v>8.6029999999999998</v>
      </c>
      <c r="P298" s="605">
        <v>0</v>
      </c>
    </row>
    <row r="299" spans="4:16">
      <c r="D299" s="374" t="s">
        <v>719</v>
      </c>
      <c r="E299" s="605" t="s">
        <v>726</v>
      </c>
      <c r="F299" s="606">
        <v>41156</v>
      </c>
      <c r="G299" s="602">
        <f t="shared" si="8"/>
        <v>2012</v>
      </c>
      <c r="H299" s="602">
        <f t="shared" si="9"/>
        <v>9</v>
      </c>
      <c r="I299" s="605">
        <v>16</v>
      </c>
      <c r="J299" s="605">
        <v>8.1349999999999998</v>
      </c>
      <c r="K299" s="605">
        <v>0</v>
      </c>
      <c r="L299" s="607">
        <v>8.1349999999999998</v>
      </c>
      <c r="M299" s="605">
        <v>8521</v>
      </c>
      <c r="N299" s="608">
        <v>1E-3</v>
      </c>
      <c r="O299" s="605">
        <v>8.2560000000000002</v>
      </c>
      <c r="P299" s="605">
        <v>0</v>
      </c>
    </row>
    <row r="300" spans="4:16">
      <c r="D300" s="374" t="s">
        <v>719</v>
      </c>
      <c r="E300" s="605" t="s">
        <v>726</v>
      </c>
      <c r="F300" s="606">
        <v>41185</v>
      </c>
      <c r="G300" s="602">
        <f t="shared" si="8"/>
        <v>2012</v>
      </c>
      <c r="H300" s="602">
        <f t="shared" si="9"/>
        <v>10</v>
      </c>
      <c r="I300" s="605">
        <v>14</v>
      </c>
      <c r="J300" s="605">
        <v>4.0270000000000001</v>
      </c>
      <c r="K300" s="605">
        <v>0</v>
      </c>
      <c r="L300" s="607">
        <v>4.0270000000000001</v>
      </c>
      <c r="M300" s="605">
        <v>6122</v>
      </c>
      <c r="N300" s="608">
        <v>6.9999999999999999E-4</v>
      </c>
      <c r="O300" s="605">
        <v>4.0590000000000002</v>
      </c>
      <c r="P300" s="605">
        <v>0</v>
      </c>
    </row>
    <row r="301" spans="4:16">
      <c r="D301" s="374" t="s">
        <v>719</v>
      </c>
      <c r="E301" s="605" t="s">
        <v>726</v>
      </c>
      <c r="F301" s="606">
        <v>41239</v>
      </c>
      <c r="G301" s="602">
        <f t="shared" si="8"/>
        <v>2012</v>
      </c>
      <c r="H301" s="602">
        <f t="shared" si="9"/>
        <v>11</v>
      </c>
      <c r="I301" s="605">
        <v>18</v>
      </c>
      <c r="J301" s="605">
        <v>5.2889999999999997</v>
      </c>
      <c r="K301" s="605">
        <v>0</v>
      </c>
      <c r="L301" s="607">
        <v>5.2889999999999997</v>
      </c>
      <c r="M301" s="605">
        <v>6416</v>
      </c>
      <c r="N301" s="608">
        <v>8.0000000000000004E-4</v>
      </c>
      <c r="O301" s="605">
        <v>5.407</v>
      </c>
      <c r="P301" s="605">
        <v>0</v>
      </c>
    </row>
    <row r="302" spans="4:16">
      <c r="D302" s="374" t="s">
        <v>719</v>
      </c>
      <c r="E302" s="605" t="s">
        <v>726</v>
      </c>
      <c r="F302" s="606">
        <v>41253</v>
      </c>
      <c r="G302" s="602">
        <f t="shared" si="8"/>
        <v>2012</v>
      </c>
      <c r="H302" s="602">
        <f t="shared" si="9"/>
        <v>12</v>
      </c>
      <c r="I302" s="605">
        <v>18</v>
      </c>
      <c r="J302" s="605">
        <v>5.4589999999999996</v>
      </c>
      <c r="K302" s="605">
        <v>0</v>
      </c>
      <c r="L302" s="607">
        <v>5.4589999999999996</v>
      </c>
      <c r="M302" s="605">
        <v>6609</v>
      </c>
      <c r="N302" s="608">
        <v>8.0000000000000004E-4</v>
      </c>
      <c r="O302" s="605">
        <v>5.56</v>
      </c>
      <c r="P302" s="605">
        <v>0</v>
      </c>
    </row>
    <row r="303" spans="4:16">
      <c r="D303" s="374" t="s">
        <v>719</v>
      </c>
      <c r="E303" s="605" t="s">
        <v>726</v>
      </c>
      <c r="F303" s="606">
        <v>41295</v>
      </c>
      <c r="G303" s="602">
        <f t="shared" si="8"/>
        <v>2013</v>
      </c>
      <c r="H303" s="602">
        <f t="shared" si="9"/>
        <v>1</v>
      </c>
      <c r="I303" s="605">
        <v>19</v>
      </c>
      <c r="J303" s="605">
        <v>5.8559999999999999</v>
      </c>
      <c r="K303" s="605">
        <v>0</v>
      </c>
      <c r="L303" s="607">
        <v>5.8559999999999999</v>
      </c>
      <c r="M303" s="605">
        <v>6846</v>
      </c>
      <c r="N303" s="608">
        <v>8.9999999999999998E-4</v>
      </c>
      <c r="O303" s="605">
        <v>5.9569999999999999</v>
      </c>
      <c r="P303" s="605">
        <v>0</v>
      </c>
    </row>
    <row r="304" spans="4:16">
      <c r="D304" s="374" t="s">
        <v>719</v>
      </c>
      <c r="E304" s="605" t="s">
        <v>726</v>
      </c>
      <c r="F304" s="606">
        <v>41324</v>
      </c>
      <c r="G304" s="602">
        <f t="shared" si="8"/>
        <v>2013</v>
      </c>
      <c r="H304" s="602">
        <f t="shared" si="9"/>
        <v>2</v>
      </c>
      <c r="I304" s="605">
        <v>19</v>
      </c>
      <c r="J304" s="605">
        <v>5.4690000000000003</v>
      </c>
      <c r="K304" s="605">
        <v>0</v>
      </c>
      <c r="L304" s="607">
        <v>5.4690000000000003</v>
      </c>
      <c r="M304" s="605">
        <v>6511</v>
      </c>
      <c r="N304" s="608">
        <v>8.0000000000000004E-4</v>
      </c>
      <c r="O304" s="605">
        <v>5.5750000000000002</v>
      </c>
      <c r="P304" s="605">
        <v>0</v>
      </c>
    </row>
    <row r="305" spans="4:16">
      <c r="D305" s="374" t="s">
        <v>719</v>
      </c>
      <c r="E305" s="605" t="s">
        <v>726</v>
      </c>
      <c r="F305" s="606">
        <v>41337</v>
      </c>
      <c r="G305" s="602">
        <f t="shared" si="8"/>
        <v>2013</v>
      </c>
      <c r="H305" s="602">
        <f t="shared" si="9"/>
        <v>3</v>
      </c>
      <c r="I305" s="605">
        <v>19</v>
      </c>
      <c r="J305" s="605">
        <v>4.9210000000000003</v>
      </c>
      <c r="K305" s="605">
        <v>0</v>
      </c>
      <c r="L305" s="607">
        <v>4.9210000000000003</v>
      </c>
      <c r="M305" s="605">
        <v>6172</v>
      </c>
      <c r="N305" s="608">
        <v>8.0000000000000004E-4</v>
      </c>
      <c r="O305" s="605">
        <v>5.024</v>
      </c>
      <c r="P305" s="605">
        <v>0</v>
      </c>
    </row>
    <row r="306" spans="4:16">
      <c r="D306" s="374" t="s">
        <v>719</v>
      </c>
      <c r="E306" s="605" t="s">
        <v>726</v>
      </c>
      <c r="F306" s="606">
        <v>41382</v>
      </c>
      <c r="G306" s="602">
        <f t="shared" si="8"/>
        <v>2013</v>
      </c>
      <c r="H306" s="602">
        <f t="shared" si="9"/>
        <v>4</v>
      </c>
      <c r="I306" s="605">
        <v>12</v>
      </c>
      <c r="J306" s="605">
        <v>4.0140000000000002</v>
      </c>
      <c r="K306" s="605">
        <v>0</v>
      </c>
      <c r="L306" s="607">
        <v>4.0140000000000002</v>
      </c>
      <c r="M306" s="605">
        <v>5851</v>
      </c>
      <c r="N306" s="608">
        <v>6.9999999999999999E-4</v>
      </c>
      <c r="O306" s="605">
        <v>4.0810000000000004</v>
      </c>
      <c r="P306" s="605">
        <v>0</v>
      </c>
    </row>
    <row r="307" spans="4:16">
      <c r="D307" s="374" t="s">
        <v>719</v>
      </c>
      <c r="E307" s="605" t="s">
        <v>726</v>
      </c>
      <c r="F307" s="606">
        <v>41408</v>
      </c>
      <c r="G307" s="602">
        <f t="shared" si="8"/>
        <v>2013</v>
      </c>
      <c r="H307" s="602">
        <f t="shared" si="9"/>
        <v>5</v>
      </c>
      <c r="I307" s="605">
        <v>17</v>
      </c>
      <c r="J307" s="605">
        <v>4.8659999999999997</v>
      </c>
      <c r="K307" s="605">
        <v>0</v>
      </c>
      <c r="L307" s="607">
        <v>4.8659999999999997</v>
      </c>
      <c r="M307" s="605">
        <v>6516</v>
      </c>
      <c r="N307" s="608">
        <v>6.9999999999999999E-4</v>
      </c>
      <c r="O307" s="605">
        <v>4.9279999999999999</v>
      </c>
      <c r="P307" s="605">
        <v>0</v>
      </c>
    </row>
    <row r="308" spans="4:16">
      <c r="D308" s="374" t="s">
        <v>719</v>
      </c>
      <c r="E308" s="605" t="s">
        <v>726</v>
      </c>
      <c r="F308" s="606">
        <v>41451</v>
      </c>
      <c r="G308" s="602">
        <f t="shared" si="8"/>
        <v>2013</v>
      </c>
      <c r="H308" s="602">
        <f t="shared" si="9"/>
        <v>6</v>
      </c>
      <c r="I308" s="605">
        <v>16</v>
      </c>
      <c r="J308" s="605">
        <v>4.9870000000000001</v>
      </c>
      <c r="K308" s="605">
        <v>0</v>
      </c>
      <c r="L308" s="607">
        <v>4.9870000000000001</v>
      </c>
      <c r="M308" s="605">
        <v>8280</v>
      </c>
      <c r="N308" s="608">
        <v>5.9999999999999995E-4</v>
      </c>
      <c r="O308" s="605">
        <v>7.0010000000000003</v>
      </c>
      <c r="P308" s="605">
        <v>0</v>
      </c>
    </row>
    <row r="309" spans="4:16">
      <c r="D309" s="374" t="s">
        <v>719</v>
      </c>
      <c r="E309" s="605" t="s">
        <v>726</v>
      </c>
      <c r="F309" s="606">
        <v>41473</v>
      </c>
      <c r="G309" s="602">
        <f t="shared" si="8"/>
        <v>2013</v>
      </c>
      <c r="H309" s="602">
        <f t="shared" si="9"/>
        <v>7</v>
      </c>
      <c r="I309" s="605">
        <v>17</v>
      </c>
      <c r="J309" s="605">
        <v>4.6420000000000003</v>
      </c>
      <c r="K309" s="605">
        <v>0</v>
      </c>
      <c r="L309" s="607">
        <v>4.6420000000000003</v>
      </c>
      <c r="M309" s="605">
        <v>9566</v>
      </c>
      <c r="N309" s="608">
        <v>5.0000000000000001E-4</v>
      </c>
      <c r="O309" s="605">
        <v>9.24</v>
      </c>
      <c r="P309" s="605">
        <v>0</v>
      </c>
    </row>
    <row r="310" spans="4:16">
      <c r="D310" s="374" t="s">
        <v>719</v>
      </c>
      <c r="E310" s="605" t="s">
        <v>726</v>
      </c>
      <c r="F310" s="606">
        <v>41512</v>
      </c>
      <c r="G310" s="602">
        <f t="shared" si="8"/>
        <v>2013</v>
      </c>
      <c r="H310" s="602">
        <f t="shared" si="9"/>
        <v>8</v>
      </c>
      <c r="I310" s="605">
        <v>17</v>
      </c>
      <c r="J310" s="605">
        <v>9.2859999999999996</v>
      </c>
      <c r="K310" s="605">
        <v>0</v>
      </c>
      <c r="L310" s="607">
        <v>9.2859999999999996</v>
      </c>
      <c r="M310" s="605">
        <v>9821</v>
      </c>
      <c r="N310" s="608">
        <v>8.9999999999999998E-4</v>
      </c>
      <c r="O310" s="605">
        <v>9.3689999999999998</v>
      </c>
      <c r="P310" s="605">
        <v>0</v>
      </c>
    </row>
    <row r="311" spans="4:16">
      <c r="D311" s="374" t="s">
        <v>719</v>
      </c>
      <c r="E311" s="605" t="s">
        <v>726</v>
      </c>
      <c r="F311" s="606">
        <v>41526</v>
      </c>
      <c r="G311" s="602">
        <f t="shared" si="8"/>
        <v>2013</v>
      </c>
      <c r="H311" s="602">
        <f t="shared" si="9"/>
        <v>9</v>
      </c>
      <c r="I311" s="605">
        <v>17</v>
      </c>
      <c r="J311" s="605">
        <v>8.6739999999999995</v>
      </c>
      <c r="K311" s="605">
        <v>0</v>
      </c>
      <c r="L311" s="607">
        <v>8.6739999999999995</v>
      </c>
      <c r="M311" s="605">
        <v>8781</v>
      </c>
      <c r="N311" s="608">
        <v>1E-3</v>
      </c>
      <c r="O311" s="605">
        <v>8.766</v>
      </c>
      <c r="P311" s="605">
        <v>0</v>
      </c>
    </row>
    <row r="312" spans="4:16">
      <c r="D312" s="374" t="s">
        <v>719</v>
      </c>
      <c r="E312" s="605" t="s">
        <v>726</v>
      </c>
      <c r="F312" s="606">
        <v>41548</v>
      </c>
      <c r="G312" s="602">
        <f t="shared" si="8"/>
        <v>2013</v>
      </c>
      <c r="H312" s="602">
        <f t="shared" si="9"/>
        <v>10</v>
      </c>
      <c r="I312" s="605">
        <v>14</v>
      </c>
      <c r="J312" s="605">
        <v>4.1669999999999998</v>
      </c>
      <c r="K312" s="605">
        <v>0</v>
      </c>
      <c r="L312" s="607">
        <v>4.1669999999999998</v>
      </c>
      <c r="M312" s="605">
        <v>6214</v>
      </c>
      <c r="N312" s="608">
        <v>6.9999999999999999E-4</v>
      </c>
      <c r="O312" s="605">
        <v>4.4009999999999998</v>
      </c>
      <c r="P312" s="605">
        <v>0</v>
      </c>
    </row>
    <row r="313" spans="4:16">
      <c r="D313" s="374" t="s">
        <v>719</v>
      </c>
      <c r="E313" s="605" t="s">
        <v>726</v>
      </c>
      <c r="F313" s="606">
        <v>41604</v>
      </c>
      <c r="G313" s="602">
        <f t="shared" si="8"/>
        <v>2013</v>
      </c>
      <c r="H313" s="602">
        <f t="shared" si="9"/>
        <v>11</v>
      </c>
      <c r="I313" s="605">
        <v>18</v>
      </c>
      <c r="J313" s="605">
        <v>5.1920000000000002</v>
      </c>
      <c r="K313" s="605">
        <v>0</v>
      </c>
      <c r="L313" s="607">
        <v>5.1920000000000002</v>
      </c>
      <c r="M313" s="605">
        <v>6372</v>
      </c>
      <c r="N313" s="608">
        <v>8.0000000000000004E-4</v>
      </c>
      <c r="O313" s="605">
        <v>5.2779999999999996</v>
      </c>
      <c r="P313" s="605">
        <v>0</v>
      </c>
    </row>
    <row r="314" spans="4:16">
      <c r="D314" s="374" t="s">
        <v>719</v>
      </c>
      <c r="E314" s="605" t="s">
        <v>726</v>
      </c>
      <c r="F314" s="606">
        <v>41619</v>
      </c>
      <c r="G314" s="602">
        <f t="shared" si="8"/>
        <v>2013</v>
      </c>
      <c r="H314" s="602">
        <f t="shared" si="9"/>
        <v>12</v>
      </c>
      <c r="I314" s="605">
        <v>18</v>
      </c>
      <c r="J314" s="605">
        <v>5.6970000000000001</v>
      </c>
      <c r="K314" s="605">
        <v>0</v>
      </c>
      <c r="L314" s="607">
        <v>5.6970000000000001</v>
      </c>
      <c r="M314" s="605">
        <v>6972</v>
      </c>
      <c r="N314" s="608">
        <v>8.0000000000000004E-4</v>
      </c>
      <c r="O314" s="605">
        <v>5.7990000000000004</v>
      </c>
      <c r="P314" s="605">
        <v>0</v>
      </c>
    </row>
    <row r="315" spans="4:16">
      <c r="D315" s="374" t="s">
        <v>719</v>
      </c>
      <c r="E315" s="374" t="s">
        <v>726</v>
      </c>
      <c r="F315" s="601">
        <v>41645</v>
      </c>
      <c r="G315" s="602">
        <f t="shared" si="8"/>
        <v>2014</v>
      </c>
      <c r="H315" s="602">
        <f t="shared" si="9"/>
        <v>1</v>
      </c>
      <c r="I315" s="374">
        <v>18</v>
      </c>
      <c r="J315" s="374">
        <v>6.1189999999999998</v>
      </c>
      <c r="K315" s="374">
        <v>0</v>
      </c>
      <c r="L315" s="603">
        <v>6.1189999999999998</v>
      </c>
      <c r="M315" s="604">
        <v>7188</v>
      </c>
      <c r="N315" s="374">
        <v>8.5000000000000006E-2</v>
      </c>
      <c r="O315" s="374">
        <v>6.24</v>
      </c>
      <c r="P315" s="374">
        <v>0</v>
      </c>
    </row>
    <row r="316" spans="4:16">
      <c r="D316" s="374" t="s">
        <v>719</v>
      </c>
      <c r="E316" s="374" t="s">
        <v>726</v>
      </c>
      <c r="F316" s="601">
        <v>41676</v>
      </c>
      <c r="G316" s="602">
        <f t="shared" si="8"/>
        <v>2014</v>
      </c>
      <c r="H316" s="602">
        <f t="shared" si="9"/>
        <v>2</v>
      </c>
      <c r="I316" s="374">
        <v>19</v>
      </c>
      <c r="J316" s="374">
        <v>5.4370000000000003</v>
      </c>
      <c r="K316" s="374">
        <v>0</v>
      </c>
      <c r="L316" s="603">
        <v>5.4370000000000003</v>
      </c>
      <c r="M316" s="604">
        <v>6743</v>
      </c>
      <c r="N316" s="374">
        <v>8.1000000000000003E-2</v>
      </c>
      <c r="O316" s="374">
        <v>5.54</v>
      </c>
      <c r="P316" s="374">
        <v>0</v>
      </c>
    </row>
    <row r="317" spans="4:16">
      <c r="D317" s="374" t="s">
        <v>719</v>
      </c>
      <c r="E317" s="374" t="s">
        <v>726</v>
      </c>
      <c r="F317" s="601">
        <v>41701</v>
      </c>
      <c r="G317" s="602">
        <f t="shared" si="8"/>
        <v>2014</v>
      </c>
      <c r="H317" s="602">
        <f t="shared" si="9"/>
        <v>3</v>
      </c>
      <c r="I317" s="374">
        <v>19</v>
      </c>
      <c r="J317" s="374">
        <v>5.3529999999999998</v>
      </c>
      <c r="K317" s="374">
        <v>0</v>
      </c>
      <c r="L317" s="603">
        <v>5.3529999999999998</v>
      </c>
      <c r="M317" s="604">
        <v>6537</v>
      </c>
      <c r="N317" s="374">
        <v>8.2000000000000003E-2</v>
      </c>
      <c r="O317" s="374">
        <v>5.4569999999999999</v>
      </c>
      <c r="P317" s="374">
        <v>0</v>
      </c>
    </row>
    <row r="318" spans="4:16">
      <c r="D318" s="374" t="s">
        <v>719</v>
      </c>
      <c r="E318" s="374" t="s">
        <v>726</v>
      </c>
      <c r="F318" s="601">
        <v>41730</v>
      </c>
      <c r="G318" s="602">
        <f t="shared" si="8"/>
        <v>2014</v>
      </c>
      <c r="H318" s="602">
        <f t="shared" si="9"/>
        <v>4</v>
      </c>
      <c r="I318" s="374">
        <v>11</v>
      </c>
      <c r="J318" s="374">
        <v>4.0419999999999998</v>
      </c>
      <c r="K318" s="374">
        <v>0</v>
      </c>
      <c r="L318" s="603">
        <v>4.0419999999999998</v>
      </c>
      <c r="M318" s="604">
        <v>5924</v>
      </c>
      <c r="N318" s="374">
        <v>6.8000000000000005E-2</v>
      </c>
      <c r="O318" s="374">
        <v>4.1230000000000002</v>
      </c>
      <c r="P318" s="374">
        <v>0</v>
      </c>
    </row>
    <row r="319" spans="4:16">
      <c r="D319" s="374" t="s">
        <v>719</v>
      </c>
      <c r="E319" s="374" t="s">
        <v>726</v>
      </c>
      <c r="F319" s="601">
        <v>41789</v>
      </c>
      <c r="G319" s="602">
        <f t="shared" si="8"/>
        <v>2014</v>
      </c>
      <c r="H319" s="602">
        <f t="shared" si="9"/>
        <v>5</v>
      </c>
      <c r="I319" s="374">
        <v>16</v>
      </c>
      <c r="J319" s="374">
        <v>6.26</v>
      </c>
      <c r="K319" s="374">
        <v>0</v>
      </c>
      <c r="L319" s="603">
        <v>6.26</v>
      </c>
      <c r="M319" s="604">
        <v>7422</v>
      </c>
      <c r="N319" s="374">
        <v>8.4000000000000005E-2</v>
      </c>
      <c r="O319" s="374">
        <v>6.2729999999999997</v>
      </c>
      <c r="P319" s="374">
        <v>0</v>
      </c>
    </row>
    <row r="320" spans="4:16">
      <c r="D320" s="374" t="s">
        <v>719</v>
      </c>
      <c r="E320" s="374" t="s">
        <v>726</v>
      </c>
      <c r="F320" s="601">
        <v>41814</v>
      </c>
      <c r="G320" s="602">
        <f t="shared" si="8"/>
        <v>2014</v>
      </c>
      <c r="H320" s="602">
        <f t="shared" si="9"/>
        <v>6</v>
      </c>
      <c r="I320" s="374">
        <v>16</v>
      </c>
      <c r="J320" s="374">
        <v>6.7590000000000003</v>
      </c>
      <c r="K320" s="374">
        <v>0</v>
      </c>
      <c r="L320" s="603">
        <v>6.7590000000000003</v>
      </c>
      <c r="M320" s="604">
        <v>7670</v>
      </c>
      <c r="N320" s="374">
        <v>8.7999999999999995E-2</v>
      </c>
      <c r="O320" s="374">
        <v>6.83</v>
      </c>
      <c r="P320" s="374">
        <v>0</v>
      </c>
    </row>
    <row r="321" spans="4:16">
      <c r="D321" s="374" t="s">
        <v>719</v>
      </c>
      <c r="E321" s="374" t="s">
        <v>726</v>
      </c>
      <c r="F321" s="601">
        <v>41841</v>
      </c>
      <c r="G321" s="602">
        <f t="shared" si="8"/>
        <v>2014</v>
      </c>
      <c r="H321" s="602">
        <f t="shared" si="9"/>
        <v>7</v>
      </c>
      <c r="I321" s="374">
        <v>17</v>
      </c>
      <c r="J321" s="374">
        <v>8.8849999999999998</v>
      </c>
      <c r="K321" s="374">
        <v>0</v>
      </c>
      <c r="L321" s="603">
        <v>8.8849999999999998</v>
      </c>
      <c r="M321" s="604">
        <v>9150</v>
      </c>
      <c r="N321" s="374">
        <v>9.7000000000000003E-2</v>
      </c>
      <c r="O321" s="374">
        <v>8.9629999999999992</v>
      </c>
      <c r="P321" s="374">
        <v>0</v>
      </c>
    </row>
    <row r="322" spans="4:16">
      <c r="D322" s="374" t="s">
        <v>719</v>
      </c>
      <c r="E322" s="374" t="s">
        <v>726</v>
      </c>
      <c r="F322" s="601">
        <v>41869</v>
      </c>
      <c r="G322" s="602">
        <f t="shared" si="8"/>
        <v>2014</v>
      </c>
      <c r="H322" s="602">
        <f t="shared" si="9"/>
        <v>8</v>
      </c>
      <c r="I322" s="374">
        <v>16</v>
      </c>
      <c r="J322" s="374">
        <v>7.9710000000000001</v>
      </c>
      <c r="K322" s="374">
        <v>0</v>
      </c>
      <c r="L322" s="603">
        <v>7.9710000000000001</v>
      </c>
      <c r="M322" s="604">
        <v>8190</v>
      </c>
      <c r="N322" s="374">
        <v>9.7000000000000003E-2</v>
      </c>
      <c r="O322" s="374">
        <v>8.1010000000000009</v>
      </c>
      <c r="P322" s="374">
        <v>0</v>
      </c>
    </row>
    <row r="323" spans="4:16">
      <c r="D323" s="374" t="s">
        <v>719</v>
      </c>
      <c r="E323" s="374" t="s">
        <v>726</v>
      </c>
      <c r="F323" s="601">
        <v>41886</v>
      </c>
      <c r="G323" s="602">
        <f t="shared" ref="G323:G386" si="10">YEAR(F323)</f>
        <v>2014</v>
      </c>
      <c r="H323" s="602">
        <f t="shared" ref="H323:H386" si="11">MONTH(F323)</f>
        <v>9</v>
      </c>
      <c r="I323" s="374">
        <v>15</v>
      </c>
      <c r="J323" s="374">
        <v>7.1289999999999996</v>
      </c>
      <c r="K323" s="374">
        <v>0</v>
      </c>
      <c r="L323" s="603">
        <v>7.1289999999999996</v>
      </c>
      <c r="M323" s="604">
        <v>7758</v>
      </c>
      <c r="N323" s="374">
        <v>9.1999999999999998E-2</v>
      </c>
      <c r="O323" s="374">
        <v>7.1890000000000001</v>
      </c>
      <c r="P323" s="374">
        <v>0</v>
      </c>
    </row>
    <row r="324" spans="4:16">
      <c r="D324" s="374" t="s">
        <v>719</v>
      </c>
      <c r="E324" s="374" t="s">
        <v>726</v>
      </c>
      <c r="F324" s="601">
        <v>41942</v>
      </c>
      <c r="G324" s="602">
        <f t="shared" si="10"/>
        <v>2014</v>
      </c>
      <c r="H324" s="602">
        <f t="shared" si="11"/>
        <v>10</v>
      </c>
      <c r="I324" s="374">
        <v>20</v>
      </c>
      <c r="J324" s="374">
        <v>4.5869999999999997</v>
      </c>
      <c r="K324" s="374">
        <v>0</v>
      </c>
      <c r="L324" s="603">
        <v>4.5869999999999997</v>
      </c>
      <c r="M324" s="604">
        <v>5901</v>
      </c>
      <c r="N324" s="374">
        <v>7.8E-2</v>
      </c>
      <c r="O324" s="374">
        <v>4.6189999999999998</v>
      </c>
      <c r="P324" s="374">
        <v>0</v>
      </c>
    </row>
    <row r="325" spans="4:16">
      <c r="D325" s="374" t="s">
        <v>719</v>
      </c>
      <c r="E325" s="374" t="s">
        <v>726</v>
      </c>
      <c r="F325" s="601">
        <v>41960</v>
      </c>
      <c r="G325" s="602">
        <f t="shared" si="10"/>
        <v>2014</v>
      </c>
      <c r="H325" s="602">
        <f t="shared" si="11"/>
        <v>11</v>
      </c>
      <c r="I325" s="374">
        <v>18</v>
      </c>
      <c r="J325" s="374">
        <v>6.0030000000000001</v>
      </c>
      <c r="K325" s="374">
        <v>0</v>
      </c>
      <c r="L325" s="603">
        <v>6.0030000000000001</v>
      </c>
      <c r="M325" s="604">
        <v>6677</v>
      </c>
      <c r="N325" s="374">
        <v>0.09</v>
      </c>
      <c r="O325" s="374">
        <v>6.1379999999999999</v>
      </c>
      <c r="P325" s="374">
        <v>0</v>
      </c>
    </row>
    <row r="326" spans="4:16">
      <c r="D326" s="374" t="s">
        <v>719</v>
      </c>
      <c r="E326" s="374" t="s">
        <v>726</v>
      </c>
      <c r="F326" s="601">
        <v>41974</v>
      </c>
      <c r="G326" s="602">
        <f t="shared" si="10"/>
        <v>2014</v>
      </c>
      <c r="H326" s="602">
        <f t="shared" si="11"/>
        <v>12</v>
      </c>
      <c r="I326" s="374">
        <v>18</v>
      </c>
      <c r="J326" s="374">
        <v>5.4530000000000003</v>
      </c>
      <c r="K326" s="374">
        <v>0</v>
      </c>
      <c r="L326" s="603">
        <v>5.4530000000000003</v>
      </c>
      <c r="M326" s="604">
        <v>6850</v>
      </c>
      <c r="N326" s="374">
        <v>0.08</v>
      </c>
      <c r="O326" s="374">
        <v>5.5830000000000002</v>
      </c>
      <c r="P326" s="374">
        <v>0</v>
      </c>
    </row>
    <row r="327" spans="4:16">
      <c r="D327" s="374" t="s">
        <v>719</v>
      </c>
      <c r="E327" s="374" t="s">
        <v>726</v>
      </c>
      <c r="F327" s="601">
        <v>42011</v>
      </c>
      <c r="G327" s="602">
        <f t="shared" si="10"/>
        <v>2015</v>
      </c>
      <c r="H327" s="602">
        <f t="shared" si="11"/>
        <v>1</v>
      </c>
      <c r="I327" s="374">
        <v>18</v>
      </c>
      <c r="J327" s="374">
        <v>5.5979999999999999</v>
      </c>
      <c r="K327" s="374">
        <v>0</v>
      </c>
      <c r="L327" s="603">
        <v>5.5979999999999999</v>
      </c>
      <c r="M327" s="604">
        <v>6978</v>
      </c>
      <c r="N327" s="374">
        <v>0.08</v>
      </c>
      <c r="O327" s="374">
        <v>5.6909999999999998</v>
      </c>
      <c r="P327" s="374">
        <v>0</v>
      </c>
    </row>
    <row r="328" spans="4:16">
      <c r="D328" s="374" t="s">
        <v>719</v>
      </c>
      <c r="E328" s="374" t="s">
        <v>726</v>
      </c>
      <c r="F328" s="601">
        <v>42053</v>
      </c>
      <c r="G328" s="602">
        <f t="shared" si="10"/>
        <v>2015</v>
      </c>
      <c r="H328" s="602">
        <f t="shared" si="11"/>
        <v>2</v>
      </c>
      <c r="I328" s="374">
        <v>19</v>
      </c>
      <c r="J328" s="374">
        <v>5.258</v>
      </c>
      <c r="K328" s="374">
        <v>0</v>
      </c>
      <c r="L328" s="603">
        <v>5.258</v>
      </c>
      <c r="M328" s="604">
        <v>6744</v>
      </c>
      <c r="N328" s="374">
        <v>7.8E-2</v>
      </c>
      <c r="O328" s="374">
        <v>5.359</v>
      </c>
      <c r="P328" s="374">
        <v>0</v>
      </c>
    </row>
    <row r="329" spans="4:16">
      <c r="D329" s="374" t="s">
        <v>719</v>
      </c>
      <c r="E329" s="374" t="s">
        <v>726</v>
      </c>
      <c r="F329" s="601">
        <v>42067</v>
      </c>
      <c r="G329" s="602">
        <f t="shared" si="10"/>
        <v>2015</v>
      </c>
      <c r="H329" s="602">
        <f t="shared" si="11"/>
        <v>3</v>
      </c>
      <c r="I329" s="374">
        <v>20</v>
      </c>
      <c r="J329" s="374">
        <v>4.9029999999999996</v>
      </c>
      <c r="K329" s="374">
        <v>0</v>
      </c>
      <c r="L329" s="603">
        <v>4.9029999999999996</v>
      </c>
      <c r="M329" s="604">
        <v>6470</v>
      </c>
      <c r="N329" s="374">
        <v>7.5999999999999998E-2</v>
      </c>
      <c r="O329" s="374">
        <v>4.9770000000000003</v>
      </c>
      <c r="P329" s="374">
        <v>0</v>
      </c>
    </row>
    <row r="330" spans="4:16">
      <c r="D330" s="374" t="s">
        <v>719</v>
      </c>
      <c r="E330" s="374" t="s">
        <v>726</v>
      </c>
      <c r="F330" s="601">
        <v>42103</v>
      </c>
      <c r="G330" s="602">
        <f t="shared" si="10"/>
        <v>2015</v>
      </c>
      <c r="H330" s="602">
        <f t="shared" si="11"/>
        <v>4</v>
      </c>
      <c r="I330" s="374">
        <v>12</v>
      </c>
      <c r="J330" s="374">
        <v>3.7759999999999998</v>
      </c>
      <c r="K330" s="374">
        <v>0</v>
      </c>
      <c r="L330" s="603">
        <v>3.7759999999999998</v>
      </c>
      <c r="M330" s="604">
        <v>5914</v>
      </c>
      <c r="N330" s="374">
        <v>6.4000000000000001E-2</v>
      </c>
      <c r="O330" s="374">
        <v>3.8140000000000001</v>
      </c>
      <c r="P330" s="374">
        <v>0</v>
      </c>
    </row>
    <row r="331" spans="4:16">
      <c r="D331" s="374" t="s">
        <v>719</v>
      </c>
      <c r="E331" s="374" t="s">
        <v>726</v>
      </c>
      <c r="F331" s="601">
        <v>42152</v>
      </c>
      <c r="G331" s="602">
        <f t="shared" si="10"/>
        <v>2015</v>
      </c>
      <c r="H331" s="602">
        <f t="shared" si="11"/>
        <v>5</v>
      </c>
      <c r="I331" s="374">
        <v>16</v>
      </c>
      <c r="J331" s="374">
        <v>4.9969999999999999</v>
      </c>
      <c r="K331" s="374">
        <v>0</v>
      </c>
      <c r="L331" s="603">
        <v>4.9969999999999999</v>
      </c>
      <c r="M331" s="604">
        <v>6837</v>
      </c>
      <c r="N331" s="374">
        <v>7.2999999999999995E-2</v>
      </c>
      <c r="O331" s="374">
        <v>5.0540000000000003</v>
      </c>
      <c r="P331" s="374">
        <v>0</v>
      </c>
    </row>
    <row r="332" spans="4:16">
      <c r="D332" s="374" t="s">
        <v>719</v>
      </c>
      <c r="E332" s="374" t="s">
        <v>726</v>
      </c>
      <c r="F332" s="601">
        <v>42164</v>
      </c>
      <c r="G332" s="602">
        <f t="shared" si="10"/>
        <v>2015</v>
      </c>
      <c r="H332" s="602">
        <f t="shared" si="11"/>
        <v>6</v>
      </c>
      <c r="I332" s="374">
        <v>17</v>
      </c>
      <c r="J332" s="374">
        <v>6.952</v>
      </c>
      <c r="K332" s="374">
        <v>0</v>
      </c>
      <c r="L332" s="603">
        <v>6.952</v>
      </c>
      <c r="M332" s="604">
        <v>8136</v>
      </c>
      <c r="N332" s="374">
        <v>8.5000000000000006E-2</v>
      </c>
      <c r="O332" s="374">
        <v>7.0359999999999996</v>
      </c>
      <c r="P332" s="374">
        <v>0</v>
      </c>
    </row>
    <row r="333" spans="4:16">
      <c r="D333" s="374" t="s">
        <v>719</v>
      </c>
      <c r="E333" s="374" t="s">
        <v>726</v>
      </c>
      <c r="F333" s="601">
        <v>42212</v>
      </c>
      <c r="G333" s="602">
        <f t="shared" si="10"/>
        <v>2015</v>
      </c>
      <c r="H333" s="602">
        <f t="shared" si="11"/>
        <v>7</v>
      </c>
      <c r="I333" s="374">
        <v>17</v>
      </c>
      <c r="J333" s="374">
        <v>7.24</v>
      </c>
      <c r="K333" s="374">
        <v>0</v>
      </c>
      <c r="L333" s="603">
        <v>7.24</v>
      </c>
      <c r="M333" s="604">
        <v>8769</v>
      </c>
      <c r="N333" s="374">
        <v>8.3000000000000004E-2</v>
      </c>
      <c r="O333" s="374">
        <v>7.3659999999999997</v>
      </c>
      <c r="P333" s="374">
        <v>0</v>
      </c>
    </row>
    <row r="334" spans="4:16">
      <c r="D334" s="374" t="s">
        <v>719</v>
      </c>
      <c r="E334" s="374" t="s">
        <v>726</v>
      </c>
      <c r="F334" s="601">
        <v>42230</v>
      </c>
      <c r="G334" s="602">
        <f t="shared" si="10"/>
        <v>2015</v>
      </c>
      <c r="H334" s="602">
        <f t="shared" si="11"/>
        <v>8</v>
      </c>
      <c r="I334" s="374">
        <v>16</v>
      </c>
      <c r="J334" s="374">
        <v>8.1720000000000006</v>
      </c>
      <c r="K334" s="374">
        <v>0</v>
      </c>
      <c r="L334" s="603">
        <v>8.1720000000000006</v>
      </c>
      <c r="M334" s="604">
        <v>8926</v>
      </c>
      <c r="N334" s="374">
        <v>9.1999999999999998E-2</v>
      </c>
      <c r="O334" s="374">
        <v>8.2550000000000008</v>
      </c>
      <c r="P334" s="374">
        <v>0</v>
      </c>
    </row>
    <row r="335" spans="4:16">
      <c r="D335" s="374" t="s">
        <v>719</v>
      </c>
      <c r="E335" s="374" t="s">
        <v>726</v>
      </c>
      <c r="F335" s="601">
        <v>42250</v>
      </c>
      <c r="G335" s="602">
        <f t="shared" si="10"/>
        <v>2015</v>
      </c>
      <c r="H335" s="602">
        <f t="shared" si="11"/>
        <v>9</v>
      </c>
      <c r="I335" s="374">
        <v>17</v>
      </c>
      <c r="J335" s="374">
        <v>8.3439999999999994</v>
      </c>
      <c r="K335" s="374">
        <v>0</v>
      </c>
      <c r="L335" s="603">
        <v>8.3439999999999994</v>
      </c>
      <c r="M335" s="604">
        <v>8657</v>
      </c>
      <c r="N335" s="374">
        <v>9.6000000000000002E-2</v>
      </c>
      <c r="O335" s="374">
        <v>8.4510000000000005</v>
      </c>
      <c r="P335" s="374">
        <v>0</v>
      </c>
    </row>
    <row r="336" spans="4:16">
      <c r="D336" s="374" t="s">
        <v>719</v>
      </c>
      <c r="E336" s="374" t="s">
        <v>726</v>
      </c>
      <c r="F336" s="601">
        <v>42285</v>
      </c>
      <c r="G336" s="602">
        <f t="shared" si="10"/>
        <v>2015</v>
      </c>
      <c r="H336" s="602">
        <f t="shared" si="11"/>
        <v>10</v>
      </c>
      <c r="I336" s="374">
        <v>12</v>
      </c>
      <c r="J336" s="374">
        <v>4.0990000000000002</v>
      </c>
      <c r="K336" s="374">
        <v>0</v>
      </c>
      <c r="L336" s="603">
        <v>4.0990000000000002</v>
      </c>
      <c r="M336" s="604">
        <v>5943</v>
      </c>
      <c r="N336" s="374">
        <v>6.9000000000000006E-2</v>
      </c>
      <c r="O336" s="374">
        <v>4.1660000000000004</v>
      </c>
      <c r="P336" s="374">
        <v>0</v>
      </c>
    </row>
    <row r="337" spans="4:16">
      <c r="D337" s="374" t="s">
        <v>719</v>
      </c>
      <c r="E337" s="374" t="s">
        <v>726</v>
      </c>
      <c r="F337" s="601">
        <v>42338</v>
      </c>
      <c r="G337" s="602">
        <f t="shared" si="10"/>
        <v>2015</v>
      </c>
      <c r="H337" s="602">
        <f t="shared" si="11"/>
        <v>11</v>
      </c>
      <c r="I337" s="374">
        <v>18</v>
      </c>
      <c r="J337" s="374">
        <v>4.9619999999999997</v>
      </c>
      <c r="K337" s="374">
        <v>0</v>
      </c>
      <c r="L337" s="603">
        <v>4.9619999999999997</v>
      </c>
      <c r="M337" s="604">
        <v>6574</v>
      </c>
      <c r="N337" s="374">
        <v>7.4999999999999997E-2</v>
      </c>
      <c r="O337" s="374">
        <v>5.0990000000000002</v>
      </c>
      <c r="P337" s="374">
        <v>0</v>
      </c>
    </row>
    <row r="338" spans="4:16">
      <c r="D338" s="374" t="s">
        <v>719</v>
      </c>
      <c r="E338" s="374" t="s">
        <v>726</v>
      </c>
      <c r="F338" s="601">
        <v>42355</v>
      </c>
      <c r="G338" s="602">
        <f t="shared" si="10"/>
        <v>2015</v>
      </c>
      <c r="H338" s="602">
        <f t="shared" si="11"/>
        <v>12</v>
      </c>
      <c r="I338" s="374">
        <v>18</v>
      </c>
      <c r="J338" s="374">
        <v>5.04</v>
      </c>
      <c r="K338" s="374">
        <v>0</v>
      </c>
      <c r="L338" s="603">
        <v>5.04</v>
      </c>
      <c r="M338" s="604">
        <v>6450</v>
      </c>
      <c r="N338" s="374">
        <v>7.8E-2</v>
      </c>
      <c r="O338" s="374">
        <v>5.1470000000000002</v>
      </c>
      <c r="P338" s="374">
        <v>0</v>
      </c>
    </row>
    <row r="339" spans="4:16">
      <c r="D339" s="374" t="s">
        <v>719</v>
      </c>
      <c r="E339" s="605" t="s">
        <v>727</v>
      </c>
      <c r="F339" s="606">
        <v>40927</v>
      </c>
      <c r="G339" s="602">
        <f t="shared" si="10"/>
        <v>2012</v>
      </c>
      <c r="H339" s="602">
        <f t="shared" si="11"/>
        <v>1</v>
      </c>
      <c r="I339" s="605">
        <v>19</v>
      </c>
      <c r="J339" s="605">
        <v>2.0830000000000002</v>
      </c>
      <c r="K339" s="605">
        <v>0</v>
      </c>
      <c r="L339" s="607">
        <v>2.0830000000000002</v>
      </c>
      <c r="M339" s="605">
        <v>6604</v>
      </c>
      <c r="N339" s="608">
        <v>2.9999999999999997E-4</v>
      </c>
      <c r="O339" s="605">
        <v>2.1269999999999998</v>
      </c>
      <c r="P339" s="605">
        <v>0</v>
      </c>
    </row>
    <row r="340" spans="4:16">
      <c r="D340" s="374" t="s">
        <v>719</v>
      </c>
      <c r="E340" s="605" t="s">
        <v>727</v>
      </c>
      <c r="F340" s="606">
        <v>40967</v>
      </c>
      <c r="G340" s="602">
        <f t="shared" si="10"/>
        <v>2012</v>
      </c>
      <c r="H340" s="602">
        <f t="shared" si="11"/>
        <v>2</v>
      </c>
      <c r="I340" s="605">
        <v>19</v>
      </c>
      <c r="J340" s="605">
        <v>1.929</v>
      </c>
      <c r="K340" s="605">
        <v>0</v>
      </c>
      <c r="L340" s="607">
        <v>1.929</v>
      </c>
      <c r="M340" s="605">
        <v>6178</v>
      </c>
      <c r="N340" s="608">
        <v>2.9999999999999997E-4</v>
      </c>
      <c r="O340" s="605">
        <v>1.9790000000000001</v>
      </c>
      <c r="P340" s="605">
        <v>0</v>
      </c>
    </row>
    <row r="341" spans="4:16">
      <c r="D341" s="374" t="s">
        <v>719</v>
      </c>
      <c r="E341" s="605" t="s">
        <v>727</v>
      </c>
      <c r="F341" s="606">
        <v>40987</v>
      </c>
      <c r="G341" s="602">
        <f t="shared" si="10"/>
        <v>2012</v>
      </c>
      <c r="H341" s="602">
        <f t="shared" si="11"/>
        <v>3</v>
      </c>
      <c r="I341" s="605">
        <v>14</v>
      </c>
      <c r="J341" s="605">
        <v>2.6070000000000002</v>
      </c>
      <c r="K341" s="605">
        <v>0</v>
      </c>
      <c r="L341" s="607">
        <v>2.6070000000000002</v>
      </c>
      <c r="M341" s="605">
        <v>6170</v>
      </c>
      <c r="N341" s="608">
        <v>4.0000000000000002E-4</v>
      </c>
      <c r="O341" s="605">
        <v>2.6520000000000001</v>
      </c>
      <c r="P341" s="605">
        <v>0</v>
      </c>
    </row>
    <row r="342" spans="4:16">
      <c r="D342" s="374" t="s">
        <v>719</v>
      </c>
      <c r="E342" s="605" t="s">
        <v>727</v>
      </c>
      <c r="F342" s="606">
        <v>41024</v>
      </c>
      <c r="G342" s="602">
        <f t="shared" si="10"/>
        <v>2012</v>
      </c>
      <c r="H342" s="602">
        <f t="shared" si="11"/>
        <v>4</v>
      </c>
      <c r="I342" s="605">
        <v>15</v>
      </c>
      <c r="J342" s="605">
        <v>2.419</v>
      </c>
      <c r="K342" s="605">
        <v>0</v>
      </c>
      <c r="L342" s="607">
        <v>2.419</v>
      </c>
      <c r="M342" s="605">
        <v>5813</v>
      </c>
      <c r="N342" s="608">
        <v>4.0000000000000002E-4</v>
      </c>
      <c r="O342" s="605">
        <v>2.4620000000000002</v>
      </c>
      <c r="P342" s="605">
        <v>0</v>
      </c>
    </row>
    <row r="343" spans="4:16">
      <c r="D343" s="374" t="s">
        <v>719</v>
      </c>
      <c r="E343" s="605" t="s">
        <v>727</v>
      </c>
      <c r="F343" s="606">
        <v>41047</v>
      </c>
      <c r="G343" s="602">
        <f t="shared" si="10"/>
        <v>2012</v>
      </c>
      <c r="H343" s="602">
        <f t="shared" si="11"/>
        <v>5</v>
      </c>
      <c r="I343" s="605">
        <v>17</v>
      </c>
      <c r="J343" s="605">
        <v>2.0979999999999999</v>
      </c>
      <c r="K343" s="605">
        <v>0</v>
      </c>
      <c r="L343" s="607">
        <v>2.0979999999999999</v>
      </c>
      <c r="M343" s="605">
        <v>7203</v>
      </c>
      <c r="N343" s="608">
        <v>2.9999999999999997E-4</v>
      </c>
      <c r="O343" s="605">
        <v>2.1469999999999998</v>
      </c>
      <c r="P343" s="605">
        <v>0</v>
      </c>
    </row>
    <row r="344" spans="4:16">
      <c r="D344" s="374" t="s">
        <v>719</v>
      </c>
      <c r="E344" s="605" t="s">
        <v>727</v>
      </c>
      <c r="F344" s="606">
        <v>41087</v>
      </c>
      <c r="G344" s="602">
        <f t="shared" si="10"/>
        <v>2012</v>
      </c>
      <c r="H344" s="602">
        <f t="shared" si="11"/>
        <v>6</v>
      </c>
      <c r="I344" s="605">
        <v>17</v>
      </c>
      <c r="J344" s="605">
        <v>3.3740000000000001</v>
      </c>
      <c r="K344" s="605">
        <v>0</v>
      </c>
      <c r="L344" s="607">
        <v>3.3740000000000001</v>
      </c>
      <c r="M344" s="605">
        <v>8833</v>
      </c>
      <c r="N344" s="608">
        <v>4.0000000000000002E-4</v>
      </c>
      <c r="O344" s="605">
        <v>3.456</v>
      </c>
      <c r="P344" s="605">
        <v>0</v>
      </c>
    </row>
    <row r="345" spans="4:16">
      <c r="D345" s="374" t="s">
        <v>719</v>
      </c>
      <c r="E345" s="605" t="s">
        <v>727</v>
      </c>
      <c r="F345" s="606">
        <v>41092</v>
      </c>
      <c r="G345" s="602">
        <f t="shared" si="10"/>
        <v>2012</v>
      </c>
      <c r="H345" s="602">
        <f t="shared" si="11"/>
        <v>7</v>
      </c>
      <c r="I345" s="605">
        <v>17</v>
      </c>
      <c r="J345" s="605">
        <v>3.3460000000000001</v>
      </c>
      <c r="K345" s="605">
        <v>0</v>
      </c>
      <c r="L345" s="607">
        <v>3.3460000000000001</v>
      </c>
      <c r="M345" s="605">
        <v>9682</v>
      </c>
      <c r="N345" s="608">
        <v>2.9999999999999997E-4</v>
      </c>
      <c r="O345" s="605">
        <v>3.411</v>
      </c>
      <c r="P345" s="605">
        <v>0</v>
      </c>
    </row>
    <row r="346" spans="4:16">
      <c r="D346" s="374" t="s">
        <v>719</v>
      </c>
      <c r="E346" s="605" t="s">
        <v>727</v>
      </c>
      <c r="F346" s="606">
        <v>41122</v>
      </c>
      <c r="G346" s="602">
        <f t="shared" si="10"/>
        <v>2012</v>
      </c>
      <c r="H346" s="602">
        <f t="shared" si="11"/>
        <v>8</v>
      </c>
      <c r="I346" s="605">
        <v>17</v>
      </c>
      <c r="J346" s="605">
        <v>3.4350000000000001</v>
      </c>
      <c r="K346" s="605">
        <v>0</v>
      </c>
      <c r="L346" s="607">
        <v>3.4350000000000001</v>
      </c>
      <c r="M346" s="605">
        <v>8979</v>
      </c>
      <c r="N346" s="608">
        <v>4.0000000000000002E-4</v>
      </c>
      <c r="O346" s="605">
        <v>3.5049999999999999</v>
      </c>
      <c r="P346" s="605">
        <v>0</v>
      </c>
    </row>
    <row r="347" spans="4:16">
      <c r="D347" s="374" t="s">
        <v>719</v>
      </c>
      <c r="E347" s="605" t="s">
        <v>727</v>
      </c>
      <c r="F347" s="606">
        <v>41156</v>
      </c>
      <c r="G347" s="602">
        <f t="shared" si="10"/>
        <v>2012</v>
      </c>
      <c r="H347" s="602">
        <f t="shared" si="11"/>
        <v>9</v>
      </c>
      <c r="I347" s="605">
        <v>16</v>
      </c>
      <c r="J347" s="605">
        <v>3.5510000000000002</v>
      </c>
      <c r="K347" s="605">
        <v>0</v>
      </c>
      <c r="L347" s="607">
        <v>3.5510000000000002</v>
      </c>
      <c r="M347" s="605">
        <v>8521</v>
      </c>
      <c r="N347" s="608">
        <v>4.0000000000000002E-4</v>
      </c>
      <c r="O347" s="605">
        <v>3.625</v>
      </c>
      <c r="P347" s="605">
        <v>0</v>
      </c>
    </row>
    <row r="348" spans="4:16">
      <c r="D348" s="374" t="s">
        <v>719</v>
      </c>
      <c r="E348" s="605" t="s">
        <v>727</v>
      </c>
      <c r="F348" s="606">
        <v>41185</v>
      </c>
      <c r="G348" s="602">
        <f t="shared" si="10"/>
        <v>2012</v>
      </c>
      <c r="H348" s="602">
        <f t="shared" si="11"/>
        <v>10</v>
      </c>
      <c r="I348" s="605">
        <v>14</v>
      </c>
      <c r="J348" s="605">
        <v>2.5920000000000001</v>
      </c>
      <c r="K348" s="605">
        <v>0</v>
      </c>
      <c r="L348" s="607">
        <v>2.5920000000000001</v>
      </c>
      <c r="M348" s="605">
        <v>6122</v>
      </c>
      <c r="N348" s="608">
        <v>4.0000000000000002E-4</v>
      </c>
      <c r="O348" s="605">
        <v>2.6419999999999999</v>
      </c>
      <c r="P348" s="605">
        <v>0</v>
      </c>
    </row>
    <row r="349" spans="4:16">
      <c r="D349" s="374" t="s">
        <v>719</v>
      </c>
      <c r="E349" s="605" t="s">
        <v>727</v>
      </c>
      <c r="F349" s="606">
        <v>41239</v>
      </c>
      <c r="G349" s="602">
        <f t="shared" si="10"/>
        <v>2012</v>
      </c>
      <c r="H349" s="602">
        <f t="shared" si="11"/>
        <v>11</v>
      </c>
      <c r="I349" s="605">
        <v>18</v>
      </c>
      <c r="J349" s="605">
        <v>2.3940000000000001</v>
      </c>
      <c r="K349" s="605">
        <v>0</v>
      </c>
      <c r="L349" s="607">
        <v>2.3940000000000001</v>
      </c>
      <c r="M349" s="605">
        <v>6416</v>
      </c>
      <c r="N349" s="608">
        <v>4.0000000000000002E-4</v>
      </c>
      <c r="O349" s="605">
        <v>2.4529999999999998</v>
      </c>
      <c r="P349" s="605">
        <v>0</v>
      </c>
    </row>
    <row r="350" spans="4:16">
      <c r="D350" s="374" t="s">
        <v>719</v>
      </c>
      <c r="E350" s="605" t="s">
        <v>727</v>
      </c>
      <c r="F350" s="606">
        <v>41253</v>
      </c>
      <c r="G350" s="602">
        <f t="shared" si="10"/>
        <v>2012</v>
      </c>
      <c r="H350" s="602">
        <f t="shared" si="11"/>
        <v>12</v>
      </c>
      <c r="I350" s="605">
        <v>18</v>
      </c>
      <c r="J350" s="605">
        <v>2.5859999999999999</v>
      </c>
      <c r="K350" s="605">
        <v>0</v>
      </c>
      <c r="L350" s="607">
        <v>2.5859999999999999</v>
      </c>
      <c r="M350" s="605">
        <v>6609</v>
      </c>
      <c r="N350" s="608">
        <v>4.0000000000000002E-4</v>
      </c>
      <c r="O350" s="605">
        <v>2.6320000000000001</v>
      </c>
      <c r="P350" s="605">
        <v>0</v>
      </c>
    </row>
    <row r="351" spans="4:16">
      <c r="D351" s="374" t="s">
        <v>719</v>
      </c>
      <c r="E351" s="605" t="s">
        <v>727</v>
      </c>
      <c r="F351" s="606">
        <v>41295</v>
      </c>
      <c r="G351" s="602">
        <f t="shared" si="10"/>
        <v>2013</v>
      </c>
      <c r="H351" s="602">
        <f t="shared" si="11"/>
        <v>1</v>
      </c>
      <c r="I351" s="605">
        <v>19</v>
      </c>
      <c r="J351" s="605">
        <v>2.4609999999999999</v>
      </c>
      <c r="K351" s="605">
        <v>0</v>
      </c>
      <c r="L351" s="607">
        <v>2.4609999999999999</v>
      </c>
      <c r="M351" s="605">
        <v>6846</v>
      </c>
      <c r="N351" s="608">
        <v>4.0000000000000002E-4</v>
      </c>
      <c r="O351" s="605">
        <v>2.5089999999999999</v>
      </c>
      <c r="P351" s="605">
        <v>0</v>
      </c>
    </row>
    <row r="352" spans="4:16">
      <c r="D352" s="374" t="s">
        <v>719</v>
      </c>
      <c r="E352" s="605" t="s">
        <v>727</v>
      </c>
      <c r="F352" s="606">
        <v>41324</v>
      </c>
      <c r="G352" s="602">
        <f t="shared" si="10"/>
        <v>2013</v>
      </c>
      <c r="H352" s="602">
        <f t="shared" si="11"/>
        <v>2</v>
      </c>
      <c r="I352" s="605">
        <v>19</v>
      </c>
      <c r="J352" s="605">
        <v>2.2149999999999999</v>
      </c>
      <c r="K352" s="605">
        <v>0</v>
      </c>
      <c r="L352" s="607">
        <v>2.2149999999999999</v>
      </c>
      <c r="M352" s="605">
        <v>6511</v>
      </c>
      <c r="N352" s="608">
        <v>2.9999999999999997E-4</v>
      </c>
      <c r="O352" s="605">
        <v>2.2650000000000001</v>
      </c>
      <c r="P352" s="605">
        <v>0</v>
      </c>
    </row>
    <row r="353" spans="4:16">
      <c r="D353" s="374" t="s">
        <v>719</v>
      </c>
      <c r="E353" s="605" t="s">
        <v>727</v>
      </c>
      <c r="F353" s="606">
        <v>41337</v>
      </c>
      <c r="G353" s="602">
        <f t="shared" si="10"/>
        <v>2013</v>
      </c>
      <c r="H353" s="602">
        <f t="shared" si="11"/>
        <v>3</v>
      </c>
      <c r="I353" s="605">
        <v>19</v>
      </c>
      <c r="J353" s="605">
        <v>2.31</v>
      </c>
      <c r="K353" s="605">
        <v>0</v>
      </c>
      <c r="L353" s="607">
        <v>2.31</v>
      </c>
      <c r="M353" s="605">
        <v>6172</v>
      </c>
      <c r="N353" s="608">
        <v>4.0000000000000002E-4</v>
      </c>
      <c r="O353" s="605">
        <v>2.117</v>
      </c>
      <c r="P353" s="605">
        <v>0</v>
      </c>
    </row>
    <row r="354" spans="4:16">
      <c r="D354" s="374" t="s">
        <v>719</v>
      </c>
      <c r="E354" s="605" t="s">
        <v>727</v>
      </c>
      <c r="F354" s="606">
        <v>41382</v>
      </c>
      <c r="G354" s="602">
        <f t="shared" si="10"/>
        <v>2013</v>
      </c>
      <c r="H354" s="602">
        <f t="shared" si="11"/>
        <v>4</v>
      </c>
      <c r="I354" s="605">
        <v>12</v>
      </c>
      <c r="J354" s="605">
        <v>1.1970000000000001</v>
      </c>
      <c r="K354" s="605">
        <v>2.4540000000000002</v>
      </c>
      <c r="L354" s="607">
        <v>3.6509999999999998</v>
      </c>
      <c r="M354" s="605">
        <v>5851</v>
      </c>
      <c r="N354" s="608">
        <v>5.9999999999999995E-4</v>
      </c>
      <c r="O354" s="605">
        <v>1.2230000000000001</v>
      </c>
      <c r="P354" s="605">
        <v>2.4540000000000002</v>
      </c>
    </row>
    <row r="355" spans="4:16">
      <c r="D355" s="374" t="s">
        <v>719</v>
      </c>
      <c r="E355" s="605" t="s">
        <v>727</v>
      </c>
      <c r="F355" s="606">
        <v>41408</v>
      </c>
      <c r="G355" s="602">
        <f t="shared" si="10"/>
        <v>2013</v>
      </c>
      <c r="H355" s="602">
        <f t="shared" si="11"/>
        <v>5</v>
      </c>
      <c r="I355" s="605">
        <v>17</v>
      </c>
      <c r="J355" s="605">
        <v>2.177</v>
      </c>
      <c r="K355" s="605">
        <v>0</v>
      </c>
      <c r="L355" s="607">
        <v>2.177</v>
      </c>
      <c r="M355" s="605">
        <v>6516</v>
      </c>
      <c r="N355" s="608">
        <v>2.9999999999999997E-4</v>
      </c>
      <c r="O355" s="605">
        <v>2.2080000000000002</v>
      </c>
      <c r="P355" s="605">
        <v>0</v>
      </c>
    </row>
    <row r="356" spans="4:16">
      <c r="D356" s="374" t="s">
        <v>719</v>
      </c>
      <c r="E356" s="605" t="s">
        <v>727</v>
      </c>
      <c r="F356" s="606">
        <v>41451</v>
      </c>
      <c r="G356" s="602">
        <f t="shared" si="10"/>
        <v>2013</v>
      </c>
      <c r="H356" s="602">
        <f t="shared" si="11"/>
        <v>6</v>
      </c>
      <c r="I356" s="605">
        <v>16</v>
      </c>
      <c r="J356" s="605">
        <v>3.3450000000000002</v>
      </c>
      <c r="K356" s="605">
        <v>0</v>
      </c>
      <c r="L356" s="607">
        <v>3.3450000000000002</v>
      </c>
      <c r="M356" s="605">
        <v>8280</v>
      </c>
      <c r="N356" s="608">
        <v>4.0000000000000002E-4</v>
      </c>
      <c r="O356" s="605">
        <v>3.375</v>
      </c>
      <c r="P356" s="605">
        <v>0</v>
      </c>
    </row>
    <row r="357" spans="4:16">
      <c r="D357" s="374" t="s">
        <v>719</v>
      </c>
      <c r="E357" s="605" t="s">
        <v>727</v>
      </c>
      <c r="F357" s="606">
        <v>41473</v>
      </c>
      <c r="G357" s="602">
        <f t="shared" si="10"/>
        <v>2013</v>
      </c>
      <c r="H357" s="602">
        <f t="shared" si="11"/>
        <v>7</v>
      </c>
      <c r="I357" s="605">
        <v>17</v>
      </c>
      <c r="J357" s="605">
        <v>3.73</v>
      </c>
      <c r="K357" s="605">
        <v>0</v>
      </c>
      <c r="L357" s="607">
        <v>3.73</v>
      </c>
      <c r="M357" s="605">
        <v>9566</v>
      </c>
      <c r="N357" s="608">
        <v>4.0000000000000002E-4</v>
      </c>
      <c r="O357" s="605">
        <v>3.7850000000000001</v>
      </c>
      <c r="P357" s="605">
        <v>0</v>
      </c>
    </row>
    <row r="358" spans="4:16">
      <c r="D358" s="374" t="s">
        <v>719</v>
      </c>
      <c r="E358" s="605" t="s">
        <v>727</v>
      </c>
      <c r="F358" s="606">
        <v>41512</v>
      </c>
      <c r="G358" s="602">
        <f t="shared" si="10"/>
        <v>2013</v>
      </c>
      <c r="H358" s="602">
        <f t="shared" si="11"/>
        <v>8</v>
      </c>
      <c r="I358" s="605">
        <v>17</v>
      </c>
      <c r="J358" s="605">
        <v>3.4460000000000002</v>
      </c>
      <c r="K358" s="605">
        <v>0.26100000000000001</v>
      </c>
      <c r="L358" s="607">
        <v>3.7069999999999999</v>
      </c>
      <c r="M358" s="605">
        <v>9821</v>
      </c>
      <c r="N358" s="608">
        <v>4.0000000000000002E-4</v>
      </c>
      <c r="O358" s="605">
        <v>3.2789999999999999</v>
      </c>
      <c r="P358" s="605">
        <v>0.26100000000000001</v>
      </c>
    </row>
    <row r="359" spans="4:16">
      <c r="D359" s="374" t="s">
        <v>719</v>
      </c>
      <c r="E359" s="605" t="s">
        <v>727</v>
      </c>
      <c r="F359" s="606">
        <v>41526</v>
      </c>
      <c r="G359" s="602">
        <f t="shared" si="10"/>
        <v>2013</v>
      </c>
      <c r="H359" s="602">
        <f t="shared" si="11"/>
        <v>9</v>
      </c>
      <c r="I359" s="605">
        <v>17</v>
      </c>
      <c r="J359" s="605">
        <v>3.169</v>
      </c>
      <c r="K359" s="605">
        <v>0</v>
      </c>
      <c r="L359" s="607">
        <v>3.169</v>
      </c>
      <c r="M359" s="605">
        <v>8781</v>
      </c>
      <c r="N359" s="608">
        <v>4.0000000000000002E-4</v>
      </c>
      <c r="O359" s="605">
        <v>3.2130000000000001</v>
      </c>
      <c r="P359" s="605">
        <v>0</v>
      </c>
    </row>
    <row r="360" spans="4:16">
      <c r="D360" s="374" t="s">
        <v>719</v>
      </c>
      <c r="E360" s="605" t="s">
        <v>727</v>
      </c>
      <c r="F360" s="606">
        <v>41548</v>
      </c>
      <c r="G360" s="602">
        <f t="shared" si="10"/>
        <v>2013</v>
      </c>
      <c r="H360" s="602">
        <f t="shared" si="11"/>
        <v>10</v>
      </c>
      <c r="I360" s="605">
        <v>14</v>
      </c>
      <c r="J360" s="605">
        <v>2.4990000000000001</v>
      </c>
      <c r="K360" s="605">
        <v>0</v>
      </c>
      <c r="L360" s="607">
        <v>2.4990000000000001</v>
      </c>
      <c r="M360" s="605">
        <v>6214</v>
      </c>
      <c r="N360" s="608">
        <v>4.0000000000000002E-4</v>
      </c>
      <c r="O360" s="605">
        <v>2.528</v>
      </c>
      <c r="P360" s="605">
        <v>0</v>
      </c>
    </row>
    <row r="361" spans="4:16">
      <c r="D361" s="374" t="s">
        <v>719</v>
      </c>
      <c r="E361" s="605" t="s">
        <v>727</v>
      </c>
      <c r="F361" s="606">
        <v>41604</v>
      </c>
      <c r="G361" s="602">
        <f t="shared" si="10"/>
        <v>2013</v>
      </c>
      <c r="H361" s="602">
        <f t="shared" si="11"/>
        <v>11</v>
      </c>
      <c r="I361" s="605">
        <v>18</v>
      </c>
      <c r="J361" s="605">
        <v>2.6150000000000002</v>
      </c>
      <c r="K361" s="605">
        <v>0</v>
      </c>
      <c r="L361" s="607">
        <v>2.6150000000000002</v>
      </c>
      <c r="M361" s="605">
        <v>6372</v>
      </c>
      <c r="N361" s="608">
        <v>4.0000000000000002E-4</v>
      </c>
      <c r="O361" s="605">
        <v>2.6440000000000001</v>
      </c>
      <c r="P361" s="605">
        <v>0</v>
      </c>
    </row>
    <row r="362" spans="4:16">
      <c r="D362" s="374" t="s">
        <v>719</v>
      </c>
      <c r="E362" s="605" t="s">
        <v>727</v>
      </c>
      <c r="F362" s="606">
        <v>41619</v>
      </c>
      <c r="G362" s="602">
        <f t="shared" si="10"/>
        <v>2013</v>
      </c>
      <c r="H362" s="602">
        <f t="shared" si="11"/>
        <v>12</v>
      </c>
      <c r="I362" s="605">
        <v>18</v>
      </c>
      <c r="J362" s="605">
        <v>2.4060000000000001</v>
      </c>
      <c r="K362" s="605">
        <v>0</v>
      </c>
      <c r="L362" s="607">
        <v>2.4060000000000001</v>
      </c>
      <c r="M362" s="605">
        <v>6972</v>
      </c>
      <c r="N362" s="608">
        <v>2.9999999999999997E-4</v>
      </c>
      <c r="O362" s="605">
        <v>2.4289999999999998</v>
      </c>
      <c r="P362" s="605">
        <v>0</v>
      </c>
    </row>
    <row r="363" spans="4:16">
      <c r="D363" s="374" t="s">
        <v>719</v>
      </c>
      <c r="E363" s="374" t="s">
        <v>727</v>
      </c>
      <c r="F363" s="601">
        <v>41645</v>
      </c>
      <c r="G363" s="602">
        <f t="shared" si="10"/>
        <v>2014</v>
      </c>
      <c r="H363" s="602">
        <f t="shared" si="11"/>
        <v>1</v>
      </c>
      <c r="I363" s="374">
        <v>18</v>
      </c>
      <c r="J363" s="374">
        <v>2.4750000000000001</v>
      </c>
      <c r="K363" s="374">
        <v>0</v>
      </c>
      <c r="L363" s="603">
        <v>2.4750000000000001</v>
      </c>
      <c r="M363" s="604">
        <v>7188</v>
      </c>
      <c r="N363" s="374">
        <v>3.4000000000000002E-2</v>
      </c>
      <c r="O363" s="374">
        <v>2.4889999999999999</v>
      </c>
      <c r="P363" s="374">
        <v>0</v>
      </c>
    </row>
    <row r="364" spans="4:16">
      <c r="D364" s="374" t="s">
        <v>719</v>
      </c>
      <c r="E364" s="374" t="s">
        <v>727</v>
      </c>
      <c r="F364" s="601">
        <v>41676</v>
      </c>
      <c r="G364" s="602">
        <f t="shared" si="10"/>
        <v>2014</v>
      </c>
      <c r="H364" s="602">
        <f t="shared" si="11"/>
        <v>2</v>
      </c>
      <c r="I364" s="374">
        <v>19</v>
      </c>
      <c r="J364" s="374">
        <v>2.3149999999999999</v>
      </c>
      <c r="K364" s="374">
        <v>0</v>
      </c>
      <c r="L364" s="603">
        <v>2.3149999999999999</v>
      </c>
      <c r="M364" s="604">
        <v>6743</v>
      </c>
      <c r="N364" s="374">
        <v>3.4000000000000002E-2</v>
      </c>
      <c r="O364" s="374">
        <v>2.3319999999999999</v>
      </c>
      <c r="P364" s="374">
        <v>0</v>
      </c>
    </row>
    <row r="365" spans="4:16">
      <c r="D365" s="374" t="s">
        <v>719</v>
      </c>
      <c r="E365" s="374" t="s">
        <v>727</v>
      </c>
      <c r="F365" s="601">
        <v>41701</v>
      </c>
      <c r="G365" s="602">
        <f t="shared" si="10"/>
        <v>2014</v>
      </c>
      <c r="H365" s="602">
        <f t="shared" si="11"/>
        <v>3</v>
      </c>
      <c r="I365" s="374">
        <v>19</v>
      </c>
      <c r="J365" s="374">
        <v>2.2730000000000001</v>
      </c>
      <c r="K365" s="374">
        <v>0</v>
      </c>
      <c r="L365" s="603">
        <v>2.2730000000000001</v>
      </c>
      <c r="M365" s="604">
        <v>6537</v>
      </c>
      <c r="N365" s="374">
        <v>3.5000000000000003E-2</v>
      </c>
      <c r="O365" s="374">
        <v>2.282</v>
      </c>
      <c r="P365" s="374">
        <v>0</v>
      </c>
    </row>
    <row r="366" spans="4:16">
      <c r="D366" s="374" t="s">
        <v>719</v>
      </c>
      <c r="E366" s="374" t="s">
        <v>727</v>
      </c>
      <c r="F366" s="601">
        <v>41730</v>
      </c>
      <c r="G366" s="602">
        <f t="shared" si="10"/>
        <v>2014</v>
      </c>
      <c r="H366" s="602">
        <f t="shared" si="11"/>
        <v>4</v>
      </c>
      <c r="I366" s="374">
        <v>11</v>
      </c>
      <c r="J366" s="374">
        <v>2.4510000000000001</v>
      </c>
      <c r="K366" s="374">
        <v>0</v>
      </c>
      <c r="L366" s="603">
        <v>2.4510000000000001</v>
      </c>
      <c r="M366" s="604">
        <v>5924</v>
      </c>
      <c r="N366" s="374">
        <v>4.1000000000000002E-2</v>
      </c>
      <c r="O366" s="374">
        <v>2.4710000000000001</v>
      </c>
      <c r="P366" s="374">
        <v>0</v>
      </c>
    </row>
    <row r="367" spans="4:16">
      <c r="D367" s="374" t="s">
        <v>719</v>
      </c>
      <c r="E367" s="374" t="s">
        <v>727</v>
      </c>
      <c r="F367" s="601">
        <v>41789</v>
      </c>
      <c r="G367" s="602">
        <f t="shared" si="10"/>
        <v>2014</v>
      </c>
      <c r="H367" s="602">
        <f t="shared" si="11"/>
        <v>5</v>
      </c>
      <c r="I367" s="374">
        <v>16</v>
      </c>
      <c r="J367" s="374">
        <v>2.3450000000000002</v>
      </c>
      <c r="K367" s="374">
        <v>0</v>
      </c>
      <c r="L367" s="603">
        <v>2.3450000000000002</v>
      </c>
      <c r="M367" s="604">
        <v>7422</v>
      </c>
      <c r="N367" s="374">
        <v>3.2000000000000001E-2</v>
      </c>
      <c r="O367" s="374">
        <v>2.3679999999999999</v>
      </c>
      <c r="P367" s="374">
        <v>0</v>
      </c>
    </row>
    <row r="368" spans="4:16">
      <c r="D368" s="374" t="s">
        <v>719</v>
      </c>
      <c r="E368" s="374" t="s">
        <v>727</v>
      </c>
      <c r="F368" s="601">
        <v>41814</v>
      </c>
      <c r="G368" s="602">
        <f t="shared" si="10"/>
        <v>2014</v>
      </c>
      <c r="H368" s="602">
        <f t="shared" si="11"/>
        <v>6</v>
      </c>
      <c r="I368" s="374">
        <v>16</v>
      </c>
      <c r="J368" s="374">
        <v>2.7770000000000001</v>
      </c>
      <c r="K368" s="374">
        <v>0</v>
      </c>
      <c r="L368" s="603">
        <v>2.7770000000000001</v>
      </c>
      <c r="M368" s="604">
        <v>7670</v>
      </c>
      <c r="N368" s="374">
        <v>3.5999999999999997E-2</v>
      </c>
      <c r="O368" s="374">
        <v>2.8050000000000002</v>
      </c>
      <c r="P368" s="374">
        <v>0</v>
      </c>
    </row>
    <row r="369" spans="4:16">
      <c r="D369" s="374" t="s">
        <v>719</v>
      </c>
      <c r="E369" s="374" t="s">
        <v>727</v>
      </c>
      <c r="F369" s="601">
        <v>41841</v>
      </c>
      <c r="G369" s="602">
        <f t="shared" si="10"/>
        <v>2014</v>
      </c>
      <c r="H369" s="602">
        <f t="shared" si="11"/>
        <v>7</v>
      </c>
      <c r="I369" s="374">
        <v>17</v>
      </c>
      <c r="J369" s="374">
        <v>3.09</v>
      </c>
      <c r="K369" s="374">
        <v>0</v>
      </c>
      <c r="L369" s="603">
        <v>3.09</v>
      </c>
      <c r="M369" s="604">
        <v>9150</v>
      </c>
      <c r="N369" s="374">
        <v>3.4000000000000002E-2</v>
      </c>
      <c r="O369" s="374">
        <v>3.4689999999999999</v>
      </c>
      <c r="P369" s="374">
        <v>0</v>
      </c>
    </row>
    <row r="370" spans="4:16">
      <c r="D370" s="374" t="s">
        <v>719</v>
      </c>
      <c r="E370" s="374" t="s">
        <v>727</v>
      </c>
      <c r="F370" s="601">
        <v>41869</v>
      </c>
      <c r="G370" s="602">
        <f t="shared" si="10"/>
        <v>2014</v>
      </c>
      <c r="H370" s="602">
        <f t="shared" si="11"/>
        <v>8</v>
      </c>
      <c r="I370" s="374">
        <v>16</v>
      </c>
      <c r="J370" s="374">
        <v>3.26</v>
      </c>
      <c r="K370" s="374">
        <v>0</v>
      </c>
      <c r="L370" s="603">
        <v>3.26</v>
      </c>
      <c r="M370" s="604">
        <v>8190</v>
      </c>
      <c r="N370" s="374">
        <v>0.04</v>
      </c>
      <c r="O370" s="374">
        <v>3.2930000000000001</v>
      </c>
      <c r="P370" s="374">
        <v>0</v>
      </c>
    </row>
    <row r="371" spans="4:16">
      <c r="D371" s="374" t="s">
        <v>719</v>
      </c>
      <c r="E371" s="374" t="s">
        <v>727</v>
      </c>
      <c r="F371" s="601">
        <v>41886</v>
      </c>
      <c r="G371" s="602">
        <f t="shared" si="10"/>
        <v>2014</v>
      </c>
      <c r="H371" s="602">
        <f t="shared" si="11"/>
        <v>9</v>
      </c>
      <c r="I371" s="374">
        <v>15</v>
      </c>
      <c r="J371" s="374">
        <v>3.2639999999999998</v>
      </c>
      <c r="K371" s="374">
        <v>0</v>
      </c>
      <c r="L371" s="603">
        <v>3.2639999999999998</v>
      </c>
      <c r="M371" s="604">
        <v>7758</v>
      </c>
      <c r="N371" s="374">
        <v>4.2000000000000003E-2</v>
      </c>
      <c r="O371" s="374">
        <v>3.2919999999999998</v>
      </c>
      <c r="P371" s="374">
        <v>0</v>
      </c>
    </row>
    <row r="372" spans="4:16">
      <c r="D372" s="374" t="s">
        <v>719</v>
      </c>
      <c r="E372" s="374" t="s">
        <v>727</v>
      </c>
      <c r="F372" s="601">
        <v>41942</v>
      </c>
      <c r="G372" s="602">
        <f t="shared" si="10"/>
        <v>2014</v>
      </c>
      <c r="H372" s="602">
        <f t="shared" si="11"/>
        <v>10</v>
      </c>
      <c r="I372" s="374">
        <v>20</v>
      </c>
      <c r="J372" s="374">
        <v>2.125</v>
      </c>
      <c r="K372" s="374">
        <v>0</v>
      </c>
      <c r="L372" s="603">
        <v>2.125</v>
      </c>
      <c r="M372" s="604">
        <v>5901</v>
      </c>
      <c r="N372" s="374">
        <v>3.5999999999999997E-2</v>
      </c>
      <c r="O372" s="374">
        <v>2.16</v>
      </c>
      <c r="P372" s="374">
        <v>0</v>
      </c>
    </row>
    <row r="373" spans="4:16">
      <c r="D373" s="374" t="s">
        <v>719</v>
      </c>
      <c r="E373" s="374" t="s">
        <v>727</v>
      </c>
      <c r="F373" s="601">
        <v>41960</v>
      </c>
      <c r="G373" s="602">
        <f t="shared" si="10"/>
        <v>2014</v>
      </c>
      <c r="H373" s="602">
        <f t="shared" si="11"/>
        <v>11</v>
      </c>
      <c r="I373" s="374">
        <v>18</v>
      </c>
      <c r="J373" s="374">
        <v>2.46</v>
      </c>
      <c r="K373" s="374">
        <v>0</v>
      </c>
      <c r="L373" s="603">
        <v>2.46</v>
      </c>
      <c r="M373" s="604">
        <v>6677</v>
      </c>
      <c r="N373" s="374">
        <v>3.6999999999999998E-2</v>
      </c>
      <c r="O373" s="374">
        <v>2.4710000000000001</v>
      </c>
      <c r="P373" s="374">
        <v>0</v>
      </c>
    </row>
    <row r="374" spans="4:16">
      <c r="D374" s="374" t="s">
        <v>719</v>
      </c>
      <c r="E374" s="374" t="s">
        <v>727</v>
      </c>
      <c r="F374" s="601">
        <v>41974</v>
      </c>
      <c r="G374" s="602">
        <f t="shared" si="10"/>
        <v>2014</v>
      </c>
      <c r="H374" s="602">
        <f t="shared" si="11"/>
        <v>12</v>
      </c>
      <c r="I374" s="374">
        <v>18</v>
      </c>
      <c r="J374" s="374">
        <v>2.7149999999999999</v>
      </c>
      <c r="K374" s="374">
        <v>0</v>
      </c>
      <c r="L374" s="603">
        <v>2.7149999999999999</v>
      </c>
      <c r="M374" s="604">
        <v>6850</v>
      </c>
      <c r="N374" s="374">
        <v>0.04</v>
      </c>
      <c r="O374" s="374">
        <v>2.7389999999999999</v>
      </c>
      <c r="P374" s="374">
        <v>0</v>
      </c>
    </row>
    <row r="375" spans="4:16">
      <c r="D375" s="374" t="s">
        <v>719</v>
      </c>
      <c r="E375" s="374" t="s">
        <v>727</v>
      </c>
      <c r="F375" s="601">
        <v>42011</v>
      </c>
      <c r="G375" s="602">
        <f t="shared" si="10"/>
        <v>2015</v>
      </c>
      <c r="H375" s="602">
        <f t="shared" si="11"/>
        <v>1</v>
      </c>
      <c r="I375" s="374">
        <v>18</v>
      </c>
      <c r="J375" s="374">
        <v>2.7109999999999999</v>
      </c>
      <c r="K375" s="374">
        <v>0</v>
      </c>
      <c r="L375" s="603">
        <v>2.7109999999999999</v>
      </c>
      <c r="M375" s="604">
        <v>6978</v>
      </c>
      <c r="N375" s="374">
        <v>3.9E-2</v>
      </c>
      <c r="O375" s="374">
        <v>2.7509999999999999</v>
      </c>
      <c r="P375" s="374">
        <v>0</v>
      </c>
    </row>
    <row r="376" spans="4:16">
      <c r="D376" s="374" t="s">
        <v>719</v>
      </c>
      <c r="E376" s="374" t="s">
        <v>727</v>
      </c>
      <c r="F376" s="601">
        <v>42053</v>
      </c>
      <c r="G376" s="602">
        <f t="shared" si="10"/>
        <v>2015</v>
      </c>
      <c r="H376" s="602">
        <f t="shared" si="11"/>
        <v>2</v>
      </c>
      <c r="I376" s="374">
        <v>19</v>
      </c>
      <c r="J376" s="374">
        <v>2.464</v>
      </c>
      <c r="K376" s="374">
        <v>0</v>
      </c>
      <c r="L376" s="603">
        <v>2.464</v>
      </c>
      <c r="M376" s="604">
        <v>6744</v>
      </c>
      <c r="N376" s="374">
        <v>3.6999999999999998E-2</v>
      </c>
      <c r="O376" s="374">
        <v>2.4670000000000001</v>
      </c>
      <c r="P376" s="374">
        <v>0</v>
      </c>
    </row>
    <row r="377" spans="4:16">
      <c r="D377" s="374" t="s">
        <v>719</v>
      </c>
      <c r="E377" s="374" t="s">
        <v>727</v>
      </c>
      <c r="F377" s="601">
        <v>42067</v>
      </c>
      <c r="G377" s="602">
        <f t="shared" si="10"/>
        <v>2015</v>
      </c>
      <c r="H377" s="602">
        <f t="shared" si="11"/>
        <v>3</v>
      </c>
      <c r="I377" s="374">
        <v>20</v>
      </c>
      <c r="J377" s="374">
        <v>2.0990000000000002</v>
      </c>
      <c r="K377" s="374">
        <v>0</v>
      </c>
      <c r="L377" s="603">
        <v>2.0990000000000002</v>
      </c>
      <c r="M377" s="604">
        <v>6470</v>
      </c>
      <c r="N377" s="374">
        <v>3.2000000000000001E-2</v>
      </c>
      <c r="O377" s="374">
        <v>2.12</v>
      </c>
      <c r="P377" s="374">
        <v>0</v>
      </c>
    </row>
    <row r="378" spans="4:16">
      <c r="D378" s="374" t="s">
        <v>719</v>
      </c>
      <c r="E378" s="374" t="s">
        <v>727</v>
      </c>
      <c r="F378" s="601">
        <v>42103</v>
      </c>
      <c r="G378" s="602">
        <f t="shared" si="10"/>
        <v>2015</v>
      </c>
      <c r="H378" s="602">
        <f t="shared" si="11"/>
        <v>4</v>
      </c>
      <c r="I378" s="374">
        <v>12</v>
      </c>
      <c r="J378" s="374">
        <v>2.2709999999999999</v>
      </c>
      <c r="K378" s="374">
        <v>0</v>
      </c>
      <c r="L378" s="603">
        <v>2.2709999999999999</v>
      </c>
      <c r="M378" s="604">
        <v>5914</v>
      </c>
      <c r="N378" s="374">
        <v>3.7999999999999999E-2</v>
      </c>
      <c r="O378" s="374">
        <v>2.2930000000000001</v>
      </c>
      <c r="P378" s="374">
        <v>0</v>
      </c>
    </row>
    <row r="379" spans="4:16">
      <c r="D379" s="374" t="s">
        <v>719</v>
      </c>
      <c r="E379" s="374" t="s">
        <v>727</v>
      </c>
      <c r="F379" s="601">
        <v>42152</v>
      </c>
      <c r="G379" s="602">
        <f t="shared" si="10"/>
        <v>2015</v>
      </c>
      <c r="H379" s="602">
        <f t="shared" si="11"/>
        <v>5</v>
      </c>
      <c r="I379" s="374">
        <v>16</v>
      </c>
      <c r="J379" s="374">
        <v>2.3690000000000002</v>
      </c>
      <c r="K379" s="374">
        <v>0</v>
      </c>
      <c r="L379" s="603">
        <v>2.3690000000000002</v>
      </c>
      <c r="M379" s="604">
        <v>6837</v>
      </c>
      <c r="N379" s="374">
        <v>3.5000000000000003E-2</v>
      </c>
      <c r="O379" s="374">
        <v>2.391</v>
      </c>
      <c r="P379" s="374">
        <v>0</v>
      </c>
    </row>
    <row r="380" spans="4:16">
      <c r="D380" s="374" t="s">
        <v>719</v>
      </c>
      <c r="E380" s="374" t="s">
        <v>727</v>
      </c>
      <c r="F380" s="601">
        <v>42164</v>
      </c>
      <c r="G380" s="602">
        <f t="shared" si="10"/>
        <v>2015</v>
      </c>
      <c r="H380" s="602">
        <f t="shared" si="11"/>
        <v>6</v>
      </c>
      <c r="I380" s="374">
        <v>17</v>
      </c>
      <c r="J380" s="374">
        <v>2.8580000000000001</v>
      </c>
      <c r="K380" s="374">
        <v>0</v>
      </c>
      <c r="L380" s="603">
        <v>2.8580000000000001</v>
      </c>
      <c r="M380" s="604">
        <v>8136</v>
      </c>
      <c r="N380" s="374">
        <v>3.5000000000000003E-2</v>
      </c>
      <c r="O380" s="374">
        <v>2.9009999999999998</v>
      </c>
      <c r="P380" s="374">
        <v>0</v>
      </c>
    </row>
    <row r="381" spans="4:16">
      <c r="D381" s="374" t="s">
        <v>719</v>
      </c>
      <c r="E381" s="374" t="s">
        <v>727</v>
      </c>
      <c r="F381" s="601">
        <v>42212</v>
      </c>
      <c r="G381" s="602">
        <f t="shared" si="10"/>
        <v>2015</v>
      </c>
      <c r="H381" s="602">
        <f t="shared" si="11"/>
        <v>7</v>
      </c>
      <c r="I381" s="374">
        <v>17</v>
      </c>
      <c r="J381" s="374">
        <v>3.2090000000000001</v>
      </c>
      <c r="K381" s="374">
        <v>0</v>
      </c>
      <c r="L381" s="603">
        <v>3.2090000000000001</v>
      </c>
      <c r="M381" s="604">
        <v>8769</v>
      </c>
      <c r="N381" s="374">
        <v>3.6999999999999998E-2</v>
      </c>
      <c r="O381" s="374">
        <v>3.2530000000000001</v>
      </c>
      <c r="P381" s="374">
        <v>0</v>
      </c>
    </row>
    <row r="382" spans="4:16">
      <c r="D382" s="374" t="s">
        <v>719</v>
      </c>
      <c r="E382" s="374" t="s">
        <v>727</v>
      </c>
      <c r="F382" s="601">
        <v>42230</v>
      </c>
      <c r="G382" s="602">
        <f t="shared" si="10"/>
        <v>2015</v>
      </c>
      <c r="H382" s="602">
        <f t="shared" si="11"/>
        <v>8</v>
      </c>
      <c r="I382" s="374">
        <v>16</v>
      </c>
      <c r="J382" s="374">
        <v>3.488</v>
      </c>
      <c r="K382" s="374">
        <v>0</v>
      </c>
      <c r="L382" s="603">
        <v>3.488</v>
      </c>
      <c r="M382" s="604">
        <v>8926</v>
      </c>
      <c r="N382" s="374">
        <v>3.9E-2</v>
      </c>
      <c r="O382" s="374">
        <v>3.51</v>
      </c>
      <c r="P382" s="374">
        <v>0</v>
      </c>
    </row>
    <row r="383" spans="4:16">
      <c r="D383" s="374" t="s">
        <v>719</v>
      </c>
      <c r="E383" s="374" t="s">
        <v>727</v>
      </c>
      <c r="F383" s="601">
        <v>42250</v>
      </c>
      <c r="G383" s="602">
        <f t="shared" si="10"/>
        <v>2015</v>
      </c>
      <c r="H383" s="602">
        <f t="shared" si="11"/>
        <v>9</v>
      </c>
      <c r="I383" s="374">
        <v>17</v>
      </c>
      <c r="J383" s="374">
        <v>3.4910000000000001</v>
      </c>
      <c r="K383" s="374">
        <v>0</v>
      </c>
      <c r="L383" s="603">
        <v>3.4910000000000001</v>
      </c>
      <c r="M383" s="604">
        <v>8657</v>
      </c>
      <c r="N383" s="374">
        <v>0.04</v>
      </c>
      <c r="O383" s="374">
        <v>3.5369999999999999</v>
      </c>
      <c r="P383" s="374">
        <v>0</v>
      </c>
    </row>
    <row r="384" spans="4:16">
      <c r="D384" s="374" t="s">
        <v>719</v>
      </c>
      <c r="E384" s="374" t="s">
        <v>727</v>
      </c>
      <c r="F384" s="601">
        <v>42285</v>
      </c>
      <c r="G384" s="602">
        <f t="shared" si="10"/>
        <v>2015</v>
      </c>
      <c r="H384" s="602">
        <f t="shared" si="11"/>
        <v>10</v>
      </c>
      <c r="I384" s="374">
        <v>12</v>
      </c>
      <c r="J384" s="374">
        <v>2.4860000000000002</v>
      </c>
      <c r="K384" s="374">
        <v>0</v>
      </c>
      <c r="L384" s="603">
        <v>2.4860000000000002</v>
      </c>
      <c r="M384" s="604">
        <v>5943</v>
      </c>
      <c r="N384" s="374">
        <v>4.2000000000000003E-2</v>
      </c>
      <c r="O384" s="374">
        <v>2.5</v>
      </c>
      <c r="P384" s="374">
        <v>0</v>
      </c>
    </row>
    <row r="385" spans="4:16">
      <c r="D385" s="374" t="s">
        <v>719</v>
      </c>
      <c r="E385" s="374" t="s">
        <v>727</v>
      </c>
      <c r="F385" s="601">
        <v>42338</v>
      </c>
      <c r="G385" s="602">
        <f t="shared" si="10"/>
        <v>2015</v>
      </c>
      <c r="H385" s="602">
        <f t="shared" si="11"/>
        <v>11</v>
      </c>
      <c r="I385" s="374">
        <v>18</v>
      </c>
      <c r="J385" s="374">
        <v>2.327</v>
      </c>
      <c r="K385" s="374">
        <v>0</v>
      </c>
      <c r="L385" s="603">
        <v>2.327</v>
      </c>
      <c r="M385" s="604">
        <v>6574</v>
      </c>
      <c r="N385" s="374">
        <v>3.5000000000000003E-2</v>
      </c>
      <c r="O385" s="374">
        <v>2.343</v>
      </c>
      <c r="P385" s="374">
        <v>0</v>
      </c>
    </row>
    <row r="386" spans="4:16">
      <c r="D386" s="374" t="s">
        <v>719</v>
      </c>
      <c r="E386" s="374" t="s">
        <v>727</v>
      </c>
      <c r="F386" s="601">
        <v>42355</v>
      </c>
      <c r="G386" s="602">
        <f t="shared" si="10"/>
        <v>2015</v>
      </c>
      <c r="H386" s="602">
        <f t="shared" si="11"/>
        <v>12</v>
      </c>
      <c r="I386" s="374">
        <v>18</v>
      </c>
      <c r="J386" s="374">
        <v>2.3290000000000002</v>
      </c>
      <c r="K386" s="374">
        <v>0</v>
      </c>
      <c r="L386" s="603">
        <v>2.3290000000000002</v>
      </c>
      <c r="M386" s="604">
        <v>6450</v>
      </c>
      <c r="N386" s="374">
        <v>3.5999999999999997E-2</v>
      </c>
      <c r="O386" s="374">
        <v>2.3660000000000001</v>
      </c>
      <c r="P386" s="374">
        <v>0</v>
      </c>
    </row>
    <row r="387" spans="4:16">
      <c r="D387" s="374" t="s">
        <v>719</v>
      </c>
      <c r="E387" s="605" t="s">
        <v>730</v>
      </c>
      <c r="F387" s="606">
        <v>40927</v>
      </c>
      <c r="G387" s="602">
        <f t="shared" ref="G387:G450" si="12">YEAR(F387)</f>
        <v>2012</v>
      </c>
      <c r="H387" s="602">
        <f t="shared" ref="H387:H450" si="13">MONTH(F387)</f>
        <v>1</v>
      </c>
      <c r="I387" s="605">
        <v>19</v>
      </c>
      <c r="J387" s="605">
        <v>5.92</v>
      </c>
      <c r="K387" s="605">
        <v>0</v>
      </c>
      <c r="L387" s="607">
        <v>4.92</v>
      </c>
      <c r="M387" s="605">
        <v>6604</v>
      </c>
      <c r="N387" s="608">
        <v>8.9999999999999998E-4</v>
      </c>
      <c r="O387" s="605">
        <v>6.0410000000000004</v>
      </c>
      <c r="P387" s="605">
        <v>0</v>
      </c>
    </row>
    <row r="388" spans="4:16">
      <c r="D388" s="374" t="s">
        <v>719</v>
      </c>
      <c r="E388" s="605" t="s">
        <v>730</v>
      </c>
      <c r="F388" s="606">
        <v>40967</v>
      </c>
      <c r="G388" s="602">
        <f t="shared" si="12"/>
        <v>2012</v>
      </c>
      <c r="H388" s="602">
        <f t="shared" si="13"/>
        <v>2</v>
      </c>
      <c r="I388" s="605">
        <v>19</v>
      </c>
      <c r="J388" s="605">
        <v>5.3449999999999998</v>
      </c>
      <c r="K388" s="605">
        <v>0</v>
      </c>
      <c r="L388" s="607">
        <v>4.3449999999999998</v>
      </c>
      <c r="M388" s="605">
        <v>6178</v>
      </c>
      <c r="N388" s="608">
        <v>8.9999999999999998E-4</v>
      </c>
      <c r="O388" s="605">
        <v>5.4409999999999998</v>
      </c>
      <c r="P388" s="605">
        <v>0</v>
      </c>
    </row>
    <row r="389" spans="4:16">
      <c r="D389" s="374" t="s">
        <v>719</v>
      </c>
      <c r="E389" s="605" t="s">
        <v>730</v>
      </c>
      <c r="F389" s="606">
        <v>40987</v>
      </c>
      <c r="G389" s="602">
        <f t="shared" si="12"/>
        <v>2012</v>
      </c>
      <c r="H389" s="602">
        <f t="shared" si="13"/>
        <v>3</v>
      </c>
      <c r="I389" s="605">
        <v>14</v>
      </c>
      <c r="J389" s="605">
        <v>5.8819999999999997</v>
      </c>
      <c r="K389" s="605">
        <v>0</v>
      </c>
      <c r="L389" s="607">
        <v>4.8819999999999997</v>
      </c>
      <c r="M389" s="605">
        <v>6170</v>
      </c>
      <c r="N389" s="608">
        <v>1E-3</v>
      </c>
      <c r="O389" s="605">
        <v>5.9720000000000004</v>
      </c>
      <c r="P389" s="605">
        <v>0</v>
      </c>
    </row>
    <row r="390" spans="4:16">
      <c r="D390" s="374" t="s">
        <v>719</v>
      </c>
      <c r="E390" s="605" t="s">
        <v>730</v>
      </c>
      <c r="F390" s="606">
        <v>41024</v>
      </c>
      <c r="G390" s="602">
        <f t="shared" si="12"/>
        <v>2012</v>
      </c>
      <c r="H390" s="602">
        <f t="shared" si="13"/>
        <v>4</v>
      </c>
      <c r="I390" s="605">
        <v>15</v>
      </c>
      <c r="J390" s="605">
        <v>5.468</v>
      </c>
      <c r="K390" s="605">
        <v>0</v>
      </c>
      <c r="L390" s="607">
        <v>4.468</v>
      </c>
      <c r="M390" s="605">
        <v>5813</v>
      </c>
      <c r="N390" s="608">
        <v>8.9999999999999998E-4</v>
      </c>
      <c r="O390" s="605">
        <v>5.5640000000000001</v>
      </c>
      <c r="P390" s="605">
        <v>0</v>
      </c>
    </row>
    <row r="391" spans="4:16">
      <c r="D391" s="374" t="s">
        <v>719</v>
      </c>
      <c r="E391" s="605" t="s">
        <v>730</v>
      </c>
      <c r="F391" s="606">
        <v>41047</v>
      </c>
      <c r="G391" s="602">
        <f t="shared" si="12"/>
        <v>2012</v>
      </c>
      <c r="H391" s="602">
        <f t="shared" si="13"/>
        <v>5</v>
      </c>
      <c r="I391" s="605">
        <v>17</v>
      </c>
      <c r="J391" s="605">
        <v>6.1829999999999998</v>
      </c>
      <c r="K391" s="605">
        <v>0</v>
      </c>
      <c r="L391" s="607">
        <v>4.1829999999999998</v>
      </c>
      <c r="M391" s="605">
        <v>7203</v>
      </c>
      <c r="N391" s="608">
        <v>8.9999999999999998E-4</v>
      </c>
      <c r="O391" s="605">
        <v>6.29</v>
      </c>
      <c r="P391" s="605">
        <v>0</v>
      </c>
    </row>
    <row r="392" spans="4:16">
      <c r="D392" s="374" t="s">
        <v>719</v>
      </c>
      <c r="E392" s="605" t="s">
        <v>730</v>
      </c>
      <c r="F392" s="606">
        <v>41087</v>
      </c>
      <c r="G392" s="602">
        <f t="shared" si="12"/>
        <v>2012</v>
      </c>
      <c r="H392" s="602">
        <f t="shared" si="13"/>
        <v>6</v>
      </c>
      <c r="I392" s="605">
        <v>17</v>
      </c>
      <c r="J392" s="605">
        <v>10.260999999999999</v>
      </c>
      <c r="K392" s="605">
        <v>0</v>
      </c>
      <c r="L392" s="607">
        <v>8.2609999999999992</v>
      </c>
      <c r="M392" s="605">
        <v>8833</v>
      </c>
      <c r="N392" s="608">
        <v>1.1999999999999999E-3</v>
      </c>
      <c r="O392" s="605">
        <v>10.444000000000001</v>
      </c>
      <c r="P392" s="605">
        <v>0</v>
      </c>
    </row>
    <row r="393" spans="4:16">
      <c r="D393" s="374" t="s">
        <v>719</v>
      </c>
      <c r="E393" s="605" t="s">
        <v>730</v>
      </c>
      <c r="F393" s="606">
        <v>41092</v>
      </c>
      <c r="G393" s="602">
        <f t="shared" si="12"/>
        <v>2012</v>
      </c>
      <c r="H393" s="602">
        <f t="shared" si="13"/>
        <v>7</v>
      </c>
      <c r="I393" s="605">
        <v>17</v>
      </c>
      <c r="J393" s="605">
        <v>12.08</v>
      </c>
      <c r="K393" s="605">
        <v>0</v>
      </c>
      <c r="L393" s="607">
        <v>10.08</v>
      </c>
      <c r="M393" s="605">
        <v>9682</v>
      </c>
      <c r="N393" s="608">
        <v>1.1999999999999999E-3</v>
      </c>
      <c r="O393" s="605">
        <v>12.282999999999999</v>
      </c>
      <c r="P393" s="605">
        <v>0</v>
      </c>
    </row>
    <row r="394" spans="4:16">
      <c r="D394" s="374" t="s">
        <v>719</v>
      </c>
      <c r="E394" s="605" t="s">
        <v>730</v>
      </c>
      <c r="F394" s="606">
        <v>41122</v>
      </c>
      <c r="G394" s="602">
        <f t="shared" si="12"/>
        <v>2012</v>
      </c>
      <c r="H394" s="602">
        <f t="shared" si="13"/>
        <v>8</v>
      </c>
      <c r="I394" s="605">
        <v>17</v>
      </c>
      <c r="J394" s="605">
        <v>11.404</v>
      </c>
      <c r="K394" s="605">
        <v>0</v>
      </c>
      <c r="L394" s="607">
        <v>9.4039999999999999</v>
      </c>
      <c r="M394" s="605">
        <v>8979</v>
      </c>
      <c r="N394" s="608">
        <v>1.2999999999999999E-3</v>
      </c>
      <c r="O394" s="605">
        <v>11.595000000000001</v>
      </c>
      <c r="P394" s="605">
        <v>0</v>
      </c>
    </row>
    <row r="395" spans="4:16">
      <c r="D395" s="374" t="s">
        <v>719</v>
      </c>
      <c r="E395" s="605" t="s">
        <v>730</v>
      </c>
      <c r="F395" s="606">
        <v>41156</v>
      </c>
      <c r="G395" s="602">
        <f t="shared" si="12"/>
        <v>2012</v>
      </c>
      <c r="H395" s="602">
        <f t="shared" si="13"/>
        <v>9</v>
      </c>
      <c r="I395" s="605">
        <v>16</v>
      </c>
      <c r="J395" s="605">
        <v>10.097</v>
      </c>
      <c r="K395" s="605">
        <v>0</v>
      </c>
      <c r="L395" s="607">
        <v>8.0969999999999995</v>
      </c>
      <c r="M395" s="605">
        <v>8521</v>
      </c>
      <c r="N395" s="608">
        <v>1.1999999999999999E-3</v>
      </c>
      <c r="O395" s="605">
        <v>10.257</v>
      </c>
      <c r="P395" s="605">
        <v>0</v>
      </c>
    </row>
    <row r="396" spans="4:16">
      <c r="D396" s="374" t="s">
        <v>719</v>
      </c>
      <c r="E396" s="605" t="s">
        <v>730</v>
      </c>
      <c r="F396" s="606">
        <v>41185</v>
      </c>
      <c r="G396" s="602">
        <f t="shared" si="12"/>
        <v>2012</v>
      </c>
      <c r="H396" s="602">
        <f t="shared" si="13"/>
        <v>10</v>
      </c>
      <c r="I396" s="605">
        <v>14</v>
      </c>
      <c r="J396" s="605">
        <v>6.48</v>
      </c>
      <c r="K396" s="605">
        <v>0</v>
      </c>
      <c r="L396" s="607">
        <v>4.4800000000000004</v>
      </c>
      <c r="M396" s="605">
        <v>6122</v>
      </c>
      <c r="N396" s="608">
        <v>1.1000000000000001E-3</v>
      </c>
      <c r="O396" s="605">
        <v>6.59</v>
      </c>
      <c r="P396" s="605">
        <v>0</v>
      </c>
    </row>
    <row r="397" spans="4:16">
      <c r="D397" s="374" t="s">
        <v>719</v>
      </c>
      <c r="E397" s="605" t="s">
        <v>730</v>
      </c>
      <c r="F397" s="606">
        <v>41239</v>
      </c>
      <c r="G397" s="602">
        <f t="shared" si="12"/>
        <v>2012</v>
      </c>
      <c r="H397" s="602">
        <f t="shared" si="13"/>
        <v>11</v>
      </c>
      <c r="I397" s="605">
        <v>18</v>
      </c>
      <c r="J397" s="605">
        <v>6.7080000000000002</v>
      </c>
      <c r="K397" s="605">
        <v>0</v>
      </c>
      <c r="L397" s="607">
        <v>5.7080000000000002</v>
      </c>
      <c r="M397" s="605">
        <v>6416</v>
      </c>
      <c r="N397" s="608">
        <v>1E-3</v>
      </c>
      <c r="O397" s="605">
        <v>6.8319999999999999</v>
      </c>
      <c r="P397" s="605">
        <v>0</v>
      </c>
    </row>
    <row r="398" spans="4:16">
      <c r="D398" s="374" t="s">
        <v>719</v>
      </c>
      <c r="E398" s="605" t="s">
        <v>730</v>
      </c>
      <c r="F398" s="606">
        <v>41253</v>
      </c>
      <c r="G398" s="602">
        <f t="shared" si="12"/>
        <v>2012</v>
      </c>
      <c r="H398" s="602">
        <f t="shared" si="13"/>
        <v>12</v>
      </c>
      <c r="I398" s="605">
        <v>18</v>
      </c>
      <c r="J398" s="605">
        <v>6.6139999999999999</v>
      </c>
      <c r="K398" s="605">
        <v>0</v>
      </c>
      <c r="L398" s="607">
        <v>5.6139999999999999</v>
      </c>
      <c r="M398" s="605">
        <v>6609</v>
      </c>
      <c r="N398" s="608">
        <v>1E-3</v>
      </c>
      <c r="O398" s="605">
        <v>6.7430000000000003</v>
      </c>
      <c r="P398" s="605">
        <v>0</v>
      </c>
    </row>
    <row r="399" spans="4:16">
      <c r="D399" s="374" t="s">
        <v>719</v>
      </c>
      <c r="E399" s="605" t="s">
        <v>730</v>
      </c>
      <c r="F399" s="606">
        <v>41295</v>
      </c>
      <c r="G399" s="602">
        <f t="shared" si="12"/>
        <v>2013</v>
      </c>
      <c r="H399" s="602">
        <f t="shared" si="13"/>
        <v>1</v>
      </c>
      <c r="I399" s="605">
        <v>19</v>
      </c>
      <c r="J399" s="605">
        <v>6.4710000000000001</v>
      </c>
      <c r="K399" s="605">
        <v>0</v>
      </c>
      <c r="L399" s="607">
        <v>5.4710000000000001</v>
      </c>
      <c r="M399" s="605">
        <v>6846</v>
      </c>
      <c r="N399" s="608">
        <v>8.9999999999999998E-4</v>
      </c>
      <c r="O399" s="605">
        <v>6.6</v>
      </c>
      <c r="P399" s="605">
        <v>0</v>
      </c>
    </row>
    <row r="400" spans="4:16">
      <c r="D400" s="374" t="s">
        <v>719</v>
      </c>
      <c r="E400" s="605" t="s">
        <v>730</v>
      </c>
      <c r="F400" s="606">
        <v>41324</v>
      </c>
      <c r="G400" s="602">
        <f t="shared" si="12"/>
        <v>2013</v>
      </c>
      <c r="H400" s="602">
        <f t="shared" si="13"/>
        <v>2</v>
      </c>
      <c r="I400" s="605">
        <v>19</v>
      </c>
      <c r="J400" s="605">
        <v>5.5220000000000002</v>
      </c>
      <c r="K400" s="605">
        <v>0</v>
      </c>
      <c r="L400" s="607">
        <v>4.5220000000000002</v>
      </c>
      <c r="M400" s="605">
        <v>6511</v>
      </c>
      <c r="N400" s="608">
        <v>8.0000000000000004E-4</v>
      </c>
      <c r="O400" s="605">
        <v>5.63</v>
      </c>
      <c r="P400" s="605">
        <v>0</v>
      </c>
    </row>
    <row r="401" spans="4:16">
      <c r="D401" s="374" t="s">
        <v>719</v>
      </c>
      <c r="E401" s="605" t="s">
        <v>730</v>
      </c>
      <c r="F401" s="606">
        <v>41337</v>
      </c>
      <c r="G401" s="602">
        <f t="shared" si="12"/>
        <v>2013</v>
      </c>
      <c r="H401" s="602">
        <f t="shared" si="13"/>
        <v>3</v>
      </c>
      <c r="I401" s="605">
        <v>19</v>
      </c>
      <c r="J401" s="605">
        <v>5.82</v>
      </c>
      <c r="K401" s="605">
        <v>0</v>
      </c>
      <c r="L401" s="607">
        <v>4.82</v>
      </c>
      <c r="M401" s="605">
        <v>6172</v>
      </c>
      <c r="N401" s="608">
        <v>8.9999999999999998E-4</v>
      </c>
      <c r="O401" s="605">
        <v>5.899</v>
      </c>
      <c r="P401" s="605">
        <v>0</v>
      </c>
    </row>
    <row r="402" spans="4:16">
      <c r="D402" s="374" t="s">
        <v>719</v>
      </c>
      <c r="E402" s="605" t="s">
        <v>730</v>
      </c>
      <c r="F402" s="606">
        <v>41382</v>
      </c>
      <c r="G402" s="602">
        <f t="shared" si="12"/>
        <v>2013</v>
      </c>
      <c r="H402" s="602">
        <f t="shared" si="13"/>
        <v>4</v>
      </c>
      <c r="I402" s="605">
        <v>12</v>
      </c>
      <c r="J402" s="605">
        <v>5.585</v>
      </c>
      <c r="K402" s="605">
        <v>0</v>
      </c>
      <c r="L402" s="607">
        <v>4.585</v>
      </c>
      <c r="M402" s="605">
        <v>5851</v>
      </c>
      <c r="N402" s="608">
        <v>1E-3</v>
      </c>
      <c r="O402" s="605">
        <v>5.641</v>
      </c>
      <c r="P402" s="605">
        <v>0</v>
      </c>
    </row>
    <row r="403" spans="4:16">
      <c r="D403" s="374" t="s">
        <v>719</v>
      </c>
      <c r="E403" s="605" t="s">
        <v>730</v>
      </c>
      <c r="F403" s="606">
        <v>41408</v>
      </c>
      <c r="G403" s="602">
        <f t="shared" si="12"/>
        <v>2013</v>
      </c>
      <c r="H403" s="602">
        <f t="shared" si="13"/>
        <v>5</v>
      </c>
      <c r="I403" s="605">
        <v>17</v>
      </c>
      <c r="J403" s="605">
        <v>6.6189999999999998</v>
      </c>
      <c r="K403" s="605">
        <v>0</v>
      </c>
      <c r="L403" s="607">
        <v>4.6189999999999998</v>
      </c>
      <c r="M403" s="605">
        <v>6516</v>
      </c>
      <c r="N403" s="608">
        <v>1E-3</v>
      </c>
      <c r="O403" s="605">
        <v>6.6959999999999997</v>
      </c>
      <c r="P403" s="605">
        <v>0</v>
      </c>
    </row>
    <row r="404" spans="4:16">
      <c r="D404" s="374" t="s">
        <v>719</v>
      </c>
      <c r="E404" s="605" t="s">
        <v>730</v>
      </c>
      <c r="F404" s="606">
        <v>41451</v>
      </c>
      <c r="G404" s="602">
        <f t="shared" si="12"/>
        <v>2013</v>
      </c>
      <c r="H404" s="602">
        <f t="shared" si="13"/>
        <v>6</v>
      </c>
      <c r="I404" s="605">
        <v>16</v>
      </c>
      <c r="J404" s="605">
        <v>9.9920000000000009</v>
      </c>
      <c r="K404" s="605">
        <v>0</v>
      </c>
      <c r="L404" s="607">
        <v>7.992</v>
      </c>
      <c r="M404" s="605">
        <v>8280</v>
      </c>
      <c r="N404" s="608">
        <v>1.1999999999999999E-3</v>
      </c>
      <c r="O404" s="605">
        <v>10.102</v>
      </c>
      <c r="P404" s="605">
        <v>0</v>
      </c>
    </row>
    <row r="405" spans="4:16">
      <c r="D405" s="374" t="s">
        <v>719</v>
      </c>
      <c r="E405" s="605" t="s">
        <v>730</v>
      </c>
      <c r="F405" s="606">
        <v>41473</v>
      </c>
      <c r="G405" s="602">
        <f t="shared" si="12"/>
        <v>2013</v>
      </c>
      <c r="H405" s="602">
        <f t="shared" si="13"/>
        <v>7</v>
      </c>
      <c r="I405" s="605">
        <v>17</v>
      </c>
      <c r="J405" s="605">
        <v>11.231</v>
      </c>
      <c r="K405" s="605">
        <v>0</v>
      </c>
      <c r="L405" s="607">
        <v>9.2309999999999999</v>
      </c>
      <c r="M405" s="605">
        <v>9566</v>
      </c>
      <c r="N405" s="608">
        <v>1.1999999999999999E-3</v>
      </c>
      <c r="O405" s="605">
        <v>11.36</v>
      </c>
      <c r="P405" s="605">
        <v>0</v>
      </c>
    </row>
    <row r="406" spans="4:16">
      <c r="D406" s="374" t="s">
        <v>719</v>
      </c>
      <c r="E406" s="605" t="s">
        <v>730</v>
      </c>
      <c r="F406" s="606">
        <v>41512</v>
      </c>
      <c r="G406" s="602">
        <f t="shared" si="12"/>
        <v>2013</v>
      </c>
      <c r="H406" s="602">
        <f t="shared" si="13"/>
        <v>8</v>
      </c>
      <c r="I406" s="605">
        <v>17</v>
      </c>
      <c r="J406" s="605">
        <v>11.321999999999999</v>
      </c>
      <c r="K406" s="605">
        <v>0</v>
      </c>
      <c r="L406" s="607">
        <v>9.3219999999999992</v>
      </c>
      <c r="M406" s="605">
        <v>9821</v>
      </c>
      <c r="N406" s="608">
        <v>1.1999999999999999E-3</v>
      </c>
      <c r="O406" s="605">
        <v>11.47</v>
      </c>
      <c r="P406" s="605">
        <v>0</v>
      </c>
    </row>
    <row r="407" spans="4:16">
      <c r="D407" s="374" t="s">
        <v>719</v>
      </c>
      <c r="E407" s="605" t="s">
        <v>730</v>
      </c>
      <c r="F407" s="606">
        <v>41526</v>
      </c>
      <c r="G407" s="602">
        <f t="shared" si="12"/>
        <v>2013</v>
      </c>
      <c r="H407" s="602">
        <f t="shared" si="13"/>
        <v>9</v>
      </c>
      <c r="I407" s="605">
        <v>17</v>
      </c>
      <c r="J407" s="605">
        <v>11.481999999999999</v>
      </c>
      <c r="K407" s="605">
        <v>0</v>
      </c>
      <c r="L407" s="607">
        <v>9.4819999999999993</v>
      </c>
      <c r="M407" s="605">
        <v>8781</v>
      </c>
      <c r="N407" s="608">
        <v>1.2999999999999999E-3</v>
      </c>
      <c r="O407" s="605">
        <v>11.605</v>
      </c>
      <c r="P407" s="605">
        <v>0</v>
      </c>
    </row>
    <row r="408" spans="4:16">
      <c r="D408" s="374" t="s">
        <v>719</v>
      </c>
      <c r="E408" s="605" t="s">
        <v>730</v>
      </c>
      <c r="F408" s="606">
        <v>41548</v>
      </c>
      <c r="G408" s="602">
        <f t="shared" si="12"/>
        <v>2013</v>
      </c>
      <c r="H408" s="602">
        <f t="shared" si="13"/>
        <v>10</v>
      </c>
      <c r="I408" s="605">
        <v>14</v>
      </c>
      <c r="J408" s="605">
        <v>7.5069999999999997</v>
      </c>
      <c r="K408" s="605">
        <v>0</v>
      </c>
      <c r="L408" s="607">
        <v>5.5069999999999997</v>
      </c>
      <c r="M408" s="605">
        <v>6214</v>
      </c>
      <c r="N408" s="608">
        <v>1.1999999999999999E-3</v>
      </c>
      <c r="O408" s="605">
        <v>7.593</v>
      </c>
      <c r="P408" s="605">
        <v>0</v>
      </c>
    </row>
    <row r="409" spans="4:16">
      <c r="D409" s="374" t="s">
        <v>719</v>
      </c>
      <c r="E409" s="605" t="s">
        <v>730</v>
      </c>
      <c r="F409" s="606">
        <v>41604</v>
      </c>
      <c r="G409" s="602">
        <f t="shared" si="12"/>
        <v>2013</v>
      </c>
      <c r="H409" s="602">
        <f t="shared" si="13"/>
        <v>11</v>
      </c>
      <c r="I409" s="605">
        <v>18</v>
      </c>
      <c r="J409" s="605">
        <v>6.8</v>
      </c>
      <c r="K409" s="605">
        <v>0</v>
      </c>
      <c r="L409" s="607">
        <v>5.8</v>
      </c>
      <c r="M409" s="605">
        <v>6372</v>
      </c>
      <c r="N409" s="608">
        <v>1.1000000000000001E-3</v>
      </c>
      <c r="O409" s="605">
        <v>6.875</v>
      </c>
      <c r="P409" s="605">
        <v>0</v>
      </c>
    </row>
    <row r="410" spans="4:16">
      <c r="D410" s="374" t="s">
        <v>719</v>
      </c>
      <c r="E410" s="605" t="s">
        <v>730</v>
      </c>
      <c r="F410" s="606">
        <v>41619</v>
      </c>
      <c r="G410" s="602">
        <f t="shared" si="12"/>
        <v>2013</v>
      </c>
      <c r="H410" s="602">
        <f t="shared" si="13"/>
        <v>12</v>
      </c>
      <c r="I410" s="605">
        <v>18</v>
      </c>
      <c r="J410" s="605">
        <v>7.125</v>
      </c>
      <c r="K410" s="605">
        <v>0</v>
      </c>
      <c r="L410" s="607">
        <v>6.125</v>
      </c>
      <c r="M410" s="605">
        <v>6972</v>
      </c>
      <c r="N410" s="608">
        <v>1E-3</v>
      </c>
      <c r="O410" s="605">
        <v>7.2370000000000001</v>
      </c>
      <c r="P410" s="605">
        <v>0</v>
      </c>
    </row>
    <row r="411" spans="4:16">
      <c r="D411" s="374" t="s">
        <v>719</v>
      </c>
      <c r="E411" s="374" t="s">
        <v>730</v>
      </c>
      <c r="F411" s="601">
        <v>41645</v>
      </c>
      <c r="G411" s="602">
        <f t="shared" si="12"/>
        <v>2014</v>
      </c>
      <c r="H411" s="602">
        <f t="shared" si="13"/>
        <v>1</v>
      </c>
      <c r="I411" s="374">
        <v>18</v>
      </c>
      <c r="J411" s="374">
        <v>6.2220000000000004</v>
      </c>
      <c r="K411" s="374">
        <v>0</v>
      </c>
      <c r="L411" s="603">
        <v>6.2220000000000004</v>
      </c>
      <c r="M411" s="604">
        <v>7188</v>
      </c>
      <c r="N411" s="374">
        <v>8.6999999999999994E-2</v>
      </c>
      <c r="O411" s="374">
        <v>6.3140000000000001</v>
      </c>
      <c r="P411" s="374">
        <v>0</v>
      </c>
    </row>
    <row r="412" spans="4:16">
      <c r="D412" s="374" t="s">
        <v>719</v>
      </c>
      <c r="E412" s="374" t="s">
        <v>730</v>
      </c>
      <c r="F412" s="601">
        <v>41676</v>
      </c>
      <c r="G412" s="602">
        <f t="shared" si="12"/>
        <v>2014</v>
      </c>
      <c r="H412" s="602">
        <f t="shared" si="13"/>
        <v>2</v>
      </c>
      <c r="I412" s="374">
        <v>19</v>
      </c>
      <c r="J412" s="374">
        <v>5.8620000000000001</v>
      </c>
      <c r="K412" s="374">
        <v>0</v>
      </c>
      <c r="L412" s="603">
        <v>5.8620000000000001</v>
      </c>
      <c r="M412" s="604">
        <v>6743</v>
      </c>
      <c r="N412" s="374">
        <v>8.6999999999999994E-2</v>
      </c>
      <c r="O412" s="374">
        <v>5.9409999999999998</v>
      </c>
      <c r="P412" s="374">
        <v>0</v>
      </c>
    </row>
    <row r="413" spans="4:16">
      <c r="D413" s="374" t="s">
        <v>719</v>
      </c>
      <c r="E413" s="374" t="s">
        <v>730</v>
      </c>
      <c r="F413" s="601">
        <v>41701</v>
      </c>
      <c r="G413" s="602">
        <f t="shared" si="12"/>
        <v>2014</v>
      </c>
      <c r="H413" s="602">
        <f t="shared" si="13"/>
        <v>3</v>
      </c>
      <c r="I413" s="374">
        <v>19</v>
      </c>
      <c r="J413" s="374">
        <v>5.64</v>
      </c>
      <c r="K413" s="374">
        <v>0</v>
      </c>
      <c r="L413" s="603">
        <v>5.64</v>
      </c>
      <c r="M413" s="604">
        <v>6537</v>
      </c>
      <c r="N413" s="374">
        <v>8.5999999999999993E-2</v>
      </c>
      <c r="O413" s="374">
        <v>5.6859999999999999</v>
      </c>
      <c r="P413" s="374">
        <v>0</v>
      </c>
    </row>
    <row r="414" spans="4:16">
      <c r="D414" s="374" t="s">
        <v>719</v>
      </c>
      <c r="E414" s="374" t="s">
        <v>730</v>
      </c>
      <c r="F414" s="601">
        <v>41730</v>
      </c>
      <c r="G414" s="602">
        <f t="shared" si="12"/>
        <v>2014</v>
      </c>
      <c r="H414" s="602">
        <f t="shared" si="13"/>
        <v>4</v>
      </c>
      <c r="I414" s="374">
        <v>11</v>
      </c>
      <c r="J414" s="374">
        <v>6.1459999999999999</v>
      </c>
      <c r="K414" s="374">
        <v>0</v>
      </c>
      <c r="L414" s="603">
        <v>6.1459999999999999</v>
      </c>
      <c r="M414" s="604">
        <v>5924</v>
      </c>
      <c r="N414" s="374">
        <v>0.104</v>
      </c>
      <c r="O414" s="374">
        <v>6.1719999999999997</v>
      </c>
      <c r="P414" s="374">
        <v>0</v>
      </c>
    </row>
    <row r="415" spans="4:16">
      <c r="D415" s="374" t="s">
        <v>719</v>
      </c>
      <c r="E415" s="374" t="s">
        <v>730</v>
      </c>
      <c r="F415" s="601">
        <v>41789</v>
      </c>
      <c r="G415" s="602">
        <f t="shared" si="12"/>
        <v>2014</v>
      </c>
      <c r="H415" s="602">
        <f t="shared" si="13"/>
        <v>5</v>
      </c>
      <c r="I415" s="374">
        <v>16</v>
      </c>
      <c r="J415" s="374">
        <v>6.7779999999999996</v>
      </c>
      <c r="K415" s="374">
        <v>0</v>
      </c>
      <c r="L415" s="603">
        <v>6.7779999999999996</v>
      </c>
      <c r="M415" s="604">
        <v>7422</v>
      </c>
      <c r="N415" s="374">
        <v>9.0999999999999998E-2</v>
      </c>
      <c r="O415" s="374">
        <v>6.8579999999999997</v>
      </c>
      <c r="P415" s="374">
        <v>0</v>
      </c>
    </row>
    <row r="416" spans="4:16">
      <c r="D416" s="374" t="s">
        <v>719</v>
      </c>
      <c r="E416" s="374" t="s">
        <v>730</v>
      </c>
      <c r="F416" s="601">
        <v>41814</v>
      </c>
      <c r="G416" s="602">
        <f t="shared" si="12"/>
        <v>2014</v>
      </c>
      <c r="H416" s="602">
        <f t="shared" si="13"/>
        <v>6</v>
      </c>
      <c r="I416" s="374">
        <v>16</v>
      </c>
      <c r="J416" s="374">
        <v>8.9339999999999993</v>
      </c>
      <c r="K416" s="374">
        <v>0</v>
      </c>
      <c r="L416" s="603">
        <v>8.9339999999999993</v>
      </c>
      <c r="M416" s="604">
        <v>7670</v>
      </c>
      <c r="N416" s="374">
        <v>0.11600000000000001</v>
      </c>
      <c r="O416" s="374">
        <v>9.0039999999999996</v>
      </c>
      <c r="P416" s="374">
        <v>0</v>
      </c>
    </row>
    <row r="417" spans="4:16">
      <c r="D417" s="374" t="s">
        <v>719</v>
      </c>
      <c r="E417" s="374" t="s">
        <v>730</v>
      </c>
      <c r="F417" s="601">
        <v>41841</v>
      </c>
      <c r="G417" s="602">
        <f t="shared" si="12"/>
        <v>2014</v>
      </c>
      <c r="H417" s="602">
        <f t="shared" si="13"/>
        <v>7</v>
      </c>
      <c r="I417" s="374">
        <v>17</v>
      </c>
      <c r="J417" s="374">
        <v>10.343</v>
      </c>
      <c r="K417" s="374">
        <v>0</v>
      </c>
      <c r="L417" s="603">
        <v>10.343</v>
      </c>
      <c r="M417" s="604">
        <v>9150</v>
      </c>
      <c r="N417" s="374">
        <v>0.113</v>
      </c>
      <c r="O417" s="374">
        <v>10.451000000000001</v>
      </c>
      <c r="P417" s="374">
        <v>0</v>
      </c>
    </row>
    <row r="418" spans="4:16">
      <c r="D418" s="374" t="s">
        <v>719</v>
      </c>
      <c r="E418" s="374" t="s">
        <v>730</v>
      </c>
      <c r="F418" s="601">
        <v>41869</v>
      </c>
      <c r="G418" s="602">
        <f t="shared" si="12"/>
        <v>2014</v>
      </c>
      <c r="H418" s="602">
        <f t="shared" si="13"/>
        <v>8</v>
      </c>
      <c r="I418" s="374">
        <v>16</v>
      </c>
      <c r="J418" s="374">
        <v>10.327</v>
      </c>
      <c r="K418" s="374">
        <v>0</v>
      </c>
      <c r="L418" s="603">
        <v>10.327</v>
      </c>
      <c r="M418" s="604">
        <v>8190</v>
      </c>
      <c r="N418" s="374">
        <v>0.126</v>
      </c>
      <c r="O418" s="374">
        <v>10.413</v>
      </c>
      <c r="P418" s="374">
        <v>0</v>
      </c>
    </row>
    <row r="419" spans="4:16">
      <c r="D419" s="374" t="s">
        <v>719</v>
      </c>
      <c r="E419" s="374" t="s">
        <v>730</v>
      </c>
      <c r="F419" s="601">
        <v>41886</v>
      </c>
      <c r="G419" s="602">
        <f t="shared" si="12"/>
        <v>2014</v>
      </c>
      <c r="H419" s="602">
        <f t="shared" si="13"/>
        <v>9</v>
      </c>
      <c r="I419" s="374">
        <v>15</v>
      </c>
      <c r="J419" s="374">
        <v>10.095000000000001</v>
      </c>
      <c r="K419" s="374">
        <v>0</v>
      </c>
      <c r="L419" s="603">
        <v>10.095000000000001</v>
      </c>
      <c r="M419" s="604">
        <v>7758</v>
      </c>
      <c r="N419" s="374">
        <v>0.13</v>
      </c>
      <c r="O419" s="374">
        <v>10.257999999999999</v>
      </c>
      <c r="P419" s="374">
        <v>0</v>
      </c>
    </row>
    <row r="420" spans="4:16">
      <c r="D420" s="374" t="s">
        <v>719</v>
      </c>
      <c r="E420" s="374" t="s">
        <v>730</v>
      </c>
      <c r="F420" s="601">
        <v>41942</v>
      </c>
      <c r="G420" s="602">
        <f t="shared" si="12"/>
        <v>2014</v>
      </c>
      <c r="H420" s="602">
        <f t="shared" si="13"/>
        <v>10</v>
      </c>
      <c r="I420" s="374">
        <v>20</v>
      </c>
      <c r="J420" s="374">
        <v>6.8259999999999996</v>
      </c>
      <c r="K420" s="374">
        <v>0</v>
      </c>
      <c r="L420" s="603">
        <v>6.8259999999999996</v>
      </c>
      <c r="M420" s="604">
        <v>5901</v>
      </c>
      <c r="N420" s="374">
        <v>0.11600000000000001</v>
      </c>
      <c r="O420" s="374">
        <v>6.8730000000000002</v>
      </c>
      <c r="P420" s="374">
        <v>0</v>
      </c>
    </row>
    <row r="421" spans="4:16">
      <c r="D421" s="374" t="s">
        <v>719</v>
      </c>
      <c r="E421" s="374" t="s">
        <v>730</v>
      </c>
      <c r="F421" s="601">
        <v>41960</v>
      </c>
      <c r="G421" s="602">
        <f t="shared" si="12"/>
        <v>2014</v>
      </c>
      <c r="H421" s="602">
        <f t="shared" si="13"/>
        <v>11</v>
      </c>
      <c r="I421" s="374">
        <v>18</v>
      </c>
      <c r="J421" s="374">
        <v>6.1820000000000004</v>
      </c>
      <c r="K421" s="374">
        <v>0</v>
      </c>
      <c r="L421" s="603">
        <v>6.1820000000000004</v>
      </c>
      <c r="M421" s="604">
        <v>6677</v>
      </c>
      <c r="N421" s="374">
        <v>9.2999999999999999E-2</v>
      </c>
      <c r="O421" s="374">
        <v>6.2309999999999999</v>
      </c>
      <c r="P421" s="374">
        <v>0</v>
      </c>
    </row>
    <row r="422" spans="4:16">
      <c r="D422" s="374" t="s">
        <v>719</v>
      </c>
      <c r="E422" s="374" t="s">
        <v>730</v>
      </c>
      <c r="F422" s="601">
        <v>41974</v>
      </c>
      <c r="G422" s="602">
        <f t="shared" si="12"/>
        <v>2014</v>
      </c>
      <c r="H422" s="602">
        <f t="shared" si="13"/>
        <v>12</v>
      </c>
      <c r="I422" s="374">
        <v>18</v>
      </c>
      <c r="J422" s="374">
        <v>6.5830000000000002</v>
      </c>
      <c r="K422" s="374">
        <v>0</v>
      </c>
      <c r="L422" s="603">
        <v>6.5830000000000002</v>
      </c>
      <c r="M422" s="604">
        <v>6850</v>
      </c>
      <c r="N422" s="374">
        <v>9.6000000000000002E-2</v>
      </c>
      <c r="O422" s="374">
        <v>6.63</v>
      </c>
      <c r="P422" s="374">
        <v>0</v>
      </c>
    </row>
    <row r="423" spans="4:16">
      <c r="D423" s="374" t="s">
        <v>719</v>
      </c>
      <c r="E423" s="374" t="s">
        <v>730</v>
      </c>
      <c r="F423" s="601">
        <v>42011</v>
      </c>
      <c r="G423" s="602">
        <f t="shared" si="12"/>
        <v>2015</v>
      </c>
      <c r="H423" s="602">
        <f t="shared" si="13"/>
        <v>1</v>
      </c>
      <c r="I423" s="374">
        <v>18</v>
      </c>
      <c r="J423" s="374">
        <v>6.7270000000000003</v>
      </c>
      <c r="K423" s="374">
        <v>0</v>
      </c>
      <c r="L423" s="603">
        <v>6.7270000000000003</v>
      </c>
      <c r="M423" s="604">
        <v>6978</v>
      </c>
      <c r="N423" s="374">
        <v>9.6000000000000002E-2</v>
      </c>
      <c r="O423" s="374">
        <v>6.8890000000000002</v>
      </c>
      <c r="P423" s="374">
        <v>0</v>
      </c>
    </row>
    <row r="424" spans="4:16">
      <c r="D424" s="374" t="s">
        <v>719</v>
      </c>
      <c r="E424" s="374" t="s">
        <v>730</v>
      </c>
      <c r="F424" s="601">
        <v>42053</v>
      </c>
      <c r="G424" s="602">
        <f t="shared" si="12"/>
        <v>2015</v>
      </c>
      <c r="H424" s="602">
        <f t="shared" si="13"/>
        <v>2</v>
      </c>
      <c r="I424" s="374">
        <v>19</v>
      </c>
      <c r="J424" s="374">
        <v>6.399</v>
      </c>
      <c r="K424" s="374">
        <v>0</v>
      </c>
      <c r="L424" s="603">
        <v>6.399</v>
      </c>
      <c r="M424" s="604">
        <v>6744</v>
      </c>
      <c r="N424" s="374">
        <v>9.5000000000000001E-2</v>
      </c>
      <c r="O424" s="374">
        <v>6.4720000000000004</v>
      </c>
      <c r="P424" s="374">
        <v>0</v>
      </c>
    </row>
    <row r="425" spans="4:16">
      <c r="D425" s="374" t="s">
        <v>719</v>
      </c>
      <c r="E425" s="374" t="s">
        <v>730</v>
      </c>
      <c r="F425" s="601">
        <v>42067</v>
      </c>
      <c r="G425" s="602">
        <f t="shared" si="12"/>
        <v>2015</v>
      </c>
      <c r="H425" s="602">
        <f t="shared" si="13"/>
        <v>3</v>
      </c>
      <c r="I425" s="374">
        <v>20</v>
      </c>
      <c r="J425" s="374">
        <v>5.7480000000000002</v>
      </c>
      <c r="K425" s="374">
        <v>0</v>
      </c>
      <c r="L425" s="603">
        <v>5.7480000000000002</v>
      </c>
      <c r="M425" s="604">
        <v>6470</v>
      </c>
      <c r="N425" s="374">
        <v>8.8999999999999996E-2</v>
      </c>
      <c r="O425" s="374">
        <v>5.8209999999999997</v>
      </c>
      <c r="P425" s="374">
        <v>0</v>
      </c>
    </row>
    <row r="426" spans="4:16">
      <c r="D426" s="374" t="s">
        <v>719</v>
      </c>
      <c r="E426" s="374" t="s">
        <v>730</v>
      </c>
      <c r="F426" s="601">
        <v>42103</v>
      </c>
      <c r="G426" s="602">
        <f t="shared" si="12"/>
        <v>2015</v>
      </c>
      <c r="H426" s="602">
        <f t="shared" si="13"/>
        <v>4</v>
      </c>
      <c r="I426" s="374">
        <v>12</v>
      </c>
      <c r="J426" s="374">
        <v>5.91</v>
      </c>
      <c r="K426" s="374">
        <v>0</v>
      </c>
      <c r="L426" s="603">
        <v>5.91</v>
      </c>
      <c r="M426" s="604">
        <v>5914</v>
      </c>
      <c r="N426" s="374">
        <v>0.1</v>
      </c>
      <c r="O426" s="374">
        <v>5.96</v>
      </c>
      <c r="P426" s="374">
        <v>0</v>
      </c>
    </row>
    <row r="427" spans="4:16">
      <c r="D427" s="374" t="s">
        <v>719</v>
      </c>
      <c r="E427" s="374" t="s">
        <v>730</v>
      </c>
      <c r="F427" s="601">
        <v>42152</v>
      </c>
      <c r="G427" s="602">
        <f t="shared" si="12"/>
        <v>2015</v>
      </c>
      <c r="H427" s="602">
        <f t="shared" si="13"/>
        <v>5</v>
      </c>
      <c r="I427" s="374">
        <v>16</v>
      </c>
      <c r="J427" s="374">
        <v>6.3769999999999998</v>
      </c>
      <c r="K427" s="374">
        <v>0</v>
      </c>
      <c r="L427" s="603">
        <v>6.3769999999999998</v>
      </c>
      <c r="M427" s="604">
        <v>6837</v>
      </c>
      <c r="N427" s="374">
        <v>9.2999999999999999E-2</v>
      </c>
      <c r="O427" s="374">
        <v>6.4219999999999997</v>
      </c>
      <c r="P427" s="374">
        <v>0</v>
      </c>
    </row>
    <row r="428" spans="4:16">
      <c r="D428" s="374" t="s">
        <v>719</v>
      </c>
      <c r="E428" s="374" t="s">
        <v>730</v>
      </c>
      <c r="F428" s="601">
        <v>42164</v>
      </c>
      <c r="G428" s="602">
        <f t="shared" si="12"/>
        <v>2015</v>
      </c>
      <c r="H428" s="602">
        <f t="shared" si="13"/>
        <v>6</v>
      </c>
      <c r="I428" s="374">
        <v>17</v>
      </c>
      <c r="J428" s="374">
        <v>8.7420000000000009</v>
      </c>
      <c r="K428" s="374">
        <v>0</v>
      </c>
      <c r="L428" s="603">
        <v>8.7420000000000009</v>
      </c>
      <c r="M428" s="604">
        <v>8136</v>
      </c>
      <c r="N428" s="374">
        <v>0.107</v>
      </c>
      <c r="O428" s="374">
        <v>8.8279999999999994</v>
      </c>
      <c r="P428" s="374">
        <v>0</v>
      </c>
    </row>
    <row r="429" spans="4:16">
      <c r="D429" s="374" t="s">
        <v>719</v>
      </c>
      <c r="E429" s="374" t="s">
        <v>730</v>
      </c>
      <c r="F429" s="601">
        <v>42212</v>
      </c>
      <c r="G429" s="602">
        <f t="shared" si="12"/>
        <v>2015</v>
      </c>
      <c r="H429" s="602">
        <f t="shared" si="13"/>
        <v>7</v>
      </c>
      <c r="I429" s="374">
        <v>17</v>
      </c>
      <c r="J429" s="374">
        <v>10.702</v>
      </c>
      <c r="K429" s="374">
        <v>0</v>
      </c>
      <c r="L429" s="603">
        <v>10.702</v>
      </c>
      <c r="M429" s="604">
        <v>8769</v>
      </c>
      <c r="N429" s="374">
        <v>0.122</v>
      </c>
      <c r="O429" s="374">
        <v>10.808999999999999</v>
      </c>
      <c r="P429" s="374">
        <v>0</v>
      </c>
    </row>
    <row r="430" spans="4:16">
      <c r="D430" s="374" t="s">
        <v>719</v>
      </c>
      <c r="E430" s="374" t="s">
        <v>730</v>
      </c>
      <c r="F430" s="601">
        <v>42230</v>
      </c>
      <c r="G430" s="602">
        <f t="shared" si="12"/>
        <v>2015</v>
      </c>
      <c r="H430" s="602">
        <f t="shared" si="13"/>
        <v>8</v>
      </c>
      <c r="I430" s="374">
        <v>16</v>
      </c>
      <c r="J430" s="374">
        <v>10.050000000000001</v>
      </c>
      <c r="K430" s="374">
        <v>0</v>
      </c>
      <c r="L430" s="603">
        <v>10.050000000000001</v>
      </c>
      <c r="M430" s="604">
        <v>8926</v>
      </c>
      <c r="N430" s="374">
        <v>0.113</v>
      </c>
      <c r="O430" s="374">
        <v>10.141999999999999</v>
      </c>
      <c r="P430" s="374">
        <v>0</v>
      </c>
    </row>
    <row r="431" spans="4:16">
      <c r="D431" s="374" t="s">
        <v>719</v>
      </c>
      <c r="E431" s="374" t="s">
        <v>730</v>
      </c>
      <c r="F431" s="601">
        <v>42250</v>
      </c>
      <c r="G431" s="602">
        <f t="shared" si="12"/>
        <v>2015</v>
      </c>
      <c r="H431" s="602">
        <f t="shared" si="13"/>
        <v>9</v>
      </c>
      <c r="I431" s="374">
        <v>17</v>
      </c>
      <c r="J431" s="374">
        <v>11.39</v>
      </c>
      <c r="K431" s="374">
        <v>0</v>
      </c>
      <c r="L431" s="603">
        <v>11.39</v>
      </c>
      <c r="M431" s="604">
        <v>8657</v>
      </c>
      <c r="N431" s="374">
        <v>0.13200000000000001</v>
      </c>
      <c r="O431" s="374">
        <v>11.491</v>
      </c>
      <c r="P431" s="374">
        <v>0</v>
      </c>
    </row>
    <row r="432" spans="4:16">
      <c r="D432" s="374" t="s">
        <v>719</v>
      </c>
      <c r="E432" s="374" t="s">
        <v>730</v>
      </c>
      <c r="F432" s="601">
        <v>42285</v>
      </c>
      <c r="G432" s="602">
        <f t="shared" si="12"/>
        <v>2015</v>
      </c>
      <c r="H432" s="602">
        <f t="shared" si="13"/>
        <v>10</v>
      </c>
      <c r="I432" s="374">
        <v>12</v>
      </c>
      <c r="J432" s="374">
        <v>7.4370000000000003</v>
      </c>
      <c r="K432" s="374">
        <v>0</v>
      </c>
      <c r="L432" s="603">
        <v>7.4370000000000003</v>
      </c>
      <c r="M432" s="604">
        <v>5943</v>
      </c>
      <c r="N432" s="374">
        <v>0.125</v>
      </c>
      <c r="O432" s="374">
        <v>7.5</v>
      </c>
      <c r="P432" s="374">
        <v>0</v>
      </c>
    </row>
    <row r="433" spans="4:16">
      <c r="D433" s="374" t="s">
        <v>719</v>
      </c>
      <c r="E433" s="374" t="s">
        <v>730</v>
      </c>
      <c r="F433" s="601">
        <v>42338</v>
      </c>
      <c r="G433" s="602">
        <f t="shared" si="12"/>
        <v>2015</v>
      </c>
      <c r="H433" s="602">
        <f t="shared" si="13"/>
        <v>11</v>
      </c>
      <c r="I433" s="374">
        <v>18</v>
      </c>
      <c r="J433" s="374">
        <v>6.0830000000000002</v>
      </c>
      <c r="K433" s="374">
        <v>0</v>
      </c>
      <c r="L433" s="603">
        <v>6.0830000000000002</v>
      </c>
      <c r="M433" s="604">
        <v>6574</v>
      </c>
      <c r="N433" s="374">
        <v>9.2999999999999999E-2</v>
      </c>
      <c r="O433" s="374">
        <v>6.125</v>
      </c>
      <c r="P433" s="374">
        <v>0</v>
      </c>
    </row>
    <row r="434" spans="4:16">
      <c r="D434" s="374" t="s">
        <v>719</v>
      </c>
      <c r="E434" s="374" t="s">
        <v>730</v>
      </c>
      <c r="F434" s="601">
        <v>42355</v>
      </c>
      <c r="G434" s="602">
        <f t="shared" si="12"/>
        <v>2015</v>
      </c>
      <c r="H434" s="602">
        <f t="shared" si="13"/>
        <v>12</v>
      </c>
      <c r="I434" s="374">
        <v>18</v>
      </c>
      <c r="J434" s="374">
        <v>6.4089999999999998</v>
      </c>
      <c r="K434" s="374">
        <v>0</v>
      </c>
      <c r="L434" s="603">
        <v>6.4089999999999998</v>
      </c>
      <c r="M434" s="604">
        <v>6450</v>
      </c>
      <c r="N434" s="374">
        <v>9.9000000000000005E-2</v>
      </c>
      <c r="O434" s="374">
        <v>6.4470000000000001</v>
      </c>
      <c r="P434" s="374">
        <v>0</v>
      </c>
    </row>
    <row r="435" spans="4:16">
      <c r="D435" s="374" t="s">
        <v>728</v>
      </c>
      <c r="E435" s="605" t="s">
        <v>729</v>
      </c>
      <c r="F435" s="606">
        <v>40927</v>
      </c>
      <c r="G435" s="602">
        <f t="shared" si="12"/>
        <v>2012</v>
      </c>
      <c r="H435" s="602">
        <f t="shared" si="13"/>
        <v>1</v>
      </c>
      <c r="I435" s="605">
        <v>19</v>
      </c>
      <c r="J435" s="605">
        <v>3.6920000000000002</v>
      </c>
      <c r="K435" s="605">
        <v>0</v>
      </c>
      <c r="L435" s="607">
        <v>3.6920000000000002</v>
      </c>
      <c r="M435" s="605">
        <v>0</v>
      </c>
      <c r="N435" s="608">
        <v>0</v>
      </c>
      <c r="O435" s="605">
        <v>3.7120000000000002</v>
      </c>
      <c r="P435" s="605">
        <v>0</v>
      </c>
    </row>
    <row r="436" spans="4:16">
      <c r="D436" s="374" t="s">
        <v>728</v>
      </c>
      <c r="E436" s="605" t="s">
        <v>729</v>
      </c>
      <c r="F436" s="606">
        <v>40952</v>
      </c>
      <c r="G436" s="602">
        <f t="shared" si="12"/>
        <v>2012</v>
      </c>
      <c r="H436" s="602">
        <f t="shared" si="13"/>
        <v>2</v>
      </c>
      <c r="I436" s="605">
        <v>19</v>
      </c>
      <c r="J436" s="605">
        <v>3.6349999999999998</v>
      </c>
      <c r="K436" s="605">
        <v>0</v>
      </c>
      <c r="L436" s="607">
        <v>3.6349999999999998</v>
      </c>
      <c r="M436" s="605">
        <v>0</v>
      </c>
      <c r="N436" s="608">
        <v>0</v>
      </c>
      <c r="O436" s="605">
        <v>3.6560000000000001</v>
      </c>
      <c r="P436" s="605">
        <v>0</v>
      </c>
    </row>
    <row r="437" spans="4:16">
      <c r="D437" s="374" t="s">
        <v>728</v>
      </c>
      <c r="E437" s="605" t="s">
        <v>729</v>
      </c>
      <c r="F437" s="606">
        <v>40973</v>
      </c>
      <c r="G437" s="602">
        <f t="shared" si="12"/>
        <v>2012</v>
      </c>
      <c r="H437" s="602">
        <f t="shared" si="13"/>
        <v>3</v>
      </c>
      <c r="I437" s="605">
        <v>8</v>
      </c>
      <c r="J437" s="605">
        <v>3.4940000000000002</v>
      </c>
      <c r="K437" s="605">
        <v>0</v>
      </c>
      <c r="L437" s="607">
        <v>3.4940000000000002</v>
      </c>
      <c r="M437" s="605">
        <v>0</v>
      </c>
      <c r="N437" s="608">
        <v>0</v>
      </c>
      <c r="O437" s="605">
        <v>3.5209999999999999</v>
      </c>
      <c r="P437" s="605">
        <v>0</v>
      </c>
    </row>
    <row r="438" spans="4:16">
      <c r="D438" s="374" t="s">
        <v>728</v>
      </c>
      <c r="E438" s="605" t="s">
        <v>729</v>
      </c>
      <c r="F438" s="606">
        <v>41001</v>
      </c>
      <c r="G438" s="602">
        <f t="shared" si="12"/>
        <v>2012</v>
      </c>
      <c r="H438" s="602">
        <f t="shared" si="13"/>
        <v>4</v>
      </c>
      <c r="I438" s="605">
        <v>21</v>
      </c>
      <c r="J438" s="605">
        <v>2.4409999999999998</v>
      </c>
      <c r="K438" s="605">
        <v>0</v>
      </c>
      <c r="L438" s="607">
        <v>2.4409999999999998</v>
      </c>
      <c r="M438" s="605">
        <v>0</v>
      </c>
      <c r="N438" s="608">
        <v>0</v>
      </c>
      <c r="O438" s="605">
        <v>2.46</v>
      </c>
      <c r="P438" s="605">
        <v>0</v>
      </c>
    </row>
    <row r="439" spans="4:16">
      <c r="D439" s="374" t="s">
        <v>728</v>
      </c>
      <c r="E439" s="605" t="s">
        <v>729</v>
      </c>
      <c r="F439" s="606">
        <v>41053</v>
      </c>
      <c r="G439" s="602">
        <f t="shared" si="12"/>
        <v>2012</v>
      </c>
      <c r="H439" s="602">
        <f t="shared" si="13"/>
        <v>5</v>
      </c>
      <c r="I439" s="605">
        <v>14</v>
      </c>
      <c r="J439" s="605">
        <v>2.1840000000000002</v>
      </c>
      <c r="K439" s="605">
        <v>0</v>
      </c>
      <c r="L439" s="607">
        <v>2.1840000000000002</v>
      </c>
      <c r="M439" s="605">
        <v>0</v>
      </c>
      <c r="N439" s="608">
        <v>0</v>
      </c>
      <c r="O439" s="605">
        <v>2.2040000000000002</v>
      </c>
      <c r="P439" s="605">
        <v>0</v>
      </c>
    </row>
    <row r="440" spans="4:16">
      <c r="D440" s="374" t="s">
        <v>728</v>
      </c>
      <c r="E440" s="605" t="s">
        <v>729</v>
      </c>
      <c r="F440" s="606">
        <v>41087</v>
      </c>
      <c r="G440" s="602">
        <f t="shared" si="12"/>
        <v>2012</v>
      </c>
      <c r="H440" s="602">
        <f t="shared" si="13"/>
        <v>6</v>
      </c>
      <c r="I440" s="605">
        <v>17</v>
      </c>
      <c r="J440" s="605">
        <v>4.0720000000000001</v>
      </c>
      <c r="K440" s="605">
        <v>0</v>
      </c>
      <c r="L440" s="607">
        <v>4.0720000000000001</v>
      </c>
      <c r="M440" s="605">
        <v>0</v>
      </c>
      <c r="N440" s="608">
        <v>0</v>
      </c>
      <c r="O440" s="605">
        <v>4.0949999999999998</v>
      </c>
      <c r="P440" s="605">
        <v>0</v>
      </c>
    </row>
    <row r="441" spans="4:16">
      <c r="D441" s="374" t="s">
        <v>728</v>
      </c>
      <c r="E441" s="605" t="s">
        <v>729</v>
      </c>
      <c r="F441" s="606">
        <v>41115</v>
      </c>
      <c r="G441" s="602">
        <f t="shared" si="12"/>
        <v>2012</v>
      </c>
      <c r="H441" s="602">
        <f t="shared" si="13"/>
        <v>7</v>
      </c>
      <c r="I441" s="605">
        <v>17</v>
      </c>
      <c r="J441" s="605">
        <v>4.2</v>
      </c>
      <c r="K441" s="605">
        <v>0</v>
      </c>
      <c r="L441" s="607">
        <v>4.2</v>
      </c>
      <c r="M441" s="605">
        <v>0</v>
      </c>
      <c r="N441" s="608">
        <v>0</v>
      </c>
      <c r="O441" s="605">
        <v>4.2149999999999999</v>
      </c>
      <c r="P441" s="605">
        <v>0</v>
      </c>
    </row>
    <row r="442" spans="4:16">
      <c r="D442" s="374" t="s">
        <v>728</v>
      </c>
      <c r="E442" s="605" t="s">
        <v>729</v>
      </c>
      <c r="F442" s="606">
        <v>41124</v>
      </c>
      <c r="G442" s="602">
        <f t="shared" si="12"/>
        <v>2012</v>
      </c>
      <c r="H442" s="602">
        <f t="shared" si="13"/>
        <v>8</v>
      </c>
      <c r="I442" s="605">
        <v>17</v>
      </c>
      <c r="J442" s="605">
        <v>4.0919999999999996</v>
      </c>
      <c r="K442" s="605">
        <v>0</v>
      </c>
      <c r="L442" s="607">
        <v>4.0919999999999996</v>
      </c>
      <c r="M442" s="605">
        <v>0</v>
      </c>
      <c r="N442" s="608">
        <v>0</v>
      </c>
      <c r="O442" s="605">
        <v>4.1159999999999997</v>
      </c>
      <c r="P442" s="605">
        <v>0</v>
      </c>
    </row>
    <row r="443" spans="4:16">
      <c r="D443" s="374" t="s">
        <v>728</v>
      </c>
      <c r="E443" s="605" t="s">
        <v>729</v>
      </c>
      <c r="F443" s="606">
        <v>41156</v>
      </c>
      <c r="G443" s="602">
        <f t="shared" si="12"/>
        <v>2012</v>
      </c>
      <c r="H443" s="602">
        <f t="shared" si="13"/>
        <v>9</v>
      </c>
      <c r="I443" s="605">
        <v>17</v>
      </c>
      <c r="J443" s="605">
        <v>4.0730000000000004</v>
      </c>
      <c r="K443" s="605">
        <v>0</v>
      </c>
      <c r="L443" s="607">
        <v>4.0730000000000004</v>
      </c>
      <c r="M443" s="605">
        <v>0</v>
      </c>
      <c r="N443" s="608">
        <v>0</v>
      </c>
      <c r="O443" s="605">
        <v>4.1029999999999998</v>
      </c>
      <c r="P443" s="605">
        <v>0</v>
      </c>
    </row>
    <row r="444" spans="4:16">
      <c r="D444" s="374" t="s">
        <v>728</v>
      </c>
      <c r="E444" s="605" t="s">
        <v>729</v>
      </c>
      <c r="F444" s="606">
        <v>41211</v>
      </c>
      <c r="G444" s="602">
        <f t="shared" si="12"/>
        <v>2012</v>
      </c>
      <c r="H444" s="602">
        <f t="shared" si="13"/>
        <v>10</v>
      </c>
      <c r="I444" s="605">
        <v>8</v>
      </c>
      <c r="J444" s="605">
        <v>2.4820000000000002</v>
      </c>
      <c r="K444" s="605">
        <v>0</v>
      </c>
      <c r="L444" s="607">
        <v>2.4820000000000002</v>
      </c>
      <c r="M444" s="605">
        <v>0</v>
      </c>
      <c r="N444" s="608">
        <v>0</v>
      </c>
      <c r="O444" s="605">
        <v>2.4980000000000002</v>
      </c>
      <c r="P444" s="605">
        <v>0</v>
      </c>
    </row>
    <row r="445" spans="4:16">
      <c r="D445" s="374" t="s">
        <v>728</v>
      </c>
      <c r="E445" s="605" t="s">
        <v>729</v>
      </c>
      <c r="F445" s="606">
        <v>41225</v>
      </c>
      <c r="G445" s="602">
        <f t="shared" si="12"/>
        <v>2012</v>
      </c>
      <c r="H445" s="602">
        <f t="shared" si="13"/>
        <v>11</v>
      </c>
      <c r="I445" s="605">
        <v>18</v>
      </c>
      <c r="J445" s="605">
        <v>3.12</v>
      </c>
      <c r="K445" s="605">
        <v>0</v>
      </c>
      <c r="L445" s="607">
        <v>3.12</v>
      </c>
      <c r="M445" s="605">
        <v>0</v>
      </c>
      <c r="N445" s="608">
        <v>0</v>
      </c>
      <c r="O445" s="605">
        <v>3.137</v>
      </c>
      <c r="P445" s="605">
        <v>0</v>
      </c>
    </row>
    <row r="446" spans="4:16">
      <c r="D446" s="374" t="s">
        <v>728</v>
      </c>
      <c r="E446" s="605" t="s">
        <v>729</v>
      </c>
      <c r="F446" s="606">
        <v>41263</v>
      </c>
      <c r="G446" s="602">
        <f t="shared" si="12"/>
        <v>2012</v>
      </c>
      <c r="H446" s="602">
        <f t="shared" si="13"/>
        <v>12</v>
      </c>
      <c r="I446" s="605">
        <v>18</v>
      </c>
      <c r="J446" s="605">
        <v>2.5990000000000002</v>
      </c>
      <c r="K446" s="605">
        <v>0</v>
      </c>
      <c r="L446" s="607">
        <v>2.5990000000000002</v>
      </c>
      <c r="M446" s="605">
        <v>0</v>
      </c>
      <c r="N446" s="608">
        <v>0</v>
      </c>
      <c r="O446" s="605">
        <v>2.6190000000000002</v>
      </c>
      <c r="P446" s="605">
        <v>0</v>
      </c>
    </row>
    <row r="447" spans="4:16">
      <c r="D447" s="374" t="s">
        <v>728</v>
      </c>
      <c r="E447" s="605" t="s">
        <v>729</v>
      </c>
      <c r="F447" s="606">
        <v>41305</v>
      </c>
      <c r="G447" s="602">
        <f t="shared" si="12"/>
        <v>2013</v>
      </c>
      <c r="H447" s="602">
        <f t="shared" si="13"/>
        <v>1</v>
      </c>
      <c r="I447" s="605">
        <v>19</v>
      </c>
      <c r="J447" s="605">
        <v>3.3</v>
      </c>
      <c r="K447" s="605">
        <v>0</v>
      </c>
      <c r="L447" s="607">
        <v>3.3</v>
      </c>
      <c r="M447" s="605">
        <v>0</v>
      </c>
      <c r="N447" s="608">
        <v>0</v>
      </c>
      <c r="O447" s="605">
        <v>3.3029999999999999</v>
      </c>
      <c r="P447" s="605">
        <v>0</v>
      </c>
    </row>
    <row r="448" spans="4:16">
      <c r="D448" s="374" t="s">
        <v>728</v>
      </c>
      <c r="E448" s="605" t="s">
        <v>729</v>
      </c>
      <c r="F448" s="606">
        <v>41306</v>
      </c>
      <c r="G448" s="602">
        <f t="shared" si="12"/>
        <v>2013</v>
      </c>
      <c r="H448" s="602">
        <f t="shared" si="13"/>
        <v>2</v>
      </c>
      <c r="I448" s="605">
        <v>8</v>
      </c>
      <c r="J448" s="605">
        <v>3.8039999999999998</v>
      </c>
      <c r="K448" s="605">
        <v>0</v>
      </c>
      <c r="L448" s="607">
        <v>3.8039999999999998</v>
      </c>
      <c r="M448" s="605">
        <v>0</v>
      </c>
      <c r="N448" s="608">
        <v>0</v>
      </c>
      <c r="O448" s="605">
        <v>3.8239999999999998</v>
      </c>
      <c r="P448" s="605">
        <v>0</v>
      </c>
    </row>
    <row r="449" spans="4:16">
      <c r="D449" s="374" t="s">
        <v>728</v>
      </c>
      <c r="E449" s="605" t="s">
        <v>729</v>
      </c>
      <c r="F449" s="606">
        <v>41354</v>
      </c>
      <c r="G449" s="602">
        <f t="shared" si="12"/>
        <v>2013</v>
      </c>
      <c r="H449" s="602">
        <f t="shared" si="13"/>
        <v>3</v>
      </c>
      <c r="I449" s="605">
        <v>8</v>
      </c>
      <c r="J449" s="605">
        <v>3.3069999999999999</v>
      </c>
      <c r="K449" s="605">
        <v>0</v>
      </c>
      <c r="L449" s="607">
        <v>3.3069999999999999</v>
      </c>
      <c r="M449" s="605">
        <v>0</v>
      </c>
      <c r="N449" s="608">
        <v>0</v>
      </c>
      <c r="O449" s="605">
        <v>3.34</v>
      </c>
      <c r="P449" s="605">
        <v>0</v>
      </c>
    </row>
    <row r="450" spans="4:16">
      <c r="D450" s="374" t="s">
        <v>728</v>
      </c>
      <c r="E450" s="605" t="s">
        <v>729</v>
      </c>
      <c r="F450" s="606">
        <v>41366</v>
      </c>
      <c r="G450" s="602">
        <f t="shared" si="12"/>
        <v>2013</v>
      </c>
      <c r="H450" s="602">
        <f t="shared" si="13"/>
        <v>4</v>
      </c>
      <c r="I450" s="605">
        <v>8</v>
      </c>
      <c r="J450" s="605">
        <v>3.2160000000000002</v>
      </c>
      <c r="K450" s="605">
        <v>0</v>
      </c>
      <c r="L450" s="607">
        <v>3.2160000000000002</v>
      </c>
      <c r="M450" s="605">
        <v>0</v>
      </c>
      <c r="N450" s="608">
        <v>0</v>
      </c>
      <c r="O450" s="605">
        <v>3.2480000000000002</v>
      </c>
      <c r="P450" s="605">
        <v>0</v>
      </c>
    </row>
    <row r="451" spans="4:16">
      <c r="D451" s="374" t="s">
        <v>728</v>
      </c>
      <c r="E451" s="605" t="s">
        <v>729</v>
      </c>
      <c r="F451" s="606">
        <v>41424</v>
      </c>
      <c r="G451" s="602">
        <f t="shared" ref="G451:G514" si="14">YEAR(F451)</f>
        <v>2013</v>
      </c>
      <c r="H451" s="602">
        <f t="shared" ref="H451:H514" si="15">MONTH(F451)</f>
        <v>5</v>
      </c>
      <c r="I451" s="605">
        <v>12</v>
      </c>
      <c r="J451" s="605">
        <v>2.0579999999999998</v>
      </c>
      <c r="K451" s="605">
        <v>0</v>
      </c>
      <c r="L451" s="607">
        <v>2.0579999999999998</v>
      </c>
      <c r="M451" s="605">
        <v>0</v>
      </c>
      <c r="N451" s="608">
        <v>0</v>
      </c>
      <c r="O451" s="605">
        <v>2.0550000000000002</v>
      </c>
      <c r="P451" s="605">
        <v>0</v>
      </c>
    </row>
    <row r="452" spans="4:16">
      <c r="D452" s="374" t="s">
        <v>728</v>
      </c>
      <c r="E452" s="605" t="s">
        <v>729</v>
      </c>
      <c r="F452" s="606">
        <v>41451</v>
      </c>
      <c r="G452" s="602">
        <f t="shared" si="14"/>
        <v>2013</v>
      </c>
      <c r="H452" s="602">
        <f t="shared" si="15"/>
        <v>6</v>
      </c>
      <c r="I452" s="605">
        <v>17</v>
      </c>
      <c r="J452" s="605">
        <v>3.53</v>
      </c>
      <c r="K452" s="605">
        <v>0</v>
      </c>
      <c r="L452" s="607">
        <v>3.53</v>
      </c>
      <c r="M452" s="605">
        <v>0</v>
      </c>
      <c r="N452" s="608">
        <v>0</v>
      </c>
      <c r="O452" s="605">
        <v>3.5289999999999999</v>
      </c>
      <c r="P452" s="605">
        <v>0</v>
      </c>
    </row>
    <row r="453" spans="4:16">
      <c r="D453" s="374" t="s">
        <v>728</v>
      </c>
      <c r="E453" s="605" t="s">
        <v>729</v>
      </c>
      <c r="F453" s="606">
        <v>41472</v>
      </c>
      <c r="G453" s="602">
        <f t="shared" si="14"/>
        <v>2013</v>
      </c>
      <c r="H453" s="602">
        <f t="shared" si="15"/>
        <v>7</v>
      </c>
      <c r="I453" s="605">
        <v>17</v>
      </c>
      <c r="J453" s="605">
        <v>4.91</v>
      </c>
      <c r="K453" s="605">
        <v>0</v>
      </c>
      <c r="L453" s="607">
        <v>4.91</v>
      </c>
      <c r="M453" s="605">
        <v>0</v>
      </c>
      <c r="N453" s="608">
        <v>0</v>
      </c>
      <c r="O453" s="605">
        <v>4.92</v>
      </c>
      <c r="P453" s="605">
        <v>0</v>
      </c>
    </row>
    <row r="454" spans="4:16">
      <c r="D454" s="374" t="s">
        <v>728</v>
      </c>
      <c r="E454" s="605" t="s">
        <v>729</v>
      </c>
      <c r="F454" s="606">
        <v>41516</v>
      </c>
      <c r="G454" s="602">
        <f t="shared" si="14"/>
        <v>2013</v>
      </c>
      <c r="H454" s="602">
        <f t="shared" si="15"/>
        <v>8</v>
      </c>
      <c r="I454" s="605">
        <v>16</v>
      </c>
      <c r="J454" s="605">
        <v>4.1420000000000003</v>
      </c>
      <c r="K454" s="605">
        <v>0</v>
      </c>
      <c r="L454" s="607">
        <v>4.1420000000000003</v>
      </c>
      <c r="M454" s="605">
        <v>0</v>
      </c>
      <c r="N454" s="608">
        <v>0</v>
      </c>
      <c r="O454" s="605">
        <v>4.1440000000000001</v>
      </c>
      <c r="P454" s="605">
        <v>0</v>
      </c>
    </row>
    <row r="455" spans="4:16">
      <c r="D455" s="374" t="s">
        <v>728</v>
      </c>
      <c r="E455" s="605" t="s">
        <v>729</v>
      </c>
      <c r="F455" s="606">
        <v>41526</v>
      </c>
      <c r="G455" s="602">
        <f t="shared" si="14"/>
        <v>2013</v>
      </c>
      <c r="H455" s="602">
        <f t="shared" si="15"/>
        <v>9</v>
      </c>
      <c r="I455" s="605">
        <v>17</v>
      </c>
      <c r="J455" s="605">
        <v>3.7069999999999999</v>
      </c>
      <c r="K455" s="605">
        <v>0</v>
      </c>
      <c r="L455" s="607">
        <v>3.7069999999999999</v>
      </c>
      <c r="M455" s="605">
        <v>0</v>
      </c>
      <c r="N455" s="608">
        <v>0</v>
      </c>
      <c r="O455" s="605">
        <v>3.6960000000000002</v>
      </c>
      <c r="P455" s="605">
        <v>0</v>
      </c>
    </row>
    <row r="456" spans="4:16">
      <c r="D456" s="374" t="s">
        <v>728</v>
      </c>
      <c r="E456" s="605" t="s">
        <v>729</v>
      </c>
      <c r="F456" s="606">
        <v>41571</v>
      </c>
      <c r="G456" s="602">
        <f t="shared" si="14"/>
        <v>2013</v>
      </c>
      <c r="H456" s="602">
        <f t="shared" si="15"/>
        <v>10</v>
      </c>
      <c r="I456" s="605">
        <v>20</v>
      </c>
      <c r="J456" s="605">
        <v>3.2669999999999999</v>
      </c>
      <c r="K456" s="605">
        <v>0</v>
      </c>
      <c r="L456" s="607">
        <v>3.2669999999999999</v>
      </c>
      <c r="M456" s="605">
        <v>0</v>
      </c>
      <c r="N456" s="608">
        <v>0</v>
      </c>
      <c r="O456" s="605">
        <v>3.2360000000000002</v>
      </c>
      <c r="P456" s="605">
        <v>0</v>
      </c>
    </row>
    <row r="457" spans="4:16">
      <c r="D457" s="374" t="s">
        <v>728</v>
      </c>
      <c r="E457" s="605" t="s">
        <v>729</v>
      </c>
      <c r="F457" s="606">
        <v>41590</v>
      </c>
      <c r="G457" s="602">
        <f t="shared" si="14"/>
        <v>2013</v>
      </c>
      <c r="H457" s="602">
        <f t="shared" si="15"/>
        <v>11</v>
      </c>
      <c r="I457" s="605">
        <v>19</v>
      </c>
      <c r="J457" s="605">
        <v>3.4470000000000001</v>
      </c>
      <c r="K457" s="605">
        <v>0</v>
      </c>
      <c r="L457" s="607">
        <v>3.4470000000000001</v>
      </c>
      <c r="M457" s="605">
        <v>0</v>
      </c>
      <c r="N457" s="608">
        <v>0</v>
      </c>
      <c r="O457" s="605">
        <v>3.3849999999999998</v>
      </c>
      <c r="P457" s="605">
        <v>0</v>
      </c>
    </row>
    <row r="458" spans="4:16">
      <c r="D458" s="374" t="s">
        <v>728</v>
      </c>
      <c r="E458" s="605" t="s">
        <v>729</v>
      </c>
      <c r="F458" s="606">
        <v>41619</v>
      </c>
      <c r="G458" s="602">
        <f t="shared" si="14"/>
        <v>2013</v>
      </c>
      <c r="H458" s="602">
        <f t="shared" si="15"/>
        <v>12</v>
      </c>
      <c r="I458" s="605">
        <v>18</v>
      </c>
      <c r="J458" s="605">
        <v>3.452</v>
      </c>
      <c r="K458" s="605">
        <v>0</v>
      </c>
      <c r="L458" s="607">
        <v>3.452</v>
      </c>
      <c r="M458" s="605">
        <v>0</v>
      </c>
      <c r="N458" s="608">
        <v>0</v>
      </c>
      <c r="O458" s="605">
        <v>3.3839999999999999</v>
      </c>
      <c r="P458" s="605">
        <v>0</v>
      </c>
    </row>
    <row r="459" spans="4:16">
      <c r="D459" s="374" t="s">
        <v>728</v>
      </c>
      <c r="E459" s="374" t="s">
        <v>729</v>
      </c>
      <c r="F459" s="601">
        <v>41645</v>
      </c>
      <c r="G459" s="602">
        <f t="shared" si="14"/>
        <v>2014</v>
      </c>
      <c r="H459" s="602">
        <f t="shared" si="15"/>
        <v>1</v>
      </c>
      <c r="I459" s="374">
        <v>18</v>
      </c>
      <c r="J459" s="374">
        <v>3.4729999999999999</v>
      </c>
      <c r="K459" s="374">
        <v>0</v>
      </c>
      <c r="L459" s="603">
        <v>3.4729999999999999</v>
      </c>
      <c r="M459" s="374">
        <v>0</v>
      </c>
      <c r="N459" s="374">
        <v>0</v>
      </c>
      <c r="O459" s="374">
        <v>3.4159999999999999</v>
      </c>
      <c r="P459" s="374">
        <v>0</v>
      </c>
    </row>
    <row r="460" spans="4:16">
      <c r="D460" s="374" t="s">
        <v>728</v>
      </c>
      <c r="E460" s="374" t="s">
        <v>729</v>
      </c>
      <c r="F460" s="601">
        <v>41681</v>
      </c>
      <c r="G460" s="602">
        <f t="shared" si="14"/>
        <v>2014</v>
      </c>
      <c r="H460" s="602">
        <f t="shared" si="15"/>
        <v>2</v>
      </c>
      <c r="I460" s="374">
        <v>8</v>
      </c>
      <c r="J460" s="374">
        <v>3.0830000000000002</v>
      </c>
      <c r="K460" s="374">
        <v>0</v>
      </c>
      <c r="L460" s="603">
        <v>3.0830000000000002</v>
      </c>
      <c r="M460" s="374">
        <v>0</v>
      </c>
      <c r="N460" s="374">
        <v>0</v>
      </c>
      <c r="O460" s="374">
        <v>3.0259999999999998</v>
      </c>
      <c r="P460" s="374">
        <v>0</v>
      </c>
    </row>
    <row r="461" spans="4:16">
      <c r="D461" s="374" t="s">
        <v>728</v>
      </c>
      <c r="E461" s="374" t="s">
        <v>729</v>
      </c>
      <c r="F461" s="601">
        <v>41701</v>
      </c>
      <c r="G461" s="602">
        <f t="shared" si="14"/>
        <v>2014</v>
      </c>
      <c r="H461" s="602">
        <f t="shared" si="15"/>
        <v>3</v>
      </c>
      <c r="I461" s="374">
        <v>8</v>
      </c>
      <c r="J461" s="374">
        <v>4.2930000000000001</v>
      </c>
      <c r="K461" s="374">
        <v>0</v>
      </c>
      <c r="L461" s="603">
        <v>4.2930000000000001</v>
      </c>
      <c r="M461" s="374">
        <v>0</v>
      </c>
      <c r="N461" s="374">
        <v>0</v>
      </c>
      <c r="O461" s="374">
        <v>4.165</v>
      </c>
      <c r="P461" s="374">
        <v>0</v>
      </c>
    </row>
    <row r="462" spans="4:16">
      <c r="D462" s="374" t="s">
        <v>728</v>
      </c>
      <c r="E462" s="374" t="s">
        <v>729</v>
      </c>
      <c r="F462" s="601">
        <v>41730</v>
      </c>
      <c r="G462" s="602">
        <f t="shared" si="14"/>
        <v>2014</v>
      </c>
      <c r="H462" s="602">
        <f t="shared" si="15"/>
        <v>4</v>
      </c>
      <c r="I462" s="374">
        <v>9</v>
      </c>
      <c r="J462" s="374">
        <v>2.516</v>
      </c>
      <c r="K462" s="374">
        <v>0</v>
      </c>
      <c r="L462" s="603">
        <v>2.516</v>
      </c>
      <c r="M462" s="374">
        <v>0</v>
      </c>
      <c r="N462" s="374">
        <v>0</v>
      </c>
      <c r="O462" s="374">
        <v>2.4420000000000002</v>
      </c>
      <c r="P462" s="374">
        <v>0</v>
      </c>
    </row>
    <row r="463" spans="4:16">
      <c r="D463" s="374" t="s">
        <v>728</v>
      </c>
      <c r="E463" s="374" t="s">
        <v>729</v>
      </c>
      <c r="F463" s="601">
        <v>41789</v>
      </c>
      <c r="G463" s="602">
        <f t="shared" si="14"/>
        <v>2014</v>
      </c>
      <c r="H463" s="602">
        <f t="shared" si="15"/>
        <v>5</v>
      </c>
      <c r="I463" s="374">
        <v>17</v>
      </c>
      <c r="J463" s="374">
        <v>2.8050000000000002</v>
      </c>
      <c r="K463" s="374">
        <v>0</v>
      </c>
      <c r="L463" s="603">
        <v>2.8050000000000002</v>
      </c>
      <c r="M463" s="374">
        <v>0</v>
      </c>
      <c r="N463" s="374">
        <v>0</v>
      </c>
      <c r="O463" s="374">
        <v>2.7080000000000002</v>
      </c>
      <c r="P463" s="374">
        <v>0</v>
      </c>
    </row>
    <row r="464" spans="4:16">
      <c r="D464" s="374" t="s">
        <v>728</v>
      </c>
      <c r="E464" s="374" t="s">
        <v>729</v>
      </c>
      <c r="F464" s="601">
        <v>41808</v>
      </c>
      <c r="G464" s="602">
        <f t="shared" si="14"/>
        <v>2014</v>
      </c>
      <c r="H464" s="602">
        <f t="shared" si="15"/>
        <v>6</v>
      </c>
      <c r="I464" s="374">
        <v>18</v>
      </c>
      <c r="J464" s="374">
        <v>3.181</v>
      </c>
      <c r="K464" s="374">
        <v>0</v>
      </c>
      <c r="L464" s="603">
        <v>3.181</v>
      </c>
      <c r="M464" s="374">
        <v>0</v>
      </c>
      <c r="N464" s="374">
        <v>0</v>
      </c>
      <c r="O464" s="374">
        <v>3.0790000000000002</v>
      </c>
      <c r="P464" s="374">
        <v>0</v>
      </c>
    </row>
    <row r="465" spans="4:16">
      <c r="D465" s="374" t="s">
        <v>728</v>
      </c>
      <c r="E465" s="374" t="s">
        <v>729</v>
      </c>
      <c r="F465" s="601">
        <v>41842</v>
      </c>
      <c r="G465" s="602">
        <f t="shared" si="14"/>
        <v>2014</v>
      </c>
      <c r="H465" s="602">
        <f t="shared" si="15"/>
        <v>7</v>
      </c>
      <c r="I465" s="374">
        <v>17</v>
      </c>
      <c r="J465" s="374">
        <v>3.5920000000000001</v>
      </c>
      <c r="K465" s="374">
        <v>0</v>
      </c>
      <c r="L465" s="603">
        <v>3.5920000000000001</v>
      </c>
      <c r="M465" s="374">
        <v>0</v>
      </c>
      <c r="N465" s="374">
        <v>0</v>
      </c>
      <c r="O465" s="374">
        <v>3.51</v>
      </c>
      <c r="P465" s="374">
        <v>0</v>
      </c>
    </row>
    <row r="466" spans="4:16">
      <c r="D466" s="374" t="s">
        <v>728</v>
      </c>
      <c r="E466" s="374" t="s">
        <v>729</v>
      </c>
      <c r="F466" s="601">
        <v>41876</v>
      </c>
      <c r="G466" s="602">
        <f t="shared" si="14"/>
        <v>2014</v>
      </c>
      <c r="H466" s="602">
        <f t="shared" si="15"/>
        <v>8</v>
      </c>
      <c r="I466" s="374">
        <v>17</v>
      </c>
      <c r="J466" s="374">
        <v>3.379</v>
      </c>
      <c r="K466" s="374">
        <v>0</v>
      </c>
      <c r="L466" s="603">
        <v>3.379</v>
      </c>
      <c r="M466" s="374">
        <v>0</v>
      </c>
      <c r="N466" s="374">
        <v>0</v>
      </c>
      <c r="O466" s="374">
        <v>3.3919999999999999</v>
      </c>
      <c r="P466" s="374">
        <v>0</v>
      </c>
    </row>
    <row r="467" spans="4:16">
      <c r="D467" s="374" t="s">
        <v>728</v>
      </c>
      <c r="E467" s="374" t="s">
        <v>729</v>
      </c>
      <c r="F467" s="601">
        <v>41886</v>
      </c>
      <c r="G467" s="602">
        <f t="shared" si="14"/>
        <v>2014</v>
      </c>
      <c r="H467" s="602">
        <f t="shared" si="15"/>
        <v>9</v>
      </c>
      <c r="I467" s="374">
        <v>17</v>
      </c>
      <c r="J467" s="374">
        <v>3.8220000000000001</v>
      </c>
      <c r="K467" s="374">
        <v>0</v>
      </c>
      <c r="L467" s="603">
        <v>3.8220000000000001</v>
      </c>
      <c r="M467" s="374">
        <v>0</v>
      </c>
      <c r="N467" s="374">
        <v>0</v>
      </c>
      <c r="O467" s="374">
        <v>3.8719999999999999</v>
      </c>
      <c r="P467" s="374">
        <v>0</v>
      </c>
    </row>
    <row r="468" spans="4:16">
      <c r="D468" s="374" t="s">
        <v>728</v>
      </c>
      <c r="E468" s="374" t="s">
        <v>729</v>
      </c>
      <c r="F468" s="601">
        <v>41939</v>
      </c>
      <c r="G468" s="602">
        <f t="shared" si="14"/>
        <v>2014</v>
      </c>
      <c r="H468" s="602">
        <f t="shared" si="15"/>
        <v>10</v>
      </c>
      <c r="I468" s="374">
        <v>19</v>
      </c>
      <c r="J468" s="374">
        <v>2.9649999999999999</v>
      </c>
      <c r="K468" s="374">
        <v>0</v>
      </c>
      <c r="L468" s="603">
        <v>2.9649999999999999</v>
      </c>
      <c r="M468" s="604">
        <v>2906</v>
      </c>
      <c r="N468" s="374">
        <v>0.10199999999999999</v>
      </c>
      <c r="O468" s="374">
        <v>2.9609999999999999</v>
      </c>
      <c r="P468" s="374">
        <v>0</v>
      </c>
    </row>
    <row r="469" spans="4:16">
      <c r="D469" s="374" t="s">
        <v>728</v>
      </c>
      <c r="E469" s="374" t="s">
        <v>729</v>
      </c>
      <c r="F469" s="601">
        <v>41960</v>
      </c>
      <c r="G469" s="602">
        <f t="shared" si="14"/>
        <v>2014</v>
      </c>
      <c r="H469" s="602">
        <f t="shared" si="15"/>
        <v>11</v>
      </c>
      <c r="I469" s="374">
        <v>18</v>
      </c>
      <c r="J469" s="374">
        <v>2.6760000000000002</v>
      </c>
      <c r="K469" s="374">
        <v>0</v>
      </c>
      <c r="L469" s="603">
        <v>2.6760000000000002</v>
      </c>
      <c r="M469" s="374">
        <v>0</v>
      </c>
      <c r="N469" s="374">
        <v>0</v>
      </c>
      <c r="O469" s="374">
        <v>2.6709999999999998</v>
      </c>
      <c r="P469" s="374">
        <v>0</v>
      </c>
    </row>
    <row r="470" spans="4:16">
      <c r="D470" s="374" t="s">
        <v>728</v>
      </c>
      <c r="E470" s="374" t="s">
        <v>729</v>
      </c>
      <c r="F470" s="601">
        <v>41974</v>
      </c>
      <c r="G470" s="602">
        <f t="shared" si="14"/>
        <v>2014</v>
      </c>
      <c r="H470" s="602">
        <f t="shared" si="15"/>
        <v>12</v>
      </c>
      <c r="I470" s="374">
        <v>19</v>
      </c>
      <c r="J470" s="374">
        <v>3.14</v>
      </c>
      <c r="K470" s="374">
        <v>0</v>
      </c>
      <c r="L470" s="603">
        <v>3.14</v>
      </c>
      <c r="M470" s="374">
        <v>0</v>
      </c>
      <c r="N470" s="374">
        <v>0</v>
      </c>
      <c r="O470" s="374">
        <v>3.1480000000000001</v>
      </c>
      <c r="P470" s="374">
        <v>0</v>
      </c>
    </row>
    <row r="471" spans="4:16">
      <c r="D471" s="374" t="s">
        <v>728</v>
      </c>
      <c r="E471" s="374" t="s">
        <v>729</v>
      </c>
      <c r="F471" s="601">
        <v>42011</v>
      </c>
      <c r="G471" s="602">
        <f t="shared" si="14"/>
        <v>2015</v>
      </c>
      <c r="H471" s="602">
        <f t="shared" si="15"/>
        <v>1</v>
      </c>
      <c r="I471" s="374">
        <v>19</v>
      </c>
      <c r="J471" s="374">
        <v>3.02</v>
      </c>
      <c r="K471" s="374">
        <v>0</v>
      </c>
      <c r="L471" s="603">
        <v>3.02</v>
      </c>
      <c r="M471" s="604">
        <v>3438</v>
      </c>
      <c r="N471" s="374">
        <v>8.7999999999999995E-2</v>
      </c>
      <c r="O471" s="374">
        <v>3.0289999999999999</v>
      </c>
      <c r="P471" s="374">
        <v>0</v>
      </c>
    </row>
    <row r="472" spans="4:16">
      <c r="D472" s="374" t="s">
        <v>728</v>
      </c>
      <c r="E472" s="374" t="s">
        <v>729</v>
      </c>
      <c r="F472" s="601">
        <v>42053</v>
      </c>
      <c r="G472" s="602">
        <f t="shared" si="14"/>
        <v>2015</v>
      </c>
      <c r="H472" s="602">
        <f t="shared" si="15"/>
        <v>2</v>
      </c>
      <c r="I472" s="374">
        <v>19</v>
      </c>
      <c r="J472" s="374">
        <v>3.3170000000000002</v>
      </c>
      <c r="K472" s="374">
        <v>0</v>
      </c>
      <c r="L472" s="603">
        <v>3.3170000000000002</v>
      </c>
      <c r="M472" s="604">
        <v>3305</v>
      </c>
      <c r="N472" s="374">
        <v>0.1</v>
      </c>
      <c r="O472" s="374">
        <v>3.2869999999999999</v>
      </c>
      <c r="P472" s="374">
        <v>0</v>
      </c>
    </row>
    <row r="473" spans="4:16">
      <c r="D473" s="374" t="s">
        <v>728</v>
      </c>
      <c r="E473" s="374" t="s">
        <v>729</v>
      </c>
      <c r="F473" s="601">
        <v>42067</v>
      </c>
      <c r="G473" s="602">
        <f t="shared" si="14"/>
        <v>2015</v>
      </c>
      <c r="H473" s="602">
        <f t="shared" si="15"/>
        <v>3</v>
      </c>
      <c r="I473" s="374">
        <v>9</v>
      </c>
      <c r="J473" s="374">
        <v>3.3220000000000001</v>
      </c>
      <c r="K473" s="374">
        <v>0</v>
      </c>
      <c r="L473" s="603">
        <v>3.3220000000000001</v>
      </c>
      <c r="M473" s="374">
        <v>0</v>
      </c>
      <c r="N473" s="374">
        <v>0</v>
      </c>
      <c r="O473" s="374">
        <v>3.2749999999999999</v>
      </c>
      <c r="P473" s="374">
        <v>0</v>
      </c>
    </row>
    <row r="474" spans="4:16">
      <c r="D474" s="374" t="s">
        <v>728</v>
      </c>
      <c r="E474" s="374" t="s">
        <v>729</v>
      </c>
      <c r="F474" s="601">
        <v>42103</v>
      </c>
      <c r="G474" s="602">
        <f t="shared" si="14"/>
        <v>2015</v>
      </c>
      <c r="H474" s="602">
        <f t="shared" si="15"/>
        <v>4</v>
      </c>
      <c r="I474" s="374">
        <v>11</v>
      </c>
      <c r="J474" s="374">
        <v>2.3029999999999999</v>
      </c>
      <c r="K474" s="374">
        <v>0</v>
      </c>
      <c r="L474" s="603">
        <v>2.3029999999999999</v>
      </c>
      <c r="M474" s="374">
        <v>0</v>
      </c>
      <c r="N474" s="374">
        <v>0</v>
      </c>
      <c r="O474" s="374">
        <v>2.2959999999999998</v>
      </c>
      <c r="P474" s="374">
        <v>0</v>
      </c>
    </row>
    <row r="475" spans="4:16">
      <c r="D475" s="374" t="s">
        <v>728</v>
      </c>
      <c r="E475" s="374" t="s">
        <v>729</v>
      </c>
      <c r="F475" s="601">
        <v>42152</v>
      </c>
      <c r="G475" s="602">
        <f t="shared" si="14"/>
        <v>2015</v>
      </c>
      <c r="H475" s="602">
        <f t="shared" si="15"/>
        <v>5</v>
      </c>
      <c r="I475" s="374">
        <v>15</v>
      </c>
      <c r="J475" s="374">
        <v>2.4489999999999998</v>
      </c>
      <c r="K475" s="374">
        <v>0</v>
      </c>
      <c r="L475" s="603">
        <v>2.4489999999999998</v>
      </c>
      <c r="M475" s="374">
        <v>0</v>
      </c>
      <c r="N475" s="374">
        <v>0</v>
      </c>
      <c r="O475" s="374">
        <v>2.4249999999999998</v>
      </c>
      <c r="P475" s="374">
        <v>0</v>
      </c>
    </row>
    <row r="476" spans="4:16">
      <c r="D476" s="374" t="s">
        <v>728</v>
      </c>
      <c r="E476" s="374" t="s">
        <v>729</v>
      </c>
      <c r="F476" s="601">
        <v>42165</v>
      </c>
      <c r="G476" s="602">
        <f t="shared" si="14"/>
        <v>2015</v>
      </c>
      <c r="H476" s="602">
        <f t="shared" si="15"/>
        <v>6</v>
      </c>
      <c r="I476" s="374">
        <v>18</v>
      </c>
      <c r="J476" s="374">
        <v>3.395</v>
      </c>
      <c r="K476" s="374">
        <v>0</v>
      </c>
      <c r="L476" s="603">
        <v>3.395</v>
      </c>
      <c r="M476" s="374">
        <v>0</v>
      </c>
      <c r="N476" s="374">
        <v>0</v>
      </c>
      <c r="O476" s="374">
        <v>3.38</v>
      </c>
      <c r="P476" s="374">
        <v>0</v>
      </c>
    </row>
    <row r="477" spans="4:16">
      <c r="D477" s="374" t="s">
        <v>728</v>
      </c>
      <c r="E477" s="374" t="s">
        <v>729</v>
      </c>
      <c r="F477" s="601">
        <v>42198</v>
      </c>
      <c r="G477" s="602">
        <f t="shared" si="14"/>
        <v>2015</v>
      </c>
      <c r="H477" s="602">
        <f t="shared" si="15"/>
        <v>7</v>
      </c>
      <c r="I477" s="374">
        <v>16</v>
      </c>
      <c r="J477" s="374">
        <v>4.1020000000000003</v>
      </c>
      <c r="K477" s="374">
        <v>0</v>
      </c>
      <c r="L477" s="603">
        <v>4.1020000000000003</v>
      </c>
      <c r="M477" s="374">
        <v>0</v>
      </c>
      <c r="N477" s="374">
        <v>0</v>
      </c>
      <c r="O477" s="374">
        <v>4.0490000000000004</v>
      </c>
      <c r="P477" s="374">
        <v>0</v>
      </c>
    </row>
    <row r="478" spans="4:16">
      <c r="D478" s="374" t="s">
        <v>728</v>
      </c>
      <c r="E478" s="374" t="s">
        <v>729</v>
      </c>
      <c r="F478" s="601">
        <v>42230</v>
      </c>
      <c r="G478" s="602">
        <f t="shared" si="14"/>
        <v>2015</v>
      </c>
      <c r="H478" s="602">
        <f t="shared" si="15"/>
        <v>8</v>
      </c>
      <c r="I478" s="374">
        <v>17</v>
      </c>
      <c r="J478" s="374">
        <v>4.2859999999999996</v>
      </c>
      <c r="K478" s="374">
        <v>0</v>
      </c>
      <c r="L478" s="603">
        <v>4.2859999999999996</v>
      </c>
      <c r="M478" s="374">
        <v>0</v>
      </c>
      <c r="N478" s="374">
        <v>0</v>
      </c>
      <c r="O478" s="374">
        <v>4.2350000000000003</v>
      </c>
      <c r="P478" s="374">
        <v>0</v>
      </c>
    </row>
    <row r="479" spans="4:16">
      <c r="D479" s="374" t="s">
        <v>728</v>
      </c>
      <c r="E479" s="374" t="s">
        <v>729</v>
      </c>
      <c r="F479" s="601">
        <v>42250</v>
      </c>
      <c r="G479" s="602">
        <f t="shared" si="14"/>
        <v>2015</v>
      </c>
      <c r="H479" s="602">
        <f t="shared" si="15"/>
        <v>9</v>
      </c>
      <c r="I479" s="374">
        <v>17</v>
      </c>
      <c r="J479" s="374">
        <v>4.21</v>
      </c>
      <c r="K479" s="374">
        <v>0</v>
      </c>
      <c r="L479" s="603">
        <v>4.21</v>
      </c>
      <c r="M479" s="374">
        <v>0</v>
      </c>
      <c r="N479" s="374">
        <v>0</v>
      </c>
      <c r="O479" s="374">
        <v>4.1559999999999997</v>
      </c>
      <c r="P479" s="374">
        <v>0</v>
      </c>
    </row>
    <row r="480" spans="4:16">
      <c r="D480" s="374" t="s">
        <v>728</v>
      </c>
      <c r="E480" s="374" t="s">
        <v>729</v>
      </c>
      <c r="F480" s="601">
        <v>42284</v>
      </c>
      <c r="G480" s="602">
        <f t="shared" si="14"/>
        <v>2015</v>
      </c>
      <c r="H480" s="602">
        <f t="shared" si="15"/>
        <v>10</v>
      </c>
      <c r="I480" s="374">
        <v>15</v>
      </c>
      <c r="J480" s="374">
        <v>3.347</v>
      </c>
      <c r="K480" s="374">
        <v>0</v>
      </c>
      <c r="L480" s="603">
        <v>3.347</v>
      </c>
      <c r="M480" s="374">
        <v>0</v>
      </c>
      <c r="N480" s="374">
        <v>0</v>
      </c>
      <c r="O480" s="374">
        <v>3.3050000000000002</v>
      </c>
      <c r="P480" s="374">
        <v>0</v>
      </c>
    </row>
    <row r="481" spans="4:16">
      <c r="D481" s="374" t="s">
        <v>728</v>
      </c>
      <c r="E481" s="374" t="s">
        <v>729</v>
      </c>
      <c r="F481" s="601">
        <v>42338</v>
      </c>
      <c r="G481" s="602">
        <f t="shared" si="14"/>
        <v>2015</v>
      </c>
      <c r="H481" s="602">
        <f t="shared" si="15"/>
        <v>11</v>
      </c>
      <c r="I481" s="374">
        <v>18</v>
      </c>
      <c r="J481" s="374">
        <v>3.4689999999999999</v>
      </c>
      <c r="K481" s="374">
        <v>0</v>
      </c>
      <c r="L481" s="603">
        <v>3.4689999999999999</v>
      </c>
      <c r="M481" s="374">
        <v>0</v>
      </c>
      <c r="N481" s="374">
        <v>0</v>
      </c>
      <c r="O481" s="374">
        <v>3.4129999999999998</v>
      </c>
      <c r="P481" s="374">
        <v>0</v>
      </c>
    </row>
    <row r="482" spans="4:16">
      <c r="D482" s="374" t="s">
        <v>728</v>
      </c>
      <c r="E482" s="374" t="s">
        <v>729</v>
      </c>
      <c r="F482" s="601">
        <v>42355</v>
      </c>
      <c r="G482" s="602">
        <f t="shared" si="14"/>
        <v>2015</v>
      </c>
      <c r="H482" s="602">
        <f t="shared" si="15"/>
        <v>12</v>
      </c>
      <c r="I482" s="374">
        <v>19</v>
      </c>
      <c r="J482" s="374">
        <v>2.617</v>
      </c>
      <c r="K482" s="374">
        <v>0</v>
      </c>
      <c r="L482" s="603">
        <v>2.617</v>
      </c>
      <c r="M482" s="374">
        <v>0</v>
      </c>
      <c r="N482" s="374">
        <v>0</v>
      </c>
      <c r="O482" s="374">
        <v>2.5910000000000002</v>
      </c>
      <c r="P482" s="374">
        <v>0</v>
      </c>
    </row>
    <row r="483" spans="4:16">
      <c r="D483" s="374" t="s">
        <v>728</v>
      </c>
      <c r="E483" s="605" t="s">
        <v>731</v>
      </c>
      <c r="F483" s="606">
        <v>40927</v>
      </c>
      <c r="G483" s="602">
        <f t="shared" si="14"/>
        <v>2012</v>
      </c>
      <c r="H483" s="602">
        <f t="shared" si="15"/>
        <v>1</v>
      </c>
      <c r="I483" s="605">
        <v>19</v>
      </c>
      <c r="J483" s="605">
        <v>3.302</v>
      </c>
      <c r="K483" s="605">
        <v>0</v>
      </c>
      <c r="L483" s="607">
        <v>3.302</v>
      </c>
      <c r="M483" s="605">
        <v>0</v>
      </c>
      <c r="N483" s="608">
        <v>0</v>
      </c>
      <c r="O483" s="605">
        <v>3.3839999999999999</v>
      </c>
      <c r="P483" s="605">
        <v>0</v>
      </c>
    </row>
    <row r="484" spans="4:16">
      <c r="D484" s="374" t="s">
        <v>728</v>
      </c>
      <c r="E484" s="605" t="s">
        <v>731</v>
      </c>
      <c r="F484" s="606">
        <v>40952</v>
      </c>
      <c r="G484" s="602">
        <f t="shared" si="14"/>
        <v>2012</v>
      </c>
      <c r="H484" s="602">
        <f t="shared" si="15"/>
        <v>2</v>
      </c>
      <c r="I484" s="605">
        <v>19</v>
      </c>
      <c r="J484" s="605">
        <v>3.0169999999999999</v>
      </c>
      <c r="K484" s="605">
        <v>0</v>
      </c>
      <c r="L484" s="607">
        <v>3.0169999999999999</v>
      </c>
      <c r="M484" s="605">
        <v>0</v>
      </c>
      <c r="N484" s="608">
        <v>0</v>
      </c>
      <c r="O484" s="605">
        <v>3.069</v>
      </c>
      <c r="P484" s="605">
        <v>0</v>
      </c>
    </row>
    <row r="485" spans="4:16">
      <c r="D485" s="374" t="s">
        <v>728</v>
      </c>
      <c r="E485" s="605" t="s">
        <v>731</v>
      </c>
      <c r="F485" s="606">
        <v>40973</v>
      </c>
      <c r="G485" s="602">
        <f t="shared" si="14"/>
        <v>2012</v>
      </c>
      <c r="H485" s="602">
        <f t="shared" si="15"/>
        <v>3</v>
      </c>
      <c r="I485" s="605">
        <v>8</v>
      </c>
      <c r="J485" s="605">
        <v>3.4849999999999999</v>
      </c>
      <c r="K485" s="605">
        <v>0</v>
      </c>
      <c r="L485" s="607">
        <v>3.4849999999999999</v>
      </c>
      <c r="M485" s="605">
        <v>0</v>
      </c>
      <c r="N485" s="608">
        <v>0</v>
      </c>
      <c r="O485" s="605">
        <v>3.6269999999999998</v>
      </c>
      <c r="P485" s="605">
        <v>0</v>
      </c>
    </row>
    <row r="486" spans="4:16">
      <c r="D486" s="374" t="s">
        <v>728</v>
      </c>
      <c r="E486" s="605" t="s">
        <v>731</v>
      </c>
      <c r="F486" s="606">
        <v>41001</v>
      </c>
      <c r="G486" s="602">
        <f t="shared" si="14"/>
        <v>2012</v>
      </c>
      <c r="H486" s="602">
        <f t="shared" si="15"/>
        <v>4</v>
      </c>
      <c r="I486" s="605">
        <v>21</v>
      </c>
      <c r="J486" s="605">
        <v>2.5219999999999998</v>
      </c>
      <c r="K486" s="605">
        <v>0</v>
      </c>
      <c r="L486" s="607">
        <v>2.5219999999999998</v>
      </c>
      <c r="M486" s="605">
        <v>0</v>
      </c>
      <c r="N486" s="608">
        <v>0</v>
      </c>
      <c r="O486" s="605">
        <v>2.62</v>
      </c>
      <c r="P486" s="605">
        <v>0</v>
      </c>
    </row>
    <row r="487" spans="4:16">
      <c r="D487" s="374" t="s">
        <v>728</v>
      </c>
      <c r="E487" s="605" t="s">
        <v>731</v>
      </c>
      <c r="F487" s="606">
        <v>41053</v>
      </c>
      <c r="G487" s="602">
        <f t="shared" si="14"/>
        <v>2012</v>
      </c>
      <c r="H487" s="602">
        <f t="shared" si="15"/>
        <v>5</v>
      </c>
      <c r="I487" s="605">
        <v>14</v>
      </c>
      <c r="J487" s="605">
        <v>4.0469999999999997</v>
      </c>
      <c r="K487" s="605">
        <v>0</v>
      </c>
      <c r="L487" s="607">
        <v>4.0469999999999997</v>
      </c>
      <c r="M487" s="605">
        <v>0</v>
      </c>
      <c r="N487" s="608">
        <v>0</v>
      </c>
      <c r="O487" s="605">
        <v>4.149</v>
      </c>
      <c r="P487" s="605">
        <v>0</v>
      </c>
    </row>
    <row r="488" spans="4:16">
      <c r="D488" s="374" t="s">
        <v>728</v>
      </c>
      <c r="E488" s="605" t="s">
        <v>731</v>
      </c>
      <c r="F488" s="606">
        <v>41087</v>
      </c>
      <c r="G488" s="602">
        <f t="shared" si="14"/>
        <v>2012</v>
      </c>
      <c r="H488" s="602">
        <f t="shared" si="15"/>
        <v>6</v>
      </c>
      <c r="I488" s="605">
        <v>17</v>
      </c>
      <c r="J488" s="605">
        <v>5.2149999999999999</v>
      </c>
      <c r="K488" s="605">
        <v>0</v>
      </c>
      <c r="L488" s="607">
        <v>5.2149999999999999</v>
      </c>
      <c r="M488" s="605">
        <v>0</v>
      </c>
      <c r="N488" s="608">
        <v>0</v>
      </c>
      <c r="O488" s="605">
        <v>5.3109999999999999</v>
      </c>
      <c r="P488" s="605">
        <v>0</v>
      </c>
    </row>
    <row r="489" spans="4:16">
      <c r="D489" s="374" t="s">
        <v>728</v>
      </c>
      <c r="E489" s="605" t="s">
        <v>731</v>
      </c>
      <c r="F489" s="606">
        <v>41115</v>
      </c>
      <c r="G489" s="602">
        <f t="shared" si="14"/>
        <v>2012</v>
      </c>
      <c r="H489" s="602">
        <f t="shared" si="15"/>
        <v>7</v>
      </c>
      <c r="I489" s="605">
        <v>17</v>
      </c>
      <c r="J489" s="605">
        <v>2.4E-2</v>
      </c>
      <c r="K489" s="605">
        <v>4.9800000000000004</v>
      </c>
      <c r="L489" s="607">
        <v>5.0039999999999996</v>
      </c>
      <c r="M489" s="605">
        <v>0</v>
      </c>
      <c r="N489" s="608">
        <v>0</v>
      </c>
      <c r="O489" s="605">
        <v>1E-3</v>
      </c>
      <c r="P489" s="605">
        <v>4.9800000000000004</v>
      </c>
    </row>
    <row r="490" spans="4:16">
      <c r="D490" s="374" t="s">
        <v>728</v>
      </c>
      <c r="E490" s="605" t="s">
        <v>731</v>
      </c>
      <c r="F490" s="606">
        <v>41124</v>
      </c>
      <c r="G490" s="602">
        <f t="shared" si="14"/>
        <v>2012</v>
      </c>
      <c r="H490" s="602">
        <f t="shared" si="15"/>
        <v>8</v>
      </c>
      <c r="I490" s="605">
        <v>17</v>
      </c>
      <c r="J490" s="605">
        <v>4.5960000000000001</v>
      </c>
      <c r="K490" s="605">
        <v>0</v>
      </c>
      <c r="L490" s="607">
        <v>4.5960000000000001</v>
      </c>
      <c r="M490" s="605">
        <v>0</v>
      </c>
      <c r="N490" s="608">
        <v>0</v>
      </c>
      <c r="O490" s="605">
        <v>4.6989999999999998</v>
      </c>
      <c r="P490" s="605">
        <v>0</v>
      </c>
    </row>
    <row r="491" spans="4:16">
      <c r="D491" s="374" t="s">
        <v>728</v>
      </c>
      <c r="E491" s="605" t="s">
        <v>731</v>
      </c>
      <c r="F491" s="606">
        <v>41156</v>
      </c>
      <c r="G491" s="602">
        <f t="shared" si="14"/>
        <v>2012</v>
      </c>
      <c r="H491" s="602">
        <f t="shared" si="15"/>
        <v>9</v>
      </c>
      <c r="I491" s="605">
        <v>17</v>
      </c>
      <c r="J491" s="605">
        <v>4.9569999999999999</v>
      </c>
      <c r="K491" s="605">
        <v>0</v>
      </c>
      <c r="L491" s="607">
        <v>4.9569999999999999</v>
      </c>
      <c r="M491" s="605">
        <v>0</v>
      </c>
      <c r="N491" s="608">
        <v>0</v>
      </c>
      <c r="O491" s="605">
        <v>5.0350000000000001</v>
      </c>
      <c r="P491" s="605">
        <v>0</v>
      </c>
    </row>
    <row r="492" spans="4:16">
      <c r="D492" s="374" t="s">
        <v>728</v>
      </c>
      <c r="E492" s="605" t="s">
        <v>731</v>
      </c>
      <c r="F492" s="606">
        <v>41211</v>
      </c>
      <c r="G492" s="602">
        <f t="shared" si="14"/>
        <v>2012</v>
      </c>
      <c r="H492" s="602">
        <f t="shared" si="15"/>
        <v>10</v>
      </c>
      <c r="I492" s="605">
        <v>8</v>
      </c>
      <c r="J492" s="605">
        <v>3.5449999999999999</v>
      </c>
      <c r="K492" s="605">
        <v>0</v>
      </c>
      <c r="L492" s="607">
        <v>3.5449999999999999</v>
      </c>
      <c r="M492" s="605">
        <v>0</v>
      </c>
      <c r="N492" s="608">
        <v>0</v>
      </c>
      <c r="O492" s="605">
        <v>3.601</v>
      </c>
      <c r="P492" s="605">
        <v>0</v>
      </c>
    </row>
    <row r="493" spans="4:16">
      <c r="D493" s="374" t="s">
        <v>728</v>
      </c>
      <c r="E493" s="605" t="s">
        <v>731</v>
      </c>
      <c r="F493" s="606">
        <v>41225</v>
      </c>
      <c r="G493" s="602">
        <f t="shared" si="14"/>
        <v>2012</v>
      </c>
      <c r="H493" s="602">
        <f t="shared" si="15"/>
        <v>11</v>
      </c>
      <c r="I493" s="605">
        <v>18</v>
      </c>
      <c r="J493" s="605">
        <v>3.274</v>
      </c>
      <c r="K493" s="605">
        <v>0</v>
      </c>
      <c r="L493" s="607">
        <v>3.274</v>
      </c>
      <c r="M493" s="605">
        <v>0</v>
      </c>
      <c r="N493" s="608">
        <v>0</v>
      </c>
      <c r="O493" s="605">
        <v>3.3039999999999998</v>
      </c>
      <c r="P493" s="605">
        <v>0</v>
      </c>
    </row>
    <row r="494" spans="4:16">
      <c r="D494" s="374" t="s">
        <v>728</v>
      </c>
      <c r="E494" s="605" t="s">
        <v>731</v>
      </c>
      <c r="F494" s="606">
        <v>41263</v>
      </c>
      <c r="G494" s="602">
        <f t="shared" si="14"/>
        <v>2012</v>
      </c>
      <c r="H494" s="602">
        <f t="shared" si="15"/>
        <v>12</v>
      </c>
      <c r="I494" s="605">
        <v>18</v>
      </c>
      <c r="J494" s="605">
        <v>3.4569999999999999</v>
      </c>
      <c r="K494" s="605">
        <v>0</v>
      </c>
      <c r="L494" s="607">
        <v>3.4569999999999999</v>
      </c>
      <c r="M494" s="605">
        <v>0</v>
      </c>
      <c r="N494" s="608">
        <v>0</v>
      </c>
      <c r="O494" s="605">
        <v>3.4940000000000002</v>
      </c>
      <c r="P494" s="605">
        <v>0</v>
      </c>
    </row>
    <row r="495" spans="4:16">
      <c r="D495" s="374" t="s">
        <v>728</v>
      </c>
      <c r="E495" s="605" t="s">
        <v>731</v>
      </c>
      <c r="F495" s="606">
        <v>41305</v>
      </c>
      <c r="G495" s="602">
        <f t="shared" si="14"/>
        <v>2013</v>
      </c>
      <c r="H495" s="602">
        <f t="shared" si="15"/>
        <v>1</v>
      </c>
      <c r="I495" s="605">
        <v>19</v>
      </c>
      <c r="J495" s="605">
        <v>3.5169999999999999</v>
      </c>
      <c r="K495" s="605">
        <v>0</v>
      </c>
      <c r="L495" s="607">
        <v>3.5169999999999999</v>
      </c>
      <c r="M495" s="605">
        <v>0</v>
      </c>
      <c r="N495" s="608">
        <v>0</v>
      </c>
      <c r="O495" s="605">
        <v>3.5510000000000002</v>
      </c>
      <c r="P495" s="605">
        <v>0</v>
      </c>
    </row>
    <row r="496" spans="4:16">
      <c r="D496" s="374" t="s">
        <v>728</v>
      </c>
      <c r="E496" s="605" t="s">
        <v>731</v>
      </c>
      <c r="F496" s="606">
        <v>41306</v>
      </c>
      <c r="G496" s="602">
        <f t="shared" si="14"/>
        <v>2013</v>
      </c>
      <c r="H496" s="602">
        <f t="shared" si="15"/>
        <v>2</v>
      </c>
      <c r="I496" s="605">
        <v>8</v>
      </c>
      <c r="J496" s="605">
        <v>4.1139999999999999</v>
      </c>
      <c r="K496" s="605">
        <v>0</v>
      </c>
      <c r="L496" s="607">
        <v>4.1139999999999999</v>
      </c>
      <c r="M496" s="605">
        <v>0</v>
      </c>
      <c r="N496" s="608">
        <v>0</v>
      </c>
      <c r="O496" s="605">
        <v>4.16</v>
      </c>
      <c r="P496" s="605">
        <v>0</v>
      </c>
    </row>
    <row r="497" spans="4:16">
      <c r="D497" s="374" t="s">
        <v>728</v>
      </c>
      <c r="E497" s="605" t="s">
        <v>731</v>
      </c>
      <c r="F497" s="606">
        <v>41354</v>
      </c>
      <c r="G497" s="602">
        <f t="shared" si="14"/>
        <v>2013</v>
      </c>
      <c r="H497" s="602">
        <f t="shared" si="15"/>
        <v>3</v>
      </c>
      <c r="I497" s="605">
        <v>8</v>
      </c>
      <c r="J497" s="605">
        <v>3.7</v>
      </c>
      <c r="K497" s="605">
        <v>0</v>
      </c>
      <c r="L497" s="607">
        <v>3.7</v>
      </c>
      <c r="M497" s="605">
        <v>0</v>
      </c>
      <c r="N497" s="608">
        <v>0</v>
      </c>
      <c r="O497" s="605">
        <v>3.7469999999999999</v>
      </c>
      <c r="P497" s="605">
        <v>0</v>
      </c>
    </row>
    <row r="498" spans="4:16">
      <c r="D498" s="374" t="s">
        <v>728</v>
      </c>
      <c r="E498" s="605" t="s">
        <v>731</v>
      </c>
      <c r="F498" s="606">
        <v>41366</v>
      </c>
      <c r="G498" s="602">
        <f t="shared" si="14"/>
        <v>2013</v>
      </c>
      <c r="H498" s="602">
        <f t="shared" si="15"/>
        <v>4</v>
      </c>
      <c r="I498" s="605">
        <v>8</v>
      </c>
      <c r="J498" s="605">
        <v>3.504</v>
      </c>
      <c r="K498" s="605">
        <v>0</v>
      </c>
      <c r="L498" s="607">
        <v>3.504</v>
      </c>
      <c r="M498" s="605">
        <v>0</v>
      </c>
      <c r="N498" s="608">
        <v>0</v>
      </c>
      <c r="O498" s="605">
        <v>3.55</v>
      </c>
      <c r="P498" s="605">
        <v>0</v>
      </c>
    </row>
    <row r="499" spans="4:16">
      <c r="D499" s="374" t="s">
        <v>728</v>
      </c>
      <c r="E499" s="605" t="s">
        <v>731</v>
      </c>
      <c r="F499" s="606">
        <v>41424</v>
      </c>
      <c r="G499" s="602">
        <f t="shared" si="14"/>
        <v>2013</v>
      </c>
      <c r="H499" s="602">
        <f t="shared" si="15"/>
        <v>5</v>
      </c>
      <c r="I499" s="605">
        <v>12</v>
      </c>
      <c r="J499" s="605">
        <v>3.915</v>
      </c>
      <c r="K499" s="605">
        <v>0</v>
      </c>
      <c r="L499" s="607">
        <v>3.915</v>
      </c>
      <c r="M499" s="605">
        <v>0</v>
      </c>
      <c r="N499" s="608">
        <v>0</v>
      </c>
      <c r="O499" s="605">
        <v>3.8769999999999998</v>
      </c>
      <c r="P499" s="605">
        <v>0</v>
      </c>
    </row>
    <row r="500" spans="4:16">
      <c r="D500" s="374" t="s">
        <v>728</v>
      </c>
      <c r="E500" s="605" t="s">
        <v>731</v>
      </c>
      <c r="F500" s="606">
        <v>41451</v>
      </c>
      <c r="G500" s="602">
        <f t="shared" si="14"/>
        <v>2013</v>
      </c>
      <c r="H500" s="602">
        <f t="shared" si="15"/>
        <v>6</v>
      </c>
      <c r="I500" s="605">
        <v>17</v>
      </c>
      <c r="J500" s="605">
        <v>4.47</v>
      </c>
      <c r="K500" s="605">
        <v>0</v>
      </c>
      <c r="L500" s="607">
        <v>4.47</v>
      </c>
      <c r="M500" s="605">
        <v>0</v>
      </c>
      <c r="N500" s="608">
        <v>0</v>
      </c>
      <c r="O500" s="605">
        <v>4.4390000000000001</v>
      </c>
      <c r="P500" s="605">
        <v>0</v>
      </c>
    </row>
    <row r="501" spans="4:16">
      <c r="D501" s="374" t="s">
        <v>728</v>
      </c>
      <c r="E501" s="605" t="s">
        <v>731</v>
      </c>
      <c r="F501" s="606">
        <v>41472</v>
      </c>
      <c r="G501" s="602">
        <f t="shared" si="14"/>
        <v>2013</v>
      </c>
      <c r="H501" s="602">
        <f t="shared" si="15"/>
        <v>7</v>
      </c>
      <c r="I501" s="605">
        <v>17</v>
      </c>
      <c r="J501" s="605">
        <v>4.9809999999999999</v>
      </c>
      <c r="K501" s="605">
        <v>0</v>
      </c>
      <c r="L501" s="607">
        <v>4.9809999999999999</v>
      </c>
      <c r="M501" s="605">
        <v>0</v>
      </c>
      <c r="N501" s="608">
        <v>0</v>
      </c>
      <c r="O501" s="605">
        <v>4.9420000000000002</v>
      </c>
      <c r="P501" s="605">
        <v>0</v>
      </c>
    </row>
    <row r="502" spans="4:16">
      <c r="D502" s="374" t="s">
        <v>728</v>
      </c>
      <c r="E502" s="605" t="s">
        <v>731</v>
      </c>
      <c r="F502" s="606">
        <v>41516</v>
      </c>
      <c r="G502" s="602">
        <f t="shared" si="14"/>
        <v>2013</v>
      </c>
      <c r="H502" s="602">
        <f t="shared" si="15"/>
        <v>8</v>
      </c>
      <c r="I502" s="605">
        <v>16</v>
      </c>
      <c r="J502" s="605">
        <v>4.3719999999999999</v>
      </c>
      <c r="K502" s="605">
        <v>0</v>
      </c>
      <c r="L502" s="607">
        <v>4.3719999999999999</v>
      </c>
      <c r="M502" s="605">
        <v>0</v>
      </c>
      <c r="N502" s="608">
        <v>0</v>
      </c>
      <c r="O502" s="605">
        <v>4.34</v>
      </c>
      <c r="P502" s="605">
        <v>0</v>
      </c>
    </row>
    <row r="503" spans="4:16">
      <c r="D503" s="374" t="s">
        <v>728</v>
      </c>
      <c r="E503" s="605" t="s">
        <v>731</v>
      </c>
      <c r="F503" s="606">
        <v>41526</v>
      </c>
      <c r="G503" s="602">
        <f t="shared" si="14"/>
        <v>2013</v>
      </c>
      <c r="H503" s="602">
        <f t="shared" si="15"/>
        <v>9</v>
      </c>
      <c r="I503" s="605">
        <v>17</v>
      </c>
      <c r="J503" s="605">
        <v>4.8490000000000002</v>
      </c>
      <c r="K503" s="605">
        <v>0</v>
      </c>
      <c r="L503" s="607">
        <v>4.8490000000000002</v>
      </c>
      <c r="M503" s="605">
        <v>0</v>
      </c>
      <c r="N503" s="608">
        <v>0</v>
      </c>
      <c r="O503" s="605">
        <v>4.8159999999999998</v>
      </c>
      <c r="P503" s="605">
        <v>0</v>
      </c>
    </row>
    <row r="504" spans="4:16">
      <c r="D504" s="374" t="s">
        <v>728</v>
      </c>
      <c r="E504" s="605" t="s">
        <v>731</v>
      </c>
      <c r="F504" s="606">
        <v>41571</v>
      </c>
      <c r="G504" s="602">
        <f t="shared" si="14"/>
        <v>2013</v>
      </c>
      <c r="H504" s="602">
        <f t="shared" si="15"/>
        <v>10</v>
      </c>
      <c r="I504" s="605">
        <v>20</v>
      </c>
      <c r="J504" s="605">
        <v>2.6360000000000001</v>
      </c>
      <c r="K504" s="605">
        <v>0</v>
      </c>
      <c r="L504" s="607">
        <v>2.6360000000000001</v>
      </c>
      <c r="M504" s="605">
        <v>0</v>
      </c>
      <c r="N504" s="608">
        <v>0</v>
      </c>
      <c r="O504" s="605">
        <v>2.6179999999999999</v>
      </c>
      <c r="P504" s="605">
        <v>0</v>
      </c>
    </row>
    <row r="505" spans="4:16">
      <c r="D505" s="374" t="s">
        <v>728</v>
      </c>
      <c r="E505" s="605" t="s">
        <v>731</v>
      </c>
      <c r="F505" s="606">
        <v>41590</v>
      </c>
      <c r="G505" s="602">
        <f t="shared" si="14"/>
        <v>2013</v>
      </c>
      <c r="H505" s="602">
        <f t="shared" si="15"/>
        <v>11</v>
      </c>
      <c r="I505" s="605">
        <v>19</v>
      </c>
      <c r="J505" s="605">
        <v>2.9790000000000001</v>
      </c>
      <c r="K505" s="605">
        <v>0</v>
      </c>
      <c r="L505" s="607">
        <v>2.9790000000000001</v>
      </c>
      <c r="M505" s="605">
        <v>0</v>
      </c>
      <c r="N505" s="608">
        <v>0</v>
      </c>
      <c r="O505" s="605">
        <v>2.9550000000000001</v>
      </c>
      <c r="P505" s="605">
        <v>0</v>
      </c>
    </row>
    <row r="506" spans="4:16">
      <c r="D506" s="374" t="s">
        <v>728</v>
      </c>
      <c r="E506" s="605" t="s">
        <v>731</v>
      </c>
      <c r="F506" s="606">
        <v>41619</v>
      </c>
      <c r="G506" s="602">
        <f t="shared" si="14"/>
        <v>2013</v>
      </c>
      <c r="H506" s="602">
        <f t="shared" si="15"/>
        <v>12</v>
      </c>
      <c r="I506" s="605">
        <v>18</v>
      </c>
      <c r="J506" s="605">
        <v>3.5939999999999999</v>
      </c>
      <c r="K506" s="605">
        <v>0</v>
      </c>
      <c r="L506" s="607">
        <v>3.5939999999999999</v>
      </c>
      <c r="M506" s="605">
        <v>0</v>
      </c>
      <c r="N506" s="608">
        <v>0</v>
      </c>
      <c r="O506" s="605">
        <v>3.5640000000000001</v>
      </c>
      <c r="P506" s="605">
        <v>0</v>
      </c>
    </row>
    <row r="507" spans="4:16">
      <c r="D507" s="374" t="s">
        <v>728</v>
      </c>
      <c r="E507" s="374" t="s">
        <v>731</v>
      </c>
      <c r="F507" s="601">
        <v>41645</v>
      </c>
      <c r="G507" s="602">
        <f t="shared" si="14"/>
        <v>2014</v>
      </c>
      <c r="H507" s="602">
        <f t="shared" si="15"/>
        <v>1</v>
      </c>
      <c r="I507" s="374">
        <v>18</v>
      </c>
      <c r="J507" s="374">
        <v>3.649</v>
      </c>
      <c r="K507" s="374">
        <v>0</v>
      </c>
      <c r="L507" s="603">
        <v>3.649</v>
      </c>
      <c r="M507" s="374">
        <v>0</v>
      </c>
      <c r="N507" s="374">
        <v>0</v>
      </c>
      <c r="O507" s="374">
        <v>3.6190000000000002</v>
      </c>
      <c r="P507" s="374">
        <v>0</v>
      </c>
    </row>
    <row r="508" spans="4:16">
      <c r="D508" s="374" t="s">
        <v>728</v>
      </c>
      <c r="E508" s="374" t="s">
        <v>731</v>
      </c>
      <c r="F508" s="601">
        <v>41681</v>
      </c>
      <c r="G508" s="602">
        <f t="shared" si="14"/>
        <v>2014</v>
      </c>
      <c r="H508" s="602">
        <f t="shared" si="15"/>
        <v>2</v>
      </c>
      <c r="I508" s="374">
        <v>8</v>
      </c>
      <c r="J508" s="374">
        <v>3.96</v>
      </c>
      <c r="K508" s="374">
        <v>0</v>
      </c>
      <c r="L508" s="603">
        <v>3.96</v>
      </c>
      <c r="M508" s="374">
        <v>0</v>
      </c>
      <c r="N508" s="374">
        <v>0</v>
      </c>
      <c r="O508" s="374">
        <v>3.9319999999999999</v>
      </c>
      <c r="P508" s="374">
        <v>0</v>
      </c>
    </row>
    <row r="509" spans="4:16">
      <c r="D509" s="374" t="s">
        <v>728</v>
      </c>
      <c r="E509" s="374" t="s">
        <v>731</v>
      </c>
      <c r="F509" s="601">
        <v>41701</v>
      </c>
      <c r="G509" s="602">
        <f t="shared" si="14"/>
        <v>2014</v>
      </c>
      <c r="H509" s="602">
        <f t="shared" si="15"/>
        <v>3</v>
      </c>
      <c r="I509" s="374">
        <v>8</v>
      </c>
      <c r="J509" s="374">
        <v>3.855</v>
      </c>
      <c r="K509" s="374">
        <v>0</v>
      </c>
      <c r="L509" s="603">
        <v>3.855</v>
      </c>
      <c r="M509" s="374">
        <v>0</v>
      </c>
      <c r="N509" s="374">
        <v>0</v>
      </c>
      <c r="O509" s="374">
        <v>3.8260000000000001</v>
      </c>
      <c r="P509" s="374">
        <v>0</v>
      </c>
    </row>
    <row r="510" spans="4:16">
      <c r="D510" s="374" t="s">
        <v>728</v>
      </c>
      <c r="E510" s="374" t="s">
        <v>731</v>
      </c>
      <c r="F510" s="601">
        <v>41730</v>
      </c>
      <c r="G510" s="602">
        <f t="shared" si="14"/>
        <v>2014</v>
      </c>
      <c r="H510" s="602">
        <f t="shared" si="15"/>
        <v>4</v>
      </c>
      <c r="I510" s="374">
        <v>9</v>
      </c>
      <c r="J510" s="374">
        <v>3.7989999999999999</v>
      </c>
      <c r="K510" s="374">
        <v>0</v>
      </c>
      <c r="L510" s="603">
        <v>3.7989999999999999</v>
      </c>
      <c r="M510" s="374">
        <v>0</v>
      </c>
      <c r="N510" s="374">
        <v>0</v>
      </c>
      <c r="O510" s="374">
        <v>3.7690000000000001</v>
      </c>
      <c r="P510" s="374">
        <v>0</v>
      </c>
    </row>
    <row r="511" spans="4:16">
      <c r="D511" s="374" t="s">
        <v>728</v>
      </c>
      <c r="E511" s="374" t="s">
        <v>731</v>
      </c>
      <c r="F511" s="601">
        <v>41789</v>
      </c>
      <c r="G511" s="602">
        <f t="shared" si="14"/>
        <v>2014</v>
      </c>
      <c r="H511" s="602">
        <f t="shared" si="15"/>
        <v>5</v>
      </c>
      <c r="I511" s="374">
        <v>17</v>
      </c>
      <c r="J511" s="374">
        <v>3.8380000000000001</v>
      </c>
      <c r="K511" s="374">
        <v>0</v>
      </c>
      <c r="L511" s="603">
        <v>3.8380000000000001</v>
      </c>
      <c r="M511" s="374">
        <v>0</v>
      </c>
      <c r="N511" s="374">
        <v>0</v>
      </c>
      <c r="O511" s="374">
        <v>3.8119999999999998</v>
      </c>
      <c r="P511" s="374">
        <v>0</v>
      </c>
    </row>
    <row r="512" spans="4:16">
      <c r="D512" s="374" t="s">
        <v>728</v>
      </c>
      <c r="E512" s="374" t="s">
        <v>731</v>
      </c>
      <c r="F512" s="601">
        <v>41808</v>
      </c>
      <c r="G512" s="602">
        <f t="shared" si="14"/>
        <v>2014</v>
      </c>
      <c r="H512" s="602">
        <f t="shared" si="15"/>
        <v>6</v>
      </c>
      <c r="I512" s="374">
        <v>18</v>
      </c>
      <c r="J512" s="374">
        <v>3.992</v>
      </c>
      <c r="K512" s="374">
        <v>0</v>
      </c>
      <c r="L512" s="603">
        <v>3.992</v>
      </c>
      <c r="M512" s="374">
        <v>0</v>
      </c>
      <c r="N512" s="374">
        <v>0</v>
      </c>
      <c r="O512" s="374">
        <v>3.9590000000000001</v>
      </c>
      <c r="P512" s="374">
        <v>0</v>
      </c>
    </row>
    <row r="513" spans="4:16">
      <c r="D513" s="374" t="s">
        <v>728</v>
      </c>
      <c r="E513" s="374" t="s">
        <v>731</v>
      </c>
      <c r="F513" s="601">
        <v>41842</v>
      </c>
      <c r="G513" s="602">
        <f t="shared" si="14"/>
        <v>2014</v>
      </c>
      <c r="H513" s="602">
        <f t="shared" si="15"/>
        <v>7</v>
      </c>
      <c r="I513" s="374">
        <v>17</v>
      </c>
      <c r="J513" s="374">
        <v>4.5970000000000004</v>
      </c>
      <c r="K513" s="374">
        <v>0</v>
      </c>
      <c r="L513" s="603">
        <v>4.5970000000000004</v>
      </c>
      <c r="M513" s="374">
        <v>0</v>
      </c>
      <c r="N513" s="374">
        <v>0</v>
      </c>
      <c r="O513" s="374">
        <v>4.5549999999999997</v>
      </c>
      <c r="P513" s="374">
        <v>0</v>
      </c>
    </row>
    <row r="514" spans="4:16">
      <c r="D514" s="374" t="s">
        <v>728</v>
      </c>
      <c r="E514" s="374" t="s">
        <v>731</v>
      </c>
      <c r="F514" s="601">
        <v>41876</v>
      </c>
      <c r="G514" s="602">
        <f t="shared" si="14"/>
        <v>2014</v>
      </c>
      <c r="H514" s="602">
        <f t="shared" si="15"/>
        <v>8</v>
      </c>
      <c r="I514" s="374">
        <v>17</v>
      </c>
      <c r="J514" s="374">
        <v>3.7450000000000001</v>
      </c>
      <c r="K514" s="374">
        <v>0</v>
      </c>
      <c r="L514" s="603">
        <v>3.7450000000000001</v>
      </c>
      <c r="M514" s="374">
        <v>0</v>
      </c>
      <c r="N514" s="374">
        <v>0</v>
      </c>
      <c r="O514" s="374">
        <v>3.7130000000000001</v>
      </c>
      <c r="P514" s="374">
        <v>0</v>
      </c>
    </row>
    <row r="515" spans="4:16">
      <c r="D515" s="374" t="s">
        <v>728</v>
      </c>
      <c r="E515" s="374" t="s">
        <v>731</v>
      </c>
      <c r="F515" s="601">
        <v>41886</v>
      </c>
      <c r="G515" s="602">
        <f t="shared" ref="G515:G578" si="16">YEAR(F515)</f>
        <v>2014</v>
      </c>
      <c r="H515" s="602">
        <f t="shared" ref="H515:H578" si="17">MONTH(F515)</f>
        <v>9</v>
      </c>
      <c r="I515" s="374">
        <v>17</v>
      </c>
      <c r="J515" s="374">
        <v>4.2949999999999999</v>
      </c>
      <c r="K515" s="374">
        <v>0</v>
      </c>
      <c r="L515" s="603">
        <v>4.2949999999999999</v>
      </c>
      <c r="M515" s="374">
        <v>0</v>
      </c>
      <c r="N515" s="374">
        <v>0</v>
      </c>
      <c r="O515" s="374">
        <v>4.2610000000000001</v>
      </c>
      <c r="P515" s="374">
        <v>0</v>
      </c>
    </row>
    <row r="516" spans="4:16">
      <c r="D516" s="374" t="s">
        <v>728</v>
      </c>
      <c r="E516" s="374" t="s">
        <v>731</v>
      </c>
      <c r="F516" s="601">
        <v>41939</v>
      </c>
      <c r="G516" s="602">
        <f t="shared" si="16"/>
        <v>2014</v>
      </c>
      <c r="H516" s="602">
        <f t="shared" si="17"/>
        <v>10</v>
      </c>
      <c r="I516" s="374">
        <v>19</v>
      </c>
      <c r="J516" s="374">
        <v>2.7989999999999999</v>
      </c>
      <c r="K516" s="374">
        <v>0</v>
      </c>
      <c r="L516" s="603">
        <v>2.7989999999999999</v>
      </c>
      <c r="M516" s="604">
        <v>2906</v>
      </c>
      <c r="N516" s="374">
        <v>9.6000000000000002E-2</v>
      </c>
      <c r="O516" s="374">
        <v>2.778</v>
      </c>
      <c r="P516" s="374">
        <v>0</v>
      </c>
    </row>
    <row r="517" spans="4:16">
      <c r="D517" s="374" t="s">
        <v>728</v>
      </c>
      <c r="E517" s="374" t="s">
        <v>731</v>
      </c>
      <c r="F517" s="601">
        <v>41960</v>
      </c>
      <c r="G517" s="602">
        <f t="shared" si="16"/>
        <v>2014</v>
      </c>
      <c r="H517" s="602">
        <f t="shared" si="17"/>
        <v>11</v>
      </c>
      <c r="I517" s="374">
        <v>18</v>
      </c>
      <c r="J517" s="374">
        <v>3.347</v>
      </c>
      <c r="K517" s="374">
        <v>0</v>
      </c>
      <c r="L517" s="603">
        <v>3.347</v>
      </c>
      <c r="M517" s="374">
        <v>0</v>
      </c>
      <c r="N517" s="374">
        <v>0</v>
      </c>
      <c r="O517" s="374">
        <v>3.3330000000000002</v>
      </c>
      <c r="P517" s="374">
        <v>0</v>
      </c>
    </row>
    <row r="518" spans="4:16">
      <c r="D518" s="374" t="s">
        <v>728</v>
      </c>
      <c r="E518" s="374" t="s">
        <v>731</v>
      </c>
      <c r="F518" s="601">
        <v>41974</v>
      </c>
      <c r="G518" s="602">
        <f t="shared" si="16"/>
        <v>2014</v>
      </c>
      <c r="H518" s="602">
        <f t="shared" si="17"/>
        <v>12</v>
      </c>
      <c r="I518" s="374">
        <v>19</v>
      </c>
      <c r="J518" s="374">
        <v>3.3490000000000002</v>
      </c>
      <c r="K518" s="374">
        <v>0</v>
      </c>
      <c r="L518" s="603">
        <v>3.3490000000000002</v>
      </c>
      <c r="M518" s="374">
        <v>0</v>
      </c>
      <c r="N518" s="374">
        <v>0</v>
      </c>
      <c r="O518" s="374">
        <v>3.3359999999999999</v>
      </c>
      <c r="P518" s="374">
        <v>0</v>
      </c>
    </row>
    <row r="519" spans="4:16">
      <c r="D519" s="374" t="s">
        <v>728</v>
      </c>
      <c r="E519" s="374" t="s">
        <v>731</v>
      </c>
      <c r="F519" s="601">
        <v>42011</v>
      </c>
      <c r="G519" s="602">
        <f t="shared" si="16"/>
        <v>2015</v>
      </c>
      <c r="H519" s="602">
        <f t="shared" si="17"/>
        <v>1</v>
      </c>
      <c r="I519" s="374">
        <v>19</v>
      </c>
      <c r="J519" s="374">
        <v>3.472</v>
      </c>
      <c r="K519" s="374">
        <v>0</v>
      </c>
      <c r="L519" s="603">
        <v>3.472</v>
      </c>
      <c r="M519" s="604">
        <v>3438</v>
      </c>
      <c r="N519" s="374">
        <v>0.10100000000000001</v>
      </c>
      <c r="O519" s="374">
        <v>3.456</v>
      </c>
      <c r="P519" s="374">
        <v>0</v>
      </c>
    </row>
    <row r="520" spans="4:16">
      <c r="D520" s="374" t="s">
        <v>728</v>
      </c>
      <c r="E520" s="374" t="s">
        <v>731</v>
      </c>
      <c r="F520" s="601">
        <v>42053</v>
      </c>
      <c r="G520" s="602">
        <f t="shared" si="16"/>
        <v>2015</v>
      </c>
      <c r="H520" s="602">
        <f t="shared" si="17"/>
        <v>2</v>
      </c>
      <c r="I520" s="374">
        <v>19</v>
      </c>
      <c r="J520" s="374">
        <v>3.3439999999999999</v>
      </c>
      <c r="K520" s="374">
        <v>0</v>
      </c>
      <c r="L520" s="603">
        <v>3.3439999999999999</v>
      </c>
      <c r="M520" s="604">
        <v>3305</v>
      </c>
      <c r="N520" s="374">
        <v>0.10100000000000001</v>
      </c>
      <c r="O520" s="374">
        <v>3.32</v>
      </c>
      <c r="P520" s="374">
        <v>0</v>
      </c>
    </row>
    <row r="521" spans="4:16">
      <c r="D521" s="374" t="s">
        <v>728</v>
      </c>
      <c r="E521" s="374" t="s">
        <v>731</v>
      </c>
      <c r="F521" s="601">
        <v>42067</v>
      </c>
      <c r="G521" s="602">
        <f t="shared" si="16"/>
        <v>2015</v>
      </c>
      <c r="H521" s="602">
        <f t="shared" si="17"/>
        <v>3</v>
      </c>
      <c r="I521" s="374">
        <v>9</v>
      </c>
      <c r="J521" s="374">
        <v>3.9350000000000001</v>
      </c>
      <c r="K521" s="374">
        <v>0</v>
      </c>
      <c r="L521" s="603">
        <v>3.9350000000000001</v>
      </c>
      <c r="M521" s="374">
        <v>0</v>
      </c>
      <c r="N521" s="374">
        <v>0</v>
      </c>
      <c r="O521" s="374">
        <v>3.9039999999999999</v>
      </c>
      <c r="P521" s="374">
        <v>0</v>
      </c>
    </row>
    <row r="522" spans="4:16">
      <c r="D522" s="374" t="s">
        <v>728</v>
      </c>
      <c r="E522" s="374" t="s">
        <v>731</v>
      </c>
      <c r="F522" s="601">
        <v>42103</v>
      </c>
      <c r="G522" s="602">
        <f t="shared" si="16"/>
        <v>2015</v>
      </c>
      <c r="H522" s="602">
        <f t="shared" si="17"/>
        <v>4</v>
      </c>
      <c r="I522" s="374">
        <v>11</v>
      </c>
      <c r="J522" s="374">
        <v>3.7690000000000001</v>
      </c>
      <c r="K522" s="374">
        <v>0</v>
      </c>
      <c r="L522" s="603">
        <v>3.7690000000000001</v>
      </c>
      <c r="M522" s="374">
        <v>0</v>
      </c>
      <c r="N522" s="374">
        <v>0</v>
      </c>
      <c r="O522" s="374">
        <v>3.7440000000000002</v>
      </c>
      <c r="P522" s="374">
        <v>0</v>
      </c>
    </row>
    <row r="523" spans="4:16">
      <c r="D523" s="374" t="s">
        <v>728</v>
      </c>
      <c r="E523" s="374" t="s">
        <v>731</v>
      </c>
      <c r="F523" s="601">
        <v>42152</v>
      </c>
      <c r="G523" s="602">
        <f t="shared" si="16"/>
        <v>2015</v>
      </c>
      <c r="H523" s="602">
        <f t="shared" si="17"/>
        <v>5</v>
      </c>
      <c r="I523" s="374">
        <v>15</v>
      </c>
      <c r="J523" s="374">
        <v>3.9449999999999998</v>
      </c>
      <c r="K523" s="374">
        <v>0</v>
      </c>
      <c r="L523" s="603">
        <v>3.9449999999999998</v>
      </c>
      <c r="M523" s="374">
        <v>0</v>
      </c>
      <c r="N523" s="374">
        <v>0</v>
      </c>
      <c r="O523" s="374">
        <v>3.911</v>
      </c>
      <c r="P523" s="374">
        <v>0</v>
      </c>
    </row>
    <row r="524" spans="4:16">
      <c r="D524" s="374" t="s">
        <v>728</v>
      </c>
      <c r="E524" s="374" t="s">
        <v>731</v>
      </c>
      <c r="F524" s="601">
        <v>42165</v>
      </c>
      <c r="G524" s="602">
        <f t="shared" si="16"/>
        <v>2015</v>
      </c>
      <c r="H524" s="602">
        <f t="shared" si="17"/>
        <v>6</v>
      </c>
      <c r="I524" s="374">
        <v>18</v>
      </c>
      <c r="J524" s="374">
        <v>3.496</v>
      </c>
      <c r="K524" s="374">
        <v>0</v>
      </c>
      <c r="L524" s="603">
        <v>3.496</v>
      </c>
      <c r="M524" s="374">
        <v>0</v>
      </c>
      <c r="N524" s="374">
        <v>0</v>
      </c>
      <c r="O524" s="374">
        <v>3.4580000000000002</v>
      </c>
      <c r="P524" s="374">
        <v>0</v>
      </c>
    </row>
    <row r="525" spans="4:16">
      <c r="D525" s="374" t="s">
        <v>728</v>
      </c>
      <c r="E525" s="374" t="s">
        <v>731</v>
      </c>
      <c r="F525" s="601">
        <v>42198</v>
      </c>
      <c r="G525" s="602">
        <f t="shared" si="16"/>
        <v>2015</v>
      </c>
      <c r="H525" s="602">
        <f t="shared" si="17"/>
        <v>7</v>
      </c>
      <c r="I525" s="374">
        <v>16</v>
      </c>
      <c r="J525" s="374">
        <v>5.069</v>
      </c>
      <c r="K525" s="374">
        <v>0</v>
      </c>
      <c r="L525" s="603">
        <v>5.069</v>
      </c>
      <c r="M525" s="374">
        <v>0</v>
      </c>
      <c r="N525" s="374">
        <v>0</v>
      </c>
      <c r="O525" s="374">
        <v>5.0229999999999997</v>
      </c>
      <c r="P525" s="374">
        <v>0</v>
      </c>
    </row>
    <row r="526" spans="4:16">
      <c r="D526" s="374" t="s">
        <v>728</v>
      </c>
      <c r="E526" s="374" t="s">
        <v>731</v>
      </c>
      <c r="F526" s="601">
        <v>42230</v>
      </c>
      <c r="G526" s="602">
        <f t="shared" si="16"/>
        <v>2015</v>
      </c>
      <c r="H526" s="602">
        <f t="shared" si="17"/>
        <v>8</v>
      </c>
      <c r="I526" s="374">
        <v>17</v>
      </c>
      <c r="J526" s="374">
        <v>4.6959999999999997</v>
      </c>
      <c r="K526" s="374">
        <v>0</v>
      </c>
      <c r="L526" s="603">
        <v>4.6959999999999997</v>
      </c>
      <c r="M526" s="374">
        <v>0</v>
      </c>
      <c r="N526" s="374">
        <v>0</v>
      </c>
      <c r="O526" s="374">
        <v>4.6630000000000003</v>
      </c>
      <c r="P526" s="374">
        <v>0</v>
      </c>
    </row>
    <row r="527" spans="4:16">
      <c r="D527" s="374" t="s">
        <v>728</v>
      </c>
      <c r="E527" s="374" t="s">
        <v>731</v>
      </c>
      <c r="F527" s="601">
        <v>42250</v>
      </c>
      <c r="G527" s="602">
        <f t="shared" si="16"/>
        <v>2015</v>
      </c>
      <c r="H527" s="602">
        <f t="shared" si="17"/>
        <v>9</v>
      </c>
      <c r="I527" s="374">
        <v>17</v>
      </c>
      <c r="J527" s="374">
        <v>5.0250000000000004</v>
      </c>
      <c r="K527" s="374">
        <v>0</v>
      </c>
      <c r="L527" s="603">
        <v>5.0250000000000004</v>
      </c>
      <c r="M527" s="374">
        <v>0</v>
      </c>
      <c r="N527" s="374">
        <v>0</v>
      </c>
      <c r="O527" s="374">
        <v>4.9870000000000001</v>
      </c>
      <c r="P527" s="374">
        <v>0</v>
      </c>
    </row>
    <row r="528" spans="4:16">
      <c r="D528" s="374" t="s">
        <v>728</v>
      </c>
      <c r="E528" s="374" t="s">
        <v>731</v>
      </c>
      <c r="F528" s="601">
        <v>42284</v>
      </c>
      <c r="G528" s="602">
        <f t="shared" si="16"/>
        <v>2015</v>
      </c>
      <c r="H528" s="602">
        <f t="shared" si="17"/>
        <v>10</v>
      </c>
      <c r="I528" s="374">
        <v>15</v>
      </c>
      <c r="J528" s="374">
        <v>3.3690000000000002</v>
      </c>
      <c r="K528" s="374">
        <v>0</v>
      </c>
      <c r="L528" s="603">
        <v>3.3690000000000002</v>
      </c>
      <c r="M528" s="374">
        <v>0</v>
      </c>
      <c r="N528" s="374">
        <v>0</v>
      </c>
      <c r="O528" s="374">
        <v>3.34</v>
      </c>
      <c r="P528" s="374">
        <v>0</v>
      </c>
    </row>
    <row r="529" spans="4:16">
      <c r="D529" s="374" t="s">
        <v>728</v>
      </c>
      <c r="E529" s="374" t="s">
        <v>731</v>
      </c>
      <c r="F529" s="601">
        <v>42338</v>
      </c>
      <c r="G529" s="602">
        <f t="shared" si="16"/>
        <v>2015</v>
      </c>
      <c r="H529" s="602">
        <f t="shared" si="17"/>
        <v>11</v>
      </c>
      <c r="I529" s="374">
        <v>18</v>
      </c>
      <c r="J529" s="374">
        <v>3.218</v>
      </c>
      <c r="K529" s="374">
        <v>0</v>
      </c>
      <c r="L529" s="603">
        <v>3.218</v>
      </c>
      <c r="M529" s="374">
        <v>0</v>
      </c>
      <c r="N529" s="374">
        <v>0</v>
      </c>
      <c r="O529" s="374">
        <v>3.198</v>
      </c>
      <c r="P529" s="374">
        <v>0</v>
      </c>
    </row>
    <row r="530" spans="4:16">
      <c r="D530" s="374" t="s">
        <v>728</v>
      </c>
      <c r="E530" s="374" t="s">
        <v>731</v>
      </c>
      <c r="F530" s="601">
        <v>42355</v>
      </c>
      <c r="G530" s="602">
        <f t="shared" si="16"/>
        <v>2015</v>
      </c>
      <c r="H530" s="602">
        <f t="shared" si="17"/>
        <v>12</v>
      </c>
      <c r="I530" s="374">
        <v>19</v>
      </c>
      <c r="J530" s="374">
        <v>3.1549999999999998</v>
      </c>
      <c r="K530" s="374">
        <v>0</v>
      </c>
      <c r="L530" s="603">
        <v>3.1549999999999998</v>
      </c>
      <c r="M530" s="374">
        <v>0</v>
      </c>
      <c r="N530" s="374">
        <v>0</v>
      </c>
      <c r="O530" s="374">
        <v>3.13</v>
      </c>
      <c r="P530" s="374">
        <v>0</v>
      </c>
    </row>
    <row r="531" spans="4:16">
      <c r="D531" s="374" t="s">
        <v>728</v>
      </c>
      <c r="E531" s="605" t="s">
        <v>732</v>
      </c>
      <c r="F531" s="606">
        <v>40927</v>
      </c>
      <c r="G531" s="602">
        <f t="shared" si="16"/>
        <v>2012</v>
      </c>
      <c r="H531" s="602">
        <f t="shared" si="17"/>
        <v>1</v>
      </c>
      <c r="I531" s="605">
        <v>19</v>
      </c>
      <c r="J531" s="605">
        <v>10.085000000000001</v>
      </c>
      <c r="K531" s="605">
        <v>0</v>
      </c>
      <c r="L531" s="607">
        <v>10.085000000000001</v>
      </c>
      <c r="M531" s="605">
        <v>0</v>
      </c>
      <c r="N531" s="608">
        <v>0</v>
      </c>
      <c r="O531" s="605">
        <v>10.166</v>
      </c>
      <c r="P531" s="605">
        <v>0</v>
      </c>
    </row>
    <row r="532" spans="4:16">
      <c r="D532" s="374" t="s">
        <v>728</v>
      </c>
      <c r="E532" s="605" t="s">
        <v>732</v>
      </c>
      <c r="F532" s="606">
        <v>40952</v>
      </c>
      <c r="G532" s="602">
        <f t="shared" si="16"/>
        <v>2012</v>
      </c>
      <c r="H532" s="602">
        <f t="shared" si="17"/>
        <v>2</v>
      </c>
      <c r="I532" s="605">
        <v>19</v>
      </c>
      <c r="J532" s="605">
        <v>9.2759999999999998</v>
      </c>
      <c r="K532" s="605">
        <v>0</v>
      </c>
      <c r="L532" s="607">
        <v>9.2759999999999998</v>
      </c>
      <c r="M532" s="605">
        <v>0</v>
      </c>
      <c r="N532" s="608">
        <v>0</v>
      </c>
      <c r="O532" s="605">
        <v>9.3670000000000009</v>
      </c>
      <c r="P532" s="605">
        <v>0</v>
      </c>
    </row>
    <row r="533" spans="4:16">
      <c r="D533" s="374" t="s">
        <v>728</v>
      </c>
      <c r="E533" s="605" t="s">
        <v>732</v>
      </c>
      <c r="F533" s="606">
        <v>40973</v>
      </c>
      <c r="G533" s="602">
        <f t="shared" si="16"/>
        <v>2012</v>
      </c>
      <c r="H533" s="602">
        <f t="shared" si="17"/>
        <v>3</v>
      </c>
      <c r="I533" s="605">
        <v>8</v>
      </c>
      <c r="J533" s="605">
        <v>9.8460000000000001</v>
      </c>
      <c r="K533" s="605">
        <v>0</v>
      </c>
      <c r="L533" s="607">
        <v>9.8460000000000001</v>
      </c>
      <c r="M533" s="605">
        <v>0</v>
      </c>
      <c r="N533" s="608">
        <v>0</v>
      </c>
      <c r="O533" s="605">
        <v>9.9920000000000009</v>
      </c>
      <c r="P533" s="605">
        <v>0</v>
      </c>
    </row>
    <row r="534" spans="4:16">
      <c r="D534" s="374" t="s">
        <v>728</v>
      </c>
      <c r="E534" s="605" t="s">
        <v>732</v>
      </c>
      <c r="F534" s="606">
        <v>41001</v>
      </c>
      <c r="G534" s="602">
        <f t="shared" si="16"/>
        <v>2012</v>
      </c>
      <c r="H534" s="602">
        <f t="shared" si="17"/>
        <v>4</v>
      </c>
      <c r="I534" s="605">
        <v>21</v>
      </c>
      <c r="J534" s="605">
        <v>8.3089999999999993</v>
      </c>
      <c r="K534" s="605">
        <v>0</v>
      </c>
      <c r="L534" s="607">
        <v>8.3089999999999993</v>
      </c>
      <c r="M534" s="605">
        <v>0</v>
      </c>
      <c r="N534" s="608">
        <v>0</v>
      </c>
      <c r="O534" s="605">
        <v>8.41</v>
      </c>
      <c r="P534" s="605">
        <v>0</v>
      </c>
    </row>
    <row r="535" spans="4:16">
      <c r="D535" s="374" t="s">
        <v>728</v>
      </c>
      <c r="E535" s="605" t="s">
        <v>732</v>
      </c>
      <c r="F535" s="606">
        <v>41053</v>
      </c>
      <c r="G535" s="602">
        <f t="shared" si="16"/>
        <v>2012</v>
      </c>
      <c r="H535" s="602">
        <f t="shared" si="17"/>
        <v>5</v>
      </c>
      <c r="I535" s="605">
        <v>14</v>
      </c>
      <c r="J535" s="605">
        <v>10.004</v>
      </c>
      <c r="K535" s="605">
        <v>0</v>
      </c>
      <c r="L535" s="607">
        <v>10.004</v>
      </c>
      <c r="M535" s="605">
        <v>0</v>
      </c>
      <c r="N535" s="608">
        <v>0</v>
      </c>
      <c r="O535" s="605">
        <v>10.085000000000001</v>
      </c>
      <c r="P535" s="605">
        <v>0</v>
      </c>
    </row>
    <row r="536" spans="4:16">
      <c r="D536" s="374" t="s">
        <v>728</v>
      </c>
      <c r="E536" s="605" t="s">
        <v>732</v>
      </c>
      <c r="F536" s="606">
        <v>41087</v>
      </c>
      <c r="G536" s="602">
        <f t="shared" si="16"/>
        <v>2012</v>
      </c>
      <c r="H536" s="602">
        <f t="shared" si="17"/>
        <v>6</v>
      </c>
      <c r="I536" s="605">
        <v>17</v>
      </c>
      <c r="J536" s="605">
        <v>12.907</v>
      </c>
      <c r="K536" s="605">
        <v>0</v>
      </c>
      <c r="L536" s="607">
        <v>12.907</v>
      </c>
      <c r="M536" s="605">
        <v>0</v>
      </c>
      <c r="N536" s="608">
        <v>0</v>
      </c>
      <c r="O536" s="605">
        <v>13.022</v>
      </c>
      <c r="P536" s="605">
        <v>0</v>
      </c>
    </row>
    <row r="537" spans="4:16">
      <c r="D537" s="374" t="s">
        <v>728</v>
      </c>
      <c r="E537" s="605" t="s">
        <v>732</v>
      </c>
      <c r="F537" s="606">
        <v>41115</v>
      </c>
      <c r="G537" s="602">
        <f t="shared" si="16"/>
        <v>2012</v>
      </c>
      <c r="H537" s="602">
        <f t="shared" si="17"/>
        <v>7</v>
      </c>
      <c r="I537" s="605">
        <v>17</v>
      </c>
      <c r="J537" s="605">
        <v>14.327</v>
      </c>
      <c r="K537" s="605">
        <v>0</v>
      </c>
      <c r="L537" s="607">
        <v>14.327</v>
      </c>
      <c r="M537" s="605">
        <v>0</v>
      </c>
      <c r="N537" s="608">
        <v>0</v>
      </c>
      <c r="O537" s="605">
        <v>14.372</v>
      </c>
      <c r="P537" s="605">
        <v>0</v>
      </c>
    </row>
    <row r="538" spans="4:16">
      <c r="D538" s="374" t="s">
        <v>728</v>
      </c>
      <c r="E538" s="605" t="s">
        <v>732</v>
      </c>
      <c r="F538" s="606">
        <v>41124</v>
      </c>
      <c r="G538" s="602">
        <f t="shared" si="16"/>
        <v>2012</v>
      </c>
      <c r="H538" s="602">
        <f t="shared" si="17"/>
        <v>8</v>
      </c>
      <c r="I538" s="605">
        <v>17</v>
      </c>
      <c r="J538" s="605">
        <v>12.675000000000001</v>
      </c>
      <c r="K538" s="605">
        <v>0</v>
      </c>
      <c r="L538" s="607">
        <v>12.675000000000001</v>
      </c>
      <c r="M538" s="605">
        <v>0</v>
      </c>
      <c r="N538" s="608">
        <v>0</v>
      </c>
      <c r="O538" s="605">
        <v>12.808999999999999</v>
      </c>
      <c r="P538" s="605">
        <v>0</v>
      </c>
    </row>
    <row r="539" spans="4:16">
      <c r="D539" s="374" t="s">
        <v>728</v>
      </c>
      <c r="E539" s="605" t="s">
        <v>732</v>
      </c>
      <c r="F539" s="606">
        <v>41156</v>
      </c>
      <c r="G539" s="602">
        <f t="shared" si="16"/>
        <v>2012</v>
      </c>
      <c r="H539" s="602">
        <f t="shared" si="17"/>
        <v>9</v>
      </c>
      <c r="I539" s="605">
        <v>17</v>
      </c>
      <c r="J539" s="605">
        <v>12.493</v>
      </c>
      <c r="K539" s="605">
        <v>0</v>
      </c>
      <c r="L539" s="607">
        <v>12.493</v>
      </c>
      <c r="M539" s="605">
        <v>0</v>
      </c>
      <c r="N539" s="608">
        <v>0</v>
      </c>
      <c r="O539" s="605">
        <v>12.502000000000001</v>
      </c>
      <c r="P539" s="605">
        <v>0</v>
      </c>
    </row>
    <row r="540" spans="4:16">
      <c r="D540" s="374" t="s">
        <v>728</v>
      </c>
      <c r="E540" s="605" t="s">
        <v>732</v>
      </c>
      <c r="F540" s="606">
        <v>41211</v>
      </c>
      <c r="G540" s="602">
        <f t="shared" si="16"/>
        <v>2012</v>
      </c>
      <c r="H540" s="602">
        <f t="shared" si="17"/>
        <v>10</v>
      </c>
      <c r="I540" s="605">
        <v>8</v>
      </c>
      <c r="J540" s="605">
        <v>8.7110000000000003</v>
      </c>
      <c r="K540" s="605">
        <v>0</v>
      </c>
      <c r="L540" s="607">
        <v>8.7110000000000003</v>
      </c>
      <c r="M540" s="605">
        <v>0</v>
      </c>
      <c r="N540" s="608">
        <v>0</v>
      </c>
      <c r="O540" s="605">
        <v>8.8629999999999995</v>
      </c>
      <c r="P540" s="605">
        <v>0</v>
      </c>
    </row>
    <row r="541" spans="4:16">
      <c r="D541" s="374" t="s">
        <v>728</v>
      </c>
      <c r="E541" s="605" t="s">
        <v>732</v>
      </c>
      <c r="F541" s="606">
        <v>41225</v>
      </c>
      <c r="G541" s="602">
        <f t="shared" si="16"/>
        <v>2012</v>
      </c>
      <c r="H541" s="602">
        <f t="shared" si="17"/>
        <v>11</v>
      </c>
      <c r="I541" s="605">
        <v>18</v>
      </c>
      <c r="J541" s="605">
        <v>9.4320000000000004</v>
      </c>
      <c r="K541" s="605">
        <v>0</v>
      </c>
      <c r="L541" s="607">
        <v>9.4320000000000004</v>
      </c>
      <c r="M541" s="605">
        <v>0</v>
      </c>
      <c r="N541" s="608">
        <v>0</v>
      </c>
      <c r="O541" s="605">
        <v>9.5559999999999992</v>
      </c>
      <c r="P541" s="605">
        <v>0</v>
      </c>
    </row>
    <row r="542" spans="4:16">
      <c r="D542" s="374" t="s">
        <v>728</v>
      </c>
      <c r="E542" s="605" t="s">
        <v>732</v>
      </c>
      <c r="F542" s="606">
        <v>41263</v>
      </c>
      <c r="G542" s="602">
        <f t="shared" si="16"/>
        <v>2012</v>
      </c>
      <c r="H542" s="602">
        <f t="shared" si="17"/>
        <v>12</v>
      </c>
      <c r="I542" s="605">
        <v>18</v>
      </c>
      <c r="J542" s="605">
        <v>10.574</v>
      </c>
      <c r="K542" s="605">
        <v>0</v>
      </c>
      <c r="L542" s="607">
        <v>10.574</v>
      </c>
      <c r="M542" s="605">
        <v>0</v>
      </c>
      <c r="N542" s="608">
        <v>0</v>
      </c>
      <c r="O542" s="605">
        <v>10.717000000000001</v>
      </c>
      <c r="P542" s="605">
        <v>0</v>
      </c>
    </row>
    <row r="543" spans="4:16">
      <c r="D543" s="374" t="s">
        <v>728</v>
      </c>
      <c r="E543" s="605" t="s">
        <v>732</v>
      </c>
      <c r="F543" s="606">
        <v>41305</v>
      </c>
      <c r="G543" s="602">
        <f t="shared" si="16"/>
        <v>2013</v>
      </c>
      <c r="H543" s="602">
        <f t="shared" si="17"/>
        <v>1</v>
      </c>
      <c r="I543" s="605">
        <v>19</v>
      </c>
      <c r="J543" s="605">
        <v>10.327</v>
      </c>
      <c r="K543" s="605">
        <v>0</v>
      </c>
      <c r="L543" s="607">
        <v>10.327</v>
      </c>
      <c r="M543" s="605">
        <v>0</v>
      </c>
      <c r="N543" s="608">
        <v>0</v>
      </c>
      <c r="O543" s="605">
        <v>10.455</v>
      </c>
      <c r="P543" s="605">
        <v>0</v>
      </c>
    </row>
    <row r="544" spans="4:16">
      <c r="D544" s="374" t="s">
        <v>728</v>
      </c>
      <c r="E544" s="605" t="s">
        <v>732</v>
      </c>
      <c r="F544" s="606">
        <v>41306</v>
      </c>
      <c r="G544" s="602">
        <f t="shared" si="16"/>
        <v>2013</v>
      </c>
      <c r="H544" s="602">
        <f t="shared" si="17"/>
        <v>2</v>
      </c>
      <c r="I544" s="605">
        <v>8</v>
      </c>
      <c r="J544" s="605">
        <v>9.9719999999999995</v>
      </c>
      <c r="K544" s="605">
        <v>0</v>
      </c>
      <c r="L544" s="607">
        <v>9.9719999999999995</v>
      </c>
      <c r="M544" s="605">
        <v>0</v>
      </c>
      <c r="N544" s="608">
        <v>0</v>
      </c>
      <c r="O544" s="605">
        <v>10.1</v>
      </c>
      <c r="P544" s="605">
        <v>0</v>
      </c>
    </row>
    <row r="545" spans="4:16">
      <c r="D545" s="374" t="s">
        <v>728</v>
      </c>
      <c r="E545" s="605" t="s">
        <v>732</v>
      </c>
      <c r="F545" s="606">
        <v>41354</v>
      </c>
      <c r="G545" s="602">
        <f t="shared" si="16"/>
        <v>2013</v>
      </c>
      <c r="H545" s="602">
        <f t="shared" si="17"/>
        <v>3</v>
      </c>
      <c r="I545" s="605">
        <v>8</v>
      </c>
      <c r="J545" s="605">
        <v>10.018000000000001</v>
      </c>
      <c r="K545" s="605">
        <v>0</v>
      </c>
      <c r="L545" s="607">
        <v>10.018000000000001</v>
      </c>
      <c r="M545" s="605">
        <v>0</v>
      </c>
      <c r="N545" s="608">
        <v>0</v>
      </c>
      <c r="O545" s="605">
        <v>10.14</v>
      </c>
      <c r="P545" s="605">
        <v>0</v>
      </c>
    </row>
    <row r="546" spans="4:16">
      <c r="D546" s="374" t="s">
        <v>728</v>
      </c>
      <c r="E546" s="605" t="s">
        <v>732</v>
      </c>
      <c r="F546" s="606">
        <v>41366</v>
      </c>
      <c r="G546" s="602">
        <f t="shared" si="16"/>
        <v>2013</v>
      </c>
      <c r="H546" s="602">
        <f t="shared" si="17"/>
        <v>4</v>
      </c>
      <c r="I546" s="605">
        <v>8</v>
      </c>
      <c r="J546" s="605">
        <v>9.65</v>
      </c>
      <c r="K546" s="605">
        <v>0</v>
      </c>
      <c r="L546" s="607">
        <v>9.65</v>
      </c>
      <c r="M546" s="605">
        <v>0</v>
      </c>
      <c r="N546" s="608">
        <v>0</v>
      </c>
      <c r="O546" s="605">
        <v>9.798</v>
      </c>
      <c r="P546" s="605">
        <v>0</v>
      </c>
    </row>
    <row r="547" spans="4:16">
      <c r="D547" s="374" t="s">
        <v>728</v>
      </c>
      <c r="E547" s="605" t="s">
        <v>732</v>
      </c>
      <c r="F547" s="606">
        <v>41424</v>
      </c>
      <c r="G547" s="602">
        <f t="shared" si="16"/>
        <v>2013</v>
      </c>
      <c r="H547" s="602">
        <f t="shared" si="17"/>
        <v>5</v>
      </c>
      <c r="I547" s="605">
        <v>12</v>
      </c>
      <c r="J547" s="605">
        <v>10.188000000000001</v>
      </c>
      <c r="K547" s="605">
        <v>0</v>
      </c>
      <c r="L547" s="607">
        <v>10.188000000000001</v>
      </c>
      <c r="M547" s="605">
        <v>0</v>
      </c>
      <c r="N547" s="608">
        <v>0</v>
      </c>
      <c r="O547" s="605">
        <v>10.273999999999999</v>
      </c>
      <c r="P547" s="605">
        <v>0</v>
      </c>
    </row>
    <row r="548" spans="4:16">
      <c r="D548" s="374" t="s">
        <v>728</v>
      </c>
      <c r="E548" s="605" t="s">
        <v>732</v>
      </c>
      <c r="F548" s="606">
        <v>41451</v>
      </c>
      <c r="G548" s="602">
        <f t="shared" si="16"/>
        <v>2013</v>
      </c>
      <c r="H548" s="602">
        <f t="shared" si="17"/>
        <v>6</v>
      </c>
      <c r="I548" s="605">
        <v>17</v>
      </c>
      <c r="J548" s="605">
        <v>11.348000000000001</v>
      </c>
      <c r="K548" s="605">
        <v>0</v>
      </c>
      <c r="L548" s="607">
        <v>11.348000000000001</v>
      </c>
      <c r="M548" s="605">
        <v>0</v>
      </c>
      <c r="N548" s="608">
        <v>0</v>
      </c>
      <c r="O548" s="605">
        <v>11.449</v>
      </c>
      <c r="P548" s="605">
        <v>0</v>
      </c>
    </row>
    <row r="549" spans="4:16">
      <c r="D549" s="374" t="s">
        <v>728</v>
      </c>
      <c r="E549" s="605" t="s">
        <v>732</v>
      </c>
      <c r="F549" s="606">
        <v>41472</v>
      </c>
      <c r="G549" s="602">
        <f t="shared" si="16"/>
        <v>2013</v>
      </c>
      <c r="H549" s="602">
        <f t="shared" si="17"/>
        <v>7</v>
      </c>
      <c r="I549" s="605">
        <v>17</v>
      </c>
      <c r="J549" s="605">
        <v>12.637</v>
      </c>
      <c r="K549" s="605">
        <v>0</v>
      </c>
      <c r="L549" s="607">
        <v>12.637</v>
      </c>
      <c r="M549" s="605">
        <v>0</v>
      </c>
      <c r="N549" s="608">
        <v>0</v>
      </c>
      <c r="O549" s="605">
        <v>12.773</v>
      </c>
      <c r="P549" s="605">
        <v>0</v>
      </c>
    </row>
    <row r="550" spans="4:16">
      <c r="D550" s="374" t="s">
        <v>728</v>
      </c>
      <c r="E550" s="605" t="s">
        <v>732</v>
      </c>
      <c r="F550" s="606">
        <v>41516</v>
      </c>
      <c r="G550" s="602">
        <f t="shared" si="16"/>
        <v>2013</v>
      </c>
      <c r="H550" s="602">
        <f t="shared" si="17"/>
        <v>8</v>
      </c>
      <c r="I550" s="605">
        <v>16</v>
      </c>
      <c r="J550" s="605">
        <v>12.329000000000001</v>
      </c>
      <c r="K550" s="605">
        <v>0</v>
      </c>
      <c r="L550" s="607">
        <v>12.329000000000001</v>
      </c>
      <c r="M550" s="605">
        <v>0</v>
      </c>
      <c r="N550" s="608">
        <v>0</v>
      </c>
      <c r="O550" s="605">
        <v>12.435</v>
      </c>
      <c r="P550" s="605">
        <v>0</v>
      </c>
    </row>
    <row r="551" spans="4:16">
      <c r="D551" s="374" t="s">
        <v>728</v>
      </c>
      <c r="E551" s="605" t="s">
        <v>732</v>
      </c>
      <c r="F551" s="606">
        <v>41526</v>
      </c>
      <c r="G551" s="602">
        <f t="shared" si="16"/>
        <v>2013</v>
      </c>
      <c r="H551" s="602">
        <f t="shared" si="17"/>
        <v>9</v>
      </c>
      <c r="I551" s="605">
        <v>17</v>
      </c>
      <c r="J551" s="605">
        <v>13.331</v>
      </c>
      <c r="K551" s="605">
        <v>0</v>
      </c>
      <c r="L551" s="607">
        <v>13.331</v>
      </c>
      <c r="M551" s="605">
        <v>0</v>
      </c>
      <c r="N551" s="608">
        <v>0</v>
      </c>
      <c r="O551" s="605">
        <v>13.451000000000001</v>
      </c>
      <c r="P551" s="605">
        <v>0</v>
      </c>
    </row>
    <row r="552" spans="4:16">
      <c r="D552" s="374" t="s">
        <v>728</v>
      </c>
      <c r="E552" s="605" t="s">
        <v>732</v>
      </c>
      <c r="F552" s="606">
        <v>41571</v>
      </c>
      <c r="G552" s="602">
        <f t="shared" si="16"/>
        <v>2013</v>
      </c>
      <c r="H552" s="602">
        <f t="shared" si="17"/>
        <v>10</v>
      </c>
      <c r="I552" s="605">
        <v>20</v>
      </c>
      <c r="J552" s="605">
        <v>8.6639999999999997</v>
      </c>
      <c r="K552" s="605">
        <v>0</v>
      </c>
      <c r="L552" s="607">
        <v>8.6639999999999997</v>
      </c>
      <c r="M552" s="605">
        <v>0</v>
      </c>
      <c r="N552" s="608">
        <v>0</v>
      </c>
      <c r="O552" s="605">
        <v>8.734</v>
      </c>
      <c r="P552" s="605">
        <v>0</v>
      </c>
    </row>
    <row r="553" spans="4:16">
      <c r="D553" s="374" t="s">
        <v>728</v>
      </c>
      <c r="E553" s="605" t="s">
        <v>732</v>
      </c>
      <c r="F553" s="606">
        <v>41590</v>
      </c>
      <c r="G553" s="602">
        <f t="shared" si="16"/>
        <v>2013</v>
      </c>
      <c r="H553" s="602">
        <f t="shared" si="17"/>
        <v>11</v>
      </c>
      <c r="I553" s="605">
        <v>19</v>
      </c>
      <c r="J553" s="605">
        <v>9.3160000000000007</v>
      </c>
      <c r="K553" s="605">
        <v>0</v>
      </c>
      <c r="L553" s="607">
        <v>9.3160000000000007</v>
      </c>
      <c r="M553" s="605">
        <v>0</v>
      </c>
      <c r="N553" s="608">
        <v>0</v>
      </c>
      <c r="O553" s="605">
        <v>9.41</v>
      </c>
      <c r="P553" s="605">
        <v>0</v>
      </c>
    </row>
    <row r="554" spans="4:16">
      <c r="D554" s="374" t="s">
        <v>728</v>
      </c>
      <c r="E554" s="605" t="s">
        <v>732</v>
      </c>
      <c r="F554" s="606">
        <v>41619</v>
      </c>
      <c r="G554" s="602">
        <f t="shared" si="16"/>
        <v>2013</v>
      </c>
      <c r="H554" s="602">
        <f t="shared" si="17"/>
        <v>12</v>
      </c>
      <c r="I554" s="605">
        <v>18</v>
      </c>
      <c r="J554" s="605">
        <v>10.396000000000001</v>
      </c>
      <c r="K554" s="605">
        <v>0</v>
      </c>
      <c r="L554" s="607">
        <v>10.396000000000001</v>
      </c>
      <c r="M554" s="605">
        <v>0</v>
      </c>
      <c r="N554" s="608">
        <v>0</v>
      </c>
      <c r="O554" s="605">
        <v>10.507999999999999</v>
      </c>
      <c r="P554" s="605">
        <v>0</v>
      </c>
    </row>
    <row r="555" spans="4:16">
      <c r="D555" s="374" t="s">
        <v>728</v>
      </c>
      <c r="E555" s="374" t="s">
        <v>732</v>
      </c>
      <c r="F555" s="601">
        <v>41645</v>
      </c>
      <c r="G555" s="602">
        <f t="shared" si="16"/>
        <v>2014</v>
      </c>
      <c r="H555" s="602">
        <f t="shared" si="17"/>
        <v>1</v>
      </c>
      <c r="I555" s="374">
        <v>18</v>
      </c>
      <c r="J555" s="374">
        <v>7.0789999999999997</v>
      </c>
      <c r="K555" s="374">
        <v>1.694</v>
      </c>
      <c r="L555" s="603">
        <v>8.7729999999999997</v>
      </c>
      <c r="M555" s="374">
        <v>0</v>
      </c>
      <c r="N555" s="374">
        <v>0</v>
      </c>
      <c r="O555" s="374">
        <v>7.1859999999999999</v>
      </c>
      <c r="P555" s="374">
        <v>1.694</v>
      </c>
    </row>
    <row r="556" spans="4:16">
      <c r="D556" s="374" t="s">
        <v>728</v>
      </c>
      <c r="E556" s="374" t="s">
        <v>732</v>
      </c>
      <c r="F556" s="601">
        <v>41681</v>
      </c>
      <c r="G556" s="602">
        <f t="shared" si="16"/>
        <v>2014</v>
      </c>
      <c r="H556" s="602">
        <f t="shared" si="17"/>
        <v>2</v>
      </c>
      <c r="I556" s="374">
        <v>8</v>
      </c>
      <c r="J556" s="374">
        <v>10.786</v>
      </c>
      <c r="K556" s="374">
        <v>0</v>
      </c>
      <c r="L556" s="603">
        <v>10.786</v>
      </c>
      <c r="M556" s="374">
        <v>0</v>
      </c>
      <c r="N556" s="374">
        <v>0</v>
      </c>
      <c r="O556" s="374">
        <v>10.919</v>
      </c>
      <c r="P556" s="374">
        <v>0</v>
      </c>
    </row>
    <row r="557" spans="4:16">
      <c r="D557" s="374" t="s">
        <v>728</v>
      </c>
      <c r="E557" s="374" t="s">
        <v>732</v>
      </c>
      <c r="F557" s="601">
        <v>41701</v>
      </c>
      <c r="G557" s="602">
        <f t="shared" si="16"/>
        <v>2014</v>
      </c>
      <c r="H557" s="602">
        <f t="shared" si="17"/>
        <v>3</v>
      </c>
      <c r="I557" s="374">
        <v>8</v>
      </c>
      <c r="J557" s="374">
        <v>10.236000000000001</v>
      </c>
      <c r="K557" s="374">
        <v>0</v>
      </c>
      <c r="L557" s="603">
        <v>10.236000000000001</v>
      </c>
      <c r="M557" s="374">
        <v>0</v>
      </c>
      <c r="N557" s="374">
        <v>0</v>
      </c>
      <c r="O557" s="374">
        <v>10.372999999999999</v>
      </c>
      <c r="P557" s="374">
        <v>0</v>
      </c>
    </row>
    <row r="558" spans="4:16">
      <c r="D558" s="374" t="s">
        <v>728</v>
      </c>
      <c r="E558" s="374" t="s">
        <v>732</v>
      </c>
      <c r="F558" s="601">
        <v>41730</v>
      </c>
      <c r="G558" s="602">
        <f t="shared" si="16"/>
        <v>2014</v>
      </c>
      <c r="H558" s="602">
        <f t="shared" si="17"/>
        <v>4</v>
      </c>
      <c r="I558" s="374">
        <v>9</v>
      </c>
      <c r="J558" s="374">
        <v>10.026</v>
      </c>
      <c r="K558" s="374">
        <v>0</v>
      </c>
      <c r="L558" s="603">
        <v>10.026</v>
      </c>
      <c r="M558" s="374">
        <v>0</v>
      </c>
      <c r="N558" s="374">
        <v>0</v>
      </c>
      <c r="O558" s="374">
        <v>10.124000000000001</v>
      </c>
      <c r="P558" s="374">
        <v>0</v>
      </c>
    </row>
    <row r="559" spans="4:16">
      <c r="D559" s="374" t="s">
        <v>728</v>
      </c>
      <c r="E559" s="374" t="s">
        <v>732</v>
      </c>
      <c r="F559" s="601">
        <v>41789</v>
      </c>
      <c r="G559" s="602">
        <f t="shared" si="16"/>
        <v>2014</v>
      </c>
      <c r="H559" s="602">
        <f t="shared" si="17"/>
        <v>5</v>
      </c>
      <c r="I559" s="374">
        <v>17</v>
      </c>
      <c r="J559" s="374">
        <v>11.21</v>
      </c>
      <c r="K559" s="374">
        <v>0</v>
      </c>
      <c r="L559" s="603">
        <v>11.21</v>
      </c>
      <c r="M559" s="374">
        <v>0</v>
      </c>
      <c r="N559" s="374">
        <v>0</v>
      </c>
      <c r="O559" s="374">
        <v>11.292999999999999</v>
      </c>
      <c r="P559" s="374">
        <v>0</v>
      </c>
    </row>
    <row r="560" spans="4:16">
      <c r="D560" s="374" t="s">
        <v>728</v>
      </c>
      <c r="E560" s="374" t="s">
        <v>732</v>
      </c>
      <c r="F560" s="601">
        <v>41808</v>
      </c>
      <c r="G560" s="602">
        <f t="shared" si="16"/>
        <v>2014</v>
      </c>
      <c r="H560" s="602">
        <f t="shared" si="17"/>
        <v>6</v>
      </c>
      <c r="I560" s="374">
        <v>18</v>
      </c>
      <c r="J560" s="374">
        <v>10.576000000000001</v>
      </c>
      <c r="K560" s="374">
        <v>0</v>
      </c>
      <c r="L560" s="603">
        <v>10.576000000000001</v>
      </c>
      <c r="M560" s="374">
        <v>0</v>
      </c>
      <c r="N560" s="374">
        <v>0</v>
      </c>
      <c r="O560" s="374">
        <v>10.675000000000001</v>
      </c>
      <c r="P560" s="374">
        <v>0</v>
      </c>
    </row>
    <row r="561" spans="4:16">
      <c r="D561" s="374" t="s">
        <v>728</v>
      </c>
      <c r="E561" s="374" t="s">
        <v>732</v>
      </c>
      <c r="F561" s="601">
        <v>41842</v>
      </c>
      <c r="G561" s="602">
        <f t="shared" si="16"/>
        <v>2014</v>
      </c>
      <c r="H561" s="602">
        <f t="shared" si="17"/>
        <v>7</v>
      </c>
      <c r="I561" s="374">
        <v>17</v>
      </c>
      <c r="J561" s="374">
        <v>12.515000000000001</v>
      </c>
      <c r="K561" s="374">
        <v>0</v>
      </c>
      <c r="L561" s="603">
        <v>12.515000000000001</v>
      </c>
      <c r="M561" s="374">
        <v>0</v>
      </c>
      <c r="N561" s="374">
        <v>0</v>
      </c>
      <c r="O561" s="374">
        <v>12.631</v>
      </c>
      <c r="P561" s="374">
        <v>0</v>
      </c>
    </row>
    <row r="562" spans="4:16">
      <c r="D562" s="374" t="s">
        <v>728</v>
      </c>
      <c r="E562" s="374" t="s">
        <v>732</v>
      </c>
      <c r="F562" s="601">
        <v>41876</v>
      </c>
      <c r="G562" s="602">
        <f t="shared" si="16"/>
        <v>2014</v>
      </c>
      <c r="H562" s="602">
        <f t="shared" si="17"/>
        <v>8</v>
      </c>
      <c r="I562" s="374">
        <v>17</v>
      </c>
      <c r="J562" s="374">
        <v>10.762</v>
      </c>
      <c r="K562" s="374">
        <v>0</v>
      </c>
      <c r="L562" s="603">
        <v>10.762</v>
      </c>
      <c r="M562" s="374">
        <v>0</v>
      </c>
      <c r="N562" s="374">
        <v>0</v>
      </c>
      <c r="O562" s="374">
        <v>10.875</v>
      </c>
      <c r="P562" s="374">
        <v>0</v>
      </c>
    </row>
    <row r="563" spans="4:16">
      <c r="D563" s="374" t="s">
        <v>728</v>
      </c>
      <c r="E563" s="374" t="s">
        <v>732</v>
      </c>
      <c r="F563" s="601">
        <v>41886</v>
      </c>
      <c r="G563" s="602">
        <f t="shared" si="16"/>
        <v>2014</v>
      </c>
      <c r="H563" s="602">
        <f t="shared" si="17"/>
        <v>9</v>
      </c>
      <c r="I563" s="374">
        <v>17</v>
      </c>
      <c r="J563" s="374">
        <v>10.996</v>
      </c>
      <c r="K563" s="374">
        <v>0</v>
      </c>
      <c r="L563" s="603">
        <v>10.996</v>
      </c>
      <c r="M563" s="374">
        <v>0</v>
      </c>
      <c r="N563" s="374">
        <v>0</v>
      </c>
      <c r="O563" s="374">
        <v>11.095000000000001</v>
      </c>
      <c r="P563" s="374">
        <v>0</v>
      </c>
    </row>
    <row r="564" spans="4:16">
      <c r="D564" s="374" t="s">
        <v>728</v>
      </c>
      <c r="E564" s="374" t="s">
        <v>732</v>
      </c>
      <c r="F564" s="601">
        <v>41939</v>
      </c>
      <c r="G564" s="602">
        <f t="shared" si="16"/>
        <v>2014</v>
      </c>
      <c r="H564" s="602">
        <f t="shared" si="17"/>
        <v>10</v>
      </c>
      <c r="I564" s="374">
        <v>19</v>
      </c>
      <c r="J564" s="374">
        <v>7.4539999999999997</v>
      </c>
      <c r="K564" s="374">
        <v>0</v>
      </c>
      <c r="L564" s="603">
        <v>7.4539999999999997</v>
      </c>
      <c r="M564" s="604">
        <v>2906</v>
      </c>
      <c r="N564" s="374">
        <v>0.25700000000000001</v>
      </c>
      <c r="O564" s="374">
        <v>7.5330000000000004</v>
      </c>
      <c r="P564" s="374">
        <v>0</v>
      </c>
    </row>
    <row r="565" spans="4:16">
      <c r="D565" s="374" t="s">
        <v>728</v>
      </c>
      <c r="E565" s="374" t="s">
        <v>732</v>
      </c>
      <c r="F565" s="601">
        <v>41960</v>
      </c>
      <c r="G565" s="602">
        <f t="shared" si="16"/>
        <v>2014</v>
      </c>
      <c r="H565" s="602">
        <f t="shared" si="17"/>
        <v>11</v>
      </c>
      <c r="I565" s="374">
        <v>18</v>
      </c>
      <c r="J565" s="374">
        <v>10.384</v>
      </c>
      <c r="K565" s="374">
        <v>0</v>
      </c>
      <c r="L565" s="603">
        <v>10.384</v>
      </c>
      <c r="M565" s="374">
        <v>0</v>
      </c>
      <c r="N565" s="374">
        <v>0</v>
      </c>
      <c r="O565" s="374">
        <v>10.49</v>
      </c>
      <c r="P565" s="374">
        <v>0</v>
      </c>
    </row>
    <row r="566" spans="4:16">
      <c r="D566" s="374" t="s">
        <v>728</v>
      </c>
      <c r="E566" s="374" t="s">
        <v>732</v>
      </c>
      <c r="F566" s="601">
        <v>41974</v>
      </c>
      <c r="G566" s="602">
        <f t="shared" si="16"/>
        <v>2014</v>
      </c>
      <c r="H566" s="602">
        <f t="shared" si="17"/>
        <v>12</v>
      </c>
      <c r="I566" s="374">
        <v>19</v>
      </c>
      <c r="J566" s="374">
        <v>10.105</v>
      </c>
      <c r="K566" s="374">
        <v>0</v>
      </c>
      <c r="L566" s="603">
        <v>10.105</v>
      </c>
      <c r="M566" s="374">
        <v>0</v>
      </c>
      <c r="N566" s="374">
        <v>0</v>
      </c>
      <c r="O566" s="374">
        <v>10.212</v>
      </c>
      <c r="P566" s="374">
        <v>0</v>
      </c>
    </row>
    <row r="567" spans="4:16">
      <c r="D567" s="374" t="s">
        <v>728</v>
      </c>
      <c r="E567" s="374" t="s">
        <v>732</v>
      </c>
      <c r="F567" s="601">
        <v>42011</v>
      </c>
      <c r="G567" s="602">
        <f t="shared" si="16"/>
        <v>2015</v>
      </c>
      <c r="H567" s="602">
        <f t="shared" si="17"/>
        <v>1</v>
      </c>
      <c r="I567" s="374">
        <v>19</v>
      </c>
      <c r="J567" s="374">
        <v>10.785</v>
      </c>
      <c r="K567" s="374">
        <v>0</v>
      </c>
      <c r="L567" s="603">
        <v>10.785</v>
      </c>
      <c r="M567" s="604">
        <v>3438</v>
      </c>
      <c r="N567" s="374">
        <v>0.314</v>
      </c>
      <c r="O567" s="374">
        <v>10.901999999999999</v>
      </c>
      <c r="P567" s="374">
        <v>0</v>
      </c>
    </row>
    <row r="568" spans="4:16">
      <c r="D568" s="374" t="s">
        <v>728</v>
      </c>
      <c r="E568" s="374" t="s">
        <v>732</v>
      </c>
      <c r="F568" s="601">
        <v>42053</v>
      </c>
      <c r="G568" s="602">
        <f t="shared" si="16"/>
        <v>2015</v>
      </c>
      <c r="H568" s="602">
        <f t="shared" si="17"/>
        <v>2</v>
      </c>
      <c r="I568" s="374">
        <v>19</v>
      </c>
      <c r="J568" s="374">
        <v>10.705</v>
      </c>
      <c r="K568" s="374">
        <v>0</v>
      </c>
      <c r="L568" s="603">
        <v>10.705</v>
      </c>
      <c r="M568" s="604">
        <v>3305</v>
      </c>
      <c r="N568" s="374">
        <v>0.32400000000000001</v>
      </c>
      <c r="O568" s="374">
        <v>10.804</v>
      </c>
      <c r="P568" s="374">
        <v>0</v>
      </c>
    </row>
    <row r="569" spans="4:16">
      <c r="D569" s="374" t="s">
        <v>728</v>
      </c>
      <c r="E569" s="374" t="s">
        <v>732</v>
      </c>
      <c r="F569" s="601">
        <v>42067</v>
      </c>
      <c r="G569" s="602">
        <f t="shared" si="16"/>
        <v>2015</v>
      </c>
      <c r="H569" s="602">
        <f t="shared" si="17"/>
        <v>3</v>
      </c>
      <c r="I569" s="374">
        <v>9</v>
      </c>
      <c r="J569" s="374">
        <v>10.286</v>
      </c>
      <c r="K569" s="374">
        <v>0</v>
      </c>
      <c r="L569" s="603">
        <v>10.286</v>
      </c>
      <c r="M569" s="374">
        <v>0</v>
      </c>
      <c r="N569" s="374">
        <v>0</v>
      </c>
      <c r="O569" s="374">
        <v>10.391999999999999</v>
      </c>
      <c r="P569" s="374">
        <v>0</v>
      </c>
    </row>
    <row r="570" spans="4:16">
      <c r="D570" s="374" t="s">
        <v>728</v>
      </c>
      <c r="E570" s="374" t="s">
        <v>732</v>
      </c>
      <c r="F570" s="601">
        <v>42103</v>
      </c>
      <c r="G570" s="602">
        <f t="shared" si="16"/>
        <v>2015</v>
      </c>
      <c r="H570" s="602">
        <f t="shared" si="17"/>
        <v>4</v>
      </c>
      <c r="I570" s="374">
        <v>11</v>
      </c>
      <c r="J570" s="374">
        <v>9.8019999999999996</v>
      </c>
      <c r="K570" s="374">
        <v>0</v>
      </c>
      <c r="L570" s="603">
        <v>9.8019999999999996</v>
      </c>
      <c r="M570" s="374">
        <v>0</v>
      </c>
      <c r="N570" s="374">
        <v>0</v>
      </c>
      <c r="O570" s="374">
        <v>9.8960000000000008</v>
      </c>
      <c r="P570" s="374">
        <v>0</v>
      </c>
    </row>
    <row r="571" spans="4:16">
      <c r="D571" s="374" t="s">
        <v>728</v>
      </c>
      <c r="E571" s="374" t="s">
        <v>732</v>
      </c>
      <c r="F571" s="601">
        <v>42152</v>
      </c>
      <c r="G571" s="602">
        <f t="shared" si="16"/>
        <v>2015</v>
      </c>
      <c r="H571" s="602">
        <f t="shared" si="17"/>
        <v>5</v>
      </c>
      <c r="I571" s="374">
        <v>15</v>
      </c>
      <c r="J571" s="374">
        <v>10.784000000000001</v>
      </c>
      <c r="K571" s="374">
        <v>0</v>
      </c>
      <c r="L571" s="603">
        <v>10.784000000000001</v>
      </c>
      <c r="M571" s="374">
        <v>0</v>
      </c>
      <c r="N571" s="374">
        <v>0</v>
      </c>
      <c r="O571" s="374">
        <v>10.898</v>
      </c>
      <c r="P571" s="374">
        <v>0</v>
      </c>
    </row>
    <row r="572" spans="4:16">
      <c r="D572" s="374" t="s">
        <v>728</v>
      </c>
      <c r="E572" s="374" t="s">
        <v>732</v>
      </c>
      <c r="F572" s="601">
        <v>42165</v>
      </c>
      <c r="G572" s="602">
        <f t="shared" si="16"/>
        <v>2015</v>
      </c>
      <c r="H572" s="602">
        <f t="shared" si="17"/>
        <v>6</v>
      </c>
      <c r="I572" s="374">
        <v>18</v>
      </c>
      <c r="J572" s="374">
        <v>11.148</v>
      </c>
      <c r="K572" s="374">
        <v>0</v>
      </c>
      <c r="L572" s="603">
        <v>11.148</v>
      </c>
      <c r="M572" s="374">
        <v>0</v>
      </c>
      <c r="N572" s="374">
        <v>0</v>
      </c>
      <c r="O572" s="374">
        <v>11.252000000000001</v>
      </c>
      <c r="P572" s="374">
        <v>0</v>
      </c>
    </row>
    <row r="573" spans="4:16">
      <c r="D573" s="374" t="s">
        <v>728</v>
      </c>
      <c r="E573" s="374" t="s">
        <v>732</v>
      </c>
      <c r="F573" s="601">
        <v>42198</v>
      </c>
      <c r="G573" s="602">
        <f t="shared" si="16"/>
        <v>2015</v>
      </c>
      <c r="H573" s="602">
        <f t="shared" si="17"/>
        <v>7</v>
      </c>
      <c r="I573" s="374">
        <v>16</v>
      </c>
      <c r="J573" s="374">
        <v>13.098000000000001</v>
      </c>
      <c r="K573" s="374">
        <v>0</v>
      </c>
      <c r="L573" s="603">
        <v>13.098000000000001</v>
      </c>
      <c r="M573" s="374">
        <v>0</v>
      </c>
      <c r="N573" s="374">
        <v>0</v>
      </c>
      <c r="O573" s="374">
        <v>13.259</v>
      </c>
      <c r="P573" s="374">
        <v>0</v>
      </c>
    </row>
    <row r="574" spans="4:16">
      <c r="D574" s="374" t="s">
        <v>728</v>
      </c>
      <c r="E574" s="374" t="s">
        <v>732</v>
      </c>
      <c r="F574" s="601">
        <v>42230</v>
      </c>
      <c r="G574" s="602">
        <f t="shared" si="16"/>
        <v>2015</v>
      </c>
      <c r="H574" s="602">
        <f t="shared" si="17"/>
        <v>8</v>
      </c>
      <c r="I574" s="374">
        <v>17</v>
      </c>
      <c r="J574" s="374">
        <v>12.111000000000001</v>
      </c>
      <c r="K574" s="374">
        <v>0</v>
      </c>
      <c r="L574" s="603">
        <v>12.111000000000001</v>
      </c>
      <c r="M574" s="374">
        <v>0</v>
      </c>
      <c r="N574" s="374">
        <v>0</v>
      </c>
      <c r="O574" s="374">
        <v>12.206</v>
      </c>
      <c r="P574" s="374">
        <v>0</v>
      </c>
    </row>
    <row r="575" spans="4:16">
      <c r="D575" s="374" t="s">
        <v>728</v>
      </c>
      <c r="E575" s="374" t="s">
        <v>732</v>
      </c>
      <c r="F575" s="601">
        <v>42250</v>
      </c>
      <c r="G575" s="602">
        <f t="shared" si="16"/>
        <v>2015</v>
      </c>
      <c r="H575" s="602">
        <f t="shared" si="17"/>
        <v>9</v>
      </c>
      <c r="I575" s="374">
        <v>17</v>
      </c>
      <c r="J575" s="374">
        <v>13.505000000000001</v>
      </c>
      <c r="K575" s="374">
        <v>0</v>
      </c>
      <c r="L575" s="603">
        <v>13.505000000000001</v>
      </c>
      <c r="M575" s="374">
        <v>0</v>
      </c>
      <c r="N575" s="374">
        <v>0</v>
      </c>
      <c r="O575" s="374">
        <v>13.63</v>
      </c>
      <c r="P575" s="374">
        <v>0</v>
      </c>
    </row>
    <row r="576" spans="4:16">
      <c r="D576" s="374" t="s">
        <v>728</v>
      </c>
      <c r="E576" s="374" t="s">
        <v>732</v>
      </c>
      <c r="F576" s="601">
        <v>42284</v>
      </c>
      <c r="G576" s="602">
        <f t="shared" si="16"/>
        <v>2015</v>
      </c>
      <c r="H576" s="602">
        <f t="shared" si="17"/>
        <v>10</v>
      </c>
      <c r="I576" s="374">
        <v>15</v>
      </c>
      <c r="J576" s="374">
        <v>7.1289999999999996</v>
      </c>
      <c r="K576" s="374">
        <v>0</v>
      </c>
      <c r="L576" s="603">
        <v>7.1289999999999996</v>
      </c>
      <c r="M576" s="374">
        <v>0</v>
      </c>
      <c r="N576" s="374">
        <v>0</v>
      </c>
      <c r="O576" s="374">
        <v>7.1989999999999998</v>
      </c>
      <c r="P576" s="374">
        <v>0</v>
      </c>
    </row>
    <row r="577" spans="4:16">
      <c r="D577" s="374" t="s">
        <v>728</v>
      </c>
      <c r="E577" s="374" t="s">
        <v>732</v>
      </c>
      <c r="F577" s="601">
        <v>42338</v>
      </c>
      <c r="G577" s="602">
        <f t="shared" si="16"/>
        <v>2015</v>
      </c>
      <c r="H577" s="602">
        <f t="shared" si="17"/>
        <v>11</v>
      </c>
      <c r="I577" s="374">
        <v>18</v>
      </c>
      <c r="J577" s="374">
        <v>8.2409999999999997</v>
      </c>
      <c r="K577" s="374">
        <v>0</v>
      </c>
      <c r="L577" s="603">
        <v>8.2409999999999997</v>
      </c>
      <c r="M577" s="374">
        <v>0</v>
      </c>
      <c r="N577" s="374">
        <v>0</v>
      </c>
      <c r="O577" s="374">
        <v>8.3529999999999998</v>
      </c>
      <c r="P577" s="374">
        <v>0</v>
      </c>
    </row>
    <row r="578" spans="4:16">
      <c r="D578" s="374" t="s">
        <v>728</v>
      </c>
      <c r="E578" s="374" t="s">
        <v>732</v>
      </c>
      <c r="F578" s="601">
        <v>42355</v>
      </c>
      <c r="G578" s="602">
        <f t="shared" si="16"/>
        <v>2015</v>
      </c>
      <c r="H578" s="602">
        <f t="shared" si="17"/>
        <v>12</v>
      </c>
      <c r="I578" s="374">
        <v>19</v>
      </c>
      <c r="J578" s="374">
        <v>8.3870000000000005</v>
      </c>
      <c r="K578" s="374">
        <v>0</v>
      </c>
      <c r="L578" s="603">
        <v>8.3870000000000005</v>
      </c>
      <c r="M578" s="374">
        <v>0</v>
      </c>
      <c r="N578" s="374">
        <v>0</v>
      </c>
      <c r="O578" s="374">
        <v>8.48</v>
      </c>
      <c r="P578" s="374">
        <v>0</v>
      </c>
    </row>
  </sheetData>
  <phoneticPr fontId="32"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431"/>
  <sheetViews>
    <sheetView topLeftCell="C169" workbookViewId="0">
      <selection activeCell="P306" sqref="P306"/>
    </sheetView>
  </sheetViews>
  <sheetFormatPr defaultRowHeight="12.75"/>
  <cols>
    <col min="1" max="1" width="9.140625" style="83"/>
    <col min="2" max="2" width="29.85546875" style="83" customWidth="1"/>
    <col min="3" max="3" width="33.140625" style="83" customWidth="1"/>
    <col min="4" max="4" width="2.5703125" style="534" customWidth="1"/>
    <col min="5" max="5" width="14.28515625" style="83" bestFit="1" customWidth="1"/>
    <col min="6" max="6" width="15" style="83" bestFit="1" customWidth="1"/>
    <col min="7" max="7" width="12.7109375" style="83" customWidth="1"/>
    <col min="8" max="8" width="15.140625" style="83" bestFit="1" customWidth="1"/>
    <col min="9" max="9" width="4.85546875" style="83" bestFit="1" customWidth="1"/>
    <col min="10" max="10" width="14" style="83" bestFit="1" customWidth="1"/>
    <col min="11" max="11" width="15.85546875" style="83" bestFit="1" customWidth="1"/>
    <col min="12" max="12" width="14" style="83" bestFit="1" customWidth="1"/>
    <col min="13" max="13" width="2.140625" style="535" customWidth="1"/>
    <col min="14" max="14" width="14" style="536" bestFit="1" customWidth="1"/>
    <col min="15" max="15" width="15.140625" style="83" customWidth="1"/>
    <col min="16" max="16" width="10.28515625" style="83" bestFit="1" customWidth="1"/>
    <col min="17" max="16384" width="9.140625" style="83"/>
  </cols>
  <sheetData>
    <row r="1" spans="1:18">
      <c r="A1" s="384"/>
      <c r="B1" s="384"/>
      <c r="C1" s="384"/>
      <c r="D1" s="384"/>
      <c r="E1" s="567"/>
      <c r="F1" s="384"/>
      <c r="G1" s="384"/>
      <c r="H1" s="535"/>
      <c r="I1" s="384"/>
      <c r="J1" s="384"/>
      <c r="K1" s="384"/>
      <c r="L1" s="384"/>
      <c r="M1" s="384"/>
      <c r="N1" s="384"/>
      <c r="O1" s="384"/>
      <c r="P1" s="384"/>
      <c r="Q1" s="384"/>
      <c r="R1" s="384"/>
    </row>
    <row r="2" spans="1:18">
      <c r="A2" s="384"/>
      <c r="B2" s="384"/>
      <c r="C2" s="384"/>
      <c r="D2" s="384"/>
      <c r="E2" s="567"/>
      <c r="F2" s="384"/>
      <c r="G2" s="384"/>
      <c r="H2" s="535"/>
      <c r="I2" s="384"/>
      <c r="J2" s="384"/>
      <c r="K2" s="384"/>
      <c r="L2" s="384"/>
      <c r="M2" s="384"/>
      <c r="N2" s="384"/>
      <c r="O2" s="384"/>
      <c r="P2" s="384"/>
      <c r="Q2" s="384"/>
      <c r="R2" s="384"/>
    </row>
    <row r="3" spans="1:18">
      <c r="A3" s="568" t="s">
        <v>1196</v>
      </c>
      <c r="B3" s="384"/>
      <c r="C3" s="384"/>
      <c r="D3" s="384"/>
      <c r="E3" s="567"/>
      <c r="F3" s="384"/>
      <c r="G3" s="384"/>
      <c r="H3" s="535"/>
      <c r="I3" s="384"/>
      <c r="J3" s="384"/>
      <c r="K3" s="384"/>
      <c r="L3" s="384"/>
      <c r="M3" s="384"/>
      <c r="N3" s="384"/>
      <c r="O3" s="384"/>
      <c r="P3" s="384"/>
      <c r="Q3" s="384"/>
      <c r="R3" s="384"/>
    </row>
    <row r="4" spans="1:18">
      <c r="A4" s="568" t="s">
        <v>1197</v>
      </c>
      <c r="B4" s="384"/>
      <c r="C4" s="384"/>
      <c r="D4" s="384"/>
      <c r="E4" s="567"/>
      <c r="F4" s="384"/>
      <c r="G4" s="384"/>
      <c r="H4" s="535"/>
      <c r="I4" s="384"/>
      <c r="J4" s="384"/>
      <c r="K4" s="384"/>
      <c r="L4" s="384"/>
      <c r="M4" s="384"/>
      <c r="N4" s="384"/>
      <c r="O4" s="384"/>
      <c r="P4" s="384"/>
      <c r="Q4" s="384"/>
      <c r="R4" s="384"/>
    </row>
    <row r="5" spans="1:18">
      <c r="A5" s="568" t="s">
        <v>279</v>
      </c>
      <c r="B5" s="384"/>
      <c r="C5" s="384"/>
      <c r="D5" s="384"/>
      <c r="E5" s="567"/>
      <c r="F5" s="384"/>
      <c r="G5" s="384"/>
      <c r="H5" s="535"/>
      <c r="I5" s="384"/>
      <c r="J5" s="384"/>
      <c r="K5" s="384"/>
      <c r="L5" s="384"/>
      <c r="M5" s="384"/>
      <c r="N5" s="384"/>
      <c r="O5" s="384"/>
      <c r="P5" s="384"/>
      <c r="Q5" s="384"/>
      <c r="R5" s="384"/>
    </row>
    <row r="6" spans="1:18">
      <c r="A6" s="384"/>
      <c r="B6" s="384"/>
      <c r="C6" s="384"/>
      <c r="D6" s="384"/>
      <c r="E6" s="567"/>
      <c r="F6" s="384"/>
      <c r="G6" s="384"/>
      <c r="H6" s="535"/>
      <c r="I6" s="384"/>
      <c r="J6" s="384"/>
      <c r="K6" s="384"/>
      <c r="L6" s="384"/>
      <c r="M6" s="384"/>
      <c r="N6" s="384"/>
      <c r="O6" s="384"/>
      <c r="P6" s="384"/>
      <c r="Q6" s="384"/>
      <c r="R6" s="384"/>
    </row>
    <row r="7" spans="1:18">
      <c r="A7" s="384"/>
      <c r="B7" s="384"/>
      <c r="C7" s="384"/>
      <c r="D7" s="384"/>
      <c r="E7" s="567"/>
      <c r="F7" s="384"/>
      <c r="G7" s="384"/>
      <c r="H7" s="535"/>
      <c r="I7" s="384"/>
      <c r="J7" s="384"/>
      <c r="K7" s="384"/>
      <c r="L7" s="384"/>
      <c r="M7" s="384"/>
      <c r="N7" s="384"/>
      <c r="O7" s="384"/>
      <c r="P7" s="384"/>
      <c r="Q7" s="384"/>
      <c r="R7" s="384"/>
    </row>
    <row r="8" spans="1:18" s="537" customFormat="1" ht="15">
      <c r="A8" s="568" t="s">
        <v>1198</v>
      </c>
      <c r="B8" s="384"/>
      <c r="C8" s="384"/>
      <c r="D8" s="384"/>
      <c r="E8" s="567"/>
      <c r="F8" s="384"/>
      <c r="G8" s="384"/>
      <c r="H8" s="535"/>
      <c r="I8" s="384"/>
      <c r="J8" s="384"/>
      <c r="K8" s="384"/>
      <c r="L8" s="384"/>
      <c r="M8" s="384"/>
      <c r="N8" s="569" t="s">
        <v>1199</v>
      </c>
      <c r="O8" s="384"/>
      <c r="P8" s="384"/>
      <c r="Q8" s="384"/>
      <c r="R8" s="384"/>
    </row>
    <row r="9" spans="1:18" s="537" customFormat="1" ht="15">
      <c r="A9" s="568" t="s">
        <v>1200</v>
      </c>
      <c r="B9" s="384"/>
      <c r="C9" s="384"/>
      <c r="D9" s="384"/>
      <c r="E9" s="567"/>
      <c r="F9" s="384"/>
      <c r="G9" s="582">
        <v>41640</v>
      </c>
      <c r="H9" s="535"/>
      <c r="I9" s="384"/>
      <c r="J9" s="568" t="s">
        <v>1201</v>
      </c>
      <c r="K9" s="384"/>
      <c r="L9" s="568" t="s">
        <v>1202</v>
      </c>
      <c r="M9" s="384"/>
      <c r="N9" s="384"/>
      <c r="O9" s="384"/>
      <c r="P9" s="384"/>
      <c r="Q9" s="384"/>
      <c r="R9" s="384"/>
    </row>
    <row r="10" spans="1:18">
      <c r="A10" s="384"/>
      <c r="B10" s="384"/>
      <c r="C10" s="384"/>
      <c r="D10" s="384"/>
      <c r="E10" s="567"/>
      <c r="F10" s="384"/>
      <c r="G10" s="384"/>
      <c r="H10" s="535"/>
      <c r="I10" s="384"/>
      <c r="J10" s="568" t="s">
        <v>906</v>
      </c>
      <c r="K10" s="568" t="s">
        <v>901</v>
      </c>
      <c r="L10" s="568" t="s">
        <v>906</v>
      </c>
      <c r="M10" s="384"/>
      <c r="N10" s="384"/>
      <c r="O10" s="384"/>
      <c r="P10" s="384"/>
      <c r="Q10" s="384"/>
      <c r="R10" s="384"/>
    </row>
    <row r="11" spans="1:18">
      <c r="A11" s="384"/>
      <c r="B11" s="384"/>
      <c r="C11" s="384"/>
      <c r="D11" s="384"/>
      <c r="E11" s="567"/>
      <c r="F11" s="568" t="s">
        <v>900</v>
      </c>
      <c r="G11" s="568"/>
      <c r="H11" s="535"/>
      <c r="I11" s="384"/>
      <c r="J11" s="568" t="s">
        <v>1203</v>
      </c>
      <c r="K11" s="568" t="s">
        <v>1203</v>
      </c>
      <c r="L11" s="568" t="s">
        <v>1203</v>
      </c>
      <c r="M11" s="384"/>
      <c r="N11" s="568" t="s">
        <v>1204</v>
      </c>
      <c r="O11" s="384" t="s">
        <v>902</v>
      </c>
      <c r="P11" s="384"/>
      <c r="Q11" s="384"/>
      <c r="R11" s="384"/>
    </row>
    <row r="12" spans="1:18">
      <c r="A12" s="568" t="s">
        <v>903</v>
      </c>
      <c r="B12" s="384"/>
      <c r="C12" s="568" t="s">
        <v>904</v>
      </c>
      <c r="D12" s="384"/>
      <c r="E12" s="567" t="s">
        <v>905</v>
      </c>
      <c r="F12" s="568" t="s">
        <v>504</v>
      </c>
      <c r="G12" s="568"/>
      <c r="H12" s="570" t="s">
        <v>450</v>
      </c>
      <c r="I12" s="384"/>
      <c r="J12" s="568" t="s">
        <v>1205</v>
      </c>
      <c r="K12" s="568" t="s">
        <v>1205</v>
      </c>
      <c r="L12" s="568" t="s">
        <v>1205</v>
      </c>
      <c r="M12" s="384"/>
      <c r="N12" s="568" t="s">
        <v>1206</v>
      </c>
      <c r="O12" s="384" t="s">
        <v>907</v>
      </c>
      <c r="P12" s="1" t="s">
        <v>908</v>
      </c>
      <c r="Q12" s="384"/>
      <c r="R12" s="384"/>
    </row>
    <row r="13" spans="1:18">
      <c r="A13" s="384"/>
      <c r="B13" s="384"/>
      <c r="C13" s="384"/>
      <c r="D13" s="384"/>
      <c r="E13" s="567"/>
      <c r="F13" s="384"/>
      <c r="G13" s="384"/>
      <c r="H13" s="535"/>
      <c r="I13" s="384"/>
      <c r="J13" s="384"/>
      <c r="K13" s="384"/>
      <c r="L13" s="384"/>
      <c r="M13" s="384"/>
      <c r="N13" s="384"/>
      <c r="O13" s="384"/>
      <c r="P13" s="384"/>
      <c r="Q13" s="384"/>
      <c r="R13" s="384"/>
    </row>
    <row r="14" spans="1:18">
      <c r="A14" s="571" t="s">
        <v>909</v>
      </c>
      <c r="B14" s="384"/>
      <c r="C14" s="384"/>
      <c r="D14" s="384"/>
      <c r="E14" s="567"/>
      <c r="F14" s="384"/>
      <c r="G14" s="384"/>
      <c r="H14" s="535"/>
      <c r="I14" s="384"/>
      <c r="J14" s="384"/>
      <c r="K14" s="384"/>
      <c r="L14" s="384"/>
      <c r="M14" s="384"/>
      <c r="N14" s="384"/>
      <c r="O14" s="384"/>
      <c r="P14" s="384"/>
      <c r="Q14" s="384"/>
      <c r="R14" s="384"/>
    </row>
    <row r="15" spans="1:18">
      <c r="A15" s="571" t="s">
        <v>1207</v>
      </c>
      <c r="B15" s="384"/>
      <c r="C15" s="571" t="s">
        <v>910</v>
      </c>
      <c r="D15" s="384"/>
      <c r="E15" s="543" t="s">
        <v>481</v>
      </c>
      <c r="F15" s="579" t="s">
        <v>1208</v>
      </c>
      <c r="G15" s="583">
        <f>G$9-F15</f>
        <v>26483</v>
      </c>
      <c r="H15" s="572">
        <v>24552.7</v>
      </c>
      <c r="I15" s="384"/>
      <c r="J15" s="572">
        <v>0</v>
      </c>
      <c r="K15" s="573">
        <v>0</v>
      </c>
      <c r="L15" s="573">
        <v>0</v>
      </c>
      <c r="M15" s="384"/>
      <c r="N15" s="572">
        <v>24552.7</v>
      </c>
      <c r="O15" s="384"/>
      <c r="P15" s="384"/>
      <c r="Q15" s="384"/>
      <c r="R15" s="384"/>
    </row>
    <row r="16" spans="1:18" s="537" customFormat="1" ht="15">
      <c r="A16" s="571" t="s">
        <v>1209</v>
      </c>
      <c r="B16" s="384"/>
      <c r="C16" s="571" t="s">
        <v>911</v>
      </c>
      <c r="D16" s="384"/>
      <c r="E16" s="543" t="s">
        <v>481</v>
      </c>
      <c r="F16" s="579" t="s">
        <v>1210</v>
      </c>
      <c r="G16" s="583">
        <f t="shared" ref="G16:G18" si="0">G$9-F16</f>
        <v>5766</v>
      </c>
      <c r="H16" s="572">
        <v>3048</v>
      </c>
      <c r="I16" s="384"/>
      <c r="J16" s="572">
        <v>0</v>
      </c>
      <c r="K16" s="573">
        <v>0</v>
      </c>
      <c r="L16" s="573">
        <v>0</v>
      </c>
      <c r="M16" s="384"/>
      <c r="N16" s="572">
        <v>3048</v>
      </c>
      <c r="O16" s="384"/>
      <c r="P16" s="384"/>
      <c r="Q16" s="384"/>
      <c r="R16" s="384"/>
    </row>
    <row r="17" spans="1:18">
      <c r="A17" s="571" t="s">
        <v>1211</v>
      </c>
      <c r="B17" s="384"/>
      <c r="C17" s="571" t="s">
        <v>912</v>
      </c>
      <c r="D17" s="384"/>
      <c r="E17" s="543" t="s">
        <v>481</v>
      </c>
      <c r="F17" s="579" t="s">
        <v>1212</v>
      </c>
      <c r="G17" s="583">
        <f t="shared" si="0"/>
        <v>3361</v>
      </c>
      <c r="H17" s="572">
        <v>6448</v>
      </c>
      <c r="I17" s="384"/>
      <c r="J17" s="572">
        <v>0</v>
      </c>
      <c r="K17" s="573">
        <v>0</v>
      </c>
      <c r="L17" s="573">
        <v>0</v>
      </c>
      <c r="M17" s="384"/>
      <c r="N17" s="572">
        <v>6448</v>
      </c>
      <c r="O17" s="384"/>
      <c r="P17" s="384"/>
      <c r="Q17" s="384"/>
      <c r="R17" s="384"/>
    </row>
    <row r="18" spans="1:18">
      <c r="A18" s="571" t="s">
        <v>1213</v>
      </c>
      <c r="B18" s="384"/>
      <c r="C18" s="571" t="s">
        <v>913</v>
      </c>
      <c r="D18" s="384"/>
      <c r="E18" s="543" t="s">
        <v>481</v>
      </c>
      <c r="F18" s="579" t="s">
        <v>1214</v>
      </c>
      <c r="G18" s="583">
        <f t="shared" si="0"/>
        <v>2898</v>
      </c>
      <c r="H18" s="572">
        <v>28326.5</v>
      </c>
      <c r="I18" s="384"/>
      <c r="J18" s="572">
        <v>0</v>
      </c>
      <c r="K18" s="573">
        <v>0</v>
      </c>
      <c r="L18" s="573">
        <v>0</v>
      </c>
      <c r="M18" s="384"/>
      <c r="N18" s="572">
        <v>28326.5</v>
      </c>
      <c r="O18" s="384"/>
      <c r="P18" s="384"/>
      <c r="Q18" s="384"/>
      <c r="R18" s="384"/>
    </row>
    <row r="19" spans="1:18">
      <c r="A19" s="571" t="s">
        <v>914</v>
      </c>
      <c r="B19" s="384"/>
      <c r="C19" s="384"/>
      <c r="D19" s="384"/>
      <c r="E19" s="543"/>
      <c r="F19" s="580"/>
      <c r="G19" s="539"/>
      <c r="H19" s="572">
        <v>62375.199999999997</v>
      </c>
      <c r="I19" s="384"/>
      <c r="J19" s="572">
        <v>0</v>
      </c>
      <c r="K19" s="573">
        <v>0</v>
      </c>
      <c r="L19" s="573">
        <v>0</v>
      </c>
      <c r="M19" s="384"/>
      <c r="N19" s="572">
        <v>62375.199999999997</v>
      </c>
      <c r="O19" s="384"/>
      <c r="P19" s="384"/>
      <c r="Q19" s="384"/>
      <c r="R19" s="384"/>
    </row>
    <row r="20" spans="1:18">
      <c r="A20" s="384"/>
      <c r="B20" s="384"/>
      <c r="C20" s="384"/>
      <c r="D20" s="384"/>
      <c r="E20" s="543"/>
      <c r="F20" s="580"/>
      <c r="G20" s="539"/>
      <c r="H20"/>
      <c r="I20"/>
      <c r="J20"/>
      <c r="K20"/>
      <c r="L20"/>
      <c r="M20" s="384"/>
      <c r="N20" s="535">
        <v>0</v>
      </c>
      <c r="O20" s="384"/>
      <c r="P20" s="384"/>
      <c r="Q20" s="384"/>
      <c r="R20" s="384"/>
    </row>
    <row r="21" spans="1:18">
      <c r="A21" s="571" t="s">
        <v>915</v>
      </c>
      <c r="B21" s="384"/>
      <c r="C21" s="384"/>
      <c r="D21" s="384"/>
      <c r="E21" s="543"/>
      <c r="F21" s="580"/>
      <c r="G21" s="539"/>
      <c r="H21"/>
      <c r="I21"/>
      <c r="J21"/>
      <c r="K21"/>
      <c r="L21"/>
      <c r="M21" s="384"/>
      <c r="N21" s="535">
        <v>0</v>
      </c>
      <c r="O21" s="384"/>
      <c r="P21" s="384"/>
      <c r="Q21" s="384"/>
      <c r="R21" s="384"/>
    </row>
    <row r="22" spans="1:18">
      <c r="A22" s="571" t="s">
        <v>1215</v>
      </c>
      <c r="B22" s="384"/>
      <c r="C22" s="571" t="s">
        <v>938</v>
      </c>
      <c r="D22" s="384"/>
      <c r="E22" s="543" t="s">
        <v>478</v>
      </c>
      <c r="F22" s="579" t="s">
        <v>1216</v>
      </c>
      <c r="G22" s="583">
        <f t="shared" ref="G22:G49" si="1">G$9-F22</f>
        <v>3675</v>
      </c>
      <c r="H22" s="572">
        <v>150446.01999999999</v>
      </c>
      <c r="I22" s="384"/>
      <c r="J22" s="572">
        <v>101133.2</v>
      </c>
      <c r="K22" s="573">
        <v>10029.73</v>
      </c>
      <c r="L22" s="573">
        <v>111162.93</v>
      </c>
      <c r="M22" s="384"/>
      <c r="N22" s="572">
        <v>39283.089999999997</v>
      </c>
      <c r="O22" s="384"/>
      <c r="P22" s="384" t="s">
        <v>154</v>
      </c>
      <c r="Q22" s="384"/>
      <c r="R22" s="384"/>
    </row>
    <row r="23" spans="1:18">
      <c r="A23" s="571" t="s">
        <v>1217</v>
      </c>
      <c r="B23" s="384"/>
      <c r="C23" s="571" t="s">
        <v>916</v>
      </c>
      <c r="D23" s="384"/>
      <c r="E23" s="543" t="s">
        <v>481</v>
      </c>
      <c r="F23" s="579" t="s">
        <v>1218</v>
      </c>
      <c r="G23" s="583">
        <f t="shared" si="1"/>
        <v>28309</v>
      </c>
      <c r="H23" s="572">
        <v>2843</v>
      </c>
      <c r="I23" s="384"/>
      <c r="J23" s="572">
        <v>2843</v>
      </c>
      <c r="K23" s="573">
        <v>0</v>
      </c>
      <c r="L23" s="573">
        <v>2843</v>
      </c>
      <c r="M23" s="384"/>
      <c r="N23" s="572">
        <v>0</v>
      </c>
      <c r="O23" s="384"/>
      <c r="P23" s="384"/>
      <c r="Q23" s="384"/>
      <c r="R23" s="384"/>
    </row>
    <row r="24" spans="1:18">
      <c r="A24" s="571" t="s">
        <v>1219</v>
      </c>
      <c r="B24" s="384"/>
      <c r="C24" s="571" t="s">
        <v>919</v>
      </c>
      <c r="D24" s="384"/>
      <c r="E24" s="543" t="s">
        <v>481</v>
      </c>
      <c r="F24" s="579" t="s">
        <v>1220</v>
      </c>
      <c r="G24" s="583">
        <f t="shared" si="1"/>
        <v>21993</v>
      </c>
      <c r="H24" s="572">
        <v>170880.39</v>
      </c>
      <c r="I24" s="384"/>
      <c r="J24" s="572">
        <v>170880.39</v>
      </c>
      <c r="K24" s="573">
        <v>0</v>
      </c>
      <c r="L24" s="573">
        <v>170880.39</v>
      </c>
      <c r="M24" s="384"/>
      <c r="N24" s="572">
        <v>0</v>
      </c>
      <c r="O24" s="384"/>
      <c r="P24" s="384"/>
      <c r="Q24" s="384"/>
      <c r="R24" s="384"/>
    </row>
    <row r="25" spans="1:18">
      <c r="A25" s="571" t="s">
        <v>1221</v>
      </c>
      <c r="B25" s="384"/>
      <c r="C25" s="571" t="s">
        <v>923</v>
      </c>
      <c r="D25" s="384"/>
      <c r="E25" s="543" t="s">
        <v>481</v>
      </c>
      <c r="F25" s="579" t="s">
        <v>1222</v>
      </c>
      <c r="G25" s="583">
        <f t="shared" si="1"/>
        <v>12650</v>
      </c>
      <c r="H25" s="572">
        <v>1565</v>
      </c>
      <c r="I25" s="384"/>
      <c r="J25" s="572">
        <v>1565</v>
      </c>
      <c r="K25" s="573">
        <v>0</v>
      </c>
      <c r="L25" s="573">
        <v>1565</v>
      </c>
      <c r="M25" s="384"/>
      <c r="N25" s="572">
        <v>0</v>
      </c>
      <c r="O25" s="384"/>
      <c r="P25" s="384"/>
      <c r="Q25" s="384"/>
      <c r="R25" s="384"/>
    </row>
    <row r="26" spans="1:18">
      <c r="A26" s="571" t="s">
        <v>1223</v>
      </c>
      <c r="B26" s="384"/>
      <c r="C26" s="571" t="s">
        <v>925</v>
      </c>
      <c r="D26" s="384"/>
      <c r="E26" s="543" t="s">
        <v>481</v>
      </c>
      <c r="F26" s="579" t="s">
        <v>1224</v>
      </c>
      <c r="G26" s="583">
        <f t="shared" si="1"/>
        <v>10093</v>
      </c>
      <c r="H26" s="572">
        <v>7375.87</v>
      </c>
      <c r="I26" s="384"/>
      <c r="J26" s="572">
        <v>7375.87</v>
      </c>
      <c r="K26" s="573">
        <v>0</v>
      </c>
      <c r="L26" s="573">
        <v>7375.87</v>
      </c>
      <c r="M26" s="384"/>
      <c r="N26" s="572">
        <v>0</v>
      </c>
      <c r="O26" s="384"/>
      <c r="P26" s="384"/>
      <c r="Q26" s="384"/>
      <c r="R26" s="384"/>
    </row>
    <row r="27" spans="1:18">
      <c r="A27" s="571" t="s">
        <v>1225</v>
      </c>
      <c r="B27" s="384"/>
      <c r="C27" s="571" t="s">
        <v>927</v>
      </c>
      <c r="D27" s="384"/>
      <c r="E27" s="543" t="s">
        <v>481</v>
      </c>
      <c r="F27" s="579" t="s">
        <v>1226</v>
      </c>
      <c r="G27" s="583">
        <f t="shared" si="1"/>
        <v>9970</v>
      </c>
      <c r="H27" s="572">
        <v>3010.54</v>
      </c>
      <c r="I27" s="384"/>
      <c r="J27" s="572">
        <v>3010.54</v>
      </c>
      <c r="K27" s="573">
        <v>0</v>
      </c>
      <c r="L27" s="573">
        <v>3010.54</v>
      </c>
      <c r="M27" s="384"/>
      <c r="N27" s="572">
        <v>0</v>
      </c>
      <c r="O27" s="384"/>
      <c r="P27" s="384"/>
      <c r="Q27" s="384"/>
      <c r="R27" s="384"/>
    </row>
    <row r="28" spans="1:18">
      <c r="A28" s="571" t="s">
        <v>1227</v>
      </c>
      <c r="B28" s="384"/>
      <c r="C28" s="571" t="s">
        <v>928</v>
      </c>
      <c r="D28" s="384"/>
      <c r="E28" s="543" t="s">
        <v>481</v>
      </c>
      <c r="F28" s="579" t="s">
        <v>1228</v>
      </c>
      <c r="G28" s="583">
        <f t="shared" si="1"/>
        <v>8721</v>
      </c>
      <c r="H28" s="572">
        <v>1595.84</v>
      </c>
      <c r="I28" s="384"/>
      <c r="J28" s="572">
        <v>1595.84</v>
      </c>
      <c r="K28" s="573">
        <v>0</v>
      </c>
      <c r="L28" s="573">
        <v>1595.84</v>
      </c>
      <c r="M28" s="384"/>
      <c r="N28" s="572">
        <v>0</v>
      </c>
      <c r="O28" s="384"/>
      <c r="P28" s="384"/>
      <c r="Q28" s="384"/>
      <c r="R28" s="384"/>
    </row>
    <row r="29" spans="1:18">
      <c r="A29" s="571" t="s">
        <v>1229</v>
      </c>
      <c r="B29" s="384"/>
      <c r="C29" s="571" t="s">
        <v>929</v>
      </c>
      <c r="D29" s="384"/>
      <c r="E29" s="543" t="s">
        <v>481</v>
      </c>
      <c r="F29" s="579" t="s">
        <v>1230</v>
      </c>
      <c r="G29" s="583">
        <f t="shared" si="1"/>
        <v>8693</v>
      </c>
      <c r="H29" s="572">
        <v>400</v>
      </c>
      <c r="I29" s="384"/>
      <c r="J29" s="572">
        <v>400</v>
      </c>
      <c r="K29" s="573">
        <v>0</v>
      </c>
      <c r="L29" s="573">
        <v>400</v>
      </c>
      <c r="M29" s="384"/>
      <c r="N29" s="572">
        <v>0</v>
      </c>
      <c r="O29" s="384"/>
      <c r="P29" s="384"/>
      <c r="Q29" s="384"/>
      <c r="R29" s="384"/>
    </row>
    <row r="30" spans="1:18">
      <c r="A30" s="571" t="s">
        <v>1231</v>
      </c>
      <c r="B30" s="384"/>
      <c r="C30" s="571" t="s">
        <v>930</v>
      </c>
      <c r="D30" s="384"/>
      <c r="E30" s="543" t="s">
        <v>481</v>
      </c>
      <c r="F30" s="579" t="s">
        <v>1232</v>
      </c>
      <c r="G30" s="583">
        <f t="shared" si="1"/>
        <v>8601</v>
      </c>
      <c r="H30" s="572">
        <v>1500</v>
      </c>
      <c r="I30" s="384"/>
      <c r="J30" s="572">
        <v>0</v>
      </c>
      <c r="K30" s="573">
        <v>1500</v>
      </c>
      <c r="L30" s="573">
        <v>1500</v>
      </c>
      <c r="M30" s="384"/>
      <c r="N30" s="572">
        <v>0</v>
      </c>
      <c r="O30" s="384"/>
      <c r="P30" s="384"/>
      <c r="Q30" s="384"/>
      <c r="R30" s="384"/>
    </row>
    <row r="31" spans="1:18">
      <c r="A31" s="571" t="s">
        <v>1233</v>
      </c>
      <c r="B31" s="384"/>
      <c r="C31" s="571" t="s">
        <v>931</v>
      </c>
      <c r="D31" s="384"/>
      <c r="E31" s="543" t="s">
        <v>481</v>
      </c>
      <c r="F31" s="579" t="s">
        <v>1234</v>
      </c>
      <c r="G31" s="583">
        <f t="shared" si="1"/>
        <v>8418</v>
      </c>
      <c r="H31" s="572">
        <v>192.25</v>
      </c>
      <c r="I31" s="384"/>
      <c r="J31" s="572">
        <v>192.25</v>
      </c>
      <c r="K31" s="573">
        <v>0</v>
      </c>
      <c r="L31" s="573">
        <v>192.25</v>
      </c>
      <c r="M31" s="384"/>
      <c r="N31" s="572">
        <v>0</v>
      </c>
      <c r="O31" s="384"/>
      <c r="P31" s="384"/>
      <c r="Q31" s="384"/>
      <c r="R31" s="384"/>
    </row>
    <row r="32" spans="1:18">
      <c r="A32" s="571" t="s">
        <v>1235</v>
      </c>
      <c r="B32" s="384"/>
      <c r="C32" s="571" t="s">
        <v>934</v>
      </c>
      <c r="D32" s="384"/>
      <c r="E32" s="543" t="s">
        <v>481</v>
      </c>
      <c r="F32" s="579" t="s">
        <v>1236</v>
      </c>
      <c r="G32" s="583">
        <f t="shared" si="1"/>
        <v>5950</v>
      </c>
      <c r="H32" s="572">
        <v>1500</v>
      </c>
      <c r="I32" s="384"/>
      <c r="J32" s="572">
        <v>1500</v>
      </c>
      <c r="K32" s="573">
        <v>0</v>
      </c>
      <c r="L32" s="573">
        <v>1500</v>
      </c>
      <c r="M32" s="384"/>
      <c r="N32" s="572">
        <v>0</v>
      </c>
      <c r="O32" s="384"/>
      <c r="P32" s="384"/>
      <c r="Q32" s="384"/>
      <c r="R32" s="384"/>
    </row>
    <row r="33" spans="1:18">
      <c r="A33" s="571" t="s">
        <v>1237</v>
      </c>
      <c r="B33" s="384"/>
      <c r="C33" s="571" t="s">
        <v>935</v>
      </c>
      <c r="D33" s="384"/>
      <c r="E33" s="543" t="s">
        <v>481</v>
      </c>
      <c r="F33" s="579" t="s">
        <v>1238</v>
      </c>
      <c r="G33" s="583">
        <f t="shared" si="1"/>
        <v>5733</v>
      </c>
      <c r="H33" s="572">
        <v>2200</v>
      </c>
      <c r="I33" s="384"/>
      <c r="J33" s="572">
        <v>1094.1600000000001</v>
      </c>
      <c r="K33" s="573">
        <v>69.84</v>
      </c>
      <c r="L33" s="573">
        <v>1164</v>
      </c>
      <c r="M33" s="384"/>
      <c r="N33" s="572">
        <v>1036</v>
      </c>
      <c r="O33" s="384"/>
      <c r="P33" s="384" t="s">
        <v>154</v>
      </c>
      <c r="Q33" s="384"/>
      <c r="R33" s="384"/>
    </row>
    <row r="34" spans="1:18">
      <c r="A34" s="571" t="s">
        <v>1239</v>
      </c>
      <c r="B34" s="384"/>
      <c r="C34" s="571" t="s">
        <v>937</v>
      </c>
      <c r="D34" s="384"/>
      <c r="E34" s="543" t="s">
        <v>481</v>
      </c>
      <c r="F34" s="579" t="s">
        <v>1240</v>
      </c>
      <c r="G34" s="583">
        <f t="shared" si="1"/>
        <v>4704</v>
      </c>
      <c r="H34" s="572">
        <v>8398.2900000000009</v>
      </c>
      <c r="I34" s="384"/>
      <c r="J34" s="572">
        <v>5423.95</v>
      </c>
      <c r="K34" s="573">
        <v>419.91</v>
      </c>
      <c r="L34" s="573">
        <v>5843.86</v>
      </c>
      <c r="M34" s="384"/>
      <c r="N34" s="572">
        <v>2554.4299999999998</v>
      </c>
      <c r="O34" s="384"/>
      <c r="P34" s="384"/>
      <c r="Q34" s="384"/>
      <c r="R34" s="384"/>
    </row>
    <row r="35" spans="1:18">
      <c r="A35" s="571" t="s">
        <v>1241</v>
      </c>
      <c r="B35" s="384"/>
      <c r="C35" s="571" t="s">
        <v>939</v>
      </c>
      <c r="D35" s="384"/>
      <c r="E35" s="543" t="s">
        <v>481</v>
      </c>
      <c r="F35" s="579" t="s">
        <v>1242</v>
      </c>
      <c r="G35" s="583">
        <f t="shared" si="1"/>
        <v>2723</v>
      </c>
      <c r="H35" s="572">
        <v>12387.87</v>
      </c>
      <c r="I35" s="384"/>
      <c r="J35" s="572">
        <v>6125.13</v>
      </c>
      <c r="K35" s="573">
        <v>825.86</v>
      </c>
      <c r="L35" s="573">
        <v>6950.99</v>
      </c>
      <c r="M35" s="384"/>
      <c r="N35" s="572">
        <v>5436.88</v>
      </c>
      <c r="O35" s="384"/>
      <c r="P35" s="384"/>
      <c r="Q35" s="384"/>
      <c r="R35" s="384"/>
    </row>
    <row r="36" spans="1:18">
      <c r="A36" s="571" t="s">
        <v>1243</v>
      </c>
      <c r="B36" s="384"/>
      <c r="C36" s="571" t="s">
        <v>940</v>
      </c>
      <c r="D36" s="384"/>
      <c r="E36" s="543" t="s">
        <v>481</v>
      </c>
      <c r="F36" s="579" t="s">
        <v>1244</v>
      </c>
      <c r="G36" s="583">
        <f t="shared" si="1"/>
        <v>2359</v>
      </c>
      <c r="H36" s="572">
        <v>12818.4</v>
      </c>
      <c r="I36" s="384"/>
      <c r="J36" s="572">
        <v>5483.43</v>
      </c>
      <c r="K36" s="573">
        <v>854.56</v>
      </c>
      <c r="L36" s="573">
        <v>6337.99</v>
      </c>
      <c r="M36" s="384"/>
      <c r="N36" s="572">
        <v>6480.41</v>
      </c>
      <c r="O36" s="384"/>
      <c r="P36" s="384"/>
      <c r="Q36" s="384"/>
      <c r="R36" s="384"/>
    </row>
    <row r="37" spans="1:18">
      <c r="A37" s="571" t="s">
        <v>1245</v>
      </c>
      <c r="B37" s="384"/>
      <c r="C37" s="571" t="s">
        <v>941</v>
      </c>
      <c r="D37" s="384"/>
      <c r="E37" s="543" t="s">
        <v>481</v>
      </c>
      <c r="F37" s="579" t="s">
        <v>1246</v>
      </c>
      <c r="G37" s="583">
        <f t="shared" si="1"/>
        <v>413</v>
      </c>
      <c r="H37" s="572">
        <v>10367.85</v>
      </c>
      <c r="I37" s="384"/>
      <c r="J37" s="572">
        <v>806.39</v>
      </c>
      <c r="K37" s="573">
        <v>691.19</v>
      </c>
      <c r="L37" s="573">
        <v>1497.58</v>
      </c>
      <c r="M37" s="384"/>
      <c r="N37" s="572">
        <v>8870.27</v>
      </c>
      <c r="O37" s="384"/>
      <c r="P37" s="384"/>
      <c r="Q37" s="384"/>
      <c r="R37" s="384"/>
    </row>
    <row r="38" spans="1:18">
      <c r="A38" s="571" t="s">
        <v>1247</v>
      </c>
      <c r="B38" s="384"/>
      <c r="C38" s="571" t="s">
        <v>917</v>
      </c>
      <c r="D38" s="384"/>
      <c r="E38" s="543" t="s">
        <v>481</v>
      </c>
      <c r="F38" s="579" t="s">
        <v>1248</v>
      </c>
      <c r="G38" s="583">
        <f t="shared" si="1"/>
        <v>27214</v>
      </c>
      <c r="H38" s="572">
        <v>3400</v>
      </c>
      <c r="I38" s="384"/>
      <c r="J38" s="572">
        <v>3400</v>
      </c>
      <c r="K38" s="573">
        <v>0</v>
      </c>
      <c r="L38" s="573">
        <v>3400</v>
      </c>
      <c r="M38" s="384"/>
      <c r="N38" s="572">
        <v>0</v>
      </c>
      <c r="O38" s="384"/>
      <c r="P38" s="384"/>
      <c r="Q38" s="384"/>
      <c r="R38" s="384"/>
    </row>
    <row r="39" spans="1:18">
      <c r="A39" s="571" t="s">
        <v>1249</v>
      </c>
      <c r="B39" s="384"/>
      <c r="C39" s="571" t="s">
        <v>920</v>
      </c>
      <c r="D39" s="384"/>
      <c r="E39" s="543" t="s">
        <v>481</v>
      </c>
      <c r="F39" s="579" t="s">
        <v>1250</v>
      </c>
      <c r="G39" s="583">
        <f t="shared" si="1"/>
        <v>21962</v>
      </c>
      <c r="H39" s="572">
        <v>11008.13</v>
      </c>
      <c r="I39" s="384"/>
      <c r="J39" s="572">
        <v>11008.13</v>
      </c>
      <c r="K39" s="573">
        <v>0</v>
      </c>
      <c r="L39" s="573">
        <v>11008.13</v>
      </c>
      <c r="M39" s="384"/>
      <c r="N39" s="572">
        <v>0</v>
      </c>
      <c r="O39" s="384"/>
      <c r="P39" s="384"/>
      <c r="Q39" s="384"/>
      <c r="R39" s="384"/>
    </row>
    <row r="40" spans="1:18">
      <c r="A40" s="571" t="s">
        <v>1251</v>
      </c>
      <c r="B40" s="384"/>
      <c r="C40" s="571" t="s">
        <v>921</v>
      </c>
      <c r="D40" s="384"/>
      <c r="E40" s="543" t="s">
        <v>481</v>
      </c>
      <c r="F40" s="579" t="s">
        <v>1252</v>
      </c>
      <c r="G40" s="583">
        <f t="shared" si="1"/>
        <v>14871</v>
      </c>
      <c r="H40" s="572">
        <v>42000</v>
      </c>
      <c r="I40" s="384"/>
      <c r="J40" s="572">
        <v>42000</v>
      </c>
      <c r="K40" s="573">
        <v>0</v>
      </c>
      <c r="L40" s="573">
        <v>42000</v>
      </c>
      <c r="M40" s="384"/>
      <c r="N40" s="572">
        <v>0</v>
      </c>
      <c r="O40" s="384"/>
      <c r="P40" s="384"/>
      <c r="Q40" s="384"/>
      <c r="R40" s="384"/>
    </row>
    <row r="41" spans="1:18">
      <c r="A41" s="571" t="s">
        <v>1253</v>
      </c>
      <c r="B41" s="384"/>
      <c r="C41" s="571" t="s">
        <v>922</v>
      </c>
      <c r="D41" s="384"/>
      <c r="E41" s="543" t="s">
        <v>481</v>
      </c>
      <c r="F41" s="579" t="s">
        <v>1254</v>
      </c>
      <c r="G41" s="583">
        <f t="shared" si="1"/>
        <v>12892</v>
      </c>
      <c r="H41" s="572">
        <v>27266.400000000001</v>
      </c>
      <c r="I41" s="384"/>
      <c r="J41" s="572">
        <v>27266.400000000001</v>
      </c>
      <c r="K41" s="573">
        <v>0</v>
      </c>
      <c r="L41" s="573">
        <v>27266.400000000001</v>
      </c>
      <c r="M41" s="384"/>
      <c r="N41" s="572">
        <v>0</v>
      </c>
      <c r="O41" s="384"/>
      <c r="P41" s="384"/>
      <c r="Q41" s="384"/>
      <c r="R41" s="384"/>
    </row>
    <row r="42" spans="1:18">
      <c r="A42" s="571" t="s">
        <v>1255</v>
      </c>
      <c r="B42" s="384"/>
      <c r="C42" s="571" t="s">
        <v>924</v>
      </c>
      <c r="D42" s="384"/>
      <c r="E42" s="543" t="s">
        <v>481</v>
      </c>
      <c r="F42" s="579" t="s">
        <v>1256</v>
      </c>
      <c r="G42" s="583">
        <f t="shared" si="1"/>
        <v>12604</v>
      </c>
      <c r="H42" s="572">
        <v>5928.57</v>
      </c>
      <c r="I42" s="384"/>
      <c r="J42" s="572">
        <v>5928.57</v>
      </c>
      <c r="K42" s="573">
        <v>0</v>
      </c>
      <c r="L42" s="573">
        <v>5928.57</v>
      </c>
      <c r="M42" s="384"/>
      <c r="N42" s="572">
        <v>0</v>
      </c>
      <c r="O42" s="384"/>
      <c r="P42" s="384"/>
      <c r="Q42" s="384"/>
      <c r="R42" s="384"/>
    </row>
    <row r="43" spans="1:18">
      <c r="A43" s="571" t="s">
        <v>1257</v>
      </c>
      <c r="B43" s="384"/>
      <c r="C43" s="571" t="s">
        <v>924</v>
      </c>
      <c r="D43" s="384"/>
      <c r="E43" s="543" t="s">
        <v>481</v>
      </c>
      <c r="F43" s="579" t="s">
        <v>1258</v>
      </c>
      <c r="G43" s="583">
        <f t="shared" si="1"/>
        <v>12238</v>
      </c>
      <c r="H43" s="572">
        <v>3390.81</v>
      </c>
      <c r="I43" s="384"/>
      <c r="J43" s="572">
        <v>3390.81</v>
      </c>
      <c r="K43" s="573">
        <v>0</v>
      </c>
      <c r="L43" s="573">
        <v>3390.81</v>
      </c>
      <c r="M43" s="384"/>
      <c r="N43" s="572">
        <v>0</v>
      </c>
      <c r="O43" s="384"/>
      <c r="P43" s="384"/>
      <c r="Q43" s="384"/>
      <c r="R43" s="384"/>
    </row>
    <row r="44" spans="1:18">
      <c r="A44" s="571" t="s">
        <v>1259</v>
      </c>
      <c r="B44" s="384"/>
      <c r="C44" s="571" t="s">
        <v>932</v>
      </c>
      <c r="D44" s="384"/>
      <c r="E44" s="543" t="s">
        <v>481</v>
      </c>
      <c r="F44" s="579" t="s">
        <v>1260</v>
      </c>
      <c r="G44" s="583">
        <f t="shared" si="1"/>
        <v>7041</v>
      </c>
      <c r="H44" s="572">
        <v>77594.03</v>
      </c>
      <c r="I44" s="384"/>
      <c r="J44" s="572">
        <v>49789.55</v>
      </c>
      <c r="K44" s="573">
        <v>2586.4699999999998</v>
      </c>
      <c r="L44" s="573">
        <v>52376.02</v>
      </c>
      <c r="M44" s="384"/>
      <c r="N44" s="572">
        <v>25218.01</v>
      </c>
      <c r="O44" s="384"/>
      <c r="P44" s="384"/>
      <c r="Q44" s="384"/>
      <c r="R44" s="384"/>
    </row>
    <row r="45" spans="1:18">
      <c r="A45" s="571" t="s">
        <v>1261</v>
      </c>
      <c r="B45" s="384"/>
      <c r="C45" s="571" t="s">
        <v>933</v>
      </c>
      <c r="D45" s="384"/>
      <c r="E45" s="543" t="s">
        <v>481</v>
      </c>
      <c r="F45" s="579" t="s">
        <v>1262</v>
      </c>
      <c r="G45" s="583">
        <f t="shared" si="1"/>
        <v>6615</v>
      </c>
      <c r="H45" s="572">
        <v>15410.2</v>
      </c>
      <c r="I45" s="384"/>
      <c r="J45" s="572">
        <v>9288.8799999999992</v>
      </c>
      <c r="K45" s="573">
        <v>513.66999999999996</v>
      </c>
      <c r="L45" s="573">
        <v>9802.5499999999993</v>
      </c>
      <c r="M45" s="384"/>
      <c r="N45" s="572">
        <v>5607.65</v>
      </c>
      <c r="O45" s="384"/>
      <c r="P45" s="384"/>
      <c r="Q45" s="384"/>
      <c r="R45" s="384"/>
    </row>
    <row r="46" spans="1:18">
      <c r="A46" s="571" t="s">
        <v>1263</v>
      </c>
      <c r="B46" s="384"/>
      <c r="C46" s="571" t="s">
        <v>932</v>
      </c>
      <c r="D46" s="384"/>
      <c r="E46" s="543" t="s">
        <v>481</v>
      </c>
      <c r="F46" s="579" t="s">
        <v>1264</v>
      </c>
      <c r="G46" s="583">
        <f t="shared" si="1"/>
        <v>5858</v>
      </c>
      <c r="H46" s="572">
        <v>20674.419999999998</v>
      </c>
      <c r="I46" s="384"/>
      <c r="J46" s="572">
        <v>13231.68</v>
      </c>
      <c r="K46" s="573">
        <v>826.98</v>
      </c>
      <c r="L46" s="573">
        <v>14058.66</v>
      </c>
      <c r="M46" s="384"/>
      <c r="N46" s="572">
        <v>6615.76</v>
      </c>
      <c r="O46" s="384"/>
      <c r="P46" s="384"/>
      <c r="Q46" s="384"/>
      <c r="R46" s="384"/>
    </row>
    <row r="47" spans="1:18">
      <c r="A47" s="571" t="s">
        <v>1265</v>
      </c>
      <c r="B47" s="384"/>
      <c r="C47" s="571" t="s">
        <v>935</v>
      </c>
      <c r="D47" s="384"/>
      <c r="E47" s="543" t="s">
        <v>481</v>
      </c>
      <c r="F47" s="579" t="s">
        <v>1266</v>
      </c>
      <c r="G47" s="583">
        <f t="shared" si="1"/>
        <v>5657</v>
      </c>
      <c r="H47" s="572">
        <v>20732</v>
      </c>
      <c r="I47" s="384"/>
      <c r="J47" s="572">
        <v>10201.48</v>
      </c>
      <c r="K47" s="573">
        <v>658.16</v>
      </c>
      <c r="L47" s="573">
        <v>10859.64</v>
      </c>
      <c r="M47" s="384"/>
      <c r="N47" s="572">
        <v>9872.36</v>
      </c>
      <c r="O47" s="384"/>
      <c r="P47" s="384"/>
      <c r="Q47" s="384"/>
      <c r="R47" s="384"/>
    </row>
    <row r="48" spans="1:18">
      <c r="A48" s="571" t="s">
        <v>1267</v>
      </c>
      <c r="B48" s="384"/>
      <c r="C48" s="571" t="s">
        <v>936</v>
      </c>
      <c r="D48" s="384"/>
      <c r="E48" s="543" t="s">
        <v>481</v>
      </c>
      <c r="F48" s="579" t="s">
        <v>1268</v>
      </c>
      <c r="G48" s="583">
        <f t="shared" si="1"/>
        <v>5642</v>
      </c>
      <c r="H48" s="572">
        <v>4800</v>
      </c>
      <c r="I48" s="384"/>
      <c r="J48" s="572">
        <v>2349.19</v>
      </c>
      <c r="K48" s="573">
        <v>152.38</v>
      </c>
      <c r="L48" s="573">
        <v>2501.5700000000002</v>
      </c>
      <c r="M48" s="384"/>
      <c r="N48" s="572">
        <v>2298.4299999999998</v>
      </c>
      <c r="O48" s="384"/>
      <c r="P48" s="384"/>
      <c r="Q48" s="384"/>
      <c r="R48" s="384"/>
    </row>
    <row r="49" spans="1:18">
      <c r="A49" s="571" t="s">
        <v>1269</v>
      </c>
      <c r="B49" s="384"/>
      <c r="C49" s="571" t="s">
        <v>942</v>
      </c>
      <c r="D49" s="384"/>
      <c r="E49" s="543" t="s">
        <v>481</v>
      </c>
      <c r="F49" s="579" t="s">
        <v>1270</v>
      </c>
      <c r="G49" s="583">
        <f t="shared" si="1"/>
        <v>334</v>
      </c>
      <c r="H49" s="572">
        <v>7836.34</v>
      </c>
      <c r="I49" s="384"/>
      <c r="J49" s="572">
        <v>435.36</v>
      </c>
      <c r="K49" s="573">
        <v>522.41999999999996</v>
      </c>
      <c r="L49" s="573">
        <v>957.78</v>
      </c>
      <c r="M49" s="384"/>
      <c r="N49" s="572">
        <v>6878.56</v>
      </c>
      <c r="O49" s="384"/>
      <c r="P49" s="384"/>
      <c r="Q49" s="384"/>
      <c r="R49" s="384"/>
    </row>
    <row r="50" spans="1:18" s="537" customFormat="1" ht="15">
      <c r="A50" s="571" t="s">
        <v>943</v>
      </c>
      <c r="B50" s="384"/>
      <c r="C50" s="384"/>
      <c r="D50" s="384"/>
      <c r="E50" s="543"/>
      <c r="F50" s="580"/>
      <c r="G50" s="539"/>
      <c r="H50" s="572">
        <v>627522.22</v>
      </c>
      <c r="I50" s="384"/>
      <c r="J50" s="572">
        <v>489219.2</v>
      </c>
      <c r="K50" s="573">
        <f>SUM(K22:K49)</f>
        <v>19651.169999999998</v>
      </c>
      <c r="L50" s="573">
        <v>507370.37</v>
      </c>
      <c r="M50" s="384"/>
      <c r="N50" s="572">
        <v>120151.85</v>
      </c>
      <c r="O50" s="384"/>
      <c r="P50" s="384"/>
      <c r="Q50" s="384"/>
      <c r="R50" s="384"/>
    </row>
    <row r="51" spans="1:18">
      <c r="A51" s="571" t="s">
        <v>944</v>
      </c>
      <c r="B51" s="384"/>
      <c r="C51" s="384"/>
      <c r="D51" s="384"/>
      <c r="E51" s="543"/>
      <c r="F51" s="580"/>
      <c r="G51" s="539"/>
      <c r="H51" s="535">
        <v>0</v>
      </c>
      <c r="I51" s="384"/>
      <c r="J51" s="535">
        <v>0</v>
      </c>
      <c r="K51" s="384">
        <v>0</v>
      </c>
      <c r="L51" s="384">
        <v>0</v>
      </c>
      <c r="M51" s="384"/>
      <c r="N51" s="535">
        <v>0</v>
      </c>
      <c r="O51" s="384"/>
      <c r="P51" s="384"/>
      <c r="Q51" s="384"/>
      <c r="R51" s="384"/>
    </row>
    <row r="52" spans="1:18">
      <c r="A52" s="571" t="s">
        <v>1271</v>
      </c>
      <c r="B52" s="384"/>
      <c r="C52" s="571" t="s">
        <v>975</v>
      </c>
      <c r="D52" s="384"/>
      <c r="E52" s="543" t="s">
        <v>497</v>
      </c>
      <c r="F52" s="579" t="s">
        <v>1272</v>
      </c>
      <c r="G52" s="583">
        <f t="shared" ref="G52:G115" si="2">G$9-F52</f>
        <v>4568</v>
      </c>
      <c r="H52" s="572">
        <v>231863.73</v>
      </c>
      <c r="I52" s="384"/>
      <c r="J52" s="572">
        <v>121728.47</v>
      </c>
      <c r="K52" s="573">
        <v>9274.5499999999993</v>
      </c>
      <c r="L52" s="573">
        <v>131003.02</v>
      </c>
      <c r="M52" s="384"/>
      <c r="N52" s="572">
        <v>100860.71</v>
      </c>
      <c r="O52" s="536">
        <v>-5796.6</v>
      </c>
      <c r="P52" s="538">
        <f>-O52</f>
        <v>5796.6</v>
      </c>
      <c r="Q52" s="384"/>
      <c r="R52" s="384"/>
    </row>
    <row r="53" spans="1:18">
      <c r="A53" s="571" t="s">
        <v>1273</v>
      </c>
      <c r="B53" s="384"/>
      <c r="C53" s="571" t="s">
        <v>976</v>
      </c>
      <c r="D53" s="384"/>
      <c r="E53" s="543" t="s">
        <v>497</v>
      </c>
      <c r="F53" s="579" t="s">
        <v>1272</v>
      </c>
      <c r="G53" s="583">
        <f t="shared" si="2"/>
        <v>4568</v>
      </c>
      <c r="H53" s="572">
        <v>1671800.88</v>
      </c>
      <c r="I53" s="384"/>
      <c r="J53" s="572">
        <v>835900.5</v>
      </c>
      <c r="K53" s="573">
        <v>66872.039999999994</v>
      </c>
      <c r="L53" s="573">
        <v>902772.54</v>
      </c>
      <c r="M53" s="384"/>
      <c r="N53" s="572">
        <v>769028.34</v>
      </c>
      <c r="O53" s="384"/>
      <c r="P53" s="384"/>
      <c r="Q53" s="384"/>
      <c r="R53" s="384"/>
    </row>
    <row r="54" spans="1:18">
      <c r="A54" s="571" t="s">
        <v>1274</v>
      </c>
      <c r="B54" s="384"/>
      <c r="C54" s="571" t="s">
        <v>976</v>
      </c>
      <c r="D54" s="384"/>
      <c r="E54" s="543" t="s">
        <v>497</v>
      </c>
      <c r="F54" s="579" t="s">
        <v>1272</v>
      </c>
      <c r="G54" s="583">
        <f t="shared" si="2"/>
        <v>4568</v>
      </c>
      <c r="H54" s="572">
        <v>249376.86</v>
      </c>
      <c r="I54" s="384"/>
      <c r="J54" s="572">
        <v>126166.46</v>
      </c>
      <c r="K54" s="573">
        <v>9975.07</v>
      </c>
      <c r="L54" s="573">
        <v>136141.53</v>
      </c>
      <c r="M54" s="384"/>
      <c r="N54" s="572">
        <v>113235.33</v>
      </c>
      <c r="O54" s="536">
        <v>-1478.02</v>
      </c>
      <c r="P54" s="538">
        <f>-O54</f>
        <v>1478.02</v>
      </c>
      <c r="Q54" s="384"/>
      <c r="R54" s="384"/>
    </row>
    <row r="55" spans="1:18">
      <c r="A55" s="571" t="s">
        <v>1275</v>
      </c>
      <c r="B55" s="384"/>
      <c r="C55" s="571" t="s">
        <v>976</v>
      </c>
      <c r="D55" s="384"/>
      <c r="E55" s="543" t="s">
        <v>497</v>
      </c>
      <c r="F55" s="579" t="s">
        <v>1276</v>
      </c>
      <c r="G55" s="583">
        <f t="shared" si="2"/>
        <v>4249</v>
      </c>
      <c r="H55" s="572">
        <v>10485.09</v>
      </c>
      <c r="I55" s="384"/>
      <c r="J55" s="572">
        <v>5096.93</v>
      </c>
      <c r="K55" s="573">
        <v>436.88</v>
      </c>
      <c r="L55" s="573">
        <v>5533.81</v>
      </c>
      <c r="M55" s="384"/>
      <c r="N55" s="572">
        <v>4951.28</v>
      </c>
      <c r="O55" s="384"/>
      <c r="P55" s="384"/>
      <c r="Q55" s="384"/>
      <c r="R55" s="384"/>
    </row>
    <row r="56" spans="1:18">
      <c r="A56" s="571" t="s">
        <v>1277</v>
      </c>
      <c r="B56" s="384"/>
      <c r="C56" s="571" t="s">
        <v>946</v>
      </c>
      <c r="D56" s="384"/>
      <c r="E56" s="543" t="s">
        <v>478</v>
      </c>
      <c r="F56" s="579" t="s">
        <v>1278</v>
      </c>
      <c r="G56" s="583">
        <f t="shared" si="2"/>
        <v>15891</v>
      </c>
      <c r="H56" s="572">
        <v>33729.919999999998</v>
      </c>
      <c r="I56" s="384"/>
      <c r="J56" s="572">
        <v>33729.919999999998</v>
      </c>
      <c r="K56" s="573">
        <v>0</v>
      </c>
      <c r="L56" s="573">
        <v>33729.919999999998</v>
      </c>
      <c r="M56" s="384"/>
      <c r="N56" s="572">
        <v>0</v>
      </c>
      <c r="O56" s="384"/>
      <c r="P56" s="384"/>
      <c r="Q56" s="384"/>
      <c r="R56" s="384"/>
    </row>
    <row r="57" spans="1:18">
      <c r="A57" s="571" t="s">
        <v>1279</v>
      </c>
      <c r="B57" s="384"/>
      <c r="C57" s="571" t="s">
        <v>918</v>
      </c>
      <c r="D57" s="384"/>
      <c r="E57" s="543" t="s">
        <v>478</v>
      </c>
      <c r="F57" s="579" t="s">
        <v>1280</v>
      </c>
      <c r="G57" s="583">
        <f t="shared" si="2"/>
        <v>15526</v>
      </c>
      <c r="H57" s="572">
        <v>58925.55</v>
      </c>
      <c r="I57" s="384"/>
      <c r="J57" s="572">
        <v>58925.55</v>
      </c>
      <c r="K57" s="573">
        <v>0</v>
      </c>
      <c r="L57" s="573">
        <v>58925.55</v>
      </c>
      <c r="M57" s="384"/>
      <c r="N57" s="572">
        <v>0</v>
      </c>
      <c r="O57" s="384"/>
      <c r="P57" s="384"/>
      <c r="Q57" s="384"/>
      <c r="R57" s="384"/>
    </row>
    <row r="58" spans="1:18">
      <c r="A58" s="571" t="s">
        <v>1281</v>
      </c>
      <c r="B58" s="384"/>
      <c r="C58" s="571" t="s">
        <v>916</v>
      </c>
      <c r="D58" s="384"/>
      <c r="E58" s="543" t="s">
        <v>478</v>
      </c>
      <c r="F58" s="579" t="s">
        <v>1282</v>
      </c>
      <c r="G58" s="583">
        <f t="shared" si="2"/>
        <v>14795</v>
      </c>
      <c r="H58" s="572">
        <v>46019</v>
      </c>
      <c r="I58" s="384"/>
      <c r="J58" s="572">
        <v>46019</v>
      </c>
      <c r="K58" s="573">
        <v>0</v>
      </c>
      <c r="L58" s="573">
        <v>46019</v>
      </c>
      <c r="M58" s="384"/>
      <c r="N58" s="572">
        <v>0</v>
      </c>
      <c r="O58" s="384"/>
      <c r="P58" s="384"/>
      <c r="Q58" s="384"/>
      <c r="R58" s="384"/>
    </row>
    <row r="59" spans="1:18">
      <c r="A59" s="571" t="s">
        <v>1283</v>
      </c>
      <c r="B59" s="384"/>
      <c r="C59" s="571" t="s">
        <v>916</v>
      </c>
      <c r="D59" s="384"/>
      <c r="E59" s="543" t="s">
        <v>478</v>
      </c>
      <c r="F59" s="579" t="s">
        <v>1284</v>
      </c>
      <c r="G59" s="583">
        <f t="shared" si="2"/>
        <v>14430</v>
      </c>
      <c r="H59" s="572">
        <v>72669.649999999994</v>
      </c>
      <c r="I59" s="384"/>
      <c r="J59" s="572">
        <v>72669.649999999994</v>
      </c>
      <c r="K59" s="573">
        <v>0</v>
      </c>
      <c r="L59" s="573">
        <v>72669.649999999994</v>
      </c>
      <c r="M59" s="384"/>
      <c r="N59" s="572">
        <v>0</v>
      </c>
      <c r="O59" s="384"/>
      <c r="P59" s="384"/>
      <c r="Q59" s="384"/>
      <c r="R59" s="384"/>
    </row>
    <row r="60" spans="1:18">
      <c r="A60" s="571" t="s">
        <v>1285</v>
      </c>
      <c r="B60" s="384"/>
      <c r="C60" s="571" t="s">
        <v>948</v>
      </c>
      <c r="D60" s="384"/>
      <c r="E60" s="543" t="s">
        <v>478</v>
      </c>
      <c r="F60" s="579" t="s">
        <v>1286</v>
      </c>
      <c r="G60" s="583">
        <f t="shared" si="2"/>
        <v>13927</v>
      </c>
      <c r="H60" s="572">
        <v>30029.01</v>
      </c>
      <c r="I60" s="384"/>
      <c r="J60" s="572">
        <v>30029.01</v>
      </c>
      <c r="K60" s="573">
        <v>0</v>
      </c>
      <c r="L60" s="573">
        <v>30029.01</v>
      </c>
      <c r="M60" s="384"/>
      <c r="N60" s="572">
        <v>0</v>
      </c>
      <c r="O60" s="384"/>
      <c r="P60" s="384"/>
      <c r="Q60" s="384"/>
      <c r="R60" s="384"/>
    </row>
    <row r="61" spans="1:18">
      <c r="A61" s="571" t="s">
        <v>1287</v>
      </c>
      <c r="B61" s="384"/>
      <c r="C61" s="571" t="s">
        <v>946</v>
      </c>
      <c r="D61" s="384"/>
      <c r="E61" s="543" t="s">
        <v>478</v>
      </c>
      <c r="F61" s="579" t="s">
        <v>1288</v>
      </c>
      <c r="G61" s="583">
        <f t="shared" si="2"/>
        <v>14065</v>
      </c>
      <c r="H61" s="572">
        <v>23245.599999999999</v>
      </c>
      <c r="I61" s="384"/>
      <c r="J61" s="572">
        <v>23245.599999999999</v>
      </c>
      <c r="K61" s="573">
        <v>0</v>
      </c>
      <c r="L61" s="573">
        <v>23245.599999999999</v>
      </c>
      <c r="M61" s="384"/>
      <c r="N61" s="572">
        <v>0</v>
      </c>
      <c r="O61" s="384"/>
      <c r="P61" s="384"/>
      <c r="Q61" s="384"/>
      <c r="R61" s="384"/>
    </row>
    <row r="62" spans="1:18">
      <c r="A62" s="571" t="s">
        <v>1289</v>
      </c>
      <c r="B62" s="384"/>
      <c r="C62" s="571" t="s">
        <v>946</v>
      </c>
      <c r="D62" s="384"/>
      <c r="E62" s="543" t="s">
        <v>478</v>
      </c>
      <c r="F62" s="579" t="s">
        <v>1290</v>
      </c>
      <c r="G62" s="583">
        <f t="shared" si="2"/>
        <v>13699</v>
      </c>
      <c r="H62" s="572">
        <v>14371.61</v>
      </c>
      <c r="I62" s="384"/>
      <c r="J62" s="572">
        <v>14371.61</v>
      </c>
      <c r="K62" s="573">
        <v>0</v>
      </c>
      <c r="L62" s="573">
        <v>14371.61</v>
      </c>
      <c r="M62" s="384"/>
      <c r="N62" s="572">
        <v>0</v>
      </c>
      <c r="O62" s="384"/>
      <c r="P62" s="384"/>
      <c r="Q62" s="384"/>
      <c r="R62" s="384"/>
    </row>
    <row r="63" spans="1:18">
      <c r="A63" s="571" t="s">
        <v>1291</v>
      </c>
      <c r="B63" s="384"/>
      <c r="C63" s="571" t="s">
        <v>946</v>
      </c>
      <c r="D63" s="384"/>
      <c r="E63" s="543" t="s">
        <v>478</v>
      </c>
      <c r="F63" s="579" t="s">
        <v>1292</v>
      </c>
      <c r="G63" s="583">
        <f t="shared" si="2"/>
        <v>13334</v>
      </c>
      <c r="H63" s="572">
        <v>18318.63</v>
      </c>
      <c r="I63" s="384"/>
      <c r="J63" s="572">
        <v>18318.63</v>
      </c>
      <c r="K63" s="573">
        <v>0</v>
      </c>
      <c r="L63" s="573">
        <v>18318.63</v>
      </c>
      <c r="M63" s="384"/>
      <c r="N63" s="572">
        <v>0</v>
      </c>
      <c r="O63" s="384"/>
      <c r="P63" s="384"/>
      <c r="Q63" s="384"/>
      <c r="R63" s="384"/>
    </row>
    <row r="64" spans="1:18">
      <c r="A64" s="571" t="s">
        <v>1293</v>
      </c>
      <c r="B64" s="384"/>
      <c r="C64" s="571" t="s">
        <v>946</v>
      </c>
      <c r="D64" s="384"/>
      <c r="E64" s="543" t="s">
        <v>478</v>
      </c>
      <c r="F64" s="579" t="s">
        <v>1294</v>
      </c>
      <c r="G64" s="583">
        <f t="shared" si="2"/>
        <v>12969</v>
      </c>
      <c r="H64" s="572">
        <v>14750.34</v>
      </c>
      <c r="I64" s="384"/>
      <c r="J64" s="572">
        <v>14750.34</v>
      </c>
      <c r="K64" s="573">
        <v>0</v>
      </c>
      <c r="L64" s="573">
        <v>14750.34</v>
      </c>
      <c r="M64" s="384"/>
      <c r="N64" s="572">
        <v>0</v>
      </c>
      <c r="O64" s="384"/>
      <c r="P64" s="384"/>
      <c r="Q64" s="384"/>
      <c r="R64" s="384"/>
    </row>
    <row r="65" spans="1:18">
      <c r="A65" s="571" t="s">
        <v>1295</v>
      </c>
      <c r="B65" s="384"/>
      <c r="C65" s="571" t="s">
        <v>946</v>
      </c>
      <c r="D65" s="384"/>
      <c r="E65" s="543" t="s">
        <v>478</v>
      </c>
      <c r="F65" s="579" t="s">
        <v>1256</v>
      </c>
      <c r="G65" s="583">
        <f t="shared" si="2"/>
        <v>12604</v>
      </c>
      <c r="H65" s="572">
        <v>29843.33</v>
      </c>
      <c r="I65" s="384"/>
      <c r="J65" s="572">
        <v>29843.33</v>
      </c>
      <c r="K65" s="573">
        <v>0</v>
      </c>
      <c r="L65" s="573">
        <v>29843.33</v>
      </c>
      <c r="M65" s="384"/>
      <c r="N65" s="572">
        <v>0</v>
      </c>
      <c r="O65" s="384"/>
      <c r="P65" s="384"/>
      <c r="Q65" s="384"/>
      <c r="R65" s="384"/>
    </row>
    <row r="66" spans="1:18">
      <c r="A66" s="571" t="s">
        <v>1296</v>
      </c>
      <c r="B66" s="384"/>
      <c r="C66" s="571" t="s">
        <v>946</v>
      </c>
      <c r="D66" s="384"/>
      <c r="E66" s="543" t="s">
        <v>478</v>
      </c>
      <c r="F66" s="579" t="s">
        <v>1258</v>
      </c>
      <c r="G66" s="583">
        <f t="shared" si="2"/>
        <v>12238</v>
      </c>
      <c r="H66" s="572">
        <v>6003.74</v>
      </c>
      <c r="I66" s="384"/>
      <c r="J66" s="572">
        <v>6003.74</v>
      </c>
      <c r="K66" s="573">
        <v>0</v>
      </c>
      <c r="L66" s="573">
        <v>6003.74</v>
      </c>
      <c r="M66" s="384"/>
      <c r="N66" s="572">
        <v>0</v>
      </c>
      <c r="O66" s="384"/>
      <c r="P66" s="384"/>
      <c r="Q66" s="384"/>
      <c r="R66" s="384"/>
    </row>
    <row r="67" spans="1:18">
      <c r="A67" s="571" t="s">
        <v>1297</v>
      </c>
      <c r="B67" s="384"/>
      <c r="C67" s="571" t="s">
        <v>949</v>
      </c>
      <c r="D67" s="384"/>
      <c r="E67" s="543" t="s">
        <v>478</v>
      </c>
      <c r="F67" s="579" t="s">
        <v>1298</v>
      </c>
      <c r="G67" s="583">
        <f t="shared" si="2"/>
        <v>12284</v>
      </c>
      <c r="H67" s="572">
        <v>6000</v>
      </c>
      <c r="I67" s="384"/>
      <c r="J67" s="572">
        <v>6000</v>
      </c>
      <c r="K67" s="573">
        <v>0</v>
      </c>
      <c r="L67" s="573">
        <v>6000</v>
      </c>
      <c r="M67" s="384"/>
      <c r="N67" s="572">
        <v>0</v>
      </c>
      <c r="O67" s="384"/>
      <c r="P67" s="384"/>
      <c r="Q67" s="384"/>
      <c r="R67" s="384"/>
    </row>
    <row r="68" spans="1:18">
      <c r="A68" s="571" t="s">
        <v>1299</v>
      </c>
      <c r="B68" s="384"/>
      <c r="C68" s="571" t="s">
        <v>946</v>
      </c>
      <c r="D68" s="384"/>
      <c r="E68" s="543" t="s">
        <v>478</v>
      </c>
      <c r="F68" s="579" t="s">
        <v>1300</v>
      </c>
      <c r="G68" s="583">
        <f t="shared" si="2"/>
        <v>11873</v>
      </c>
      <c r="H68" s="572">
        <v>29878.76</v>
      </c>
      <c r="I68" s="384"/>
      <c r="J68" s="572">
        <v>29878.76</v>
      </c>
      <c r="K68" s="573">
        <v>0</v>
      </c>
      <c r="L68" s="573">
        <v>29878.76</v>
      </c>
      <c r="M68" s="384"/>
      <c r="N68" s="572">
        <v>0</v>
      </c>
      <c r="O68" s="384"/>
      <c r="P68" s="384"/>
      <c r="Q68" s="384"/>
      <c r="R68" s="384"/>
    </row>
    <row r="69" spans="1:18">
      <c r="A69" s="571" t="s">
        <v>1301</v>
      </c>
      <c r="B69" s="384"/>
      <c r="C69" s="571" t="s">
        <v>946</v>
      </c>
      <c r="D69" s="384"/>
      <c r="E69" s="543" t="s">
        <v>478</v>
      </c>
      <c r="F69" s="579" t="s">
        <v>1302</v>
      </c>
      <c r="G69" s="583">
        <f t="shared" si="2"/>
        <v>11508</v>
      </c>
      <c r="H69" s="572">
        <v>22386.44</v>
      </c>
      <c r="I69" s="384"/>
      <c r="J69" s="572">
        <v>22386.44</v>
      </c>
      <c r="K69" s="573">
        <v>0</v>
      </c>
      <c r="L69" s="573">
        <v>22386.44</v>
      </c>
      <c r="M69" s="384"/>
      <c r="N69" s="572">
        <v>0</v>
      </c>
      <c r="O69" s="384"/>
      <c r="P69" s="384"/>
      <c r="Q69" s="384"/>
      <c r="R69" s="384"/>
    </row>
    <row r="70" spans="1:18">
      <c r="A70" s="571" t="s">
        <v>1303</v>
      </c>
      <c r="B70" s="384"/>
      <c r="C70" s="571" t="s">
        <v>946</v>
      </c>
      <c r="D70" s="384"/>
      <c r="E70" s="543" t="s">
        <v>478</v>
      </c>
      <c r="F70" s="579" t="s">
        <v>1304</v>
      </c>
      <c r="G70" s="583">
        <f t="shared" si="2"/>
        <v>11143</v>
      </c>
      <c r="H70" s="572">
        <v>46747.01</v>
      </c>
      <c r="I70" s="384"/>
      <c r="J70" s="572">
        <v>46747.01</v>
      </c>
      <c r="K70" s="573">
        <v>0</v>
      </c>
      <c r="L70" s="573">
        <v>46747.01</v>
      </c>
      <c r="M70" s="384"/>
      <c r="N70" s="572">
        <v>0</v>
      </c>
      <c r="O70" s="384"/>
      <c r="P70" s="384"/>
      <c r="Q70" s="384"/>
      <c r="R70" s="384"/>
    </row>
    <row r="71" spans="1:18">
      <c r="A71" s="571" t="s">
        <v>1305</v>
      </c>
      <c r="B71" s="384"/>
      <c r="C71" s="571" t="s">
        <v>946</v>
      </c>
      <c r="D71" s="384"/>
      <c r="E71" s="543" t="s">
        <v>478</v>
      </c>
      <c r="F71" s="579" t="s">
        <v>1306</v>
      </c>
      <c r="G71" s="583">
        <f t="shared" si="2"/>
        <v>10777</v>
      </c>
      <c r="H71" s="572">
        <v>74443.27</v>
      </c>
      <c r="I71" s="384"/>
      <c r="J71" s="572">
        <v>74443.27</v>
      </c>
      <c r="K71" s="573">
        <v>0</v>
      </c>
      <c r="L71" s="573">
        <v>74443.27</v>
      </c>
      <c r="M71" s="384"/>
      <c r="N71" s="572">
        <v>0</v>
      </c>
      <c r="O71" s="384"/>
      <c r="P71" s="384"/>
      <c r="Q71" s="384"/>
      <c r="R71" s="384"/>
    </row>
    <row r="72" spans="1:18">
      <c r="A72" s="571" t="s">
        <v>1307</v>
      </c>
      <c r="B72" s="384"/>
      <c r="C72" s="571" t="s">
        <v>949</v>
      </c>
      <c r="D72" s="384"/>
      <c r="E72" s="543" t="s">
        <v>478</v>
      </c>
      <c r="F72" s="579" t="s">
        <v>1308</v>
      </c>
      <c r="G72" s="583">
        <f t="shared" si="2"/>
        <v>10412</v>
      </c>
      <c r="H72" s="572">
        <v>9414.89</v>
      </c>
      <c r="I72" s="384"/>
      <c r="J72" s="572">
        <v>9414.89</v>
      </c>
      <c r="K72" s="573">
        <v>0</v>
      </c>
      <c r="L72" s="573">
        <v>9414.89</v>
      </c>
      <c r="M72" s="384"/>
      <c r="N72" s="572">
        <v>0</v>
      </c>
      <c r="O72" s="384"/>
      <c r="P72" s="384"/>
      <c r="Q72" s="384"/>
      <c r="R72" s="384"/>
    </row>
    <row r="73" spans="1:18">
      <c r="A73" s="571" t="s">
        <v>1309</v>
      </c>
      <c r="B73" s="384"/>
      <c r="C73" s="571" t="s">
        <v>946</v>
      </c>
      <c r="D73" s="384"/>
      <c r="E73" s="543" t="s">
        <v>478</v>
      </c>
      <c r="F73" s="579" t="s">
        <v>1308</v>
      </c>
      <c r="G73" s="583">
        <f t="shared" si="2"/>
        <v>10412</v>
      </c>
      <c r="H73" s="572">
        <v>29149.96</v>
      </c>
      <c r="I73" s="384"/>
      <c r="J73" s="572">
        <v>29149.96</v>
      </c>
      <c r="K73" s="573">
        <v>0</v>
      </c>
      <c r="L73" s="573">
        <v>29149.96</v>
      </c>
      <c r="M73" s="384"/>
      <c r="N73" s="572">
        <v>0</v>
      </c>
      <c r="O73" s="384"/>
      <c r="P73" s="384"/>
      <c r="Q73" s="384"/>
      <c r="R73" s="384"/>
    </row>
    <row r="74" spans="1:18">
      <c r="A74" s="571" t="s">
        <v>1310</v>
      </c>
      <c r="B74" s="384"/>
      <c r="C74" s="571" t="s">
        <v>950</v>
      </c>
      <c r="D74" s="384"/>
      <c r="E74" s="543" t="s">
        <v>478</v>
      </c>
      <c r="F74" s="579" t="s">
        <v>1311</v>
      </c>
      <c r="G74" s="583">
        <f t="shared" si="2"/>
        <v>10047</v>
      </c>
      <c r="H74" s="572">
        <v>228230.78</v>
      </c>
      <c r="I74" s="384"/>
      <c r="J74" s="572">
        <v>228230.78</v>
      </c>
      <c r="K74" s="573">
        <v>0</v>
      </c>
      <c r="L74" s="573">
        <v>228230.78</v>
      </c>
      <c r="M74" s="384"/>
      <c r="N74" s="572">
        <v>0</v>
      </c>
      <c r="O74" s="384"/>
      <c r="P74" s="384"/>
      <c r="Q74" s="384"/>
      <c r="R74" s="384"/>
    </row>
    <row r="75" spans="1:18">
      <c r="A75" s="571" t="s">
        <v>1312</v>
      </c>
      <c r="B75" s="384"/>
      <c r="C75" s="571" t="s">
        <v>918</v>
      </c>
      <c r="D75" s="384"/>
      <c r="E75" s="543" t="s">
        <v>478</v>
      </c>
      <c r="F75" s="579" t="s">
        <v>1311</v>
      </c>
      <c r="G75" s="583">
        <f t="shared" si="2"/>
        <v>10047</v>
      </c>
      <c r="H75" s="572">
        <v>28000</v>
      </c>
      <c r="I75" s="384"/>
      <c r="J75" s="572">
        <v>28000</v>
      </c>
      <c r="K75" s="573">
        <v>0</v>
      </c>
      <c r="L75" s="573">
        <v>28000</v>
      </c>
      <c r="M75" s="384"/>
      <c r="N75" s="572">
        <v>0</v>
      </c>
      <c r="O75" s="384"/>
      <c r="P75" s="384"/>
      <c r="Q75" s="384"/>
      <c r="R75" s="384"/>
    </row>
    <row r="76" spans="1:18">
      <c r="A76" s="571" t="s">
        <v>1313</v>
      </c>
      <c r="B76" s="384"/>
      <c r="C76" s="571" t="s">
        <v>946</v>
      </c>
      <c r="D76" s="384"/>
      <c r="E76" s="543" t="s">
        <v>478</v>
      </c>
      <c r="F76" s="579" t="s">
        <v>1311</v>
      </c>
      <c r="G76" s="583">
        <f t="shared" si="2"/>
        <v>10047</v>
      </c>
      <c r="H76" s="572">
        <v>42825.41</v>
      </c>
      <c r="I76" s="384"/>
      <c r="J76" s="572">
        <v>42825.41</v>
      </c>
      <c r="K76" s="573">
        <v>0</v>
      </c>
      <c r="L76" s="573">
        <v>42825.41</v>
      </c>
      <c r="M76" s="384"/>
      <c r="N76" s="572">
        <v>0</v>
      </c>
      <c r="O76" s="384"/>
      <c r="P76" s="384"/>
      <c r="Q76" s="384"/>
      <c r="R76" s="384"/>
    </row>
    <row r="77" spans="1:18">
      <c r="A77" s="571" t="s">
        <v>1314</v>
      </c>
      <c r="B77" s="384"/>
      <c r="C77" s="571" t="s">
        <v>950</v>
      </c>
      <c r="D77" s="384"/>
      <c r="E77" s="543" t="s">
        <v>478</v>
      </c>
      <c r="F77" s="579" t="s">
        <v>1315</v>
      </c>
      <c r="G77" s="583">
        <f t="shared" si="2"/>
        <v>9682</v>
      </c>
      <c r="H77" s="572">
        <v>96300.6</v>
      </c>
      <c r="I77" s="384"/>
      <c r="J77" s="572">
        <v>96300.6</v>
      </c>
      <c r="K77" s="573">
        <v>0</v>
      </c>
      <c r="L77" s="573">
        <v>96300.6</v>
      </c>
      <c r="M77" s="384"/>
      <c r="N77" s="572">
        <v>0</v>
      </c>
      <c r="O77" s="384"/>
      <c r="P77" s="384"/>
      <c r="Q77" s="384"/>
      <c r="R77" s="384"/>
    </row>
    <row r="78" spans="1:18">
      <c r="A78" s="571" t="s">
        <v>1316</v>
      </c>
      <c r="B78" s="384"/>
      <c r="C78" s="571" t="s">
        <v>946</v>
      </c>
      <c r="D78" s="384"/>
      <c r="E78" s="543" t="s">
        <v>478</v>
      </c>
      <c r="F78" s="579" t="s">
        <v>1315</v>
      </c>
      <c r="G78" s="583">
        <f t="shared" si="2"/>
        <v>9682</v>
      </c>
      <c r="H78" s="572">
        <v>40413.75</v>
      </c>
      <c r="I78" s="384"/>
      <c r="J78" s="572">
        <v>40413.75</v>
      </c>
      <c r="K78" s="573">
        <v>0</v>
      </c>
      <c r="L78" s="573">
        <v>40413.75</v>
      </c>
      <c r="M78" s="384"/>
      <c r="N78" s="572">
        <v>0</v>
      </c>
      <c r="O78" s="384"/>
      <c r="P78" s="384"/>
      <c r="Q78" s="384"/>
      <c r="R78" s="384"/>
    </row>
    <row r="79" spans="1:18">
      <c r="A79" s="571" t="s">
        <v>1317</v>
      </c>
      <c r="B79" s="384"/>
      <c r="C79" s="571" t="s">
        <v>951</v>
      </c>
      <c r="D79" s="384"/>
      <c r="E79" s="543" t="s">
        <v>478</v>
      </c>
      <c r="F79" s="579" t="s">
        <v>1318</v>
      </c>
      <c r="G79" s="583">
        <f t="shared" si="2"/>
        <v>9497</v>
      </c>
      <c r="H79" s="572">
        <v>7186.7</v>
      </c>
      <c r="I79" s="384"/>
      <c r="J79" s="572">
        <v>7186.7</v>
      </c>
      <c r="K79" s="573">
        <v>0</v>
      </c>
      <c r="L79" s="573">
        <v>7186.7</v>
      </c>
      <c r="M79" s="384"/>
      <c r="N79" s="572">
        <v>0</v>
      </c>
      <c r="O79" s="384"/>
      <c r="P79" s="384"/>
      <c r="Q79" s="384"/>
      <c r="R79" s="384"/>
    </row>
    <row r="80" spans="1:18">
      <c r="A80" s="571" t="s">
        <v>1319</v>
      </c>
      <c r="B80" s="384"/>
      <c r="C80" s="571" t="s">
        <v>949</v>
      </c>
      <c r="D80" s="384"/>
      <c r="E80" s="543" t="s">
        <v>478</v>
      </c>
      <c r="F80" s="579" t="s">
        <v>1320</v>
      </c>
      <c r="G80" s="583">
        <f t="shared" si="2"/>
        <v>9316</v>
      </c>
      <c r="H80" s="572">
        <v>2041.65</v>
      </c>
      <c r="I80" s="384"/>
      <c r="J80" s="572">
        <v>2041.65</v>
      </c>
      <c r="K80" s="573">
        <v>0</v>
      </c>
      <c r="L80" s="573">
        <v>2041.65</v>
      </c>
      <c r="M80" s="384"/>
      <c r="N80" s="572">
        <v>0</v>
      </c>
      <c r="O80" s="384"/>
      <c r="P80" s="384"/>
      <c r="Q80" s="384"/>
      <c r="R80" s="384"/>
    </row>
    <row r="81" spans="1:18">
      <c r="A81" s="571" t="s">
        <v>1321</v>
      </c>
      <c r="B81" s="384"/>
      <c r="C81" s="571" t="s">
        <v>946</v>
      </c>
      <c r="D81" s="384"/>
      <c r="E81" s="543" t="s">
        <v>478</v>
      </c>
      <c r="F81" s="579" t="s">
        <v>1320</v>
      </c>
      <c r="G81" s="583">
        <f t="shared" si="2"/>
        <v>9316</v>
      </c>
      <c r="H81" s="572">
        <v>39878.82</v>
      </c>
      <c r="I81" s="384"/>
      <c r="J81" s="572">
        <v>39878.82</v>
      </c>
      <c r="K81" s="573">
        <v>0</v>
      </c>
      <c r="L81" s="573">
        <v>39878.82</v>
      </c>
      <c r="M81" s="384"/>
      <c r="N81" s="572">
        <v>0</v>
      </c>
      <c r="O81" s="384"/>
      <c r="P81" s="384"/>
      <c r="Q81" s="384"/>
      <c r="R81" s="384"/>
    </row>
    <row r="82" spans="1:18">
      <c r="A82" s="571" t="s">
        <v>1322</v>
      </c>
      <c r="B82" s="384"/>
      <c r="C82" s="571" t="s">
        <v>946</v>
      </c>
      <c r="D82" s="384"/>
      <c r="E82" s="543" t="s">
        <v>478</v>
      </c>
      <c r="F82" s="579" t="s">
        <v>1323</v>
      </c>
      <c r="G82" s="583">
        <f t="shared" si="2"/>
        <v>8951</v>
      </c>
      <c r="H82" s="572">
        <v>50959.57</v>
      </c>
      <c r="I82" s="384"/>
      <c r="J82" s="572">
        <v>50959.57</v>
      </c>
      <c r="K82" s="573">
        <v>0</v>
      </c>
      <c r="L82" s="573">
        <v>50959.57</v>
      </c>
      <c r="M82" s="384"/>
      <c r="N82" s="572">
        <v>0</v>
      </c>
      <c r="O82" s="384"/>
      <c r="P82" s="384"/>
      <c r="Q82" s="384"/>
      <c r="R82" s="384"/>
    </row>
    <row r="83" spans="1:18">
      <c r="A83" s="571" t="s">
        <v>1324</v>
      </c>
      <c r="B83" s="384"/>
      <c r="C83" s="571" t="s">
        <v>918</v>
      </c>
      <c r="D83" s="384"/>
      <c r="E83" s="543" t="s">
        <v>478</v>
      </c>
      <c r="F83" s="579" t="s">
        <v>1325</v>
      </c>
      <c r="G83" s="583">
        <f t="shared" si="2"/>
        <v>8586</v>
      </c>
      <c r="H83" s="572">
        <v>22274.55</v>
      </c>
      <c r="I83" s="384"/>
      <c r="J83" s="572">
        <v>22274.55</v>
      </c>
      <c r="K83" s="573">
        <v>0</v>
      </c>
      <c r="L83" s="573">
        <v>22274.55</v>
      </c>
      <c r="M83" s="384"/>
      <c r="N83" s="572">
        <v>0</v>
      </c>
      <c r="O83" s="384"/>
      <c r="P83" s="384"/>
      <c r="Q83" s="384"/>
      <c r="R83" s="384"/>
    </row>
    <row r="84" spans="1:18">
      <c r="A84" s="571" t="s">
        <v>1326</v>
      </c>
      <c r="B84" s="384"/>
      <c r="C84" s="571" t="s">
        <v>952</v>
      </c>
      <c r="D84" s="384"/>
      <c r="E84" s="543" t="s">
        <v>478</v>
      </c>
      <c r="F84" s="579" t="s">
        <v>1325</v>
      </c>
      <c r="G84" s="583">
        <f t="shared" si="2"/>
        <v>8586</v>
      </c>
      <c r="H84" s="572">
        <v>110625.87</v>
      </c>
      <c r="I84" s="384"/>
      <c r="J84" s="572">
        <v>110625.87</v>
      </c>
      <c r="K84" s="573">
        <v>0</v>
      </c>
      <c r="L84" s="573">
        <v>110625.87</v>
      </c>
      <c r="M84" s="384"/>
      <c r="N84" s="572">
        <v>0</v>
      </c>
      <c r="O84" s="384"/>
      <c r="P84" s="384"/>
      <c r="Q84" s="384"/>
      <c r="R84" s="384"/>
    </row>
    <row r="85" spans="1:18">
      <c r="A85" s="571" t="s">
        <v>1327</v>
      </c>
      <c r="B85" s="384"/>
      <c r="C85" s="571" t="s">
        <v>946</v>
      </c>
      <c r="D85" s="384"/>
      <c r="E85" s="543" t="s">
        <v>478</v>
      </c>
      <c r="F85" s="579" t="s">
        <v>1325</v>
      </c>
      <c r="G85" s="583">
        <f t="shared" si="2"/>
        <v>8586</v>
      </c>
      <c r="H85" s="572">
        <v>53979.53</v>
      </c>
      <c r="I85" s="384"/>
      <c r="J85" s="572">
        <v>53979.53</v>
      </c>
      <c r="K85" s="573">
        <v>0</v>
      </c>
      <c r="L85" s="573">
        <v>53979.53</v>
      </c>
      <c r="M85" s="384"/>
      <c r="N85" s="572">
        <v>0</v>
      </c>
      <c r="O85" s="384"/>
      <c r="P85" s="384"/>
      <c r="Q85" s="384"/>
      <c r="R85" s="384"/>
    </row>
    <row r="86" spans="1:18">
      <c r="A86" s="571" t="s">
        <v>1328</v>
      </c>
      <c r="B86" s="384"/>
      <c r="C86" s="571" t="s">
        <v>955</v>
      </c>
      <c r="D86" s="384"/>
      <c r="E86" s="543" t="s">
        <v>478</v>
      </c>
      <c r="F86" s="579" t="s">
        <v>1329</v>
      </c>
      <c r="G86" s="583">
        <f t="shared" si="2"/>
        <v>8221</v>
      </c>
      <c r="H86" s="572">
        <v>23494.38</v>
      </c>
      <c r="I86" s="384"/>
      <c r="J86" s="572">
        <v>23494.38</v>
      </c>
      <c r="K86" s="573">
        <v>0</v>
      </c>
      <c r="L86" s="573">
        <v>23494.38</v>
      </c>
      <c r="M86" s="384"/>
      <c r="N86" s="572">
        <v>0</v>
      </c>
      <c r="O86" s="384"/>
      <c r="P86" s="384"/>
      <c r="Q86" s="384"/>
      <c r="R86" s="384"/>
    </row>
    <row r="87" spans="1:18">
      <c r="A87" s="571" t="s">
        <v>1330</v>
      </c>
      <c r="B87" s="384"/>
      <c r="C87" s="571" t="s">
        <v>946</v>
      </c>
      <c r="D87" s="384"/>
      <c r="E87" s="543" t="s">
        <v>478</v>
      </c>
      <c r="F87" s="579" t="s">
        <v>1331</v>
      </c>
      <c r="G87" s="583">
        <f t="shared" si="2"/>
        <v>8129</v>
      </c>
      <c r="H87" s="572">
        <v>56858.97</v>
      </c>
      <c r="I87" s="384"/>
      <c r="J87" s="572">
        <v>56858.97</v>
      </c>
      <c r="K87" s="573">
        <v>0</v>
      </c>
      <c r="L87" s="573">
        <v>56858.97</v>
      </c>
      <c r="M87" s="384"/>
      <c r="N87" s="572">
        <v>0</v>
      </c>
      <c r="O87" s="384"/>
      <c r="P87" s="384"/>
      <c r="Q87" s="384"/>
      <c r="R87" s="384"/>
    </row>
    <row r="88" spans="1:18">
      <c r="A88" s="571" t="s">
        <v>1332</v>
      </c>
      <c r="B88" s="384"/>
      <c r="C88" s="571" t="s">
        <v>954</v>
      </c>
      <c r="D88" s="384"/>
      <c r="E88" s="543" t="s">
        <v>478</v>
      </c>
      <c r="F88" s="579" t="s">
        <v>1333</v>
      </c>
      <c r="G88" s="583">
        <f t="shared" si="2"/>
        <v>8236</v>
      </c>
      <c r="H88" s="572">
        <v>31053.59</v>
      </c>
      <c r="I88" s="384"/>
      <c r="J88" s="572">
        <v>31053.59</v>
      </c>
      <c r="K88" s="573">
        <v>0</v>
      </c>
      <c r="L88" s="573">
        <v>31053.59</v>
      </c>
      <c r="M88" s="384"/>
      <c r="N88" s="572">
        <v>0</v>
      </c>
      <c r="O88" s="384"/>
      <c r="P88" s="384"/>
      <c r="Q88" s="384"/>
      <c r="R88" s="384"/>
    </row>
    <row r="89" spans="1:18">
      <c r="A89" s="571" t="s">
        <v>1334</v>
      </c>
      <c r="B89" s="384"/>
      <c r="C89" s="571" t="s">
        <v>955</v>
      </c>
      <c r="D89" s="384"/>
      <c r="E89" s="543" t="s">
        <v>478</v>
      </c>
      <c r="F89" s="579" t="s">
        <v>1335</v>
      </c>
      <c r="G89" s="583">
        <f t="shared" si="2"/>
        <v>7868</v>
      </c>
      <c r="H89" s="572">
        <v>5700</v>
      </c>
      <c r="I89" s="384"/>
      <c r="J89" s="572">
        <v>5700</v>
      </c>
      <c r="K89" s="573">
        <v>0</v>
      </c>
      <c r="L89" s="573">
        <v>5700</v>
      </c>
      <c r="M89" s="384"/>
      <c r="N89" s="572">
        <v>0</v>
      </c>
      <c r="O89" s="384"/>
      <c r="P89" s="384"/>
      <c r="Q89" s="384"/>
      <c r="R89" s="384"/>
    </row>
    <row r="90" spans="1:18">
      <c r="A90" s="571" t="s">
        <v>1336</v>
      </c>
      <c r="B90" s="384"/>
      <c r="C90" s="571" t="s">
        <v>946</v>
      </c>
      <c r="D90" s="384"/>
      <c r="E90" s="543" t="s">
        <v>478</v>
      </c>
      <c r="F90" s="579" t="s">
        <v>1337</v>
      </c>
      <c r="G90" s="583">
        <f t="shared" si="2"/>
        <v>7763</v>
      </c>
      <c r="H90" s="572">
        <v>30041.88</v>
      </c>
      <c r="I90" s="384"/>
      <c r="J90" s="572">
        <v>30041.88</v>
      </c>
      <c r="K90" s="573">
        <v>0</v>
      </c>
      <c r="L90" s="573">
        <v>30041.88</v>
      </c>
      <c r="M90" s="384"/>
      <c r="N90" s="572">
        <v>0</v>
      </c>
      <c r="O90" s="384"/>
      <c r="P90" s="384"/>
      <c r="Q90" s="384"/>
      <c r="R90" s="384"/>
    </row>
    <row r="91" spans="1:18">
      <c r="A91" s="571" t="s">
        <v>1338</v>
      </c>
      <c r="B91" s="384"/>
      <c r="C91" s="571" t="s">
        <v>946</v>
      </c>
      <c r="D91" s="384"/>
      <c r="E91" s="543" t="s">
        <v>478</v>
      </c>
      <c r="F91" s="579" t="s">
        <v>1339</v>
      </c>
      <c r="G91" s="583">
        <f t="shared" si="2"/>
        <v>7306</v>
      </c>
      <c r="H91" s="572">
        <v>106166.9</v>
      </c>
      <c r="I91" s="384"/>
      <c r="J91" s="572">
        <v>106166.9</v>
      </c>
      <c r="K91" s="573">
        <v>0</v>
      </c>
      <c r="L91" s="573">
        <v>106166.9</v>
      </c>
      <c r="M91" s="384"/>
      <c r="N91" s="572">
        <v>0</v>
      </c>
      <c r="O91" s="384"/>
      <c r="P91" s="384"/>
      <c r="Q91" s="384"/>
      <c r="R91" s="384"/>
    </row>
    <row r="92" spans="1:18">
      <c r="A92" s="571" t="s">
        <v>1340</v>
      </c>
      <c r="B92" s="384"/>
      <c r="C92" s="571" t="s">
        <v>946</v>
      </c>
      <c r="D92" s="384"/>
      <c r="E92" s="543" t="s">
        <v>478</v>
      </c>
      <c r="F92" s="579" t="s">
        <v>1341</v>
      </c>
      <c r="G92" s="583">
        <f t="shared" si="2"/>
        <v>6941</v>
      </c>
      <c r="H92" s="572">
        <v>173888.14</v>
      </c>
      <c r="I92" s="384"/>
      <c r="J92" s="572">
        <v>165193.79</v>
      </c>
      <c r="K92" s="573">
        <v>8694.35</v>
      </c>
      <c r="L92" s="573">
        <v>173888.14</v>
      </c>
      <c r="M92" s="384"/>
      <c r="N92" s="572">
        <v>0</v>
      </c>
      <c r="O92" s="384"/>
      <c r="P92" s="384"/>
      <c r="Q92" s="384"/>
      <c r="R92" s="384"/>
    </row>
    <row r="93" spans="1:18">
      <c r="A93" s="571" t="s">
        <v>1342</v>
      </c>
      <c r="B93" s="384"/>
      <c r="C93" s="571" t="s">
        <v>946</v>
      </c>
      <c r="D93" s="384"/>
      <c r="E93" s="543" t="s">
        <v>478</v>
      </c>
      <c r="F93" s="579" t="s">
        <v>1343</v>
      </c>
      <c r="G93" s="583">
        <f t="shared" si="2"/>
        <v>6760</v>
      </c>
      <c r="H93" s="572">
        <v>340527.46</v>
      </c>
      <c r="I93" s="384"/>
      <c r="J93" s="572">
        <v>314987.86</v>
      </c>
      <c r="K93" s="573">
        <v>17026.37</v>
      </c>
      <c r="L93" s="573">
        <v>332014.23</v>
      </c>
      <c r="M93" s="384"/>
      <c r="N93" s="572">
        <v>8513.23</v>
      </c>
      <c r="O93" s="384"/>
      <c r="P93" s="384"/>
      <c r="Q93" s="384"/>
      <c r="R93" s="384"/>
    </row>
    <row r="94" spans="1:18">
      <c r="A94" s="571" t="s">
        <v>1344</v>
      </c>
      <c r="B94" s="384"/>
      <c r="C94" s="571" t="s">
        <v>955</v>
      </c>
      <c r="D94" s="384"/>
      <c r="E94" s="543" t="s">
        <v>478</v>
      </c>
      <c r="F94" s="579" t="s">
        <v>1345</v>
      </c>
      <c r="G94" s="583">
        <f t="shared" si="2"/>
        <v>6496</v>
      </c>
      <c r="H94" s="572">
        <v>10673.5</v>
      </c>
      <c r="I94" s="384"/>
      <c r="J94" s="572">
        <v>9472.81</v>
      </c>
      <c r="K94" s="573">
        <v>533.67999999999995</v>
      </c>
      <c r="L94" s="573">
        <v>10006.49</v>
      </c>
      <c r="M94" s="384"/>
      <c r="N94" s="572">
        <v>667.01</v>
      </c>
      <c r="O94" s="384"/>
      <c r="P94" s="384"/>
      <c r="Q94" s="384"/>
      <c r="R94" s="384"/>
    </row>
    <row r="95" spans="1:18">
      <c r="A95" s="571" t="s">
        <v>1346</v>
      </c>
      <c r="B95" s="384"/>
      <c r="C95" s="571" t="s">
        <v>946</v>
      </c>
      <c r="D95" s="384"/>
      <c r="E95" s="543" t="s">
        <v>478</v>
      </c>
      <c r="F95" s="579" t="s">
        <v>1347</v>
      </c>
      <c r="G95" s="583">
        <f t="shared" si="2"/>
        <v>6394</v>
      </c>
      <c r="H95" s="572">
        <v>128614.99</v>
      </c>
      <c r="I95" s="384"/>
      <c r="J95" s="572">
        <v>112538.13</v>
      </c>
      <c r="K95" s="573">
        <v>6430.75</v>
      </c>
      <c r="L95" s="573">
        <v>118968.88</v>
      </c>
      <c r="M95" s="384"/>
      <c r="N95" s="572">
        <v>9646.11</v>
      </c>
      <c r="O95" s="384"/>
      <c r="P95" s="384"/>
      <c r="Q95" s="384"/>
      <c r="R95" s="384"/>
    </row>
    <row r="96" spans="1:18">
      <c r="A96" s="571" t="s">
        <v>1348</v>
      </c>
      <c r="B96" s="384"/>
      <c r="C96" s="571" t="s">
        <v>946</v>
      </c>
      <c r="D96" s="384"/>
      <c r="E96" s="543" t="s">
        <v>478</v>
      </c>
      <c r="F96" s="579" t="s">
        <v>1349</v>
      </c>
      <c r="G96" s="583">
        <f t="shared" si="2"/>
        <v>6029</v>
      </c>
      <c r="H96" s="572">
        <v>207675.29</v>
      </c>
      <c r="I96" s="384"/>
      <c r="J96" s="572">
        <v>171332.19</v>
      </c>
      <c r="K96" s="573">
        <v>10383.76</v>
      </c>
      <c r="L96" s="573">
        <v>181715.95</v>
      </c>
      <c r="M96" s="384"/>
      <c r="N96" s="572">
        <v>25959.34</v>
      </c>
      <c r="O96" s="384"/>
      <c r="P96" s="384"/>
      <c r="Q96" s="384"/>
      <c r="R96" s="384"/>
    </row>
    <row r="97" spans="1:18">
      <c r="A97" s="571" t="s">
        <v>1350</v>
      </c>
      <c r="B97" s="384"/>
      <c r="C97" s="571" t="s">
        <v>966</v>
      </c>
      <c r="D97" s="384"/>
      <c r="E97" s="543" t="s">
        <v>478</v>
      </c>
      <c r="F97" s="579" t="s">
        <v>1351</v>
      </c>
      <c r="G97" s="583">
        <f t="shared" si="2"/>
        <v>5823</v>
      </c>
      <c r="H97" s="572">
        <v>5218.5</v>
      </c>
      <c r="I97" s="384"/>
      <c r="J97" s="572">
        <v>4153.13</v>
      </c>
      <c r="K97" s="573">
        <v>260.93</v>
      </c>
      <c r="L97" s="573">
        <v>4414.0600000000004</v>
      </c>
      <c r="M97" s="384"/>
      <c r="N97" s="572">
        <v>804.44</v>
      </c>
      <c r="O97" s="384"/>
      <c r="P97" s="384"/>
      <c r="Q97" s="384"/>
      <c r="R97" s="384"/>
    </row>
    <row r="98" spans="1:18">
      <c r="A98" s="571" t="s">
        <v>1352</v>
      </c>
      <c r="B98" s="384"/>
      <c r="C98" s="571" t="s">
        <v>968</v>
      </c>
      <c r="D98" s="384"/>
      <c r="E98" s="543" t="s">
        <v>478</v>
      </c>
      <c r="F98" s="579" t="s">
        <v>1268</v>
      </c>
      <c r="G98" s="583">
        <f t="shared" si="2"/>
        <v>5642</v>
      </c>
      <c r="H98" s="572">
        <v>9744.31</v>
      </c>
      <c r="I98" s="384"/>
      <c r="J98" s="572">
        <v>7511.31</v>
      </c>
      <c r="K98" s="573">
        <v>487.22</v>
      </c>
      <c r="L98" s="573">
        <v>7998.53</v>
      </c>
      <c r="M98" s="384"/>
      <c r="N98" s="572">
        <v>1745.78</v>
      </c>
      <c r="O98" s="384"/>
      <c r="P98" s="384"/>
      <c r="Q98" s="384"/>
      <c r="R98" s="384"/>
    </row>
    <row r="99" spans="1:18">
      <c r="A99" s="571" t="s">
        <v>1353</v>
      </c>
      <c r="B99" s="384"/>
      <c r="C99" s="571" t="s">
        <v>969</v>
      </c>
      <c r="D99" s="384"/>
      <c r="E99" s="543" t="s">
        <v>478</v>
      </c>
      <c r="F99" s="579" t="s">
        <v>1354</v>
      </c>
      <c r="G99" s="583">
        <f t="shared" si="2"/>
        <v>5586</v>
      </c>
      <c r="H99" s="572">
        <v>11985.6</v>
      </c>
      <c r="I99" s="384"/>
      <c r="J99" s="572">
        <v>9139.02</v>
      </c>
      <c r="K99" s="573">
        <v>599.28</v>
      </c>
      <c r="L99" s="573">
        <v>9738.2999999999993</v>
      </c>
      <c r="M99" s="384"/>
      <c r="N99" s="572">
        <v>2247.3000000000002</v>
      </c>
      <c r="O99" s="384"/>
      <c r="P99" s="384"/>
      <c r="Q99" s="384"/>
      <c r="R99" s="384"/>
    </row>
    <row r="100" spans="1:18">
      <c r="A100" s="571" t="s">
        <v>1355</v>
      </c>
      <c r="B100" s="384"/>
      <c r="C100" s="571" t="s">
        <v>968</v>
      </c>
      <c r="D100" s="384"/>
      <c r="E100" s="543" t="s">
        <v>478</v>
      </c>
      <c r="F100" s="579" t="s">
        <v>1354</v>
      </c>
      <c r="G100" s="583">
        <f t="shared" si="2"/>
        <v>5586</v>
      </c>
      <c r="H100" s="572">
        <v>4713.2</v>
      </c>
      <c r="I100" s="384"/>
      <c r="J100" s="572">
        <v>3593.82</v>
      </c>
      <c r="K100" s="573">
        <v>235.66</v>
      </c>
      <c r="L100" s="573">
        <v>3829.48</v>
      </c>
      <c r="M100" s="384"/>
      <c r="N100" s="572">
        <v>883.72</v>
      </c>
      <c r="O100" s="384"/>
      <c r="P100" s="384"/>
      <c r="Q100" s="384"/>
      <c r="R100" s="384"/>
    </row>
    <row r="101" spans="1:18">
      <c r="A101" s="571" t="s">
        <v>1356</v>
      </c>
      <c r="B101" s="384"/>
      <c r="C101" s="571" t="s">
        <v>970</v>
      </c>
      <c r="D101" s="384"/>
      <c r="E101" s="543" t="s">
        <v>478</v>
      </c>
      <c r="F101" s="579" t="s">
        <v>1357</v>
      </c>
      <c r="G101" s="583">
        <f t="shared" si="2"/>
        <v>5523</v>
      </c>
      <c r="H101" s="572">
        <v>903.15</v>
      </c>
      <c r="I101" s="384"/>
      <c r="J101" s="572">
        <v>903.15</v>
      </c>
      <c r="K101" s="573">
        <v>0</v>
      </c>
      <c r="L101" s="573">
        <v>903.15</v>
      </c>
      <c r="M101" s="384"/>
      <c r="N101" s="572">
        <v>0</v>
      </c>
      <c r="O101" s="384"/>
      <c r="P101" s="384"/>
      <c r="Q101" s="384"/>
      <c r="R101" s="384"/>
    </row>
    <row r="102" spans="1:18">
      <c r="A102" s="571" t="s">
        <v>1358</v>
      </c>
      <c r="B102" s="384"/>
      <c r="C102" s="571" t="s">
        <v>968</v>
      </c>
      <c r="D102" s="384"/>
      <c r="E102" s="543" t="s">
        <v>478</v>
      </c>
      <c r="F102" s="579" t="s">
        <v>1357</v>
      </c>
      <c r="G102" s="583">
        <f t="shared" si="2"/>
        <v>5523</v>
      </c>
      <c r="H102" s="572">
        <v>6899.97</v>
      </c>
      <c r="I102" s="384"/>
      <c r="J102" s="572">
        <v>5203.75</v>
      </c>
      <c r="K102" s="573">
        <v>345</v>
      </c>
      <c r="L102" s="573">
        <v>5548.75</v>
      </c>
      <c r="M102" s="384"/>
      <c r="N102" s="572">
        <v>1351.22</v>
      </c>
      <c r="O102" s="384"/>
      <c r="P102" s="384"/>
      <c r="Q102" s="384"/>
      <c r="R102" s="384"/>
    </row>
    <row r="103" spans="1:18">
      <c r="A103" s="571" t="s">
        <v>1359</v>
      </c>
      <c r="B103" s="384"/>
      <c r="C103" s="571" t="s">
        <v>971</v>
      </c>
      <c r="D103" s="384"/>
      <c r="E103" s="543" t="s">
        <v>478</v>
      </c>
      <c r="F103" s="579" t="s">
        <v>1357</v>
      </c>
      <c r="G103" s="583">
        <f t="shared" si="2"/>
        <v>5523</v>
      </c>
      <c r="H103" s="572">
        <v>5455</v>
      </c>
      <c r="I103" s="384"/>
      <c r="J103" s="572">
        <v>4113.9799999999996</v>
      </c>
      <c r="K103" s="573">
        <v>272.75</v>
      </c>
      <c r="L103" s="573">
        <v>4386.7299999999996</v>
      </c>
      <c r="M103" s="384"/>
      <c r="N103" s="572">
        <v>1068.27</v>
      </c>
      <c r="O103" s="384"/>
      <c r="P103" s="384"/>
      <c r="Q103" s="384"/>
      <c r="R103" s="384"/>
    </row>
    <row r="104" spans="1:18">
      <c r="A104" s="571" t="s">
        <v>1360</v>
      </c>
      <c r="B104" s="384"/>
      <c r="C104" s="571" t="s">
        <v>972</v>
      </c>
      <c r="D104" s="384"/>
      <c r="E104" s="543" t="s">
        <v>478</v>
      </c>
      <c r="F104" s="579" t="s">
        <v>1361</v>
      </c>
      <c r="G104" s="583">
        <f t="shared" si="2"/>
        <v>5495</v>
      </c>
      <c r="H104" s="572">
        <v>2460</v>
      </c>
      <c r="I104" s="384"/>
      <c r="J104" s="572">
        <v>1845</v>
      </c>
      <c r="K104" s="573">
        <v>123</v>
      </c>
      <c r="L104" s="573">
        <v>1968</v>
      </c>
      <c r="M104" s="384"/>
      <c r="N104" s="572">
        <v>492</v>
      </c>
      <c r="O104" s="384"/>
      <c r="P104" s="384"/>
      <c r="Q104" s="384"/>
      <c r="R104" s="384"/>
    </row>
    <row r="105" spans="1:18">
      <c r="A105" s="571" t="s">
        <v>1362</v>
      </c>
      <c r="B105" s="384"/>
      <c r="C105" s="571" t="s">
        <v>967</v>
      </c>
      <c r="D105" s="384"/>
      <c r="E105" s="543" t="s">
        <v>478</v>
      </c>
      <c r="F105" s="579" t="s">
        <v>1363</v>
      </c>
      <c r="G105" s="583">
        <f t="shared" si="2"/>
        <v>5664</v>
      </c>
      <c r="H105" s="572">
        <v>126847.15</v>
      </c>
      <c r="I105" s="384"/>
      <c r="J105" s="572">
        <v>98306.58</v>
      </c>
      <c r="K105" s="573">
        <v>6342.36</v>
      </c>
      <c r="L105" s="573">
        <v>104648.94</v>
      </c>
      <c r="M105" s="384"/>
      <c r="N105" s="572">
        <v>22198.21</v>
      </c>
      <c r="O105" s="384"/>
      <c r="P105" s="384"/>
      <c r="Q105" s="384"/>
      <c r="R105" s="384"/>
    </row>
    <row r="106" spans="1:18">
      <c r="A106" s="571" t="s">
        <v>1364</v>
      </c>
      <c r="B106" s="384"/>
      <c r="C106" s="571" t="s">
        <v>949</v>
      </c>
      <c r="D106" s="384"/>
      <c r="E106" s="543" t="s">
        <v>478</v>
      </c>
      <c r="F106" s="579" t="s">
        <v>1365</v>
      </c>
      <c r="G106" s="583">
        <f t="shared" si="2"/>
        <v>5299</v>
      </c>
      <c r="H106" s="572">
        <v>199197.7</v>
      </c>
      <c r="I106" s="384"/>
      <c r="J106" s="572">
        <v>144418.4</v>
      </c>
      <c r="K106" s="573">
        <v>9959.89</v>
      </c>
      <c r="L106" s="573">
        <v>154378.29</v>
      </c>
      <c r="M106" s="384"/>
      <c r="N106" s="572">
        <v>44819.41</v>
      </c>
      <c r="O106" s="384"/>
      <c r="P106" s="384"/>
      <c r="Q106" s="384"/>
      <c r="R106" s="384"/>
    </row>
    <row r="107" spans="1:18">
      <c r="A107" s="571" t="s">
        <v>1366</v>
      </c>
      <c r="B107" s="384"/>
      <c r="C107" s="571" t="s">
        <v>946</v>
      </c>
      <c r="D107" s="384"/>
      <c r="E107" s="543" t="s">
        <v>478</v>
      </c>
      <c r="F107" s="579" t="s">
        <v>1367</v>
      </c>
      <c r="G107" s="583">
        <f t="shared" si="2"/>
        <v>4933</v>
      </c>
      <c r="H107" s="572">
        <v>255616.87</v>
      </c>
      <c r="I107" s="384"/>
      <c r="J107" s="572">
        <v>172541.34</v>
      </c>
      <c r="K107" s="573">
        <v>12780.84</v>
      </c>
      <c r="L107" s="573">
        <v>185322.18</v>
      </c>
      <c r="M107" s="384"/>
      <c r="N107" s="572">
        <v>70294.69</v>
      </c>
      <c r="O107" s="384"/>
      <c r="P107" s="384"/>
      <c r="Q107" s="384"/>
      <c r="R107" s="384"/>
    </row>
    <row r="108" spans="1:18">
      <c r="A108" s="571" t="s">
        <v>1368</v>
      </c>
      <c r="B108" s="384"/>
      <c r="C108" s="571" t="s">
        <v>949</v>
      </c>
      <c r="D108" s="384"/>
      <c r="E108" s="543" t="s">
        <v>478</v>
      </c>
      <c r="F108" s="579" t="s">
        <v>1272</v>
      </c>
      <c r="G108" s="583">
        <f t="shared" si="2"/>
        <v>4568</v>
      </c>
      <c r="H108" s="572">
        <v>290792.23</v>
      </c>
      <c r="I108" s="384"/>
      <c r="J108" s="572">
        <v>181745.13</v>
      </c>
      <c r="K108" s="573">
        <v>14539.61</v>
      </c>
      <c r="L108" s="573">
        <v>196284.74</v>
      </c>
      <c r="M108" s="384"/>
      <c r="N108" s="572">
        <v>94507.49</v>
      </c>
      <c r="O108" s="384"/>
      <c r="P108" s="384"/>
      <c r="Q108" s="384"/>
      <c r="R108" s="384"/>
    </row>
    <row r="109" spans="1:18">
      <c r="A109" s="571" t="s">
        <v>1369</v>
      </c>
      <c r="B109" s="384"/>
      <c r="C109" s="571" t="s">
        <v>949</v>
      </c>
      <c r="D109" s="384"/>
      <c r="E109" s="543" t="s">
        <v>478</v>
      </c>
      <c r="F109" s="579" t="s">
        <v>1370</v>
      </c>
      <c r="G109" s="583">
        <f t="shared" si="2"/>
        <v>4203</v>
      </c>
      <c r="H109" s="572">
        <v>84258.44</v>
      </c>
      <c r="I109" s="384"/>
      <c r="J109" s="572">
        <v>48448.58</v>
      </c>
      <c r="K109" s="573">
        <v>4212.92</v>
      </c>
      <c r="L109" s="573">
        <v>52661.5</v>
      </c>
      <c r="M109" s="384"/>
      <c r="N109" s="572">
        <v>31596.94</v>
      </c>
      <c r="O109" s="384"/>
      <c r="P109" s="384"/>
      <c r="Q109" s="384"/>
      <c r="R109" s="384"/>
    </row>
    <row r="110" spans="1:18">
      <c r="A110" s="571" t="s">
        <v>1371</v>
      </c>
      <c r="B110" s="384"/>
      <c r="C110" s="571" t="s">
        <v>977</v>
      </c>
      <c r="D110" s="384"/>
      <c r="E110" s="543" t="s">
        <v>478</v>
      </c>
      <c r="F110" s="579" t="s">
        <v>1372</v>
      </c>
      <c r="G110" s="583">
        <f t="shared" si="2"/>
        <v>3696</v>
      </c>
      <c r="H110" s="572">
        <v>122987.01</v>
      </c>
      <c r="I110" s="384"/>
      <c r="J110" s="572">
        <v>82674.559999999998</v>
      </c>
      <c r="K110" s="573">
        <v>8199.1299999999992</v>
      </c>
      <c r="L110" s="573">
        <v>90873.69</v>
      </c>
      <c r="M110" s="384"/>
      <c r="N110" s="572">
        <v>32113.32</v>
      </c>
      <c r="O110" s="384"/>
      <c r="P110" s="384"/>
      <c r="Q110" s="384"/>
      <c r="R110" s="384"/>
    </row>
    <row r="111" spans="1:18">
      <c r="A111" s="571" t="s">
        <v>1373</v>
      </c>
      <c r="B111" s="384"/>
      <c r="C111" s="571" t="s">
        <v>978</v>
      </c>
      <c r="D111" s="384"/>
      <c r="E111" s="543" t="s">
        <v>478</v>
      </c>
      <c r="F111" s="579" t="s">
        <v>1374</v>
      </c>
      <c r="G111" s="583">
        <f t="shared" si="2"/>
        <v>3472</v>
      </c>
      <c r="H111" s="572">
        <v>109204.07</v>
      </c>
      <c r="I111" s="384"/>
      <c r="J111" s="572">
        <v>51871.9</v>
      </c>
      <c r="K111" s="573">
        <v>5460.2</v>
      </c>
      <c r="L111" s="573">
        <v>57332.1</v>
      </c>
      <c r="M111" s="384"/>
      <c r="N111" s="572">
        <v>51871.97</v>
      </c>
      <c r="O111" s="384"/>
      <c r="P111" s="384"/>
      <c r="Q111" s="384"/>
      <c r="R111" s="384"/>
    </row>
    <row r="112" spans="1:18">
      <c r="A112" s="571" t="s">
        <v>1375</v>
      </c>
      <c r="B112" s="384"/>
      <c r="C112" s="571" t="s">
        <v>979</v>
      </c>
      <c r="D112" s="384"/>
      <c r="E112" s="543" t="s">
        <v>478</v>
      </c>
      <c r="F112" s="579" t="s">
        <v>1376</v>
      </c>
      <c r="G112" s="583">
        <f t="shared" si="2"/>
        <v>3107</v>
      </c>
      <c r="H112" s="572">
        <v>100978.22</v>
      </c>
      <c r="I112" s="384"/>
      <c r="J112" s="572">
        <v>42915.74</v>
      </c>
      <c r="K112" s="573">
        <v>5048.91</v>
      </c>
      <c r="L112" s="573">
        <v>47964.65</v>
      </c>
      <c r="M112" s="384"/>
      <c r="N112" s="572">
        <v>53013.57</v>
      </c>
      <c r="O112" s="384"/>
      <c r="P112" s="384"/>
      <c r="Q112" s="384"/>
      <c r="R112" s="384"/>
    </row>
    <row r="113" spans="1:18">
      <c r="A113" s="571" t="s">
        <v>1377</v>
      </c>
      <c r="B113" s="384"/>
      <c r="C113" s="571" t="s">
        <v>980</v>
      </c>
      <c r="D113" s="384"/>
      <c r="E113" s="543" t="s">
        <v>478</v>
      </c>
      <c r="F113" s="579" t="s">
        <v>1378</v>
      </c>
      <c r="G113" s="583">
        <f t="shared" si="2"/>
        <v>2742</v>
      </c>
      <c r="H113" s="572">
        <v>108837.8</v>
      </c>
      <c r="I113" s="384"/>
      <c r="J113" s="572">
        <v>40814.18</v>
      </c>
      <c r="K113" s="573">
        <v>5441.89</v>
      </c>
      <c r="L113" s="573">
        <v>46256.07</v>
      </c>
      <c r="M113" s="384"/>
      <c r="N113" s="572">
        <v>62581.73</v>
      </c>
      <c r="O113" s="384"/>
      <c r="P113" s="384"/>
      <c r="Q113" s="384"/>
      <c r="R113" s="384"/>
    </row>
    <row r="114" spans="1:18">
      <c r="A114" s="571" t="s">
        <v>1379</v>
      </c>
      <c r="B114" s="384"/>
      <c r="C114" s="571" t="s">
        <v>981</v>
      </c>
      <c r="D114" s="384"/>
      <c r="E114" s="543" t="s">
        <v>478</v>
      </c>
      <c r="F114" s="579" t="s">
        <v>1380</v>
      </c>
      <c r="G114" s="583">
        <f t="shared" si="2"/>
        <v>2377</v>
      </c>
      <c r="H114" s="572">
        <v>173303.48</v>
      </c>
      <c r="I114" s="384"/>
      <c r="J114" s="572">
        <v>56323.61</v>
      </c>
      <c r="K114" s="573">
        <v>8665.17</v>
      </c>
      <c r="L114" s="573">
        <v>64988.78</v>
      </c>
      <c r="M114" s="384"/>
      <c r="N114" s="572">
        <v>108314.7</v>
      </c>
      <c r="O114" s="384"/>
      <c r="P114" s="384"/>
      <c r="Q114" s="384"/>
      <c r="R114" s="384"/>
    </row>
    <row r="115" spans="1:18">
      <c r="A115" s="571" t="s">
        <v>1381</v>
      </c>
      <c r="B115" s="384"/>
      <c r="C115" s="571" t="s">
        <v>983</v>
      </c>
      <c r="D115" s="384"/>
      <c r="E115" s="543" t="s">
        <v>478</v>
      </c>
      <c r="F115" s="579" t="s">
        <v>1382</v>
      </c>
      <c r="G115" s="583">
        <f t="shared" si="2"/>
        <v>2011</v>
      </c>
      <c r="H115" s="572">
        <v>189183.96</v>
      </c>
      <c r="I115" s="384"/>
      <c r="J115" s="572">
        <v>52025.599999999999</v>
      </c>
      <c r="K115" s="573">
        <v>9459.2000000000007</v>
      </c>
      <c r="L115" s="573">
        <v>61484.800000000003</v>
      </c>
      <c r="M115" s="384"/>
      <c r="N115" s="572">
        <v>127699.16</v>
      </c>
      <c r="O115" s="384"/>
      <c r="P115" s="384"/>
      <c r="Q115" s="384"/>
      <c r="R115" s="384"/>
    </row>
    <row r="116" spans="1:18">
      <c r="A116" s="571" t="s">
        <v>1383</v>
      </c>
      <c r="B116" s="384"/>
      <c r="C116" s="571" t="s">
        <v>984</v>
      </c>
      <c r="D116" s="384"/>
      <c r="E116" s="543" t="s">
        <v>478</v>
      </c>
      <c r="F116" s="579" t="s">
        <v>1384</v>
      </c>
      <c r="G116" s="583">
        <f t="shared" ref="G116:G144" si="3">G$9-F116</f>
        <v>1646</v>
      </c>
      <c r="H116" s="572">
        <v>74499.759999999995</v>
      </c>
      <c r="I116" s="384"/>
      <c r="J116" s="572">
        <v>33524.910000000003</v>
      </c>
      <c r="K116" s="573">
        <v>7449.98</v>
      </c>
      <c r="L116" s="573">
        <v>40974.89</v>
      </c>
      <c r="M116" s="384"/>
      <c r="N116" s="572">
        <v>33524.870000000003</v>
      </c>
      <c r="O116" s="384"/>
      <c r="P116" s="384"/>
      <c r="Q116" s="384"/>
      <c r="R116" s="384"/>
    </row>
    <row r="117" spans="1:18">
      <c r="A117" s="571" t="s">
        <v>1385</v>
      </c>
      <c r="B117" s="384"/>
      <c r="C117" s="571" t="s">
        <v>985</v>
      </c>
      <c r="D117" s="384"/>
      <c r="E117" s="543" t="s">
        <v>478</v>
      </c>
      <c r="F117" s="579" t="s">
        <v>1386</v>
      </c>
      <c r="G117" s="583">
        <f t="shared" si="3"/>
        <v>1281</v>
      </c>
      <c r="H117" s="572">
        <v>275645.68</v>
      </c>
      <c r="I117" s="384"/>
      <c r="J117" s="572">
        <v>96475.99</v>
      </c>
      <c r="K117" s="573">
        <v>27564.57</v>
      </c>
      <c r="L117" s="573">
        <v>124040.56</v>
      </c>
      <c r="M117" s="384"/>
      <c r="N117" s="572">
        <v>151605.12</v>
      </c>
      <c r="O117" s="384"/>
      <c r="P117" s="384"/>
      <c r="Q117" s="384"/>
      <c r="R117" s="384"/>
    </row>
    <row r="118" spans="1:18">
      <c r="A118" s="571" t="s">
        <v>1387</v>
      </c>
      <c r="B118" s="384"/>
      <c r="C118" s="571" t="s">
        <v>987</v>
      </c>
      <c r="D118" s="384"/>
      <c r="E118" s="543" t="s">
        <v>478</v>
      </c>
      <c r="F118" s="579" t="s">
        <v>1388</v>
      </c>
      <c r="G118" s="583">
        <f t="shared" si="3"/>
        <v>916</v>
      </c>
      <c r="H118" s="572">
        <v>194626.89</v>
      </c>
      <c r="I118" s="384"/>
      <c r="J118" s="572">
        <v>48656.73</v>
      </c>
      <c r="K118" s="573">
        <v>19462.689999999999</v>
      </c>
      <c r="L118" s="573">
        <v>68119.42</v>
      </c>
      <c r="M118" s="384"/>
      <c r="N118" s="572">
        <v>126507.47</v>
      </c>
      <c r="O118" s="384"/>
      <c r="P118" s="384"/>
      <c r="Q118" s="384"/>
      <c r="R118" s="384"/>
    </row>
    <row r="119" spans="1:18">
      <c r="A119" s="571" t="s">
        <v>1389</v>
      </c>
      <c r="B119" s="384"/>
      <c r="C119" s="571" t="s">
        <v>988</v>
      </c>
      <c r="D119" s="384"/>
      <c r="E119" s="543" t="s">
        <v>478</v>
      </c>
      <c r="F119" s="579" t="s">
        <v>1390</v>
      </c>
      <c r="G119" s="583">
        <f t="shared" si="3"/>
        <v>550</v>
      </c>
      <c r="H119" s="572">
        <v>191748.39</v>
      </c>
      <c r="I119" s="384"/>
      <c r="J119" s="572">
        <v>28762.26</v>
      </c>
      <c r="K119" s="573">
        <v>19174.84</v>
      </c>
      <c r="L119" s="573">
        <v>47937.1</v>
      </c>
      <c r="M119" s="384"/>
      <c r="N119" s="572">
        <v>143811.29</v>
      </c>
      <c r="O119" s="384"/>
      <c r="P119" s="384"/>
      <c r="Q119" s="384"/>
      <c r="R119" s="384"/>
    </row>
    <row r="120" spans="1:18">
      <c r="A120" s="571" t="s">
        <v>1391</v>
      </c>
      <c r="B120" s="384"/>
      <c r="C120" s="571" t="s">
        <v>945</v>
      </c>
      <c r="D120" s="384"/>
      <c r="E120" s="543" t="s">
        <v>502</v>
      </c>
      <c r="F120" s="579" t="s">
        <v>1392</v>
      </c>
      <c r="G120" s="583">
        <f t="shared" si="3"/>
        <v>17717</v>
      </c>
      <c r="H120" s="572">
        <v>203689.87</v>
      </c>
      <c r="I120" s="384"/>
      <c r="J120" s="572">
        <v>203689.87</v>
      </c>
      <c r="K120" s="573">
        <v>0</v>
      </c>
      <c r="L120" s="573">
        <v>203689.87</v>
      </c>
      <c r="M120" s="384"/>
      <c r="N120" s="572">
        <v>0</v>
      </c>
      <c r="O120" s="384"/>
      <c r="P120" s="384"/>
      <c r="Q120" s="384"/>
      <c r="R120" s="384"/>
    </row>
    <row r="121" spans="1:18">
      <c r="A121" s="571" t="s">
        <v>1393</v>
      </c>
      <c r="B121" s="384"/>
      <c r="C121" s="571" t="s">
        <v>947</v>
      </c>
      <c r="D121" s="384"/>
      <c r="E121" s="543" t="s">
        <v>502</v>
      </c>
      <c r="F121" s="579" t="s">
        <v>1394</v>
      </c>
      <c r="G121" s="583">
        <f t="shared" si="3"/>
        <v>15160</v>
      </c>
      <c r="H121" s="572">
        <v>141907.01</v>
      </c>
      <c r="I121" s="384"/>
      <c r="J121" s="572">
        <v>141907.01</v>
      </c>
      <c r="K121" s="573">
        <v>0</v>
      </c>
      <c r="L121" s="573">
        <v>141907.01</v>
      </c>
      <c r="M121" s="384"/>
      <c r="N121" s="572">
        <v>0</v>
      </c>
      <c r="O121" s="384"/>
      <c r="P121" s="384"/>
      <c r="Q121" s="384"/>
      <c r="R121" s="384"/>
    </row>
    <row r="122" spans="1:18">
      <c r="A122" s="571" t="s">
        <v>1395</v>
      </c>
      <c r="B122" s="384"/>
      <c r="C122" s="571" t="s">
        <v>986</v>
      </c>
      <c r="D122" s="384"/>
      <c r="E122" s="543" t="s">
        <v>502</v>
      </c>
      <c r="F122" s="579" t="s">
        <v>1396</v>
      </c>
      <c r="G122" s="583">
        <f t="shared" si="3"/>
        <v>1232</v>
      </c>
      <c r="H122" s="572">
        <v>6115.4</v>
      </c>
      <c r="I122" s="384"/>
      <c r="J122" s="572">
        <v>1019.23</v>
      </c>
      <c r="K122" s="573">
        <v>305.77</v>
      </c>
      <c r="L122" s="573">
        <v>1325</v>
      </c>
      <c r="M122" s="384"/>
      <c r="N122" s="572">
        <v>4790.3999999999996</v>
      </c>
      <c r="O122" s="384"/>
      <c r="P122" s="384"/>
      <c r="Q122" s="384"/>
      <c r="R122" s="384"/>
    </row>
    <row r="123" spans="1:18">
      <c r="A123" s="571" t="s">
        <v>1397</v>
      </c>
      <c r="B123" s="384"/>
      <c r="C123" s="571" t="s">
        <v>956</v>
      </c>
      <c r="D123" s="384"/>
      <c r="E123" s="543" t="s">
        <v>478</v>
      </c>
      <c r="F123" s="579" t="s">
        <v>1398</v>
      </c>
      <c r="G123" s="583">
        <f t="shared" si="3"/>
        <v>8206</v>
      </c>
      <c r="H123" s="572">
        <v>6560</v>
      </c>
      <c r="I123" s="384"/>
      <c r="J123" s="572">
        <v>5904</v>
      </c>
      <c r="K123" s="573">
        <v>262.39999999999998</v>
      </c>
      <c r="L123" s="573">
        <v>6166.4</v>
      </c>
      <c r="M123" s="384"/>
      <c r="N123" s="572">
        <v>393.6</v>
      </c>
      <c r="O123" s="384"/>
      <c r="P123" s="384"/>
      <c r="Q123" s="384"/>
      <c r="R123" s="384"/>
    </row>
    <row r="124" spans="1:18">
      <c r="A124" s="571" t="s">
        <v>1399</v>
      </c>
      <c r="B124" s="384"/>
      <c r="C124" s="571" t="s">
        <v>953</v>
      </c>
      <c r="D124" s="384"/>
      <c r="E124" s="543" t="s">
        <v>478</v>
      </c>
      <c r="F124" s="579" t="s">
        <v>1400</v>
      </c>
      <c r="G124" s="583">
        <f t="shared" si="3"/>
        <v>8324</v>
      </c>
      <c r="H124" s="572">
        <v>8245</v>
      </c>
      <c r="I124" s="384"/>
      <c r="J124" s="572">
        <v>7502.95</v>
      </c>
      <c r="K124" s="573">
        <v>329.8</v>
      </c>
      <c r="L124" s="573">
        <v>7832.75</v>
      </c>
      <c r="M124" s="384"/>
      <c r="N124" s="572">
        <v>412.25</v>
      </c>
      <c r="O124" s="384"/>
      <c r="P124" s="384"/>
      <c r="Q124" s="384"/>
      <c r="R124" s="384"/>
    </row>
    <row r="125" spans="1:18">
      <c r="A125" s="571" t="s">
        <v>1401</v>
      </c>
      <c r="B125" s="384"/>
      <c r="C125" s="571" t="s">
        <v>957</v>
      </c>
      <c r="D125" s="384"/>
      <c r="E125" s="543" t="s">
        <v>478</v>
      </c>
      <c r="F125" s="579" t="s">
        <v>1402</v>
      </c>
      <c r="G125" s="583">
        <f t="shared" si="3"/>
        <v>7490</v>
      </c>
      <c r="H125" s="572">
        <v>13540</v>
      </c>
      <c r="I125" s="384"/>
      <c r="J125" s="572">
        <v>13540</v>
      </c>
      <c r="K125" s="573">
        <v>0</v>
      </c>
      <c r="L125" s="573">
        <v>13540</v>
      </c>
      <c r="M125" s="384"/>
      <c r="N125" s="572">
        <v>0</v>
      </c>
      <c r="O125" s="384"/>
      <c r="P125" s="384"/>
      <c r="Q125" s="384"/>
      <c r="R125" s="384"/>
    </row>
    <row r="126" spans="1:18">
      <c r="A126" s="571" t="s">
        <v>1403</v>
      </c>
      <c r="B126" s="384"/>
      <c r="C126" s="571" t="s">
        <v>957</v>
      </c>
      <c r="D126" s="384"/>
      <c r="E126" s="543" t="s">
        <v>478</v>
      </c>
      <c r="F126" s="579" t="s">
        <v>1341</v>
      </c>
      <c r="G126" s="583">
        <f t="shared" si="3"/>
        <v>6941</v>
      </c>
      <c r="H126" s="572">
        <v>11701.29</v>
      </c>
      <c r="I126" s="384"/>
      <c r="J126" s="572">
        <v>11116.3</v>
      </c>
      <c r="K126" s="573">
        <v>584.99</v>
      </c>
      <c r="L126" s="573">
        <v>11701.29</v>
      </c>
      <c r="M126" s="384"/>
      <c r="N126" s="572">
        <v>0</v>
      </c>
      <c r="O126" s="384"/>
      <c r="P126" s="384"/>
      <c r="Q126" s="384"/>
      <c r="R126" s="384"/>
    </row>
    <row r="127" spans="1:18">
      <c r="A127" s="571" t="s">
        <v>1404</v>
      </c>
      <c r="B127" s="384"/>
      <c r="C127" s="571" t="s">
        <v>957</v>
      </c>
      <c r="D127" s="384"/>
      <c r="E127" s="543" t="s">
        <v>478</v>
      </c>
      <c r="F127" s="579" t="s">
        <v>1405</v>
      </c>
      <c r="G127" s="583">
        <f t="shared" si="3"/>
        <v>6790</v>
      </c>
      <c r="H127" s="572">
        <v>5188.29</v>
      </c>
      <c r="I127" s="384"/>
      <c r="J127" s="572">
        <v>4820.87</v>
      </c>
      <c r="K127" s="573">
        <v>259.41000000000003</v>
      </c>
      <c r="L127" s="573">
        <v>5080.28</v>
      </c>
      <c r="M127" s="384"/>
      <c r="N127" s="572">
        <v>108.01</v>
      </c>
      <c r="O127" s="384"/>
      <c r="P127" s="384"/>
      <c r="Q127" s="384"/>
      <c r="R127" s="384"/>
    </row>
    <row r="128" spans="1:18">
      <c r="A128" s="571" t="s">
        <v>1406</v>
      </c>
      <c r="B128" s="384"/>
      <c r="C128" s="571" t="s">
        <v>958</v>
      </c>
      <c r="D128" s="384"/>
      <c r="E128" s="543" t="s">
        <v>478</v>
      </c>
      <c r="F128" s="579" t="s">
        <v>1407</v>
      </c>
      <c r="G128" s="583">
        <f t="shared" si="3"/>
        <v>6377</v>
      </c>
      <c r="H128" s="572">
        <v>2635.9</v>
      </c>
      <c r="I128" s="384"/>
      <c r="J128" s="572">
        <v>2295.52</v>
      </c>
      <c r="K128" s="573">
        <v>131.80000000000001</v>
      </c>
      <c r="L128" s="573">
        <v>2427.3200000000002</v>
      </c>
      <c r="M128" s="384"/>
      <c r="N128" s="572">
        <v>208.58</v>
      </c>
      <c r="O128" s="384"/>
      <c r="P128" s="384"/>
      <c r="Q128" s="384"/>
      <c r="R128" s="384"/>
    </row>
    <row r="129" spans="1:18">
      <c r="A129" s="571" t="s">
        <v>1408</v>
      </c>
      <c r="B129" s="384"/>
      <c r="C129" s="571" t="s">
        <v>958</v>
      </c>
      <c r="D129" s="384"/>
      <c r="E129" s="543" t="s">
        <v>478</v>
      </c>
      <c r="F129" s="579" t="s">
        <v>1409</v>
      </c>
      <c r="G129" s="583">
        <f t="shared" si="3"/>
        <v>6286</v>
      </c>
      <c r="H129" s="572">
        <v>3014.63</v>
      </c>
      <c r="I129" s="384"/>
      <c r="J129" s="572">
        <v>2587.5300000000002</v>
      </c>
      <c r="K129" s="573">
        <v>150.72999999999999</v>
      </c>
      <c r="L129" s="573">
        <v>2738.26</v>
      </c>
      <c r="M129" s="384"/>
      <c r="N129" s="572">
        <v>276.37</v>
      </c>
      <c r="O129" s="384"/>
      <c r="P129" s="384"/>
      <c r="Q129" s="384"/>
      <c r="R129" s="384"/>
    </row>
    <row r="130" spans="1:18">
      <c r="A130" s="571" t="s">
        <v>1410</v>
      </c>
      <c r="B130" s="384"/>
      <c r="C130" s="571" t="s">
        <v>959</v>
      </c>
      <c r="D130" s="384"/>
      <c r="E130" s="543" t="s">
        <v>478</v>
      </c>
      <c r="F130" s="579" t="s">
        <v>1411</v>
      </c>
      <c r="G130" s="583">
        <f t="shared" si="3"/>
        <v>6069</v>
      </c>
      <c r="H130" s="572">
        <v>3600</v>
      </c>
      <c r="I130" s="384"/>
      <c r="J130" s="572">
        <v>2985</v>
      </c>
      <c r="K130" s="573">
        <v>180</v>
      </c>
      <c r="L130" s="573">
        <v>3165</v>
      </c>
      <c r="M130" s="384"/>
      <c r="N130" s="572">
        <v>435</v>
      </c>
      <c r="O130" s="384"/>
      <c r="P130" s="384"/>
      <c r="Q130" s="384"/>
      <c r="R130" s="384"/>
    </row>
    <row r="131" spans="1:18">
      <c r="A131" s="571" t="s">
        <v>1412</v>
      </c>
      <c r="B131" s="384"/>
      <c r="C131" s="571" t="s">
        <v>960</v>
      </c>
      <c r="D131" s="384"/>
      <c r="E131" s="543" t="s">
        <v>478</v>
      </c>
      <c r="F131" s="579" t="s">
        <v>1413</v>
      </c>
      <c r="G131" s="583">
        <f t="shared" si="3"/>
        <v>6041</v>
      </c>
      <c r="H131" s="572">
        <v>2455</v>
      </c>
      <c r="I131" s="384"/>
      <c r="J131" s="572">
        <v>2025.38</v>
      </c>
      <c r="K131" s="573">
        <v>122.75</v>
      </c>
      <c r="L131" s="573">
        <v>2148.13</v>
      </c>
      <c r="M131" s="384"/>
      <c r="N131" s="572">
        <v>306.87</v>
      </c>
      <c r="O131" s="384"/>
      <c r="P131" s="384"/>
      <c r="Q131" s="384"/>
      <c r="R131" s="384"/>
    </row>
    <row r="132" spans="1:18">
      <c r="A132" s="571" t="s">
        <v>1414</v>
      </c>
      <c r="B132" s="384"/>
      <c r="C132" s="571" t="s">
        <v>961</v>
      </c>
      <c r="D132" s="384"/>
      <c r="E132" s="543" t="s">
        <v>478</v>
      </c>
      <c r="F132" s="579" t="s">
        <v>1415</v>
      </c>
      <c r="G132" s="583">
        <f t="shared" si="3"/>
        <v>5978</v>
      </c>
      <c r="H132" s="572">
        <v>6540</v>
      </c>
      <c r="I132" s="384"/>
      <c r="J132" s="572">
        <v>5341</v>
      </c>
      <c r="K132" s="573">
        <v>327</v>
      </c>
      <c r="L132" s="573">
        <v>5668</v>
      </c>
      <c r="M132" s="384"/>
      <c r="N132" s="572">
        <v>872</v>
      </c>
      <c r="O132" s="384"/>
      <c r="P132" s="384"/>
      <c r="Q132" s="384"/>
      <c r="R132" s="384"/>
    </row>
    <row r="133" spans="1:18">
      <c r="A133" s="571" t="s">
        <v>1416</v>
      </c>
      <c r="B133" s="384"/>
      <c r="C133" s="571" t="s">
        <v>962</v>
      </c>
      <c r="D133" s="384"/>
      <c r="E133" s="543" t="s">
        <v>478</v>
      </c>
      <c r="F133" s="579" t="s">
        <v>1415</v>
      </c>
      <c r="G133" s="583">
        <f t="shared" si="3"/>
        <v>5978</v>
      </c>
      <c r="H133" s="572">
        <v>5970</v>
      </c>
      <c r="I133" s="384"/>
      <c r="J133" s="572">
        <v>4875.5</v>
      </c>
      <c r="K133" s="573">
        <v>298.5</v>
      </c>
      <c r="L133" s="573">
        <v>5174</v>
      </c>
      <c r="M133" s="384"/>
      <c r="N133" s="572">
        <v>796</v>
      </c>
      <c r="O133" s="384"/>
      <c r="P133" s="384"/>
      <c r="Q133" s="384"/>
      <c r="R133" s="384"/>
    </row>
    <row r="134" spans="1:18">
      <c r="A134" s="571" t="s">
        <v>1417</v>
      </c>
      <c r="B134" s="384"/>
      <c r="C134" s="571" t="s">
        <v>957</v>
      </c>
      <c r="D134" s="384"/>
      <c r="E134" s="543" t="s">
        <v>478</v>
      </c>
      <c r="F134" s="579" t="s">
        <v>1236</v>
      </c>
      <c r="G134" s="583">
        <f t="shared" si="3"/>
        <v>5950</v>
      </c>
      <c r="H134" s="572">
        <v>11698</v>
      </c>
      <c r="I134" s="384"/>
      <c r="J134" s="572">
        <v>9504.6299999999992</v>
      </c>
      <c r="K134" s="573">
        <v>584.9</v>
      </c>
      <c r="L134" s="573">
        <v>10089.530000000001</v>
      </c>
      <c r="M134" s="384"/>
      <c r="N134" s="572">
        <v>1608.47</v>
      </c>
      <c r="O134" s="384"/>
      <c r="P134" s="384"/>
      <c r="Q134" s="384"/>
      <c r="R134" s="384"/>
    </row>
    <row r="135" spans="1:18">
      <c r="A135" s="571" t="s">
        <v>1418</v>
      </c>
      <c r="B135" s="384"/>
      <c r="C135" s="571" t="s">
        <v>963</v>
      </c>
      <c r="D135" s="384"/>
      <c r="E135" s="543" t="s">
        <v>478</v>
      </c>
      <c r="F135" s="579" t="s">
        <v>1236</v>
      </c>
      <c r="G135" s="583">
        <f t="shared" si="3"/>
        <v>5950</v>
      </c>
      <c r="H135" s="572">
        <v>4700</v>
      </c>
      <c r="I135" s="384"/>
      <c r="J135" s="572">
        <v>3818.75</v>
      </c>
      <c r="K135" s="573">
        <v>235</v>
      </c>
      <c r="L135" s="573">
        <v>4053.75</v>
      </c>
      <c r="M135" s="384"/>
      <c r="N135" s="572">
        <v>646.25</v>
      </c>
      <c r="O135" s="384"/>
      <c r="P135" s="384"/>
      <c r="Q135" s="384"/>
      <c r="R135" s="384"/>
    </row>
    <row r="136" spans="1:18">
      <c r="A136" s="571" t="s">
        <v>1419</v>
      </c>
      <c r="B136" s="384"/>
      <c r="C136" s="571" t="s">
        <v>964</v>
      </c>
      <c r="D136" s="384"/>
      <c r="E136" s="543" t="s">
        <v>478</v>
      </c>
      <c r="F136" s="579" t="s">
        <v>1420</v>
      </c>
      <c r="G136" s="583">
        <f t="shared" si="3"/>
        <v>5887</v>
      </c>
      <c r="H136" s="572">
        <v>4400</v>
      </c>
      <c r="I136" s="384"/>
      <c r="J136" s="572">
        <v>3538.33</v>
      </c>
      <c r="K136" s="573">
        <v>220</v>
      </c>
      <c r="L136" s="573">
        <v>3758.33</v>
      </c>
      <c r="M136" s="384"/>
      <c r="N136" s="572">
        <v>641.66999999999996</v>
      </c>
      <c r="O136" s="384"/>
      <c r="P136" s="384"/>
      <c r="Q136" s="384"/>
      <c r="R136" s="384"/>
    </row>
    <row r="137" spans="1:18">
      <c r="A137" s="571" t="s">
        <v>1421</v>
      </c>
      <c r="B137" s="384"/>
      <c r="C137" s="571" t="s">
        <v>965</v>
      </c>
      <c r="D137" s="384"/>
      <c r="E137" s="543" t="s">
        <v>478</v>
      </c>
      <c r="F137" s="579" t="s">
        <v>1422</v>
      </c>
      <c r="G137" s="583">
        <f t="shared" si="3"/>
        <v>5859</v>
      </c>
      <c r="H137" s="572">
        <v>3150</v>
      </c>
      <c r="I137" s="384"/>
      <c r="J137" s="572">
        <v>2520</v>
      </c>
      <c r="K137" s="573">
        <v>157.5</v>
      </c>
      <c r="L137" s="573">
        <v>2677.5</v>
      </c>
      <c r="M137" s="384"/>
      <c r="N137" s="572">
        <v>472.5</v>
      </c>
      <c r="O137" s="384"/>
      <c r="P137" s="384"/>
      <c r="Q137" s="384"/>
      <c r="R137" s="384"/>
    </row>
    <row r="138" spans="1:18">
      <c r="A138" s="571" t="s">
        <v>1423</v>
      </c>
      <c r="B138" s="384"/>
      <c r="C138" s="571" t="s">
        <v>968</v>
      </c>
      <c r="D138" s="384"/>
      <c r="E138" s="543" t="s">
        <v>478</v>
      </c>
      <c r="F138" s="579" t="s">
        <v>1424</v>
      </c>
      <c r="G138" s="583">
        <f t="shared" si="3"/>
        <v>5577</v>
      </c>
      <c r="H138" s="572">
        <v>37377</v>
      </c>
      <c r="I138" s="384"/>
      <c r="J138" s="572">
        <v>28499.96</v>
      </c>
      <c r="K138" s="573">
        <v>1868.85</v>
      </c>
      <c r="L138" s="573">
        <v>30368.81</v>
      </c>
      <c r="M138" s="384"/>
      <c r="N138" s="572">
        <v>7008.19</v>
      </c>
      <c r="O138" s="384"/>
      <c r="P138" s="384"/>
      <c r="Q138" s="384"/>
      <c r="R138" s="384"/>
    </row>
    <row r="139" spans="1:18">
      <c r="A139" s="571" t="s">
        <v>1425</v>
      </c>
      <c r="B139" s="384"/>
      <c r="C139" s="571" t="s">
        <v>973</v>
      </c>
      <c r="D139" s="384"/>
      <c r="E139" s="543" t="s">
        <v>478</v>
      </c>
      <c r="F139" s="579" t="s">
        <v>1426</v>
      </c>
      <c r="G139" s="583">
        <f t="shared" si="3"/>
        <v>5411</v>
      </c>
      <c r="H139" s="572">
        <v>8404.9500000000007</v>
      </c>
      <c r="I139" s="384"/>
      <c r="J139" s="572">
        <v>6233.71</v>
      </c>
      <c r="K139" s="573">
        <v>420.25</v>
      </c>
      <c r="L139" s="573">
        <v>6653.96</v>
      </c>
      <c r="M139" s="384"/>
      <c r="N139" s="572">
        <v>1750.99</v>
      </c>
      <c r="O139" s="536">
        <v>-70.069999999999993</v>
      </c>
      <c r="P139" s="538">
        <f>-O139</f>
        <v>70.069999999999993</v>
      </c>
      <c r="Q139" s="384"/>
      <c r="R139" s="384"/>
    </row>
    <row r="140" spans="1:18">
      <c r="A140" s="571" t="s">
        <v>1427</v>
      </c>
      <c r="B140" s="384"/>
      <c r="C140" s="571" t="s">
        <v>974</v>
      </c>
      <c r="D140" s="384"/>
      <c r="E140" s="543" t="s">
        <v>478</v>
      </c>
      <c r="F140" s="579" t="s">
        <v>1428</v>
      </c>
      <c r="G140" s="583">
        <f t="shared" si="3"/>
        <v>5125</v>
      </c>
      <c r="H140" s="572">
        <v>2743.94</v>
      </c>
      <c r="I140" s="384"/>
      <c r="J140" s="572">
        <v>1920.8</v>
      </c>
      <c r="K140" s="573">
        <v>137.19999999999999</v>
      </c>
      <c r="L140" s="573">
        <v>2058</v>
      </c>
      <c r="M140" s="384"/>
      <c r="N140" s="572">
        <v>685.94</v>
      </c>
      <c r="O140" s="384"/>
      <c r="P140" s="384"/>
      <c r="Q140" s="384"/>
      <c r="R140" s="384"/>
    </row>
    <row r="141" spans="1:18">
      <c r="A141" s="571" t="s">
        <v>1429</v>
      </c>
      <c r="B141" s="384"/>
      <c r="C141" s="571" t="s">
        <v>957</v>
      </c>
      <c r="D141" s="384"/>
      <c r="E141" s="543" t="s">
        <v>478</v>
      </c>
      <c r="F141" s="579" t="s">
        <v>1367</v>
      </c>
      <c r="G141" s="583">
        <f t="shared" si="3"/>
        <v>4933</v>
      </c>
      <c r="H141" s="572">
        <v>25967.39</v>
      </c>
      <c r="I141" s="384"/>
      <c r="J141" s="572">
        <v>17528</v>
      </c>
      <c r="K141" s="573">
        <v>1298.3699999999999</v>
      </c>
      <c r="L141" s="573">
        <v>18826.37</v>
      </c>
      <c r="M141" s="384"/>
      <c r="N141" s="572">
        <v>7141.02</v>
      </c>
      <c r="O141" s="384"/>
      <c r="P141" s="384"/>
      <c r="Q141" s="384"/>
      <c r="R141" s="384"/>
    </row>
    <row r="142" spans="1:18">
      <c r="A142" s="571" t="s">
        <v>1430</v>
      </c>
      <c r="B142" s="384"/>
      <c r="C142" s="571" t="s">
        <v>982</v>
      </c>
      <c r="D142" s="384"/>
      <c r="E142" s="543" t="s">
        <v>478</v>
      </c>
      <c r="F142" s="579" t="s">
        <v>1431</v>
      </c>
      <c r="G142" s="583">
        <f t="shared" si="3"/>
        <v>2331</v>
      </c>
      <c r="H142" s="572">
        <v>35794.94</v>
      </c>
      <c r="I142" s="384"/>
      <c r="J142" s="572">
        <v>5742.08</v>
      </c>
      <c r="K142" s="573">
        <v>894.87</v>
      </c>
      <c r="L142" s="573">
        <v>6636.95</v>
      </c>
      <c r="M142" s="384"/>
      <c r="N142" s="572">
        <v>29157.99</v>
      </c>
      <c r="O142" s="384"/>
      <c r="P142" s="384"/>
      <c r="Q142" s="384"/>
      <c r="R142" s="384"/>
    </row>
    <row r="143" spans="1:18">
      <c r="A143" s="571" t="s">
        <v>1432</v>
      </c>
      <c r="B143" s="384"/>
      <c r="C143" s="571" t="s">
        <v>989</v>
      </c>
      <c r="D143" s="384"/>
      <c r="E143" s="543" t="s">
        <v>478</v>
      </c>
      <c r="F143" s="579" t="s">
        <v>1433</v>
      </c>
      <c r="G143" s="583">
        <f t="shared" si="3"/>
        <v>184</v>
      </c>
      <c r="H143" s="572">
        <v>227949.18</v>
      </c>
      <c r="I143" s="384"/>
      <c r="J143" s="572">
        <v>5698.27</v>
      </c>
      <c r="K143" s="573">
        <v>11397.46</v>
      </c>
      <c r="L143" s="573">
        <v>17095.73</v>
      </c>
      <c r="M143" s="384"/>
      <c r="N143" s="572">
        <v>210853.45</v>
      </c>
      <c r="O143" s="384"/>
      <c r="P143" s="384"/>
      <c r="Q143" s="384"/>
      <c r="R143" s="384"/>
    </row>
    <row r="144" spans="1:18">
      <c r="A144" s="571" t="s">
        <v>1434</v>
      </c>
      <c r="B144" s="384"/>
      <c r="C144" s="571" t="s">
        <v>1435</v>
      </c>
      <c r="D144" s="384"/>
      <c r="E144" s="543" t="s">
        <v>478</v>
      </c>
      <c r="F144" s="581" t="s">
        <v>1436</v>
      </c>
      <c r="G144" s="583">
        <f t="shared" si="3"/>
        <v>-181</v>
      </c>
      <c r="H144" s="572">
        <v>278326.52</v>
      </c>
      <c r="I144" s="384"/>
      <c r="J144" s="572">
        <v>0</v>
      </c>
      <c r="K144" s="573">
        <v>6958.16</v>
      </c>
      <c r="L144" s="573">
        <v>6958.16</v>
      </c>
      <c r="M144" s="384"/>
      <c r="N144" s="572">
        <v>271368.36</v>
      </c>
      <c r="O144" s="384"/>
      <c r="P144" s="384"/>
      <c r="Q144" s="384"/>
      <c r="R144" s="384"/>
    </row>
    <row r="145" spans="1:18" s="537" customFormat="1" ht="15">
      <c r="A145" s="571" t="s">
        <v>990</v>
      </c>
      <c r="B145" s="384"/>
      <c r="C145" s="384"/>
      <c r="D145" s="384"/>
      <c r="E145" s="543"/>
      <c r="F145" s="580"/>
      <c r="G145" s="539"/>
      <c r="H145" s="572">
        <v>8173647.29</v>
      </c>
      <c r="I145" s="384"/>
      <c r="J145" s="572">
        <v>5114960.16</v>
      </c>
      <c r="K145" s="573">
        <v>322839.2</v>
      </c>
      <c r="L145" s="573">
        <v>5437799.3600000003</v>
      </c>
      <c r="M145" s="384"/>
      <c r="N145" s="572">
        <v>2735847.93</v>
      </c>
      <c r="O145" s="384"/>
      <c r="P145" s="384"/>
      <c r="Q145" s="384"/>
      <c r="R145" s="384"/>
    </row>
    <row r="146" spans="1:18">
      <c r="A146" s="571" t="s">
        <v>991</v>
      </c>
      <c r="B146" s="384"/>
      <c r="C146" s="384"/>
      <c r="D146" s="384"/>
      <c r="E146" s="543"/>
      <c r="F146" s="580"/>
      <c r="G146" s="539"/>
      <c r="H146" s="535">
        <v>0</v>
      </c>
      <c r="I146" s="384"/>
      <c r="J146" s="535">
        <v>0</v>
      </c>
      <c r="K146" s="384">
        <v>0</v>
      </c>
      <c r="L146" s="384">
        <v>0</v>
      </c>
      <c r="M146" s="384"/>
      <c r="N146" s="535">
        <v>0</v>
      </c>
      <c r="O146" s="384"/>
      <c r="P146" s="384"/>
      <c r="Q146" s="384"/>
      <c r="R146" s="384"/>
    </row>
    <row r="147" spans="1:18">
      <c r="A147" s="571" t="s">
        <v>1437</v>
      </c>
      <c r="B147" s="384"/>
      <c r="C147" s="571" t="s">
        <v>996</v>
      </c>
      <c r="D147" s="384"/>
      <c r="E147" s="543" t="s">
        <v>481</v>
      </c>
      <c r="F147" s="579" t="s">
        <v>1438</v>
      </c>
      <c r="G147" s="583">
        <f t="shared" ref="G147:G210" si="4">G$9-F147</f>
        <v>14930</v>
      </c>
      <c r="H147" s="572">
        <v>4292</v>
      </c>
      <c r="I147" s="384"/>
      <c r="J147" s="572">
        <v>4292</v>
      </c>
      <c r="K147" s="573">
        <v>0</v>
      </c>
      <c r="L147" s="573">
        <v>4292</v>
      </c>
      <c r="M147" s="384"/>
      <c r="N147" s="572">
        <v>0</v>
      </c>
      <c r="O147" s="384"/>
      <c r="P147" s="384"/>
      <c r="Q147" s="384"/>
      <c r="R147" s="384"/>
    </row>
    <row r="148" spans="1:18">
      <c r="A148" s="571" t="s">
        <v>1439</v>
      </c>
      <c r="B148" s="384"/>
      <c r="C148" s="571" t="s">
        <v>997</v>
      </c>
      <c r="D148" s="384"/>
      <c r="E148" s="543" t="s">
        <v>481</v>
      </c>
      <c r="F148" s="579" t="s">
        <v>1440</v>
      </c>
      <c r="G148" s="583">
        <f t="shared" si="4"/>
        <v>12527</v>
      </c>
      <c r="H148" s="572">
        <v>3283.57</v>
      </c>
      <c r="I148" s="384"/>
      <c r="J148" s="572">
        <v>3283.57</v>
      </c>
      <c r="K148" s="573">
        <v>0</v>
      </c>
      <c r="L148" s="573">
        <v>3283.57</v>
      </c>
      <c r="M148" s="384"/>
      <c r="N148" s="572">
        <v>0</v>
      </c>
      <c r="O148" s="384"/>
      <c r="P148" s="384"/>
      <c r="Q148" s="384"/>
      <c r="R148" s="384"/>
    </row>
    <row r="149" spans="1:18">
      <c r="A149" s="571" t="s">
        <v>1441</v>
      </c>
      <c r="B149" s="384"/>
      <c r="C149" s="571" t="s">
        <v>1000</v>
      </c>
      <c r="D149" s="384"/>
      <c r="E149" s="543" t="s">
        <v>481</v>
      </c>
      <c r="F149" s="579" t="s">
        <v>1442</v>
      </c>
      <c r="G149" s="583">
        <f t="shared" si="4"/>
        <v>10244</v>
      </c>
      <c r="H149" s="572">
        <v>571.9</v>
      </c>
      <c r="I149" s="384"/>
      <c r="J149" s="572">
        <v>571.9</v>
      </c>
      <c r="K149" s="573">
        <v>0</v>
      </c>
      <c r="L149" s="573">
        <v>571.9</v>
      </c>
      <c r="M149" s="384"/>
      <c r="N149" s="572">
        <v>0</v>
      </c>
      <c r="O149" s="384"/>
      <c r="P149" s="384"/>
      <c r="Q149" s="384"/>
      <c r="R149" s="384"/>
    </row>
    <row r="150" spans="1:18">
      <c r="A150" s="571" t="s">
        <v>1443</v>
      </c>
      <c r="B150" s="384"/>
      <c r="C150" s="571" t="s">
        <v>1002</v>
      </c>
      <c r="D150" s="384"/>
      <c r="E150" s="543" t="s">
        <v>481</v>
      </c>
      <c r="F150" s="579" t="s">
        <v>1444</v>
      </c>
      <c r="G150" s="583">
        <f t="shared" si="4"/>
        <v>9848</v>
      </c>
      <c r="H150" s="572">
        <v>857.03</v>
      </c>
      <c r="I150" s="384"/>
      <c r="J150" s="572">
        <v>857.03</v>
      </c>
      <c r="K150" s="573">
        <v>0</v>
      </c>
      <c r="L150" s="573">
        <v>857.03</v>
      </c>
      <c r="M150" s="384"/>
      <c r="N150" s="572">
        <v>0</v>
      </c>
      <c r="O150" s="384"/>
      <c r="P150" s="384"/>
      <c r="Q150" s="384"/>
      <c r="R150" s="384"/>
    </row>
    <row r="151" spans="1:18">
      <c r="A151" s="571" t="s">
        <v>1445</v>
      </c>
      <c r="B151" s="384"/>
      <c r="C151" s="571" t="s">
        <v>1004</v>
      </c>
      <c r="D151" s="384"/>
      <c r="E151" s="543" t="s">
        <v>481</v>
      </c>
      <c r="F151" s="579" t="s">
        <v>1446</v>
      </c>
      <c r="G151" s="583">
        <f t="shared" si="4"/>
        <v>9575</v>
      </c>
      <c r="H151" s="572">
        <v>804.45</v>
      </c>
      <c r="I151" s="384"/>
      <c r="J151" s="572">
        <v>804.45</v>
      </c>
      <c r="K151" s="573">
        <v>0</v>
      </c>
      <c r="L151" s="573">
        <v>804.45</v>
      </c>
      <c r="M151" s="384"/>
      <c r="N151" s="572">
        <v>0</v>
      </c>
      <c r="O151" s="384"/>
      <c r="P151" s="384"/>
      <c r="Q151" s="384"/>
      <c r="R151" s="384"/>
    </row>
    <row r="152" spans="1:18">
      <c r="A152" s="571" t="s">
        <v>1447</v>
      </c>
      <c r="B152" s="384"/>
      <c r="C152" s="571" t="s">
        <v>1005</v>
      </c>
      <c r="D152" s="384"/>
      <c r="E152" s="543" t="s">
        <v>481</v>
      </c>
      <c r="F152" s="579" t="s">
        <v>1448</v>
      </c>
      <c r="G152" s="583">
        <f t="shared" si="4"/>
        <v>9027</v>
      </c>
      <c r="H152" s="572">
        <v>290</v>
      </c>
      <c r="I152" s="384"/>
      <c r="J152" s="572">
        <v>290</v>
      </c>
      <c r="K152" s="573">
        <v>0</v>
      </c>
      <c r="L152" s="573">
        <v>290</v>
      </c>
      <c r="M152" s="384"/>
      <c r="N152" s="572">
        <v>0</v>
      </c>
      <c r="O152" s="384"/>
      <c r="P152" s="384"/>
      <c r="Q152" s="384"/>
      <c r="R152" s="384"/>
    </row>
    <row r="153" spans="1:18">
      <c r="A153" s="571" t="s">
        <v>1449</v>
      </c>
      <c r="B153" s="384"/>
      <c r="C153" s="571" t="s">
        <v>1006</v>
      </c>
      <c r="D153" s="384"/>
      <c r="E153" s="543" t="s">
        <v>481</v>
      </c>
      <c r="F153" s="579" t="s">
        <v>1450</v>
      </c>
      <c r="G153" s="583">
        <f t="shared" si="4"/>
        <v>8844</v>
      </c>
      <c r="H153" s="572">
        <v>520.9</v>
      </c>
      <c r="I153" s="384"/>
      <c r="J153" s="572">
        <v>520.9</v>
      </c>
      <c r="K153" s="573">
        <v>0</v>
      </c>
      <c r="L153" s="573">
        <v>520.9</v>
      </c>
      <c r="M153" s="384"/>
      <c r="N153" s="572">
        <v>0</v>
      </c>
      <c r="O153" s="384"/>
      <c r="P153" s="384"/>
      <c r="Q153" s="384"/>
      <c r="R153" s="384"/>
    </row>
    <row r="154" spans="1:18">
      <c r="A154" s="571" t="s">
        <v>1451</v>
      </c>
      <c r="B154" s="384"/>
      <c r="C154" s="571" t="s">
        <v>1009</v>
      </c>
      <c r="D154" s="384"/>
      <c r="E154" s="543" t="s">
        <v>481</v>
      </c>
      <c r="F154" s="579" t="s">
        <v>1400</v>
      </c>
      <c r="G154" s="583">
        <f t="shared" si="4"/>
        <v>8324</v>
      </c>
      <c r="H154" s="572">
        <v>367.5</v>
      </c>
      <c r="I154" s="384"/>
      <c r="J154" s="572">
        <v>367.5</v>
      </c>
      <c r="K154" s="573">
        <v>0</v>
      </c>
      <c r="L154" s="573">
        <v>367.5</v>
      </c>
      <c r="M154" s="384"/>
      <c r="N154" s="572">
        <v>0</v>
      </c>
      <c r="O154" s="384"/>
      <c r="P154" s="384"/>
      <c r="Q154" s="384"/>
      <c r="R154" s="384"/>
    </row>
    <row r="155" spans="1:18">
      <c r="A155" s="571" t="s">
        <v>1452</v>
      </c>
      <c r="B155" s="384"/>
      <c r="C155" s="571" t="s">
        <v>1012</v>
      </c>
      <c r="D155" s="384"/>
      <c r="E155" s="543" t="s">
        <v>481</v>
      </c>
      <c r="F155" s="579" t="s">
        <v>1453</v>
      </c>
      <c r="G155" s="583">
        <f t="shared" si="4"/>
        <v>8098</v>
      </c>
      <c r="H155" s="572">
        <v>272.51</v>
      </c>
      <c r="I155" s="384"/>
      <c r="J155" s="572">
        <v>272.51</v>
      </c>
      <c r="K155" s="573">
        <v>0</v>
      </c>
      <c r="L155" s="573">
        <v>272.51</v>
      </c>
      <c r="M155" s="384"/>
      <c r="N155" s="572">
        <v>0</v>
      </c>
      <c r="O155" s="384"/>
      <c r="P155" s="384"/>
      <c r="Q155" s="384"/>
      <c r="R155" s="384"/>
    </row>
    <row r="156" spans="1:18">
      <c r="A156" s="571" t="s">
        <v>1454</v>
      </c>
      <c r="B156" s="384"/>
      <c r="C156" s="571" t="s">
        <v>1013</v>
      </c>
      <c r="D156" s="384"/>
      <c r="E156" s="543" t="s">
        <v>481</v>
      </c>
      <c r="F156" s="579" t="s">
        <v>1453</v>
      </c>
      <c r="G156" s="583">
        <f t="shared" si="4"/>
        <v>8098</v>
      </c>
      <c r="H156" s="572">
        <v>142.6</v>
      </c>
      <c r="I156" s="384"/>
      <c r="J156" s="572">
        <v>142.6</v>
      </c>
      <c r="K156" s="573">
        <v>0</v>
      </c>
      <c r="L156" s="573">
        <v>142.6</v>
      </c>
      <c r="M156" s="384"/>
      <c r="N156" s="572">
        <v>0</v>
      </c>
      <c r="O156" s="384"/>
      <c r="P156" s="384"/>
      <c r="Q156" s="384"/>
      <c r="R156" s="384"/>
    </row>
    <row r="157" spans="1:18">
      <c r="A157" s="571" t="s">
        <v>1455</v>
      </c>
      <c r="B157" s="384"/>
      <c r="C157" s="571" t="s">
        <v>1014</v>
      </c>
      <c r="D157" s="384"/>
      <c r="E157" s="543" t="s">
        <v>481</v>
      </c>
      <c r="F157" s="579" t="s">
        <v>1456</v>
      </c>
      <c r="G157" s="583">
        <f t="shared" si="4"/>
        <v>8078</v>
      </c>
      <c r="H157" s="572">
        <v>1220</v>
      </c>
      <c r="I157" s="384"/>
      <c r="J157" s="572">
        <v>1220</v>
      </c>
      <c r="K157" s="573">
        <v>0</v>
      </c>
      <c r="L157" s="573">
        <v>1220</v>
      </c>
      <c r="M157" s="384"/>
      <c r="N157" s="572">
        <v>0</v>
      </c>
      <c r="O157" s="384"/>
      <c r="P157" s="384"/>
      <c r="Q157" s="384"/>
      <c r="R157" s="384"/>
    </row>
    <row r="158" spans="1:18">
      <c r="A158" s="571" t="s">
        <v>1457</v>
      </c>
      <c r="B158" s="384"/>
      <c r="C158" s="571" t="s">
        <v>1015</v>
      </c>
      <c r="D158" s="384"/>
      <c r="E158" s="543" t="s">
        <v>481</v>
      </c>
      <c r="F158" s="579" t="s">
        <v>1456</v>
      </c>
      <c r="G158" s="583">
        <f t="shared" si="4"/>
        <v>8078</v>
      </c>
      <c r="H158" s="572">
        <v>188</v>
      </c>
      <c r="I158" s="384"/>
      <c r="J158" s="572">
        <v>188</v>
      </c>
      <c r="K158" s="573">
        <v>0</v>
      </c>
      <c r="L158" s="573">
        <v>188</v>
      </c>
      <c r="M158" s="384"/>
      <c r="N158" s="572">
        <v>0</v>
      </c>
      <c r="O158" s="384"/>
      <c r="P158" s="384"/>
      <c r="Q158" s="384"/>
      <c r="R158" s="384"/>
    </row>
    <row r="159" spans="1:18">
      <c r="A159" s="571" t="s">
        <v>1458</v>
      </c>
      <c r="B159" s="384"/>
      <c r="C159" s="571" t="s">
        <v>1020</v>
      </c>
      <c r="D159" s="384"/>
      <c r="E159" s="543" t="s">
        <v>481</v>
      </c>
      <c r="F159" s="579" t="s">
        <v>1335</v>
      </c>
      <c r="G159" s="583">
        <f t="shared" si="4"/>
        <v>7868</v>
      </c>
      <c r="H159" s="572">
        <v>250</v>
      </c>
      <c r="I159" s="384"/>
      <c r="J159" s="572">
        <v>250</v>
      </c>
      <c r="K159" s="573">
        <v>0</v>
      </c>
      <c r="L159" s="573">
        <v>250</v>
      </c>
      <c r="M159" s="384"/>
      <c r="N159" s="572">
        <v>0</v>
      </c>
      <c r="O159" s="384"/>
      <c r="P159" s="384"/>
      <c r="Q159" s="384"/>
      <c r="R159" s="384"/>
    </row>
    <row r="160" spans="1:18">
      <c r="A160" s="571" t="s">
        <v>1459</v>
      </c>
      <c r="B160" s="384"/>
      <c r="C160" s="571" t="s">
        <v>1022</v>
      </c>
      <c r="D160" s="384"/>
      <c r="E160" s="543" t="s">
        <v>481</v>
      </c>
      <c r="F160" s="579" t="s">
        <v>1460</v>
      </c>
      <c r="G160" s="583">
        <f t="shared" si="4"/>
        <v>7651</v>
      </c>
      <c r="H160" s="572">
        <v>1565.55</v>
      </c>
      <c r="I160" s="384"/>
      <c r="J160" s="572">
        <v>1565.55</v>
      </c>
      <c r="K160" s="573">
        <v>0</v>
      </c>
      <c r="L160" s="573">
        <v>1565.55</v>
      </c>
      <c r="M160" s="384"/>
      <c r="N160" s="572">
        <v>0</v>
      </c>
      <c r="O160" s="384"/>
      <c r="P160" s="384"/>
      <c r="Q160" s="384"/>
      <c r="R160" s="384"/>
    </row>
    <row r="161" spans="1:18">
      <c r="A161" s="571" t="s">
        <v>1461</v>
      </c>
      <c r="B161" s="384"/>
      <c r="C161" s="571" t="s">
        <v>1024</v>
      </c>
      <c r="D161" s="384"/>
      <c r="E161" s="543" t="s">
        <v>481</v>
      </c>
      <c r="F161" s="579" t="s">
        <v>1462</v>
      </c>
      <c r="G161" s="583">
        <f t="shared" si="4"/>
        <v>7231</v>
      </c>
      <c r="H161" s="572">
        <v>718.88</v>
      </c>
      <c r="I161" s="384"/>
      <c r="J161" s="572">
        <v>718.88</v>
      </c>
      <c r="K161" s="573">
        <v>0</v>
      </c>
      <c r="L161" s="573">
        <v>718.88</v>
      </c>
      <c r="M161" s="384"/>
      <c r="N161" s="572">
        <v>0</v>
      </c>
      <c r="O161" s="384"/>
      <c r="P161" s="384"/>
      <c r="Q161" s="384"/>
      <c r="R161" s="384"/>
    </row>
    <row r="162" spans="1:18">
      <c r="A162" s="571" t="s">
        <v>1463</v>
      </c>
      <c r="B162" s="384"/>
      <c r="C162" s="571" t="s">
        <v>1025</v>
      </c>
      <c r="D162" s="384"/>
      <c r="E162" s="543" t="s">
        <v>481</v>
      </c>
      <c r="F162" s="579" t="s">
        <v>1464</v>
      </c>
      <c r="G162" s="583">
        <f t="shared" si="4"/>
        <v>6713</v>
      </c>
      <c r="H162" s="572">
        <v>3189.68</v>
      </c>
      <c r="I162" s="384"/>
      <c r="J162" s="572">
        <v>3189.68</v>
      </c>
      <c r="K162" s="573">
        <v>0</v>
      </c>
      <c r="L162" s="573">
        <v>3189.68</v>
      </c>
      <c r="M162" s="384"/>
      <c r="N162" s="572">
        <v>0</v>
      </c>
      <c r="O162" s="384"/>
      <c r="P162" s="384"/>
      <c r="Q162" s="384"/>
      <c r="R162" s="384"/>
    </row>
    <row r="163" spans="1:18">
      <c r="A163" s="571" t="s">
        <v>1465</v>
      </c>
      <c r="B163" s="384"/>
      <c r="C163" s="571" t="s">
        <v>1026</v>
      </c>
      <c r="D163" s="384"/>
      <c r="E163" s="543" t="s">
        <v>481</v>
      </c>
      <c r="F163" s="579" t="s">
        <v>1466</v>
      </c>
      <c r="G163" s="583">
        <f t="shared" si="4"/>
        <v>6650</v>
      </c>
      <c r="H163" s="572">
        <v>19539.560000000001</v>
      </c>
      <c r="I163" s="384"/>
      <c r="J163" s="572">
        <v>19539.560000000001</v>
      </c>
      <c r="K163" s="573">
        <v>0</v>
      </c>
      <c r="L163" s="573">
        <v>19539.560000000001</v>
      </c>
      <c r="M163" s="384"/>
      <c r="N163" s="572">
        <v>0</v>
      </c>
      <c r="O163" s="384"/>
      <c r="P163" s="384"/>
      <c r="Q163" s="384"/>
      <c r="R163" s="384"/>
    </row>
    <row r="164" spans="1:18">
      <c r="A164" s="571" t="s">
        <v>1467</v>
      </c>
      <c r="B164" s="384"/>
      <c r="C164" s="571" t="s">
        <v>1027</v>
      </c>
      <c r="D164" s="384"/>
      <c r="E164" s="543" t="s">
        <v>481</v>
      </c>
      <c r="F164" s="579" t="s">
        <v>1468</v>
      </c>
      <c r="G164" s="583">
        <f t="shared" si="4"/>
        <v>6559</v>
      </c>
      <c r="H164" s="572">
        <v>860.62</v>
      </c>
      <c r="I164" s="384"/>
      <c r="J164" s="572">
        <v>860.62</v>
      </c>
      <c r="K164" s="573">
        <v>0</v>
      </c>
      <c r="L164" s="573">
        <v>860.62</v>
      </c>
      <c r="M164" s="384"/>
      <c r="N164" s="572">
        <v>0</v>
      </c>
      <c r="O164" s="384"/>
      <c r="P164" s="384"/>
      <c r="Q164" s="384"/>
      <c r="R164" s="384"/>
    </row>
    <row r="165" spans="1:18">
      <c r="A165" s="571" t="s">
        <v>1469</v>
      </c>
      <c r="B165" s="384"/>
      <c r="C165" s="571" t="s">
        <v>1028</v>
      </c>
      <c r="D165" s="384"/>
      <c r="E165" s="543" t="s">
        <v>481</v>
      </c>
      <c r="F165" s="579" t="s">
        <v>1470</v>
      </c>
      <c r="G165" s="583">
        <f t="shared" si="4"/>
        <v>6433</v>
      </c>
      <c r="H165" s="572">
        <v>1755.23</v>
      </c>
      <c r="I165" s="384"/>
      <c r="J165" s="572">
        <v>1755.23</v>
      </c>
      <c r="K165" s="573">
        <v>0</v>
      </c>
      <c r="L165" s="573">
        <v>1755.23</v>
      </c>
      <c r="M165" s="384"/>
      <c r="N165" s="572">
        <v>0</v>
      </c>
      <c r="O165" s="384"/>
      <c r="P165" s="384"/>
      <c r="Q165" s="384"/>
      <c r="R165" s="384"/>
    </row>
    <row r="166" spans="1:18">
      <c r="A166" s="571" t="s">
        <v>1471</v>
      </c>
      <c r="B166" s="384"/>
      <c r="C166" s="571" t="s">
        <v>1029</v>
      </c>
      <c r="D166" s="384"/>
      <c r="E166" s="543" t="s">
        <v>481</v>
      </c>
      <c r="F166" s="579" t="s">
        <v>1472</v>
      </c>
      <c r="G166" s="583">
        <f t="shared" si="4"/>
        <v>6314</v>
      </c>
      <c r="H166" s="572">
        <v>741.05</v>
      </c>
      <c r="I166" s="384"/>
      <c r="J166" s="572">
        <v>741.05</v>
      </c>
      <c r="K166" s="573">
        <v>0</v>
      </c>
      <c r="L166" s="573">
        <v>741.05</v>
      </c>
      <c r="M166" s="384"/>
      <c r="N166" s="572">
        <v>0</v>
      </c>
      <c r="O166" s="384"/>
      <c r="P166" s="384"/>
      <c r="Q166" s="384"/>
      <c r="R166" s="384"/>
    </row>
    <row r="167" spans="1:18">
      <c r="A167" s="571" t="s">
        <v>1473</v>
      </c>
      <c r="B167" s="384"/>
      <c r="C167" s="571" t="s">
        <v>1030</v>
      </c>
      <c r="D167" s="384"/>
      <c r="E167" s="543" t="s">
        <v>481</v>
      </c>
      <c r="F167" s="579" t="s">
        <v>1474</v>
      </c>
      <c r="G167" s="583">
        <f t="shared" si="4"/>
        <v>6132</v>
      </c>
      <c r="H167" s="572">
        <v>511.2</v>
      </c>
      <c r="I167" s="384"/>
      <c r="J167" s="572">
        <v>511.2</v>
      </c>
      <c r="K167" s="573">
        <v>0</v>
      </c>
      <c r="L167" s="573">
        <v>511.2</v>
      </c>
      <c r="M167" s="384"/>
      <c r="N167" s="572">
        <v>0</v>
      </c>
      <c r="O167" s="384"/>
      <c r="P167" s="384"/>
      <c r="Q167" s="384"/>
      <c r="R167" s="384"/>
    </row>
    <row r="168" spans="1:18">
      <c r="A168" s="571" t="s">
        <v>1475</v>
      </c>
      <c r="B168" s="384"/>
      <c r="C168" s="571" t="s">
        <v>1031</v>
      </c>
      <c r="D168" s="384"/>
      <c r="E168" s="543" t="s">
        <v>481</v>
      </c>
      <c r="F168" s="579" t="s">
        <v>1476</v>
      </c>
      <c r="G168" s="583">
        <f t="shared" si="4"/>
        <v>6104</v>
      </c>
      <c r="H168" s="572">
        <v>855.73</v>
      </c>
      <c r="I168" s="384"/>
      <c r="J168" s="572">
        <v>855.73</v>
      </c>
      <c r="K168" s="573">
        <v>0</v>
      </c>
      <c r="L168" s="573">
        <v>855.73</v>
      </c>
      <c r="M168" s="384"/>
      <c r="N168" s="572">
        <v>0</v>
      </c>
      <c r="O168" s="384"/>
      <c r="P168" s="384"/>
      <c r="Q168" s="384"/>
      <c r="R168" s="384"/>
    </row>
    <row r="169" spans="1:18">
      <c r="A169" s="571" t="s">
        <v>1477</v>
      </c>
      <c r="B169" s="384"/>
      <c r="C169" s="571" t="s">
        <v>1032</v>
      </c>
      <c r="D169" s="384"/>
      <c r="E169" s="543" t="s">
        <v>481</v>
      </c>
      <c r="F169" s="579" t="s">
        <v>1411</v>
      </c>
      <c r="G169" s="583">
        <f t="shared" si="4"/>
        <v>6069</v>
      </c>
      <c r="H169" s="572">
        <v>766.06</v>
      </c>
      <c r="I169" s="384"/>
      <c r="J169" s="572">
        <v>766.06</v>
      </c>
      <c r="K169" s="573">
        <v>0</v>
      </c>
      <c r="L169" s="573">
        <v>766.06</v>
      </c>
      <c r="M169" s="384"/>
      <c r="N169" s="572">
        <v>0</v>
      </c>
      <c r="O169" s="384"/>
      <c r="P169" s="384"/>
      <c r="Q169" s="384"/>
      <c r="R169" s="384"/>
    </row>
    <row r="170" spans="1:18">
      <c r="A170" s="571" t="s">
        <v>1478</v>
      </c>
      <c r="B170" s="384"/>
      <c r="C170" s="571" t="s">
        <v>1034</v>
      </c>
      <c r="D170" s="384"/>
      <c r="E170" s="543" t="s">
        <v>481</v>
      </c>
      <c r="F170" s="579" t="s">
        <v>1413</v>
      </c>
      <c r="G170" s="583">
        <f t="shared" si="4"/>
        <v>6041</v>
      </c>
      <c r="H170" s="572">
        <v>9631.86</v>
      </c>
      <c r="I170" s="384"/>
      <c r="J170" s="572">
        <v>9631.86</v>
      </c>
      <c r="K170" s="573">
        <v>0</v>
      </c>
      <c r="L170" s="573">
        <v>9631.86</v>
      </c>
      <c r="M170" s="384"/>
      <c r="N170" s="572">
        <v>0</v>
      </c>
      <c r="O170" s="384"/>
      <c r="P170" s="384"/>
      <c r="Q170" s="384"/>
      <c r="R170" s="384"/>
    </row>
    <row r="171" spans="1:18">
      <c r="A171" s="571" t="s">
        <v>1479</v>
      </c>
      <c r="B171" s="384"/>
      <c r="C171" s="571" t="s">
        <v>1033</v>
      </c>
      <c r="D171" s="384"/>
      <c r="E171" s="543" t="s">
        <v>481</v>
      </c>
      <c r="F171" s="579" t="s">
        <v>1480</v>
      </c>
      <c r="G171" s="583">
        <f t="shared" si="4"/>
        <v>6042</v>
      </c>
      <c r="H171" s="572">
        <v>1620.42</v>
      </c>
      <c r="I171" s="384"/>
      <c r="J171" s="572">
        <v>1620.42</v>
      </c>
      <c r="K171" s="573">
        <v>0</v>
      </c>
      <c r="L171" s="573">
        <v>1620.42</v>
      </c>
      <c r="M171" s="384"/>
      <c r="N171" s="572">
        <v>0</v>
      </c>
      <c r="O171" s="384"/>
      <c r="P171" s="384"/>
      <c r="Q171" s="384"/>
      <c r="R171" s="384"/>
    </row>
    <row r="172" spans="1:18">
      <c r="A172" s="571" t="s">
        <v>1481</v>
      </c>
      <c r="B172" s="384"/>
      <c r="C172" s="571" t="s">
        <v>1036</v>
      </c>
      <c r="D172" s="384"/>
      <c r="E172" s="543" t="s">
        <v>481</v>
      </c>
      <c r="F172" s="579" t="s">
        <v>1482</v>
      </c>
      <c r="G172" s="583">
        <f t="shared" si="4"/>
        <v>5796</v>
      </c>
      <c r="H172" s="572">
        <v>5325</v>
      </c>
      <c r="I172" s="384"/>
      <c r="J172" s="572">
        <v>5325</v>
      </c>
      <c r="K172" s="573">
        <v>0</v>
      </c>
      <c r="L172" s="573">
        <v>5325</v>
      </c>
      <c r="M172" s="384"/>
      <c r="N172" s="572">
        <v>0</v>
      </c>
      <c r="O172" s="384"/>
      <c r="P172" s="384"/>
      <c r="Q172" s="384"/>
      <c r="R172" s="384"/>
    </row>
    <row r="173" spans="1:18">
      <c r="A173" s="571" t="s">
        <v>1483</v>
      </c>
      <c r="B173" s="384"/>
      <c r="C173" s="571" t="s">
        <v>1037</v>
      </c>
      <c r="D173" s="384"/>
      <c r="E173" s="543" t="s">
        <v>481</v>
      </c>
      <c r="F173" s="579" t="s">
        <v>1484</v>
      </c>
      <c r="G173" s="583">
        <f t="shared" si="4"/>
        <v>5768</v>
      </c>
      <c r="H173" s="572">
        <v>502.04</v>
      </c>
      <c r="I173" s="384"/>
      <c r="J173" s="572">
        <v>502.04</v>
      </c>
      <c r="K173" s="573">
        <v>0</v>
      </c>
      <c r="L173" s="573">
        <v>502.04</v>
      </c>
      <c r="M173" s="384"/>
      <c r="N173" s="572">
        <v>0</v>
      </c>
      <c r="O173" s="384"/>
      <c r="P173" s="384"/>
      <c r="Q173" s="384"/>
      <c r="R173" s="384"/>
    </row>
    <row r="174" spans="1:18">
      <c r="A174" s="571" t="s">
        <v>1485</v>
      </c>
      <c r="B174" s="384"/>
      <c r="C174" s="571" t="s">
        <v>1039</v>
      </c>
      <c r="D174" s="384"/>
      <c r="E174" s="543" t="s">
        <v>481</v>
      </c>
      <c r="F174" s="579" t="s">
        <v>1486</v>
      </c>
      <c r="G174" s="583">
        <f t="shared" si="4"/>
        <v>5705</v>
      </c>
      <c r="H174" s="572">
        <v>859.78</v>
      </c>
      <c r="I174" s="384"/>
      <c r="J174" s="572">
        <v>859.78</v>
      </c>
      <c r="K174" s="573">
        <v>0</v>
      </c>
      <c r="L174" s="573">
        <v>859.78</v>
      </c>
      <c r="M174" s="384"/>
      <c r="N174" s="572">
        <v>0</v>
      </c>
      <c r="O174" s="384"/>
      <c r="P174" s="384"/>
      <c r="Q174" s="384"/>
      <c r="R174" s="384"/>
    </row>
    <row r="175" spans="1:18">
      <c r="A175" s="571" t="s">
        <v>1487</v>
      </c>
      <c r="B175" s="384"/>
      <c r="C175" s="571" t="s">
        <v>1041</v>
      </c>
      <c r="D175" s="384"/>
      <c r="E175" s="543" t="s">
        <v>481</v>
      </c>
      <c r="F175" s="579" t="s">
        <v>1354</v>
      </c>
      <c r="G175" s="583">
        <f t="shared" si="4"/>
        <v>5586</v>
      </c>
      <c r="H175" s="572">
        <v>500</v>
      </c>
      <c r="I175" s="384"/>
      <c r="J175" s="572">
        <v>500</v>
      </c>
      <c r="K175" s="573">
        <v>0</v>
      </c>
      <c r="L175" s="573">
        <v>500</v>
      </c>
      <c r="M175" s="384"/>
      <c r="N175" s="572">
        <v>0</v>
      </c>
      <c r="O175" s="384"/>
      <c r="P175" s="384"/>
      <c r="Q175" s="384"/>
      <c r="R175" s="384"/>
    </row>
    <row r="176" spans="1:18">
      <c r="A176" s="571" t="s">
        <v>1488</v>
      </c>
      <c r="B176" s="384"/>
      <c r="C176" s="571" t="s">
        <v>1042</v>
      </c>
      <c r="D176" s="384"/>
      <c r="E176" s="543" t="s">
        <v>481</v>
      </c>
      <c r="F176" s="579" t="s">
        <v>1357</v>
      </c>
      <c r="G176" s="583">
        <f t="shared" si="4"/>
        <v>5523</v>
      </c>
      <c r="H176" s="572">
        <v>1086.3</v>
      </c>
      <c r="I176" s="384"/>
      <c r="J176" s="572">
        <v>1086.3</v>
      </c>
      <c r="K176" s="573">
        <v>0</v>
      </c>
      <c r="L176" s="573">
        <v>1086.3</v>
      </c>
      <c r="M176" s="384"/>
      <c r="N176" s="572">
        <v>0</v>
      </c>
      <c r="O176" s="384"/>
      <c r="P176" s="384"/>
      <c r="Q176" s="384"/>
      <c r="R176" s="384"/>
    </row>
    <row r="177" spans="1:18">
      <c r="A177" s="571" t="s">
        <v>1489</v>
      </c>
      <c r="B177" s="384"/>
      <c r="C177" s="571" t="s">
        <v>1043</v>
      </c>
      <c r="D177" s="384"/>
      <c r="E177" s="543" t="s">
        <v>481</v>
      </c>
      <c r="F177" s="579" t="s">
        <v>1490</v>
      </c>
      <c r="G177" s="583">
        <f t="shared" si="4"/>
        <v>5369</v>
      </c>
      <c r="H177" s="572">
        <v>3149.4</v>
      </c>
      <c r="I177" s="384"/>
      <c r="J177" s="572">
        <v>3149.4</v>
      </c>
      <c r="K177" s="573">
        <v>0</v>
      </c>
      <c r="L177" s="573">
        <v>3149.4</v>
      </c>
      <c r="M177" s="384"/>
      <c r="N177" s="572">
        <v>0</v>
      </c>
      <c r="O177" s="384"/>
      <c r="P177" s="384"/>
      <c r="Q177" s="384"/>
      <c r="R177" s="384"/>
    </row>
    <row r="178" spans="1:18">
      <c r="A178" s="571" t="s">
        <v>1491</v>
      </c>
      <c r="B178" s="384"/>
      <c r="C178" s="571" t="s">
        <v>1045</v>
      </c>
      <c r="D178" s="384"/>
      <c r="E178" s="543" t="s">
        <v>481</v>
      </c>
      <c r="F178" s="579" t="s">
        <v>1492</v>
      </c>
      <c r="G178" s="583">
        <f t="shared" si="4"/>
        <v>4620</v>
      </c>
      <c r="H178" s="572">
        <v>469.67</v>
      </c>
      <c r="I178" s="384"/>
      <c r="J178" s="572">
        <v>469.67</v>
      </c>
      <c r="K178" s="573">
        <v>0</v>
      </c>
      <c r="L178" s="573">
        <v>469.67</v>
      </c>
      <c r="M178" s="384"/>
      <c r="N178" s="572">
        <v>0</v>
      </c>
      <c r="O178" s="384"/>
      <c r="P178" s="384"/>
      <c r="Q178" s="384"/>
      <c r="R178" s="384"/>
    </row>
    <row r="179" spans="1:18">
      <c r="A179" s="571" t="s">
        <v>1493</v>
      </c>
      <c r="B179" s="384"/>
      <c r="C179" s="571" t="s">
        <v>1047</v>
      </c>
      <c r="D179" s="384"/>
      <c r="E179" s="543" t="s">
        <v>481</v>
      </c>
      <c r="F179" s="579" t="s">
        <v>1494</v>
      </c>
      <c r="G179" s="583">
        <f t="shared" si="4"/>
        <v>4431</v>
      </c>
      <c r="H179" s="572">
        <v>522.16999999999996</v>
      </c>
      <c r="I179" s="384"/>
      <c r="J179" s="572">
        <v>522.16999999999996</v>
      </c>
      <c r="K179" s="573">
        <v>0</v>
      </c>
      <c r="L179" s="573">
        <v>522.16999999999996</v>
      </c>
      <c r="M179" s="384"/>
      <c r="N179" s="572">
        <v>0</v>
      </c>
      <c r="O179" s="384"/>
      <c r="P179" s="384"/>
      <c r="Q179" s="384"/>
      <c r="R179" s="384"/>
    </row>
    <row r="180" spans="1:18">
      <c r="A180" s="571" t="s">
        <v>1495</v>
      </c>
      <c r="B180" s="384"/>
      <c r="C180" s="571" t="s">
        <v>1048</v>
      </c>
      <c r="D180" s="384"/>
      <c r="E180" s="543" t="s">
        <v>481</v>
      </c>
      <c r="F180" s="579" t="s">
        <v>1496</v>
      </c>
      <c r="G180" s="583">
        <f t="shared" si="4"/>
        <v>4123</v>
      </c>
      <c r="H180" s="572">
        <v>3897.62</v>
      </c>
      <c r="I180" s="384"/>
      <c r="J180" s="572">
        <v>3897.62</v>
      </c>
      <c r="K180" s="573">
        <v>0</v>
      </c>
      <c r="L180" s="573">
        <v>3897.62</v>
      </c>
      <c r="M180" s="384"/>
      <c r="N180" s="572">
        <v>0</v>
      </c>
      <c r="O180" s="384"/>
      <c r="P180" s="384"/>
      <c r="Q180" s="384"/>
      <c r="R180" s="384"/>
    </row>
    <row r="181" spans="1:18">
      <c r="A181" s="571" t="s">
        <v>1497</v>
      </c>
      <c r="B181" s="384"/>
      <c r="C181" s="571" t="s">
        <v>1051</v>
      </c>
      <c r="D181" s="384"/>
      <c r="E181" s="543" t="s">
        <v>481</v>
      </c>
      <c r="F181" s="579" t="s">
        <v>1498</v>
      </c>
      <c r="G181" s="583">
        <f t="shared" si="4"/>
        <v>3988</v>
      </c>
      <c r="H181" s="572">
        <v>3808.44</v>
      </c>
      <c r="I181" s="384"/>
      <c r="J181" s="572">
        <v>3808.44</v>
      </c>
      <c r="K181" s="573">
        <v>0</v>
      </c>
      <c r="L181" s="573">
        <v>3808.44</v>
      </c>
      <c r="M181" s="384"/>
      <c r="N181" s="572">
        <v>0</v>
      </c>
      <c r="O181" s="384"/>
      <c r="P181" s="384"/>
      <c r="Q181" s="384"/>
      <c r="R181" s="384"/>
    </row>
    <row r="182" spans="1:18">
      <c r="A182" s="571" t="s">
        <v>1499</v>
      </c>
      <c r="B182" s="384"/>
      <c r="C182" s="571" t="s">
        <v>1053</v>
      </c>
      <c r="D182" s="384"/>
      <c r="E182" s="543" t="s">
        <v>481</v>
      </c>
      <c r="F182" s="579" t="s">
        <v>1500</v>
      </c>
      <c r="G182" s="583">
        <f t="shared" si="4"/>
        <v>3577</v>
      </c>
      <c r="H182" s="572">
        <v>1177.98</v>
      </c>
      <c r="I182" s="384"/>
      <c r="J182" s="572">
        <v>1177.98</v>
      </c>
      <c r="K182" s="573">
        <v>0</v>
      </c>
      <c r="L182" s="573">
        <v>1177.98</v>
      </c>
      <c r="M182" s="384"/>
      <c r="N182" s="572">
        <v>0</v>
      </c>
      <c r="O182" s="384"/>
      <c r="P182" s="384"/>
      <c r="Q182" s="384"/>
      <c r="R182" s="384"/>
    </row>
    <row r="183" spans="1:18">
      <c r="A183" s="571" t="s">
        <v>1501</v>
      </c>
      <c r="B183" s="384"/>
      <c r="C183" s="571" t="s">
        <v>1054</v>
      </c>
      <c r="D183" s="384"/>
      <c r="E183" s="543" t="s">
        <v>481</v>
      </c>
      <c r="F183" s="579" t="s">
        <v>1500</v>
      </c>
      <c r="G183" s="583">
        <f t="shared" si="4"/>
        <v>3577</v>
      </c>
      <c r="H183" s="572">
        <v>2012.38</v>
      </c>
      <c r="I183" s="384"/>
      <c r="J183" s="572">
        <v>2012.38</v>
      </c>
      <c r="K183" s="573">
        <v>0</v>
      </c>
      <c r="L183" s="573">
        <v>2012.38</v>
      </c>
      <c r="M183" s="384"/>
      <c r="N183" s="572">
        <v>0</v>
      </c>
      <c r="O183" s="384"/>
      <c r="P183" s="384"/>
      <c r="Q183" s="384"/>
      <c r="R183" s="384"/>
    </row>
    <row r="184" spans="1:18">
      <c r="A184" s="571" t="s">
        <v>1502</v>
      </c>
      <c r="B184" s="384"/>
      <c r="C184" s="571" t="s">
        <v>1055</v>
      </c>
      <c r="D184" s="384"/>
      <c r="E184" s="543" t="s">
        <v>481</v>
      </c>
      <c r="F184" s="579" t="s">
        <v>1503</v>
      </c>
      <c r="G184" s="583">
        <f t="shared" si="4"/>
        <v>3437</v>
      </c>
      <c r="H184" s="572">
        <v>3704.07</v>
      </c>
      <c r="I184" s="384"/>
      <c r="J184" s="572">
        <v>3704.07</v>
      </c>
      <c r="K184" s="573">
        <v>0</v>
      </c>
      <c r="L184" s="573">
        <v>3704.07</v>
      </c>
      <c r="M184" s="384"/>
      <c r="N184" s="572">
        <v>0</v>
      </c>
      <c r="O184" s="384"/>
      <c r="P184" s="384"/>
      <c r="Q184" s="384"/>
      <c r="R184" s="384"/>
    </row>
    <row r="185" spans="1:18">
      <c r="A185" s="571" t="s">
        <v>1504</v>
      </c>
      <c r="B185" s="384"/>
      <c r="C185" s="571" t="s">
        <v>1057</v>
      </c>
      <c r="D185" s="384"/>
      <c r="E185" s="543" t="s">
        <v>481</v>
      </c>
      <c r="F185" s="579" t="s">
        <v>1505</v>
      </c>
      <c r="G185" s="583">
        <f t="shared" si="4"/>
        <v>3213</v>
      </c>
      <c r="H185" s="572">
        <v>30885</v>
      </c>
      <c r="I185" s="384"/>
      <c r="J185" s="572">
        <v>30885</v>
      </c>
      <c r="K185" s="573">
        <v>0</v>
      </c>
      <c r="L185" s="573">
        <v>30885</v>
      </c>
      <c r="M185" s="384"/>
      <c r="N185" s="572">
        <v>0</v>
      </c>
      <c r="O185" s="384"/>
      <c r="P185" s="384"/>
      <c r="Q185" s="384"/>
      <c r="R185" s="384"/>
    </row>
    <row r="186" spans="1:18">
      <c r="A186" s="571" t="s">
        <v>1506</v>
      </c>
      <c r="B186" s="384"/>
      <c r="C186" s="571" t="s">
        <v>1060</v>
      </c>
      <c r="D186" s="384"/>
      <c r="E186" s="543" t="s">
        <v>481</v>
      </c>
      <c r="F186" s="579" t="s">
        <v>1507</v>
      </c>
      <c r="G186" s="583">
        <f t="shared" si="4"/>
        <v>2752</v>
      </c>
      <c r="H186" s="572">
        <v>520.77</v>
      </c>
      <c r="I186" s="384"/>
      <c r="J186" s="572">
        <v>520.77</v>
      </c>
      <c r="K186" s="573">
        <v>0</v>
      </c>
      <c r="L186" s="573">
        <v>520.77</v>
      </c>
      <c r="M186" s="384"/>
      <c r="N186" s="572">
        <v>0</v>
      </c>
      <c r="O186" s="384"/>
      <c r="P186" s="384"/>
      <c r="Q186" s="384"/>
      <c r="R186" s="384"/>
    </row>
    <row r="187" spans="1:18">
      <c r="A187" s="571" t="s">
        <v>1508</v>
      </c>
      <c r="B187" s="384"/>
      <c r="C187" s="571" t="s">
        <v>1062</v>
      </c>
      <c r="D187" s="384"/>
      <c r="E187" s="543" t="s">
        <v>481</v>
      </c>
      <c r="F187" s="579" t="s">
        <v>1509</v>
      </c>
      <c r="G187" s="583">
        <f t="shared" si="4"/>
        <v>2325</v>
      </c>
      <c r="H187" s="572">
        <v>1757.25</v>
      </c>
      <c r="I187" s="384"/>
      <c r="J187" s="572">
        <v>1589.93</v>
      </c>
      <c r="K187" s="573">
        <v>167.32</v>
      </c>
      <c r="L187" s="573">
        <v>1757.25</v>
      </c>
      <c r="M187" s="384"/>
      <c r="N187" s="572">
        <v>0</v>
      </c>
      <c r="O187" s="384"/>
      <c r="P187" s="384"/>
      <c r="Q187" s="384"/>
      <c r="R187" s="384"/>
    </row>
    <row r="188" spans="1:18">
      <c r="A188" s="571" t="s">
        <v>1510</v>
      </c>
      <c r="B188" s="384"/>
      <c r="C188" s="571" t="s">
        <v>1511</v>
      </c>
      <c r="D188" s="384"/>
      <c r="E188" s="543" t="s">
        <v>481</v>
      </c>
      <c r="F188" s="579" t="s">
        <v>1512</v>
      </c>
      <c r="G188" s="583">
        <f t="shared" si="4"/>
        <v>1897</v>
      </c>
      <c r="H188" s="572">
        <v>3310.9</v>
      </c>
      <c r="I188" s="384"/>
      <c r="J188" s="572">
        <v>1710.63</v>
      </c>
      <c r="K188" s="573">
        <v>331.09</v>
      </c>
      <c r="L188" s="573">
        <v>2041.72</v>
      </c>
      <c r="M188" s="384"/>
      <c r="N188" s="572">
        <v>1269.18</v>
      </c>
      <c r="O188" s="384"/>
      <c r="P188" s="384"/>
      <c r="Q188" s="384"/>
      <c r="R188" s="384"/>
    </row>
    <row r="189" spans="1:18">
      <c r="A189" s="571" t="s">
        <v>1513</v>
      </c>
      <c r="B189" s="384"/>
      <c r="C189" s="571" t="s">
        <v>1070</v>
      </c>
      <c r="D189" s="384"/>
      <c r="E189" s="543" t="s">
        <v>481</v>
      </c>
      <c r="F189" s="579" t="s">
        <v>1514</v>
      </c>
      <c r="G189" s="583">
        <f t="shared" si="4"/>
        <v>1723</v>
      </c>
      <c r="H189" s="572">
        <v>3647.63</v>
      </c>
      <c r="I189" s="384"/>
      <c r="J189" s="572">
        <v>1732.61</v>
      </c>
      <c r="K189" s="573">
        <v>364.76</v>
      </c>
      <c r="L189" s="573">
        <v>2097.37</v>
      </c>
      <c r="M189" s="384"/>
      <c r="N189" s="572">
        <v>1550.26</v>
      </c>
      <c r="O189" s="384"/>
      <c r="P189" s="384"/>
      <c r="Q189" s="384"/>
      <c r="R189" s="384"/>
    </row>
    <row r="190" spans="1:18">
      <c r="A190" s="571" t="s">
        <v>1515</v>
      </c>
      <c r="B190" s="384"/>
      <c r="C190" s="571" t="s">
        <v>1516</v>
      </c>
      <c r="D190" s="384"/>
      <c r="E190" s="543" t="s">
        <v>481</v>
      </c>
      <c r="F190" s="579" t="s">
        <v>1396</v>
      </c>
      <c r="G190" s="583">
        <f t="shared" si="4"/>
        <v>1232</v>
      </c>
      <c r="H190" s="572">
        <v>2621.69</v>
      </c>
      <c r="I190" s="384"/>
      <c r="J190" s="572">
        <v>1248.43</v>
      </c>
      <c r="K190" s="573">
        <v>374.53</v>
      </c>
      <c r="L190" s="573">
        <v>1622.96</v>
      </c>
      <c r="M190" s="384"/>
      <c r="N190" s="572">
        <v>998.73</v>
      </c>
      <c r="O190" s="384"/>
      <c r="P190" s="384"/>
      <c r="Q190" s="384"/>
      <c r="R190" s="384"/>
    </row>
    <row r="191" spans="1:18">
      <c r="A191" s="571" t="s">
        <v>1517</v>
      </c>
      <c r="B191" s="384"/>
      <c r="C191" s="571" t="s">
        <v>1518</v>
      </c>
      <c r="D191" s="384"/>
      <c r="E191" s="543" t="s">
        <v>481</v>
      </c>
      <c r="F191" s="579" t="s">
        <v>1519</v>
      </c>
      <c r="G191" s="583">
        <f t="shared" si="4"/>
        <v>1119</v>
      </c>
      <c r="H191" s="572">
        <v>4130.72</v>
      </c>
      <c r="I191" s="384"/>
      <c r="J191" s="572">
        <v>1819.48</v>
      </c>
      <c r="K191" s="573">
        <v>590.1</v>
      </c>
      <c r="L191" s="573">
        <v>2409.58</v>
      </c>
      <c r="M191" s="384"/>
      <c r="N191" s="572">
        <v>1721.14</v>
      </c>
      <c r="O191" s="384"/>
      <c r="P191" s="384"/>
      <c r="Q191" s="384"/>
      <c r="R191" s="384"/>
    </row>
    <row r="192" spans="1:18">
      <c r="A192" s="571" t="s">
        <v>1520</v>
      </c>
      <c r="B192" s="384"/>
      <c r="C192" s="571" t="s">
        <v>1073</v>
      </c>
      <c r="D192" s="384"/>
      <c r="E192" s="543" t="s">
        <v>481</v>
      </c>
      <c r="F192" s="579" t="s">
        <v>1521</v>
      </c>
      <c r="G192" s="583">
        <f t="shared" si="4"/>
        <v>1030</v>
      </c>
      <c r="H192" s="572">
        <v>1537.93</v>
      </c>
      <c r="I192" s="384"/>
      <c r="J192" s="572">
        <v>622.5</v>
      </c>
      <c r="K192" s="573">
        <v>219.7</v>
      </c>
      <c r="L192" s="573">
        <v>842.2</v>
      </c>
      <c r="M192" s="384"/>
      <c r="N192" s="572">
        <v>695.73</v>
      </c>
      <c r="O192" s="384"/>
      <c r="P192" s="384"/>
      <c r="Q192" s="384"/>
      <c r="R192" s="384"/>
    </row>
    <row r="193" spans="1:18">
      <c r="A193" s="571" t="s">
        <v>1522</v>
      </c>
      <c r="B193" s="384"/>
      <c r="C193" s="571" t="s">
        <v>998</v>
      </c>
      <c r="D193" s="384"/>
      <c r="E193" s="543" t="s">
        <v>478</v>
      </c>
      <c r="F193" s="579" t="s">
        <v>1311</v>
      </c>
      <c r="G193" s="583">
        <f t="shared" si="4"/>
        <v>10047</v>
      </c>
      <c r="H193" s="572">
        <v>2437.4699999999998</v>
      </c>
      <c r="I193" s="384"/>
      <c r="J193" s="572">
        <v>2437.4699999999998</v>
      </c>
      <c r="K193" s="573">
        <v>0</v>
      </c>
      <c r="L193" s="573">
        <v>2437.4699999999998</v>
      </c>
      <c r="M193" s="384"/>
      <c r="N193" s="572">
        <v>0</v>
      </c>
      <c r="O193" s="384"/>
      <c r="P193" s="384"/>
      <c r="Q193" s="384"/>
      <c r="R193" s="384"/>
    </row>
    <row r="194" spans="1:18">
      <c r="A194" s="571" t="s">
        <v>1523</v>
      </c>
      <c r="B194" s="384"/>
      <c r="C194" s="571" t="s">
        <v>998</v>
      </c>
      <c r="D194" s="384"/>
      <c r="E194" s="543" t="s">
        <v>478</v>
      </c>
      <c r="F194" s="579" t="s">
        <v>1315</v>
      </c>
      <c r="G194" s="583">
        <f t="shared" si="4"/>
        <v>9682</v>
      </c>
      <c r="H194" s="572">
        <v>1944.99</v>
      </c>
      <c r="I194" s="384"/>
      <c r="J194" s="572">
        <v>1944.99</v>
      </c>
      <c r="K194" s="573">
        <v>0</v>
      </c>
      <c r="L194" s="573">
        <v>1944.99</v>
      </c>
      <c r="M194" s="384"/>
      <c r="N194" s="572">
        <v>0</v>
      </c>
      <c r="O194" s="384"/>
      <c r="P194" s="384"/>
      <c r="Q194" s="384"/>
      <c r="R194" s="384"/>
    </row>
    <row r="195" spans="1:18">
      <c r="A195" s="571" t="s">
        <v>1524</v>
      </c>
      <c r="B195" s="384"/>
      <c r="C195" s="571" t="s">
        <v>998</v>
      </c>
      <c r="D195" s="384"/>
      <c r="E195" s="543" t="s">
        <v>478</v>
      </c>
      <c r="F195" s="579" t="s">
        <v>1320</v>
      </c>
      <c r="G195" s="583">
        <f t="shared" si="4"/>
        <v>9316</v>
      </c>
      <c r="H195" s="572">
        <v>2094.1799999999998</v>
      </c>
      <c r="I195" s="384"/>
      <c r="J195" s="572">
        <v>2094.1799999999998</v>
      </c>
      <c r="K195" s="573">
        <v>0</v>
      </c>
      <c r="L195" s="573">
        <v>2094.1799999999998</v>
      </c>
      <c r="M195" s="384"/>
      <c r="N195" s="572">
        <v>0</v>
      </c>
      <c r="O195" s="384"/>
      <c r="P195" s="384"/>
      <c r="Q195" s="384"/>
      <c r="R195" s="384"/>
    </row>
    <row r="196" spans="1:18">
      <c r="A196" s="571" t="s">
        <v>1525</v>
      </c>
      <c r="B196" s="384"/>
      <c r="C196" s="571" t="s">
        <v>998</v>
      </c>
      <c r="D196" s="384"/>
      <c r="E196" s="543" t="s">
        <v>478</v>
      </c>
      <c r="F196" s="579" t="s">
        <v>1323</v>
      </c>
      <c r="G196" s="583">
        <f t="shared" si="4"/>
        <v>8951</v>
      </c>
      <c r="H196" s="572">
        <v>4006.41</v>
      </c>
      <c r="I196" s="384"/>
      <c r="J196" s="572">
        <v>4006.41</v>
      </c>
      <c r="K196" s="573">
        <v>0</v>
      </c>
      <c r="L196" s="573">
        <v>4006.41</v>
      </c>
      <c r="M196" s="384"/>
      <c r="N196" s="572">
        <v>0</v>
      </c>
      <c r="O196" s="384"/>
      <c r="P196" s="384"/>
      <c r="Q196" s="384"/>
      <c r="R196" s="384"/>
    </row>
    <row r="197" spans="1:18">
      <c r="A197" s="571" t="s">
        <v>1526</v>
      </c>
      <c r="B197" s="384"/>
      <c r="C197" s="571" t="s">
        <v>998</v>
      </c>
      <c r="D197" s="384"/>
      <c r="E197" s="543" t="s">
        <v>478</v>
      </c>
      <c r="F197" s="579" t="s">
        <v>1325</v>
      </c>
      <c r="G197" s="583">
        <f t="shared" si="4"/>
        <v>8586</v>
      </c>
      <c r="H197" s="572">
        <v>5525.66</v>
      </c>
      <c r="I197" s="384"/>
      <c r="J197" s="572">
        <v>5525.66</v>
      </c>
      <c r="K197" s="573">
        <v>0</v>
      </c>
      <c r="L197" s="573">
        <v>5525.66</v>
      </c>
      <c r="M197" s="384"/>
      <c r="N197" s="572">
        <v>0</v>
      </c>
      <c r="O197" s="384"/>
      <c r="P197" s="384"/>
      <c r="Q197" s="384"/>
      <c r="R197" s="384"/>
    </row>
    <row r="198" spans="1:18">
      <c r="A198" s="571" t="s">
        <v>1527</v>
      </c>
      <c r="B198" s="384"/>
      <c r="C198" s="571" t="s">
        <v>1008</v>
      </c>
      <c r="D198" s="384"/>
      <c r="E198" s="543" t="s">
        <v>478</v>
      </c>
      <c r="F198" s="579" t="s">
        <v>1528</v>
      </c>
      <c r="G198" s="583">
        <f t="shared" si="4"/>
        <v>8351</v>
      </c>
      <c r="H198" s="572">
        <v>457.89</v>
      </c>
      <c r="I198" s="384"/>
      <c r="J198" s="572">
        <v>457.89</v>
      </c>
      <c r="K198" s="573">
        <v>0</v>
      </c>
      <c r="L198" s="573">
        <v>457.89</v>
      </c>
      <c r="M198" s="384"/>
      <c r="N198" s="572">
        <v>0</v>
      </c>
      <c r="O198" s="384"/>
      <c r="P198" s="384"/>
      <c r="Q198" s="384"/>
      <c r="R198" s="384"/>
    </row>
    <row r="199" spans="1:18">
      <c r="A199" s="571" t="s">
        <v>1529</v>
      </c>
      <c r="B199" s="384"/>
      <c r="C199" s="571" t="s">
        <v>1010</v>
      </c>
      <c r="D199" s="384"/>
      <c r="E199" s="543" t="s">
        <v>478</v>
      </c>
      <c r="F199" s="579" t="s">
        <v>1530</v>
      </c>
      <c r="G199" s="583">
        <f t="shared" si="4"/>
        <v>8295</v>
      </c>
      <c r="H199" s="572">
        <v>2990.4</v>
      </c>
      <c r="I199" s="384"/>
      <c r="J199" s="572">
        <v>2990.4</v>
      </c>
      <c r="K199" s="573">
        <v>0</v>
      </c>
      <c r="L199" s="573">
        <v>2990.4</v>
      </c>
      <c r="M199" s="384"/>
      <c r="N199" s="572">
        <v>0</v>
      </c>
      <c r="O199" s="384"/>
      <c r="P199" s="384"/>
      <c r="Q199" s="384"/>
      <c r="R199" s="384"/>
    </row>
    <row r="200" spans="1:18">
      <c r="A200" s="571" t="s">
        <v>1531</v>
      </c>
      <c r="B200" s="384"/>
      <c r="C200" s="571" t="s">
        <v>1011</v>
      </c>
      <c r="D200" s="384"/>
      <c r="E200" s="543" t="s">
        <v>478</v>
      </c>
      <c r="F200" s="579" t="s">
        <v>1532</v>
      </c>
      <c r="G200" s="583">
        <f t="shared" si="4"/>
        <v>8169</v>
      </c>
      <c r="H200" s="572">
        <v>1233</v>
      </c>
      <c r="I200" s="384"/>
      <c r="J200" s="572">
        <v>1233</v>
      </c>
      <c r="K200" s="573">
        <v>0</v>
      </c>
      <c r="L200" s="573">
        <v>1233</v>
      </c>
      <c r="M200" s="384"/>
      <c r="N200" s="572">
        <v>0</v>
      </c>
      <c r="O200" s="384"/>
      <c r="P200" s="384"/>
      <c r="Q200" s="384"/>
      <c r="R200" s="384"/>
    </row>
    <row r="201" spans="1:18">
      <c r="A201" s="571" t="s">
        <v>1533</v>
      </c>
      <c r="B201" s="384"/>
      <c r="C201" s="571" t="s">
        <v>1016</v>
      </c>
      <c r="D201" s="384"/>
      <c r="E201" s="543" t="s">
        <v>478</v>
      </c>
      <c r="F201" s="579" t="s">
        <v>1534</v>
      </c>
      <c r="G201" s="583">
        <f t="shared" si="4"/>
        <v>8050</v>
      </c>
      <c r="H201" s="572">
        <v>942</v>
      </c>
      <c r="I201" s="384"/>
      <c r="J201" s="572">
        <v>942</v>
      </c>
      <c r="K201" s="573">
        <v>0</v>
      </c>
      <c r="L201" s="573">
        <v>942</v>
      </c>
      <c r="M201" s="384"/>
      <c r="N201" s="572">
        <v>0</v>
      </c>
      <c r="O201" s="384"/>
      <c r="P201" s="384"/>
      <c r="Q201" s="384"/>
      <c r="R201" s="384"/>
    </row>
    <row r="202" spans="1:18">
      <c r="A202" s="571" t="s">
        <v>1535</v>
      </c>
      <c r="B202" s="384"/>
      <c r="C202" s="571" t="s">
        <v>998</v>
      </c>
      <c r="D202" s="384"/>
      <c r="E202" s="543" t="s">
        <v>478</v>
      </c>
      <c r="F202" s="579" t="s">
        <v>1536</v>
      </c>
      <c r="G202" s="583">
        <f t="shared" si="4"/>
        <v>7855</v>
      </c>
      <c r="H202" s="572">
        <v>6089</v>
      </c>
      <c r="I202" s="384"/>
      <c r="J202" s="572">
        <v>6089</v>
      </c>
      <c r="K202" s="573">
        <v>0</v>
      </c>
      <c r="L202" s="573">
        <v>6089</v>
      </c>
      <c r="M202" s="384"/>
      <c r="N202" s="572">
        <v>0</v>
      </c>
      <c r="O202" s="384"/>
      <c r="P202" s="384"/>
      <c r="Q202" s="384"/>
      <c r="R202" s="384"/>
    </row>
    <row r="203" spans="1:18">
      <c r="A203" s="571" t="s">
        <v>1537</v>
      </c>
      <c r="B203" s="384"/>
      <c r="C203" s="571" t="s">
        <v>998</v>
      </c>
      <c r="D203" s="384"/>
      <c r="E203" s="543" t="s">
        <v>478</v>
      </c>
      <c r="F203" s="579" t="s">
        <v>1538</v>
      </c>
      <c r="G203" s="583">
        <f t="shared" si="4"/>
        <v>7532</v>
      </c>
      <c r="H203" s="572">
        <v>8984.42</v>
      </c>
      <c r="I203" s="384"/>
      <c r="J203" s="572">
        <v>8984.42</v>
      </c>
      <c r="K203" s="573">
        <v>0</v>
      </c>
      <c r="L203" s="573">
        <v>8984.42</v>
      </c>
      <c r="M203" s="384"/>
      <c r="N203" s="572">
        <v>0</v>
      </c>
      <c r="O203" s="384"/>
      <c r="P203" s="384"/>
      <c r="Q203" s="384"/>
      <c r="R203" s="384"/>
    </row>
    <row r="204" spans="1:18">
      <c r="A204" s="571" t="s">
        <v>1539</v>
      </c>
      <c r="B204" s="384"/>
      <c r="C204" s="571" t="s">
        <v>998</v>
      </c>
      <c r="D204" s="384"/>
      <c r="E204" s="543" t="s">
        <v>478</v>
      </c>
      <c r="F204" s="579" t="s">
        <v>1540</v>
      </c>
      <c r="G204" s="583">
        <f t="shared" si="4"/>
        <v>7033</v>
      </c>
      <c r="H204" s="572">
        <v>8492.76</v>
      </c>
      <c r="I204" s="384"/>
      <c r="J204" s="572">
        <v>8492.76</v>
      </c>
      <c r="K204" s="573">
        <v>0</v>
      </c>
      <c r="L204" s="573">
        <v>8492.76</v>
      </c>
      <c r="M204" s="384"/>
      <c r="N204" s="572">
        <v>0</v>
      </c>
      <c r="O204" s="384"/>
      <c r="P204" s="384"/>
      <c r="Q204" s="384"/>
      <c r="R204" s="384"/>
    </row>
    <row r="205" spans="1:18">
      <c r="A205" s="571" t="s">
        <v>1541</v>
      </c>
      <c r="B205" s="384"/>
      <c r="C205" s="571" t="s">
        <v>998</v>
      </c>
      <c r="D205" s="384"/>
      <c r="E205" s="543" t="s">
        <v>478</v>
      </c>
      <c r="F205" s="579" t="s">
        <v>1343</v>
      </c>
      <c r="G205" s="583">
        <f t="shared" si="4"/>
        <v>6760</v>
      </c>
      <c r="H205" s="572">
        <v>16732.650000000001</v>
      </c>
      <c r="I205" s="384"/>
      <c r="J205" s="572">
        <v>16732.650000000001</v>
      </c>
      <c r="K205" s="573">
        <v>0</v>
      </c>
      <c r="L205" s="573">
        <v>16732.650000000001</v>
      </c>
      <c r="M205" s="384"/>
      <c r="N205" s="572">
        <v>0</v>
      </c>
      <c r="O205" s="384"/>
      <c r="P205" s="384"/>
      <c r="Q205" s="384"/>
      <c r="R205" s="384"/>
    </row>
    <row r="206" spans="1:18">
      <c r="A206" s="571" t="s">
        <v>1542</v>
      </c>
      <c r="B206" s="384"/>
      <c r="C206" s="571" t="s">
        <v>998</v>
      </c>
      <c r="D206" s="384"/>
      <c r="E206" s="543" t="s">
        <v>478</v>
      </c>
      <c r="F206" s="579" t="s">
        <v>1347</v>
      </c>
      <c r="G206" s="583">
        <f t="shared" si="4"/>
        <v>6394</v>
      </c>
      <c r="H206" s="572">
        <v>8891.18</v>
      </c>
      <c r="I206" s="384"/>
      <c r="J206" s="572">
        <v>7853.89</v>
      </c>
      <c r="K206" s="573">
        <v>444.56</v>
      </c>
      <c r="L206" s="573">
        <v>8298.4500000000007</v>
      </c>
      <c r="M206" s="384"/>
      <c r="N206" s="572">
        <v>592.73</v>
      </c>
      <c r="O206" s="536">
        <v>-74.099999999999994</v>
      </c>
      <c r="P206" s="538">
        <f>-O206</f>
        <v>74.099999999999994</v>
      </c>
      <c r="Q206" s="384"/>
      <c r="R206" s="384"/>
    </row>
    <row r="207" spans="1:18">
      <c r="A207" s="571" t="s">
        <v>1543</v>
      </c>
      <c r="B207" s="384"/>
      <c r="C207" s="571" t="s">
        <v>998</v>
      </c>
      <c r="D207" s="384"/>
      <c r="E207" s="543" t="s">
        <v>478</v>
      </c>
      <c r="F207" s="579" t="s">
        <v>1349</v>
      </c>
      <c r="G207" s="583">
        <f t="shared" si="4"/>
        <v>6029</v>
      </c>
      <c r="H207" s="572">
        <v>7212.07</v>
      </c>
      <c r="I207" s="384"/>
      <c r="J207" s="572">
        <v>5949.9</v>
      </c>
      <c r="K207" s="573">
        <v>360.6</v>
      </c>
      <c r="L207" s="573">
        <v>6310.5</v>
      </c>
      <c r="M207" s="384"/>
      <c r="N207" s="572">
        <v>901.57</v>
      </c>
      <c r="O207" s="384"/>
      <c r="P207" s="384"/>
      <c r="Q207" s="384"/>
      <c r="R207" s="384"/>
    </row>
    <row r="208" spans="1:18">
      <c r="A208" s="571" t="s">
        <v>1544</v>
      </c>
      <c r="B208" s="384"/>
      <c r="C208" s="571" t="s">
        <v>998</v>
      </c>
      <c r="D208" s="384"/>
      <c r="E208" s="543" t="s">
        <v>478</v>
      </c>
      <c r="F208" s="579" t="s">
        <v>1238</v>
      </c>
      <c r="G208" s="583">
        <f t="shared" si="4"/>
        <v>5733</v>
      </c>
      <c r="H208" s="572">
        <v>7394.66</v>
      </c>
      <c r="I208" s="384"/>
      <c r="J208" s="572">
        <v>5792.44</v>
      </c>
      <c r="K208" s="573">
        <v>369.73</v>
      </c>
      <c r="L208" s="573">
        <v>6162.17</v>
      </c>
      <c r="M208" s="384"/>
      <c r="N208" s="572">
        <v>1232.49</v>
      </c>
      <c r="O208" s="384"/>
      <c r="P208" s="384"/>
      <c r="Q208" s="384"/>
      <c r="R208" s="384"/>
    </row>
    <row r="209" spans="1:18">
      <c r="A209" s="571" t="s">
        <v>1545</v>
      </c>
      <c r="B209" s="384"/>
      <c r="C209" s="571" t="s">
        <v>998</v>
      </c>
      <c r="D209" s="384"/>
      <c r="E209" s="543" t="s">
        <v>478</v>
      </c>
      <c r="F209" s="579" t="s">
        <v>1365</v>
      </c>
      <c r="G209" s="583">
        <f t="shared" si="4"/>
        <v>5299</v>
      </c>
      <c r="H209" s="572">
        <v>6791.09</v>
      </c>
      <c r="I209" s="384"/>
      <c r="J209" s="572">
        <v>6791.09</v>
      </c>
      <c r="K209" s="573">
        <v>0</v>
      </c>
      <c r="L209" s="573">
        <v>6791.09</v>
      </c>
      <c r="M209" s="384"/>
      <c r="N209" s="572">
        <v>0</v>
      </c>
      <c r="O209" s="384"/>
      <c r="P209" s="384"/>
      <c r="Q209" s="384"/>
      <c r="R209" s="384"/>
    </row>
    <row r="210" spans="1:18">
      <c r="A210" s="571" t="s">
        <v>1546</v>
      </c>
      <c r="B210" s="384"/>
      <c r="C210" s="571" t="s">
        <v>998</v>
      </c>
      <c r="D210" s="384"/>
      <c r="E210" s="543" t="s">
        <v>478</v>
      </c>
      <c r="F210" s="579" t="s">
        <v>1367</v>
      </c>
      <c r="G210" s="583">
        <f t="shared" si="4"/>
        <v>4933</v>
      </c>
      <c r="H210" s="572">
        <v>7539.6</v>
      </c>
      <c r="I210" s="384"/>
      <c r="J210" s="572">
        <v>5089.2299999999996</v>
      </c>
      <c r="K210" s="573">
        <v>376.98</v>
      </c>
      <c r="L210" s="573">
        <v>5466.21</v>
      </c>
      <c r="M210" s="384"/>
      <c r="N210" s="572">
        <v>2073.39</v>
      </c>
      <c r="O210" s="384"/>
      <c r="P210" s="384"/>
      <c r="Q210" s="384"/>
      <c r="R210" s="384"/>
    </row>
    <row r="211" spans="1:18">
      <c r="A211" s="571" t="s">
        <v>1547</v>
      </c>
      <c r="B211" s="384"/>
      <c r="C211" s="571" t="s">
        <v>998</v>
      </c>
      <c r="D211" s="384"/>
      <c r="E211" s="543" t="s">
        <v>478</v>
      </c>
      <c r="F211" s="579" t="s">
        <v>1272</v>
      </c>
      <c r="G211" s="583">
        <f t="shared" ref="G211:G247" si="5">G$9-F211</f>
        <v>4568</v>
      </c>
      <c r="H211" s="572">
        <v>5238.74</v>
      </c>
      <c r="I211" s="384"/>
      <c r="J211" s="572">
        <v>5238.74</v>
      </c>
      <c r="K211" s="573">
        <v>0</v>
      </c>
      <c r="L211" s="573">
        <v>5238.74</v>
      </c>
      <c r="M211" s="384"/>
      <c r="N211" s="572">
        <v>0</v>
      </c>
      <c r="O211" s="384"/>
      <c r="P211" s="384"/>
      <c r="Q211" s="384"/>
      <c r="R211" s="384"/>
    </row>
    <row r="212" spans="1:18">
      <c r="A212" s="571" t="s">
        <v>1548</v>
      </c>
      <c r="B212" s="384"/>
      <c r="C212" s="571" t="s">
        <v>1049</v>
      </c>
      <c r="D212" s="384"/>
      <c r="E212" s="543" t="s">
        <v>478</v>
      </c>
      <c r="F212" s="579" t="s">
        <v>1549</v>
      </c>
      <c r="G212" s="583">
        <f t="shared" si="5"/>
        <v>4095</v>
      </c>
      <c r="H212" s="572">
        <v>7894.85</v>
      </c>
      <c r="I212" s="384"/>
      <c r="J212" s="572">
        <v>4407.93</v>
      </c>
      <c r="K212" s="573">
        <v>394.74</v>
      </c>
      <c r="L212" s="573">
        <v>4802.67</v>
      </c>
      <c r="M212" s="384"/>
      <c r="N212" s="572">
        <v>3092.18</v>
      </c>
      <c r="O212" s="384"/>
      <c r="P212" s="384"/>
      <c r="Q212" s="384"/>
      <c r="R212" s="384"/>
    </row>
    <row r="213" spans="1:18">
      <c r="A213" s="571" t="s">
        <v>1550</v>
      </c>
      <c r="B213" s="384"/>
      <c r="C213" s="571" t="s">
        <v>1052</v>
      </c>
      <c r="D213" s="384"/>
      <c r="E213" s="543" t="s">
        <v>478</v>
      </c>
      <c r="F213" s="579" t="s">
        <v>1551</v>
      </c>
      <c r="G213" s="583">
        <f t="shared" si="5"/>
        <v>3850</v>
      </c>
      <c r="H213" s="572">
        <v>5235.51</v>
      </c>
      <c r="I213" s="384"/>
      <c r="J213" s="572">
        <v>4581.05</v>
      </c>
      <c r="K213" s="573">
        <v>436.29</v>
      </c>
      <c r="L213" s="573">
        <v>5017.34</v>
      </c>
      <c r="M213" s="384"/>
      <c r="N213" s="572">
        <v>218.17</v>
      </c>
      <c r="O213" s="384"/>
      <c r="P213" s="384"/>
      <c r="Q213" s="384"/>
      <c r="R213" s="384"/>
    </row>
    <row r="214" spans="1:18">
      <c r="A214" s="571" t="s">
        <v>1552</v>
      </c>
      <c r="B214" s="384"/>
      <c r="C214" s="571" t="s">
        <v>1056</v>
      </c>
      <c r="D214" s="384"/>
      <c r="E214" s="543" t="s">
        <v>478</v>
      </c>
      <c r="F214" s="579" t="s">
        <v>1212</v>
      </c>
      <c r="G214" s="583">
        <f t="shared" si="5"/>
        <v>3361</v>
      </c>
      <c r="H214" s="572">
        <v>462.34</v>
      </c>
      <c r="I214" s="384"/>
      <c r="J214" s="572">
        <v>462.34</v>
      </c>
      <c r="K214" s="573">
        <v>0</v>
      </c>
      <c r="L214" s="573">
        <v>462.34</v>
      </c>
      <c r="M214" s="384"/>
      <c r="N214" s="572">
        <v>0</v>
      </c>
      <c r="O214" s="384"/>
      <c r="P214" s="384"/>
      <c r="Q214" s="384"/>
      <c r="R214" s="384"/>
    </row>
    <row r="215" spans="1:18">
      <c r="A215" s="571" t="s">
        <v>1553</v>
      </c>
      <c r="B215" s="384"/>
      <c r="C215" s="571" t="s">
        <v>1058</v>
      </c>
      <c r="D215" s="384"/>
      <c r="E215" s="543" t="s">
        <v>478</v>
      </c>
      <c r="F215" s="579" t="s">
        <v>1554</v>
      </c>
      <c r="G215" s="583">
        <f t="shared" si="5"/>
        <v>2904</v>
      </c>
      <c r="H215" s="572">
        <v>2641.2</v>
      </c>
      <c r="I215" s="384"/>
      <c r="J215" s="572">
        <v>2641.2</v>
      </c>
      <c r="K215" s="573">
        <v>0</v>
      </c>
      <c r="L215" s="573">
        <v>2641.2</v>
      </c>
      <c r="M215" s="384"/>
      <c r="N215" s="572">
        <v>0</v>
      </c>
      <c r="O215" s="384"/>
      <c r="P215" s="384"/>
      <c r="Q215" s="384"/>
      <c r="R215" s="384"/>
    </row>
    <row r="216" spans="1:18">
      <c r="A216" s="571" t="s">
        <v>1555</v>
      </c>
      <c r="B216" s="384"/>
      <c r="C216" s="571" t="s">
        <v>1059</v>
      </c>
      <c r="D216" s="384"/>
      <c r="E216" s="543" t="s">
        <v>478</v>
      </c>
      <c r="F216" s="579" t="s">
        <v>1556</v>
      </c>
      <c r="G216" s="583">
        <f t="shared" si="5"/>
        <v>2870</v>
      </c>
      <c r="H216" s="572">
        <v>886.52</v>
      </c>
      <c r="I216" s="384"/>
      <c r="J216" s="572">
        <v>886.52</v>
      </c>
      <c r="K216" s="573">
        <v>0</v>
      </c>
      <c r="L216" s="573">
        <v>886.52</v>
      </c>
      <c r="M216" s="384"/>
      <c r="N216" s="572">
        <v>0</v>
      </c>
      <c r="O216" s="384"/>
      <c r="P216" s="384"/>
      <c r="Q216" s="384"/>
      <c r="R216" s="384"/>
    </row>
    <row r="217" spans="1:18">
      <c r="A217" s="571" t="s">
        <v>1557</v>
      </c>
      <c r="B217" s="384"/>
      <c r="C217" s="571" t="s">
        <v>998</v>
      </c>
      <c r="D217" s="384"/>
      <c r="E217" s="543" t="s">
        <v>478</v>
      </c>
      <c r="F217" s="579" t="s">
        <v>1558</v>
      </c>
      <c r="G217" s="583">
        <f t="shared" si="5"/>
        <v>2667</v>
      </c>
      <c r="H217" s="572">
        <v>462.34</v>
      </c>
      <c r="I217" s="384"/>
      <c r="J217" s="572">
        <v>462.34</v>
      </c>
      <c r="K217" s="573">
        <v>0</v>
      </c>
      <c r="L217" s="573">
        <v>462.34</v>
      </c>
      <c r="M217" s="384"/>
      <c r="N217" s="572">
        <v>0</v>
      </c>
      <c r="O217" s="384"/>
      <c r="P217" s="384"/>
      <c r="Q217" s="384"/>
      <c r="R217" s="384"/>
    </row>
    <row r="218" spans="1:18">
      <c r="A218" s="571" t="s">
        <v>1559</v>
      </c>
      <c r="B218" s="384"/>
      <c r="C218" s="571" t="s">
        <v>1064</v>
      </c>
      <c r="D218" s="384"/>
      <c r="E218" s="543" t="s">
        <v>478</v>
      </c>
      <c r="F218" s="579" t="s">
        <v>1560</v>
      </c>
      <c r="G218" s="583">
        <f t="shared" si="5"/>
        <v>2196</v>
      </c>
      <c r="H218" s="572">
        <v>250.28</v>
      </c>
      <c r="I218" s="384"/>
      <c r="J218" s="572">
        <v>214.55</v>
      </c>
      <c r="K218" s="573">
        <v>35.729999999999997</v>
      </c>
      <c r="L218" s="573">
        <v>250.28</v>
      </c>
      <c r="M218" s="384"/>
      <c r="N218" s="572">
        <v>0</v>
      </c>
      <c r="O218" s="384"/>
      <c r="P218" s="384"/>
      <c r="Q218" s="384"/>
      <c r="R218" s="384"/>
    </row>
    <row r="219" spans="1:18">
      <c r="A219" s="571" t="s">
        <v>1561</v>
      </c>
      <c r="B219" s="384"/>
      <c r="C219" s="571" t="s">
        <v>1061</v>
      </c>
      <c r="D219" s="384"/>
      <c r="E219" s="543" t="s">
        <v>478</v>
      </c>
      <c r="F219" s="579" t="s">
        <v>1562</v>
      </c>
      <c r="G219" s="583">
        <f t="shared" si="5"/>
        <v>2485</v>
      </c>
      <c r="H219" s="572">
        <v>7091.13</v>
      </c>
      <c r="I219" s="384"/>
      <c r="J219" s="572">
        <v>6922.3</v>
      </c>
      <c r="K219" s="573">
        <v>168.83</v>
      </c>
      <c r="L219" s="573">
        <v>7091.13</v>
      </c>
      <c r="M219" s="384"/>
      <c r="N219" s="572">
        <v>0</v>
      </c>
      <c r="O219" s="384"/>
      <c r="P219" s="384"/>
      <c r="Q219" s="384"/>
      <c r="R219" s="384"/>
    </row>
    <row r="220" spans="1:18">
      <c r="A220" s="571" t="s">
        <v>1563</v>
      </c>
      <c r="B220" s="384"/>
      <c r="C220" s="571" t="s">
        <v>1063</v>
      </c>
      <c r="D220" s="384"/>
      <c r="E220" s="543" t="s">
        <v>478</v>
      </c>
      <c r="F220" s="579" t="s">
        <v>1564</v>
      </c>
      <c r="G220" s="583">
        <f t="shared" si="5"/>
        <v>2303</v>
      </c>
      <c r="H220" s="572">
        <v>3169.44</v>
      </c>
      <c r="I220" s="384"/>
      <c r="J220" s="572">
        <v>2867.61</v>
      </c>
      <c r="K220" s="573">
        <v>301.83</v>
      </c>
      <c r="L220" s="573">
        <v>3169.44</v>
      </c>
      <c r="M220" s="384"/>
      <c r="N220" s="572">
        <v>0</v>
      </c>
      <c r="O220" s="384"/>
      <c r="P220" s="384"/>
      <c r="Q220" s="384"/>
      <c r="R220" s="384"/>
    </row>
    <row r="221" spans="1:18">
      <c r="A221" s="571" t="s">
        <v>1565</v>
      </c>
      <c r="B221" s="384"/>
      <c r="C221" s="571" t="s">
        <v>1064</v>
      </c>
      <c r="D221" s="384"/>
      <c r="E221" s="543" t="s">
        <v>478</v>
      </c>
      <c r="F221" s="579" t="s">
        <v>1566</v>
      </c>
      <c r="G221" s="583">
        <f t="shared" si="5"/>
        <v>2197</v>
      </c>
      <c r="H221" s="572">
        <v>365.92</v>
      </c>
      <c r="I221" s="384"/>
      <c r="J221" s="572">
        <v>313.67</v>
      </c>
      <c r="K221" s="573">
        <v>52.25</v>
      </c>
      <c r="L221" s="573">
        <v>365.92</v>
      </c>
      <c r="M221" s="384"/>
      <c r="N221" s="572">
        <v>0</v>
      </c>
      <c r="O221" s="384"/>
      <c r="P221" s="384"/>
      <c r="Q221" s="384"/>
      <c r="R221" s="384"/>
    </row>
    <row r="222" spans="1:18">
      <c r="A222" s="571" t="s">
        <v>1567</v>
      </c>
      <c r="B222" s="384"/>
      <c r="C222" s="571" t="s">
        <v>1065</v>
      </c>
      <c r="D222" s="384"/>
      <c r="E222" s="543" t="s">
        <v>478</v>
      </c>
      <c r="F222" s="579" t="s">
        <v>1568</v>
      </c>
      <c r="G222" s="583">
        <f t="shared" si="5"/>
        <v>2086</v>
      </c>
      <c r="H222" s="572">
        <v>3593.35</v>
      </c>
      <c r="I222" s="384"/>
      <c r="J222" s="572">
        <v>2036.26</v>
      </c>
      <c r="K222" s="573">
        <v>359.34</v>
      </c>
      <c r="L222" s="573">
        <v>2395.6</v>
      </c>
      <c r="M222" s="384"/>
      <c r="N222" s="572">
        <v>1197.75</v>
      </c>
      <c r="O222" s="384"/>
      <c r="P222" s="384"/>
      <c r="Q222" s="384"/>
      <c r="R222" s="384"/>
    </row>
    <row r="223" spans="1:18">
      <c r="A223" s="571" t="s">
        <v>1569</v>
      </c>
      <c r="B223" s="384"/>
      <c r="C223" s="571" t="s">
        <v>1066</v>
      </c>
      <c r="D223" s="384"/>
      <c r="E223" s="543" t="s">
        <v>478</v>
      </c>
      <c r="F223" s="579" t="s">
        <v>1568</v>
      </c>
      <c r="G223" s="583">
        <f t="shared" si="5"/>
        <v>2086</v>
      </c>
      <c r="H223" s="572">
        <v>2542.0700000000002</v>
      </c>
      <c r="I223" s="384"/>
      <c r="J223" s="572">
        <v>1440.52</v>
      </c>
      <c r="K223" s="573">
        <v>254.21</v>
      </c>
      <c r="L223" s="573">
        <v>1694.73</v>
      </c>
      <c r="M223" s="384"/>
      <c r="N223" s="572">
        <v>847.34</v>
      </c>
      <c r="O223" s="384"/>
      <c r="P223" s="384"/>
      <c r="Q223" s="384"/>
      <c r="R223" s="384"/>
    </row>
    <row r="224" spans="1:18">
      <c r="A224" s="571" t="s">
        <v>1570</v>
      </c>
      <c r="B224" s="384"/>
      <c r="C224" s="571" t="s">
        <v>1068</v>
      </c>
      <c r="D224" s="384"/>
      <c r="E224" s="543" t="s">
        <v>478</v>
      </c>
      <c r="F224" s="579" t="s">
        <v>1571</v>
      </c>
      <c r="G224" s="583">
        <f t="shared" si="5"/>
        <v>2025</v>
      </c>
      <c r="H224" s="572">
        <v>3961.8</v>
      </c>
      <c r="I224" s="384"/>
      <c r="J224" s="572">
        <v>2178.9899999999998</v>
      </c>
      <c r="K224" s="573">
        <v>396.18</v>
      </c>
      <c r="L224" s="573">
        <v>2575.17</v>
      </c>
      <c r="M224" s="384"/>
      <c r="N224" s="572">
        <v>1386.63</v>
      </c>
      <c r="O224" s="384"/>
      <c r="P224" s="384"/>
      <c r="Q224" s="384"/>
      <c r="R224" s="384"/>
    </row>
    <row r="225" spans="1:18">
      <c r="A225" s="571" t="s">
        <v>1572</v>
      </c>
      <c r="B225" s="384"/>
      <c r="C225" s="571" t="s">
        <v>1067</v>
      </c>
      <c r="D225" s="384"/>
      <c r="E225" s="543" t="s">
        <v>478</v>
      </c>
      <c r="F225" s="579" t="s">
        <v>1573</v>
      </c>
      <c r="G225" s="583">
        <f t="shared" si="5"/>
        <v>2051</v>
      </c>
      <c r="H225" s="572">
        <v>1401.3</v>
      </c>
      <c r="I225" s="384"/>
      <c r="J225" s="572">
        <v>782.39</v>
      </c>
      <c r="K225" s="573">
        <v>140.13</v>
      </c>
      <c r="L225" s="573">
        <v>922.52</v>
      </c>
      <c r="M225" s="384"/>
      <c r="N225" s="572">
        <v>478.78</v>
      </c>
      <c r="O225" s="384"/>
      <c r="P225" s="384"/>
      <c r="Q225" s="384"/>
      <c r="R225" s="384"/>
    </row>
    <row r="226" spans="1:18">
      <c r="A226" s="571" t="s">
        <v>1574</v>
      </c>
      <c r="B226" s="384"/>
      <c r="C226" s="571" t="s">
        <v>1069</v>
      </c>
      <c r="D226" s="384"/>
      <c r="E226" s="543" t="s">
        <v>478</v>
      </c>
      <c r="F226" s="579" t="s">
        <v>1575</v>
      </c>
      <c r="G226" s="583">
        <f t="shared" si="5"/>
        <v>1778</v>
      </c>
      <c r="H226" s="572">
        <v>3961.8</v>
      </c>
      <c r="I226" s="384"/>
      <c r="J226" s="572">
        <v>1914.87</v>
      </c>
      <c r="K226" s="573">
        <v>396.18</v>
      </c>
      <c r="L226" s="573">
        <v>2311.0500000000002</v>
      </c>
      <c r="M226" s="384"/>
      <c r="N226" s="572">
        <v>1650.75</v>
      </c>
      <c r="O226" s="384"/>
      <c r="P226" s="384"/>
      <c r="Q226" s="384"/>
      <c r="R226" s="384"/>
    </row>
    <row r="227" spans="1:18">
      <c r="A227" s="571" t="s">
        <v>1576</v>
      </c>
      <c r="B227" s="384"/>
      <c r="C227" s="571" t="s">
        <v>1071</v>
      </c>
      <c r="D227" s="384"/>
      <c r="E227" s="543" t="s">
        <v>478</v>
      </c>
      <c r="F227" s="579" t="s">
        <v>1577</v>
      </c>
      <c r="G227" s="583">
        <f t="shared" si="5"/>
        <v>1260</v>
      </c>
      <c r="H227" s="572">
        <v>5301</v>
      </c>
      <c r="I227" s="384"/>
      <c r="J227" s="572">
        <v>1811.18</v>
      </c>
      <c r="K227" s="573">
        <v>530.1</v>
      </c>
      <c r="L227" s="573">
        <v>2341.2800000000002</v>
      </c>
      <c r="M227" s="384"/>
      <c r="N227" s="572">
        <v>2959.72</v>
      </c>
      <c r="O227" s="384"/>
      <c r="P227" s="384"/>
      <c r="Q227" s="384"/>
      <c r="R227" s="384"/>
    </row>
    <row r="228" spans="1:18">
      <c r="A228" s="571" t="s">
        <v>1578</v>
      </c>
      <c r="B228" s="384"/>
      <c r="C228" s="571" t="s">
        <v>1072</v>
      </c>
      <c r="D228" s="384"/>
      <c r="E228" s="543" t="s">
        <v>478</v>
      </c>
      <c r="F228" s="579" t="s">
        <v>1579</v>
      </c>
      <c r="G228" s="583">
        <f t="shared" si="5"/>
        <v>1050</v>
      </c>
      <c r="H228" s="572">
        <v>4036.8</v>
      </c>
      <c r="I228" s="384"/>
      <c r="J228" s="572">
        <v>1143.76</v>
      </c>
      <c r="K228" s="573">
        <v>403.68</v>
      </c>
      <c r="L228" s="573">
        <v>1547.44</v>
      </c>
      <c r="M228" s="384"/>
      <c r="N228" s="572">
        <v>2489.36</v>
      </c>
      <c r="O228" s="384"/>
      <c r="P228" s="384"/>
      <c r="Q228" s="384"/>
      <c r="R228" s="384"/>
    </row>
    <row r="229" spans="1:18">
      <c r="A229" s="571" t="s">
        <v>1580</v>
      </c>
      <c r="B229" s="384"/>
      <c r="C229" s="571" t="s">
        <v>1074</v>
      </c>
      <c r="D229" s="384"/>
      <c r="E229" s="543" t="s">
        <v>478</v>
      </c>
      <c r="F229" s="579" t="s">
        <v>1581</v>
      </c>
      <c r="G229" s="583">
        <f t="shared" si="5"/>
        <v>777</v>
      </c>
      <c r="H229" s="572">
        <v>2468.8200000000002</v>
      </c>
      <c r="I229" s="384"/>
      <c r="J229" s="572">
        <v>514.33000000000004</v>
      </c>
      <c r="K229" s="573">
        <v>246.88</v>
      </c>
      <c r="L229" s="573">
        <v>761.21</v>
      </c>
      <c r="M229" s="384"/>
      <c r="N229" s="572">
        <v>1707.61</v>
      </c>
      <c r="O229" s="384"/>
      <c r="P229" s="384"/>
      <c r="Q229" s="384"/>
      <c r="R229" s="384"/>
    </row>
    <row r="230" spans="1:18">
      <c r="A230" s="571" t="s">
        <v>1582</v>
      </c>
      <c r="B230" s="384"/>
      <c r="C230" s="571" t="s">
        <v>1075</v>
      </c>
      <c r="D230" s="384"/>
      <c r="E230" s="543" t="s">
        <v>478</v>
      </c>
      <c r="F230" s="579" t="s">
        <v>1583</v>
      </c>
      <c r="G230" s="583">
        <f t="shared" si="5"/>
        <v>623</v>
      </c>
      <c r="H230" s="572">
        <v>7951.5</v>
      </c>
      <c r="I230" s="384"/>
      <c r="J230" s="572">
        <v>2650.5</v>
      </c>
      <c r="K230" s="573">
        <v>1590.3</v>
      </c>
      <c r="L230" s="573">
        <v>4240.8</v>
      </c>
      <c r="M230" s="384"/>
      <c r="N230" s="572">
        <v>3710.7</v>
      </c>
      <c r="O230" s="384"/>
      <c r="P230" s="384"/>
      <c r="Q230" s="384"/>
      <c r="R230" s="384"/>
    </row>
    <row r="231" spans="1:18">
      <c r="A231" s="571" t="s">
        <v>1584</v>
      </c>
      <c r="B231" s="384"/>
      <c r="C231" s="571" t="s">
        <v>992</v>
      </c>
      <c r="D231" s="384"/>
      <c r="E231" s="543" t="s">
        <v>478</v>
      </c>
      <c r="F231" s="579" t="s">
        <v>1585</v>
      </c>
      <c r="G231" s="583">
        <f t="shared" si="5"/>
        <v>21567</v>
      </c>
      <c r="H231" s="572">
        <v>37912</v>
      </c>
      <c r="I231" s="384"/>
      <c r="J231" s="572">
        <v>37912</v>
      </c>
      <c r="K231" s="573">
        <v>0</v>
      </c>
      <c r="L231" s="573">
        <v>37912</v>
      </c>
      <c r="M231" s="384"/>
      <c r="N231" s="572">
        <v>0</v>
      </c>
      <c r="O231" s="384"/>
      <c r="P231" s="384"/>
      <c r="Q231" s="384"/>
      <c r="R231" s="384"/>
    </row>
    <row r="232" spans="1:18">
      <c r="A232" s="571" t="s">
        <v>1586</v>
      </c>
      <c r="B232" s="384"/>
      <c r="C232" s="571" t="s">
        <v>1018</v>
      </c>
      <c r="D232" s="384"/>
      <c r="E232" s="543" t="s">
        <v>478</v>
      </c>
      <c r="F232" s="579" t="s">
        <v>1587</v>
      </c>
      <c r="G232" s="583">
        <f t="shared" si="5"/>
        <v>8037</v>
      </c>
      <c r="H232" s="572">
        <v>68324.06</v>
      </c>
      <c r="I232" s="384"/>
      <c r="J232" s="572">
        <v>68324.06</v>
      </c>
      <c r="K232" s="573">
        <v>0</v>
      </c>
      <c r="L232" s="573">
        <v>68324.06</v>
      </c>
      <c r="M232" s="384"/>
      <c r="N232" s="572">
        <v>0</v>
      </c>
      <c r="O232" s="384"/>
      <c r="P232" s="384"/>
      <c r="Q232" s="384"/>
      <c r="R232" s="384"/>
    </row>
    <row r="233" spans="1:18">
      <c r="A233" s="571" t="s">
        <v>1588</v>
      </c>
      <c r="B233" s="384"/>
      <c r="C233" s="571" t="s">
        <v>1019</v>
      </c>
      <c r="D233" s="384"/>
      <c r="E233" s="543" t="s">
        <v>478</v>
      </c>
      <c r="F233" s="579" t="s">
        <v>1587</v>
      </c>
      <c r="G233" s="583">
        <f t="shared" si="5"/>
        <v>8037</v>
      </c>
      <c r="H233" s="572">
        <v>287222.58</v>
      </c>
      <c r="I233" s="384"/>
      <c r="J233" s="572">
        <v>252755.82</v>
      </c>
      <c r="K233" s="573">
        <v>11488.9</v>
      </c>
      <c r="L233" s="573">
        <v>264244.71999999997</v>
      </c>
      <c r="M233" s="384"/>
      <c r="N233" s="572">
        <v>22977.86</v>
      </c>
      <c r="O233" s="384"/>
      <c r="P233" s="384"/>
      <c r="Q233" s="384"/>
      <c r="R233" s="384"/>
    </row>
    <row r="234" spans="1:18">
      <c r="A234" s="571" t="s">
        <v>1589</v>
      </c>
      <c r="B234" s="384"/>
      <c r="C234" s="571" t="s">
        <v>957</v>
      </c>
      <c r="D234" s="384"/>
      <c r="E234" s="543" t="s">
        <v>478</v>
      </c>
      <c r="F234" s="579" t="s">
        <v>1590</v>
      </c>
      <c r="G234" s="583">
        <f t="shared" si="5"/>
        <v>7343</v>
      </c>
      <c r="H234" s="572">
        <v>50658.18</v>
      </c>
      <c r="I234" s="384"/>
      <c r="J234" s="572">
        <v>44234.15</v>
      </c>
      <c r="K234" s="573">
        <v>2202.5300000000002</v>
      </c>
      <c r="L234" s="573">
        <v>46436.68</v>
      </c>
      <c r="M234" s="384"/>
      <c r="N234" s="572">
        <v>4221.5</v>
      </c>
      <c r="O234" s="384"/>
      <c r="P234" s="384"/>
      <c r="Q234" s="384"/>
      <c r="R234" s="384"/>
    </row>
    <row r="235" spans="1:18">
      <c r="A235" s="571" t="s">
        <v>1591</v>
      </c>
      <c r="B235" s="384"/>
      <c r="C235" s="571" t="s">
        <v>956</v>
      </c>
      <c r="D235" s="384"/>
      <c r="E235" s="543" t="s">
        <v>478</v>
      </c>
      <c r="F235" s="579" t="s">
        <v>1592</v>
      </c>
      <c r="G235" s="583">
        <f t="shared" si="5"/>
        <v>7125</v>
      </c>
      <c r="H235" s="572">
        <v>17466.98</v>
      </c>
      <c r="I235" s="384"/>
      <c r="J235" s="572">
        <v>15482.04</v>
      </c>
      <c r="K235" s="573">
        <v>793.95</v>
      </c>
      <c r="L235" s="573">
        <v>16275.99</v>
      </c>
      <c r="M235" s="384"/>
      <c r="N235" s="572">
        <v>1190.99</v>
      </c>
      <c r="O235" s="384"/>
      <c r="P235" s="384"/>
      <c r="Q235" s="384"/>
      <c r="R235" s="384"/>
    </row>
    <row r="236" spans="1:18">
      <c r="A236" s="571" t="s">
        <v>1593</v>
      </c>
      <c r="B236" s="384"/>
      <c r="C236" s="571" t="s">
        <v>958</v>
      </c>
      <c r="D236" s="384"/>
      <c r="E236" s="543" t="s">
        <v>478</v>
      </c>
      <c r="F236" s="579" t="s">
        <v>1343</v>
      </c>
      <c r="G236" s="583">
        <f t="shared" si="5"/>
        <v>6760</v>
      </c>
      <c r="H236" s="572">
        <v>13068.26</v>
      </c>
      <c r="I236" s="384"/>
      <c r="J236" s="572">
        <v>11512.55</v>
      </c>
      <c r="K236" s="573">
        <v>622.29999999999995</v>
      </c>
      <c r="L236" s="573">
        <v>12134.85</v>
      </c>
      <c r="M236" s="384"/>
      <c r="N236" s="572">
        <v>933.41</v>
      </c>
      <c r="O236" s="384"/>
      <c r="P236" s="384"/>
      <c r="Q236" s="384"/>
      <c r="R236" s="384"/>
    </row>
    <row r="237" spans="1:18">
      <c r="A237" s="571" t="s">
        <v>1594</v>
      </c>
      <c r="B237" s="384"/>
      <c r="C237" s="571" t="s">
        <v>1035</v>
      </c>
      <c r="D237" s="384"/>
      <c r="E237" s="543" t="s">
        <v>478</v>
      </c>
      <c r="F237" s="579" t="s">
        <v>1236</v>
      </c>
      <c r="G237" s="583">
        <f t="shared" si="5"/>
        <v>5950</v>
      </c>
      <c r="H237" s="572">
        <v>2592.25</v>
      </c>
      <c r="I237" s="384"/>
      <c r="J237" s="572">
        <v>2217.14</v>
      </c>
      <c r="K237" s="573">
        <v>136.43</v>
      </c>
      <c r="L237" s="573">
        <v>2353.5700000000002</v>
      </c>
      <c r="M237" s="384"/>
      <c r="N237" s="572">
        <v>238.68</v>
      </c>
      <c r="O237" s="384"/>
      <c r="P237" s="384"/>
      <c r="Q237" s="384"/>
      <c r="R237" s="384"/>
    </row>
    <row r="238" spans="1:18">
      <c r="A238" s="571" t="s">
        <v>1595</v>
      </c>
      <c r="B238" s="384"/>
      <c r="C238" s="571" t="s">
        <v>1044</v>
      </c>
      <c r="D238" s="384"/>
      <c r="E238" s="543" t="s">
        <v>478</v>
      </c>
      <c r="F238" s="579" t="s">
        <v>1365</v>
      </c>
      <c r="G238" s="583">
        <f t="shared" si="5"/>
        <v>5299</v>
      </c>
      <c r="H238" s="572">
        <v>9746.15</v>
      </c>
      <c r="I238" s="384"/>
      <c r="J238" s="572">
        <v>7065.99</v>
      </c>
      <c r="K238" s="573">
        <v>487.31</v>
      </c>
      <c r="L238" s="573">
        <v>7553.3</v>
      </c>
      <c r="M238" s="384"/>
      <c r="N238" s="572">
        <v>2192.85</v>
      </c>
      <c r="O238" s="384"/>
      <c r="P238" s="384"/>
      <c r="Q238" s="384"/>
      <c r="R238" s="384"/>
    </row>
    <row r="239" spans="1:18">
      <c r="A239" s="571" t="s">
        <v>1596</v>
      </c>
      <c r="B239" s="384"/>
      <c r="C239" s="571" t="s">
        <v>1046</v>
      </c>
      <c r="D239" s="384"/>
      <c r="E239" s="543" t="s">
        <v>478</v>
      </c>
      <c r="F239" s="579" t="s">
        <v>1597</v>
      </c>
      <c r="G239" s="583">
        <f t="shared" si="5"/>
        <v>4515</v>
      </c>
      <c r="H239" s="572">
        <v>6626.43</v>
      </c>
      <c r="I239" s="384"/>
      <c r="J239" s="572">
        <v>6626.43</v>
      </c>
      <c r="K239" s="573">
        <v>0</v>
      </c>
      <c r="L239" s="573">
        <v>6626.43</v>
      </c>
      <c r="M239" s="384"/>
      <c r="N239" s="572">
        <v>0</v>
      </c>
      <c r="O239" s="384"/>
      <c r="P239" s="384"/>
      <c r="Q239" s="384"/>
      <c r="R239" s="384"/>
    </row>
    <row r="240" spans="1:18">
      <c r="A240" s="571" t="s">
        <v>1598</v>
      </c>
      <c r="B240" s="384"/>
      <c r="C240" s="571" t="s">
        <v>1050</v>
      </c>
      <c r="D240" s="384"/>
      <c r="E240" s="543" t="s">
        <v>478</v>
      </c>
      <c r="F240" s="579" t="s">
        <v>1599</v>
      </c>
      <c r="G240" s="583">
        <f t="shared" si="5"/>
        <v>4060</v>
      </c>
      <c r="H240" s="572">
        <v>2641.2</v>
      </c>
      <c r="I240" s="384"/>
      <c r="J240" s="572">
        <v>1463.68</v>
      </c>
      <c r="K240" s="573">
        <v>132.06</v>
      </c>
      <c r="L240" s="573">
        <v>1595.74</v>
      </c>
      <c r="M240" s="384"/>
      <c r="N240" s="572">
        <v>1045.46</v>
      </c>
      <c r="O240" s="384"/>
      <c r="P240" s="384"/>
      <c r="Q240" s="384"/>
      <c r="R240" s="384"/>
    </row>
    <row r="241" spans="1:18">
      <c r="A241" s="571" t="s">
        <v>1600</v>
      </c>
      <c r="B241" s="384"/>
      <c r="C241" s="571" t="s">
        <v>999</v>
      </c>
      <c r="D241" s="384"/>
      <c r="E241" s="543" t="s">
        <v>497</v>
      </c>
      <c r="F241" s="579" t="s">
        <v>1258</v>
      </c>
      <c r="G241" s="583">
        <f t="shared" si="5"/>
        <v>12238</v>
      </c>
      <c r="H241" s="572">
        <v>719581.76</v>
      </c>
      <c r="I241" s="384"/>
      <c r="J241" s="572">
        <v>489315.76</v>
      </c>
      <c r="K241" s="573">
        <v>14391.64</v>
      </c>
      <c r="L241" s="573">
        <v>503707.4</v>
      </c>
      <c r="M241" s="384"/>
      <c r="N241" s="572">
        <v>215874.36</v>
      </c>
      <c r="O241" s="536">
        <v>-7195.95</v>
      </c>
      <c r="P241" s="538">
        <f>-O241</f>
        <v>7195.95</v>
      </c>
      <c r="Q241" s="384"/>
      <c r="R241" s="384"/>
    </row>
    <row r="242" spans="1:18">
      <c r="A242" s="571" t="s">
        <v>1601</v>
      </c>
      <c r="B242" s="384"/>
      <c r="C242" s="571" t="s">
        <v>1076</v>
      </c>
      <c r="D242" s="384"/>
      <c r="E242" s="543" t="s">
        <v>478</v>
      </c>
      <c r="F242" s="579" t="s">
        <v>1602</v>
      </c>
      <c r="G242" s="583">
        <f t="shared" si="5"/>
        <v>595</v>
      </c>
      <c r="H242" s="572">
        <v>19390.03</v>
      </c>
      <c r="I242" s="384"/>
      <c r="J242" s="572">
        <v>6140.18</v>
      </c>
      <c r="K242" s="573">
        <v>3878.01</v>
      </c>
      <c r="L242" s="573">
        <v>10018.19</v>
      </c>
      <c r="M242" s="384"/>
      <c r="N242" s="572">
        <v>9371.84</v>
      </c>
      <c r="O242" s="384"/>
      <c r="P242" s="384"/>
      <c r="Q242" s="384"/>
      <c r="R242" s="384"/>
    </row>
    <row r="243" spans="1:18">
      <c r="A243" s="571" t="s">
        <v>1603</v>
      </c>
      <c r="B243" s="384"/>
      <c r="C243" s="571" t="s">
        <v>1078</v>
      </c>
      <c r="D243" s="384"/>
      <c r="E243" s="584" t="s">
        <v>497</v>
      </c>
      <c r="F243" s="579" t="s">
        <v>1604</v>
      </c>
      <c r="G243" s="583">
        <f t="shared" si="5"/>
        <v>31</v>
      </c>
      <c r="H243" s="572">
        <v>172239.6</v>
      </c>
      <c r="I243" s="384"/>
      <c r="J243" s="572">
        <v>2034.65</v>
      </c>
      <c r="K243" s="573">
        <v>24605.66</v>
      </c>
      <c r="L243" s="573">
        <v>26640.31</v>
      </c>
      <c r="M243" s="384"/>
      <c r="N243" s="572">
        <v>145599.29</v>
      </c>
      <c r="O243" s="384"/>
      <c r="P243" s="384"/>
      <c r="Q243" s="384"/>
      <c r="R243" s="384"/>
    </row>
    <row r="244" spans="1:18">
      <c r="A244" s="571" t="s">
        <v>1605</v>
      </c>
      <c r="B244" s="384"/>
      <c r="C244" s="571" t="s">
        <v>998</v>
      </c>
      <c r="D244" s="384"/>
      <c r="E244" s="543" t="s">
        <v>478</v>
      </c>
      <c r="F244" s="579" t="s">
        <v>1606</v>
      </c>
      <c r="G244" s="583">
        <f t="shared" si="5"/>
        <v>306</v>
      </c>
      <c r="H244" s="572">
        <v>6626.25</v>
      </c>
      <c r="I244" s="384"/>
      <c r="J244" s="572">
        <v>552.17999999999995</v>
      </c>
      <c r="K244" s="573">
        <v>662.63</v>
      </c>
      <c r="L244" s="573">
        <v>1214.81</v>
      </c>
      <c r="M244" s="384"/>
      <c r="N244" s="572">
        <v>5411.44</v>
      </c>
      <c r="O244" s="384"/>
      <c r="P244" s="384"/>
      <c r="Q244" s="384"/>
      <c r="R244" s="384"/>
    </row>
    <row r="245" spans="1:18">
      <c r="A245" s="571" t="s">
        <v>1607</v>
      </c>
      <c r="B245" s="384"/>
      <c r="C245" s="571" t="s">
        <v>1608</v>
      </c>
      <c r="D245" s="384"/>
      <c r="E245" s="543" t="s">
        <v>497</v>
      </c>
      <c r="F245" s="581" t="s">
        <v>1609</v>
      </c>
      <c r="G245" s="583">
        <f t="shared" si="5"/>
        <v>0</v>
      </c>
      <c r="H245" s="572">
        <v>3771.09</v>
      </c>
      <c r="I245" s="384"/>
      <c r="J245" s="572">
        <v>0</v>
      </c>
      <c r="K245" s="573">
        <v>538.73</v>
      </c>
      <c r="L245" s="573">
        <v>538.73</v>
      </c>
      <c r="M245" s="384"/>
      <c r="N245" s="572">
        <v>3232.36</v>
      </c>
      <c r="O245" s="384"/>
      <c r="P245" s="384"/>
      <c r="Q245" s="384"/>
      <c r="R245" s="384"/>
    </row>
    <row r="246" spans="1:18">
      <c r="A246" s="571" t="s">
        <v>1610</v>
      </c>
      <c r="B246" s="384"/>
      <c r="C246" s="571" t="s">
        <v>1611</v>
      </c>
      <c r="D246" s="384"/>
      <c r="E246" s="543" t="s">
        <v>497</v>
      </c>
      <c r="F246" s="581" t="s">
        <v>1612</v>
      </c>
      <c r="G246" s="583">
        <f t="shared" si="5"/>
        <v>-30</v>
      </c>
      <c r="H246" s="572">
        <v>5100</v>
      </c>
      <c r="I246" s="384"/>
      <c r="J246" s="572">
        <v>0</v>
      </c>
      <c r="K246" s="573">
        <v>667.86</v>
      </c>
      <c r="L246" s="573">
        <v>667.86</v>
      </c>
      <c r="M246" s="384"/>
      <c r="N246" s="572">
        <v>4432.1400000000003</v>
      </c>
      <c r="O246" s="384"/>
      <c r="P246" s="384"/>
      <c r="Q246" s="384"/>
      <c r="R246" s="384"/>
    </row>
    <row r="247" spans="1:18">
      <c r="A247" s="571" t="s">
        <v>1613</v>
      </c>
      <c r="B247" s="384"/>
      <c r="C247" s="571" t="s">
        <v>1614</v>
      </c>
      <c r="D247" s="384"/>
      <c r="E247" s="543" t="s">
        <v>478</v>
      </c>
      <c r="F247" s="581" t="s">
        <v>1615</v>
      </c>
      <c r="G247" s="583">
        <f t="shared" si="5"/>
        <v>-304</v>
      </c>
      <c r="H247" s="572">
        <v>41161.9</v>
      </c>
      <c r="I247" s="384"/>
      <c r="J247" s="572">
        <v>0</v>
      </c>
      <c r="K247" s="573">
        <v>686.03</v>
      </c>
      <c r="L247" s="573">
        <v>686.03</v>
      </c>
      <c r="M247" s="384"/>
      <c r="N247" s="572">
        <v>40475.870000000003</v>
      </c>
      <c r="O247" s="384"/>
      <c r="P247" s="384"/>
      <c r="Q247" s="384"/>
      <c r="R247" s="384"/>
    </row>
    <row r="248" spans="1:18">
      <c r="A248" s="571" t="s">
        <v>1079</v>
      </c>
      <c r="B248" s="384"/>
      <c r="C248" s="384"/>
      <c r="D248" s="384"/>
      <c r="E248" s="543"/>
      <c r="F248" s="580"/>
      <c r="G248" s="539"/>
      <c r="H248" s="572">
        <v>1763047.9</v>
      </c>
      <c r="I248" s="384"/>
      <c r="J248" s="572">
        <v>1204475.56</v>
      </c>
      <c r="K248" s="573">
        <v>70600.08</v>
      </c>
      <c r="L248" s="573">
        <v>1275075.6399999999</v>
      </c>
      <c r="M248" s="384"/>
      <c r="N248" s="572">
        <v>487972.26</v>
      </c>
      <c r="O248" s="384"/>
      <c r="P248" s="384"/>
      <c r="Q248" s="384"/>
      <c r="R248" s="384"/>
    </row>
    <row r="249" spans="1:18">
      <c r="A249" s="571" t="s">
        <v>1080</v>
      </c>
      <c r="B249" s="384"/>
      <c r="C249" s="384"/>
      <c r="D249" s="384"/>
      <c r="E249" s="543"/>
      <c r="F249" s="580"/>
      <c r="G249" s="539"/>
      <c r="H249" s="535">
        <v>0</v>
      </c>
      <c r="I249" s="384"/>
      <c r="J249" s="535">
        <v>0</v>
      </c>
      <c r="K249" s="384">
        <v>0</v>
      </c>
      <c r="L249" s="384">
        <v>0</v>
      </c>
      <c r="M249" s="384"/>
      <c r="N249" s="535">
        <v>0</v>
      </c>
      <c r="O249" s="384"/>
      <c r="P249" s="384"/>
      <c r="Q249" s="384"/>
      <c r="R249" s="384"/>
    </row>
    <row r="250" spans="1:18">
      <c r="A250" s="571" t="s">
        <v>1616</v>
      </c>
      <c r="B250" s="384"/>
      <c r="C250" s="571" t="s">
        <v>1081</v>
      </c>
      <c r="D250" s="384"/>
      <c r="E250" s="543" t="s">
        <v>481</v>
      </c>
      <c r="F250" s="579" t="s">
        <v>1617</v>
      </c>
      <c r="G250" s="583">
        <f t="shared" ref="G250:G262" si="6">G$9-F250</f>
        <v>14172</v>
      </c>
      <c r="H250" s="572">
        <v>312.93</v>
      </c>
      <c r="I250" s="384"/>
      <c r="J250" s="572">
        <v>312.93</v>
      </c>
      <c r="K250" s="573">
        <v>0</v>
      </c>
      <c r="L250" s="573">
        <v>312.93</v>
      </c>
      <c r="M250" s="384"/>
      <c r="N250" s="572">
        <v>0</v>
      </c>
      <c r="O250" s="384"/>
      <c r="P250" s="384"/>
      <c r="Q250" s="384"/>
      <c r="R250" s="384"/>
    </row>
    <row r="251" spans="1:18">
      <c r="A251" s="571" t="s">
        <v>1618</v>
      </c>
      <c r="B251" s="384"/>
      <c r="C251" s="571" t="s">
        <v>1082</v>
      </c>
      <c r="D251" s="384"/>
      <c r="E251" s="543" t="s">
        <v>481</v>
      </c>
      <c r="F251" s="579" t="s">
        <v>1619</v>
      </c>
      <c r="G251" s="583">
        <f t="shared" si="6"/>
        <v>7623</v>
      </c>
      <c r="H251" s="572">
        <v>1164.04</v>
      </c>
      <c r="I251" s="384"/>
      <c r="J251" s="572">
        <v>1164.04</v>
      </c>
      <c r="K251" s="573">
        <v>0</v>
      </c>
      <c r="L251" s="573">
        <v>1164.04</v>
      </c>
      <c r="M251" s="384"/>
      <c r="N251" s="572">
        <v>0</v>
      </c>
      <c r="O251" s="384"/>
      <c r="P251" s="384"/>
      <c r="Q251" s="384"/>
      <c r="R251" s="384"/>
    </row>
    <row r="252" spans="1:18">
      <c r="A252" s="571" t="s">
        <v>1620</v>
      </c>
      <c r="B252" s="384"/>
      <c r="C252" s="571" t="s">
        <v>1083</v>
      </c>
      <c r="D252" s="384"/>
      <c r="E252" s="543" t="s">
        <v>481</v>
      </c>
      <c r="F252" s="579" t="s">
        <v>1621</v>
      </c>
      <c r="G252" s="583">
        <f t="shared" si="6"/>
        <v>6951</v>
      </c>
      <c r="H252" s="572">
        <v>463.28</v>
      </c>
      <c r="I252" s="384"/>
      <c r="J252" s="572">
        <v>463.28</v>
      </c>
      <c r="K252" s="573">
        <v>0</v>
      </c>
      <c r="L252" s="573">
        <v>463.28</v>
      </c>
      <c r="M252" s="384"/>
      <c r="N252" s="572">
        <v>0</v>
      </c>
      <c r="O252" s="384"/>
      <c r="P252" s="384"/>
      <c r="Q252" s="384"/>
      <c r="R252" s="384"/>
    </row>
    <row r="253" spans="1:18">
      <c r="A253" s="571" t="s">
        <v>1622</v>
      </c>
      <c r="B253" s="384"/>
      <c r="C253" s="571" t="s">
        <v>1084</v>
      </c>
      <c r="D253" s="384"/>
      <c r="E253" s="543" t="s">
        <v>481</v>
      </c>
      <c r="F253" s="579" t="s">
        <v>1623</v>
      </c>
      <c r="G253" s="583">
        <f t="shared" si="6"/>
        <v>6888</v>
      </c>
      <c r="H253" s="572">
        <v>1719.93</v>
      </c>
      <c r="I253" s="384"/>
      <c r="J253" s="572">
        <v>1719.93</v>
      </c>
      <c r="K253" s="573">
        <v>0</v>
      </c>
      <c r="L253" s="573">
        <v>1719.93</v>
      </c>
      <c r="M253" s="384"/>
      <c r="N253" s="572">
        <v>0</v>
      </c>
      <c r="O253" s="384"/>
      <c r="P253" s="384"/>
      <c r="Q253" s="384"/>
      <c r="R253" s="384"/>
    </row>
    <row r="254" spans="1:18">
      <c r="A254" s="571" t="s">
        <v>1624</v>
      </c>
      <c r="B254" s="384"/>
      <c r="C254" s="571" t="s">
        <v>1086</v>
      </c>
      <c r="D254" s="384"/>
      <c r="E254" s="543" t="s">
        <v>481</v>
      </c>
      <c r="F254" s="579" t="s">
        <v>1625</v>
      </c>
      <c r="G254" s="583">
        <f t="shared" si="6"/>
        <v>6013</v>
      </c>
      <c r="H254" s="572">
        <v>643.67999999999995</v>
      </c>
      <c r="I254" s="384"/>
      <c r="J254" s="572">
        <v>643.67999999999995</v>
      </c>
      <c r="K254" s="573">
        <v>0</v>
      </c>
      <c r="L254" s="573">
        <v>643.67999999999995</v>
      </c>
      <c r="M254" s="384"/>
      <c r="N254" s="572">
        <v>0</v>
      </c>
      <c r="O254" s="384"/>
      <c r="P254" s="384"/>
      <c r="Q254" s="384"/>
      <c r="R254" s="384"/>
    </row>
    <row r="255" spans="1:18">
      <c r="A255" s="571" t="s">
        <v>1626</v>
      </c>
      <c r="B255" s="384"/>
      <c r="C255" s="571" t="s">
        <v>1087</v>
      </c>
      <c r="D255" s="384"/>
      <c r="E255" s="543" t="s">
        <v>481</v>
      </c>
      <c r="F255" s="579" t="s">
        <v>1240</v>
      </c>
      <c r="G255" s="583">
        <f t="shared" si="6"/>
        <v>4704</v>
      </c>
      <c r="H255" s="572">
        <v>127.79</v>
      </c>
      <c r="I255" s="384"/>
      <c r="J255" s="572">
        <v>127.79</v>
      </c>
      <c r="K255" s="573">
        <v>0</v>
      </c>
      <c r="L255" s="573">
        <v>127.79</v>
      </c>
      <c r="M255" s="384"/>
      <c r="N255" s="572">
        <v>0</v>
      </c>
      <c r="O255" s="384"/>
      <c r="P255" s="384"/>
      <c r="Q255" s="384"/>
      <c r="R255" s="384"/>
    </row>
    <row r="256" spans="1:18">
      <c r="A256" s="571" t="s">
        <v>1627</v>
      </c>
      <c r="B256" s="384"/>
      <c r="C256" s="571" t="s">
        <v>1088</v>
      </c>
      <c r="D256" s="384"/>
      <c r="E256" s="543" t="s">
        <v>481</v>
      </c>
      <c r="F256" s="579" t="s">
        <v>1628</v>
      </c>
      <c r="G256" s="583">
        <f t="shared" si="6"/>
        <v>3444</v>
      </c>
      <c r="H256" s="572">
        <v>2649.85</v>
      </c>
      <c r="I256" s="384"/>
      <c r="J256" s="572">
        <v>2649.85</v>
      </c>
      <c r="K256" s="573">
        <v>0</v>
      </c>
      <c r="L256" s="573">
        <v>2649.85</v>
      </c>
      <c r="M256" s="384"/>
      <c r="N256" s="572">
        <v>0</v>
      </c>
      <c r="O256" s="384"/>
      <c r="P256" s="384"/>
      <c r="Q256" s="384"/>
      <c r="R256" s="384"/>
    </row>
    <row r="257" spans="1:18">
      <c r="A257" s="571" t="s">
        <v>1629</v>
      </c>
      <c r="B257" s="384"/>
      <c r="C257" s="571" t="s">
        <v>1089</v>
      </c>
      <c r="D257" s="384"/>
      <c r="E257" s="543" t="s">
        <v>481</v>
      </c>
      <c r="F257" s="579" t="s">
        <v>1630</v>
      </c>
      <c r="G257" s="583">
        <f t="shared" si="6"/>
        <v>2877</v>
      </c>
      <c r="H257" s="572">
        <v>2246.09</v>
      </c>
      <c r="I257" s="384"/>
      <c r="J257" s="572">
        <v>2246.09</v>
      </c>
      <c r="K257" s="573">
        <v>0</v>
      </c>
      <c r="L257" s="573">
        <v>2246.09</v>
      </c>
      <c r="M257" s="384"/>
      <c r="N257" s="572">
        <v>0</v>
      </c>
      <c r="O257" s="384"/>
      <c r="P257" s="384"/>
      <c r="Q257" s="384"/>
      <c r="R257" s="384"/>
    </row>
    <row r="258" spans="1:18">
      <c r="A258" s="571" t="s">
        <v>1631</v>
      </c>
      <c r="B258" s="384"/>
      <c r="C258" s="571" t="s">
        <v>1090</v>
      </c>
      <c r="D258" s="384"/>
      <c r="E258" s="543" t="s">
        <v>481</v>
      </c>
      <c r="F258" s="579" t="s">
        <v>1632</v>
      </c>
      <c r="G258" s="583">
        <f t="shared" si="6"/>
        <v>960</v>
      </c>
      <c r="H258" s="572">
        <v>2252.98</v>
      </c>
      <c r="I258" s="384"/>
      <c r="J258" s="572">
        <v>1164.06</v>
      </c>
      <c r="K258" s="573">
        <v>450.6</v>
      </c>
      <c r="L258" s="573">
        <v>1614.66</v>
      </c>
      <c r="M258" s="384"/>
      <c r="N258" s="572">
        <v>638.32000000000005</v>
      </c>
      <c r="O258" s="384"/>
      <c r="P258" s="384"/>
      <c r="Q258" s="384"/>
      <c r="R258" s="384"/>
    </row>
    <row r="259" spans="1:18">
      <c r="A259" s="571" t="s">
        <v>1633</v>
      </c>
      <c r="B259" s="384"/>
      <c r="C259" s="571" t="s">
        <v>1091</v>
      </c>
      <c r="D259" s="384"/>
      <c r="E259" s="543" t="s">
        <v>481</v>
      </c>
      <c r="F259" s="579" t="s">
        <v>1634</v>
      </c>
      <c r="G259" s="583">
        <f t="shared" si="6"/>
        <v>814</v>
      </c>
      <c r="H259" s="572">
        <v>3771.61</v>
      </c>
      <c r="I259" s="384"/>
      <c r="J259" s="572">
        <v>565.74</v>
      </c>
      <c r="K259" s="573">
        <v>251.44</v>
      </c>
      <c r="L259" s="573">
        <v>817.18</v>
      </c>
      <c r="M259" s="384"/>
      <c r="N259" s="572">
        <v>2954.43</v>
      </c>
      <c r="O259" s="384"/>
      <c r="P259" s="384"/>
      <c r="Q259" s="384"/>
      <c r="R259" s="384"/>
    </row>
    <row r="260" spans="1:18">
      <c r="A260" s="571" t="s">
        <v>1635</v>
      </c>
      <c r="B260" s="384"/>
      <c r="C260" s="571" t="s">
        <v>1092</v>
      </c>
      <c r="D260" s="384"/>
      <c r="E260" s="543" t="s">
        <v>481</v>
      </c>
      <c r="F260" s="579" t="s">
        <v>1636</v>
      </c>
      <c r="G260" s="583">
        <f t="shared" si="6"/>
        <v>651</v>
      </c>
      <c r="H260" s="572">
        <v>1378.35</v>
      </c>
      <c r="I260" s="384"/>
      <c r="J260" s="572">
        <v>482.42</v>
      </c>
      <c r="K260" s="573">
        <v>275.67</v>
      </c>
      <c r="L260" s="573">
        <v>758.09</v>
      </c>
      <c r="M260" s="384"/>
      <c r="N260" s="572">
        <v>620.26</v>
      </c>
      <c r="O260" s="384"/>
      <c r="P260" s="384"/>
      <c r="Q260" s="384"/>
      <c r="R260" s="384"/>
    </row>
    <row r="261" spans="1:18">
      <c r="A261" s="571" t="s">
        <v>1637</v>
      </c>
      <c r="B261" s="384"/>
      <c r="C261" s="571" t="s">
        <v>1093</v>
      </c>
      <c r="D261" s="384"/>
      <c r="E261" s="543" t="s">
        <v>481</v>
      </c>
      <c r="F261" s="579" t="s">
        <v>1638</v>
      </c>
      <c r="G261" s="583">
        <f t="shared" si="6"/>
        <v>500</v>
      </c>
      <c r="H261" s="572">
        <v>1700</v>
      </c>
      <c r="I261" s="384"/>
      <c r="J261" s="572">
        <v>453.33</v>
      </c>
      <c r="K261" s="573">
        <v>340</v>
      </c>
      <c r="L261" s="573">
        <v>793.33</v>
      </c>
      <c r="M261" s="384"/>
      <c r="N261" s="572">
        <v>906.67</v>
      </c>
      <c r="O261" s="384"/>
      <c r="P261" s="384"/>
      <c r="Q261" s="384"/>
      <c r="R261" s="384"/>
    </row>
    <row r="262" spans="1:18">
      <c r="A262" s="571" t="s">
        <v>1639</v>
      </c>
      <c r="B262" s="384"/>
      <c r="C262" s="571" t="s">
        <v>1094</v>
      </c>
      <c r="D262" s="384"/>
      <c r="E262" s="543" t="s">
        <v>481</v>
      </c>
      <c r="F262" s="579" t="s">
        <v>1640</v>
      </c>
      <c r="G262" s="583">
        <f t="shared" si="6"/>
        <v>382</v>
      </c>
      <c r="H262" s="572">
        <v>5785.65</v>
      </c>
      <c r="I262" s="384"/>
      <c r="J262" s="572">
        <v>1253.56</v>
      </c>
      <c r="K262" s="573">
        <v>1157.1300000000001</v>
      </c>
      <c r="L262" s="573">
        <v>2410.69</v>
      </c>
      <c r="M262" s="384"/>
      <c r="N262" s="572">
        <v>3374.96</v>
      </c>
      <c r="O262" s="384"/>
      <c r="P262" s="384"/>
      <c r="Q262" s="384"/>
      <c r="R262" s="384"/>
    </row>
    <row r="263" spans="1:18">
      <c r="A263" s="571" t="s">
        <v>1080</v>
      </c>
      <c r="B263" s="384"/>
      <c r="C263" s="384"/>
      <c r="D263" s="384"/>
      <c r="E263" s="543"/>
      <c r="F263" s="580"/>
      <c r="G263" s="539"/>
      <c r="H263" s="535">
        <v>0</v>
      </c>
      <c r="I263" s="384"/>
      <c r="J263" s="535">
        <v>0</v>
      </c>
      <c r="K263" s="384">
        <v>0</v>
      </c>
      <c r="L263" s="384">
        <v>0</v>
      </c>
      <c r="M263" s="384"/>
      <c r="N263" s="535">
        <v>0</v>
      </c>
      <c r="O263" s="384"/>
      <c r="P263" s="384"/>
      <c r="Q263" s="384"/>
      <c r="R263" s="384"/>
    </row>
    <row r="264" spans="1:18" s="537" customFormat="1" ht="15">
      <c r="A264" s="571" t="s">
        <v>1641</v>
      </c>
      <c r="B264" s="384"/>
      <c r="C264" s="571" t="s">
        <v>1095</v>
      </c>
      <c r="D264" s="384"/>
      <c r="E264" s="543" t="s">
        <v>481</v>
      </c>
      <c r="F264" s="579" t="s">
        <v>1642</v>
      </c>
      <c r="G264" s="583">
        <f>G$9-F264</f>
        <v>214</v>
      </c>
      <c r="H264" s="572">
        <v>8253.16</v>
      </c>
      <c r="I264" s="384"/>
      <c r="J264" s="572">
        <v>962.87</v>
      </c>
      <c r="K264" s="573">
        <v>1650.63</v>
      </c>
      <c r="L264" s="573">
        <v>2613.5</v>
      </c>
      <c r="M264" s="384"/>
      <c r="N264" s="572">
        <v>5639.66</v>
      </c>
      <c r="O264" s="384"/>
      <c r="P264" s="384"/>
      <c r="Q264" s="384"/>
      <c r="R264" s="384"/>
    </row>
    <row r="265" spans="1:18">
      <c r="A265" s="571" t="s">
        <v>1096</v>
      </c>
      <c r="B265" s="384"/>
      <c r="C265" s="384"/>
      <c r="D265" s="384"/>
      <c r="E265" s="543"/>
      <c r="F265" s="580"/>
      <c r="G265" s="539"/>
      <c r="H265" s="572">
        <v>32469.34</v>
      </c>
      <c r="I265" s="384"/>
      <c r="J265" s="572">
        <v>14209.57</v>
      </c>
      <c r="K265" s="573">
        <v>4125.47</v>
      </c>
      <c r="L265" s="573">
        <v>18335.04</v>
      </c>
      <c r="M265" s="384"/>
      <c r="N265" s="572">
        <v>14134.3</v>
      </c>
      <c r="O265" s="384"/>
      <c r="P265" s="384"/>
      <c r="Q265" s="384"/>
      <c r="R265" s="384"/>
    </row>
    <row r="266" spans="1:18">
      <c r="A266" s="571" t="s">
        <v>1097</v>
      </c>
      <c r="B266" s="384"/>
      <c r="C266" s="384"/>
      <c r="D266" s="384"/>
      <c r="E266" s="543"/>
      <c r="F266" s="580"/>
      <c r="G266" s="539"/>
      <c r="H266" s="535">
        <v>0</v>
      </c>
      <c r="I266" s="384"/>
      <c r="J266" s="535">
        <v>0</v>
      </c>
      <c r="K266" s="384">
        <v>0</v>
      </c>
      <c r="L266" s="384">
        <v>0</v>
      </c>
      <c r="M266" s="384"/>
      <c r="N266" s="535">
        <v>0</v>
      </c>
      <c r="O266" s="384"/>
      <c r="P266" s="384"/>
      <c r="Q266" s="384"/>
      <c r="R266" s="384"/>
    </row>
    <row r="267" spans="1:18">
      <c r="A267" s="571" t="s">
        <v>1643</v>
      </c>
      <c r="B267" s="384"/>
      <c r="C267" s="571" t="s">
        <v>1077</v>
      </c>
      <c r="D267" s="384"/>
      <c r="E267" s="543" t="s">
        <v>481</v>
      </c>
      <c r="F267" s="579" t="s">
        <v>1644</v>
      </c>
      <c r="G267" s="583">
        <f t="shared" ref="G267:G296" si="7">G$9-F267</f>
        <v>122</v>
      </c>
      <c r="H267" s="572">
        <v>29719.49</v>
      </c>
      <c r="I267" s="384"/>
      <c r="J267" s="572">
        <v>1415.21</v>
      </c>
      <c r="K267" s="573">
        <v>4245.6400000000003</v>
      </c>
      <c r="L267" s="573">
        <v>5660.85</v>
      </c>
      <c r="M267" s="384"/>
      <c r="N267" s="572">
        <v>24058.639999999999</v>
      </c>
      <c r="O267" s="384"/>
      <c r="P267" s="384"/>
      <c r="Q267" s="384"/>
      <c r="R267" s="384"/>
    </row>
    <row r="268" spans="1:18">
      <c r="A268" s="571" t="s">
        <v>1645</v>
      </c>
      <c r="B268" s="384"/>
      <c r="C268" s="571" t="s">
        <v>1099</v>
      </c>
      <c r="D268" s="384"/>
      <c r="E268" s="543" t="s">
        <v>481</v>
      </c>
      <c r="F268" s="579" t="s">
        <v>1646</v>
      </c>
      <c r="G268" s="583">
        <f t="shared" si="7"/>
        <v>8245</v>
      </c>
      <c r="H268" s="572">
        <v>1267</v>
      </c>
      <c r="I268" s="384"/>
      <c r="J268" s="572">
        <v>1267</v>
      </c>
      <c r="K268" s="573">
        <v>0</v>
      </c>
      <c r="L268" s="573">
        <v>1267</v>
      </c>
      <c r="M268" s="384"/>
      <c r="N268" s="572">
        <v>0</v>
      </c>
      <c r="O268" s="384"/>
      <c r="P268" s="384"/>
      <c r="Q268" s="384"/>
      <c r="R268" s="384"/>
    </row>
    <row r="269" spans="1:18">
      <c r="A269" s="571" t="s">
        <v>1647</v>
      </c>
      <c r="B269" s="384"/>
      <c r="C269" s="571" t="s">
        <v>1100</v>
      </c>
      <c r="D269" s="384"/>
      <c r="E269" s="543" t="s">
        <v>481</v>
      </c>
      <c r="F269" s="579" t="s">
        <v>1648</v>
      </c>
      <c r="G269" s="583">
        <f t="shared" si="7"/>
        <v>6635</v>
      </c>
      <c r="H269" s="572">
        <v>7125.99</v>
      </c>
      <c r="I269" s="384"/>
      <c r="J269" s="572">
        <v>7125.99</v>
      </c>
      <c r="K269" s="573">
        <v>0</v>
      </c>
      <c r="L269" s="573">
        <v>7125.99</v>
      </c>
      <c r="M269" s="384"/>
      <c r="N269" s="572">
        <v>0</v>
      </c>
      <c r="O269" s="384"/>
      <c r="P269" s="384"/>
      <c r="Q269" s="384"/>
      <c r="R269" s="384"/>
    </row>
    <row r="270" spans="1:18">
      <c r="A270" s="571" t="s">
        <v>1649</v>
      </c>
      <c r="B270" s="384"/>
      <c r="C270" s="571" t="s">
        <v>1101</v>
      </c>
      <c r="D270" s="384"/>
      <c r="E270" s="543" t="s">
        <v>481</v>
      </c>
      <c r="F270" s="579" t="s">
        <v>1650</v>
      </c>
      <c r="G270" s="583">
        <f t="shared" si="7"/>
        <v>6491</v>
      </c>
      <c r="H270" s="572">
        <v>17572.5</v>
      </c>
      <c r="I270" s="384"/>
      <c r="J270" s="572">
        <v>17572.5</v>
      </c>
      <c r="K270" s="573">
        <v>0</v>
      </c>
      <c r="L270" s="573">
        <v>17572.5</v>
      </c>
      <c r="M270" s="384"/>
      <c r="N270" s="572">
        <v>0</v>
      </c>
      <c r="O270" s="384"/>
      <c r="P270" s="384"/>
      <c r="Q270" s="384"/>
      <c r="R270" s="384"/>
    </row>
    <row r="271" spans="1:18">
      <c r="A271" s="571" t="s">
        <v>1651</v>
      </c>
      <c r="B271" s="384"/>
      <c r="C271" s="571" t="s">
        <v>1102</v>
      </c>
      <c r="D271" s="384"/>
      <c r="E271" s="543" t="s">
        <v>481</v>
      </c>
      <c r="F271" s="579" t="s">
        <v>1650</v>
      </c>
      <c r="G271" s="583">
        <f t="shared" si="7"/>
        <v>6491</v>
      </c>
      <c r="H271" s="572">
        <v>6922.5</v>
      </c>
      <c r="I271" s="384"/>
      <c r="J271" s="572">
        <v>6922.5</v>
      </c>
      <c r="K271" s="573">
        <v>0</v>
      </c>
      <c r="L271" s="573">
        <v>6922.5</v>
      </c>
      <c r="M271" s="384"/>
      <c r="N271" s="572">
        <v>0</v>
      </c>
      <c r="O271" s="384"/>
      <c r="P271" s="384"/>
      <c r="Q271" s="384"/>
      <c r="R271" s="384"/>
    </row>
    <row r="272" spans="1:18">
      <c r="A272" s="571" t="s">
        <v>1652</v>
      </c>
      <c r="B272" s="384"/>
      <c r="C272" s="571" t="s">
        <v>1103</v>
      </c>
      <c r="D272" s="384"/>
      <c r="E272" s="543" t="s">
        <v>481</v>
      </c>
      <c r="F272" s="579" t="s">
        <v>1653</v>
      </c>
      <c r="G272" s="583">
        <f t="shared" si="7"/>
        <v>6476</v>
      </c>
      <c r="H272" s="572">
        <v>2234.88</v>
      </c>
      <c r="I272" s="384"/>
      <c r="J272" s="572">
        <v>2234.88</v>
      </c>
      <c r="K272" s="573">
        <v>0</v>
      </c>
      <c r="L272" s="573">
        <v>2234.88</v>
      </c>
      <c r="M272" s="384"/>
      <c r="N272" s="572">
        <v>0</v>
      </c>
      <c r="O272" s="384"/>
      <c r="P272" s="384"/>
      <c r="Q272" s="384"/>
      <c r="R272" s="384"/>
    </row>
    <row r="273" spans="1:18">
      <c r="A273" s="571" t="s">
        <v>1654</v>
      </c>
      <c r="B273" s="384"/>
      <c r="C273" s="571" t="s">
        <v>1104</v>
      </c>
      <c r="D273" s="384"/>
      <c r="E273" s="543" t="s">
        <v>481</v>
      </c>
      <c r="F273" s="579" t="s">
        <v>1655</v>
      </c>
      <c r="G273" s="583">
        <f t="shared" si="7"/>
        <v>6251</v>
      </c>
      <c r="H273" s="572">
        <v>9811.5</v>
      </c>
      <c r="I273" s="384"/>
      <c r="J273" s="572">
        <v>9811.5</v>
      </c>
      <c r="K273" s="573">
        <v>0</v>
      </c>
      <c r="L273" s="573">
        <v>9811.5</v>
      </c>
      <c r="M273" s="384"/>
      <c r="N273" s="572">
        <v>0</v>
      </c>
      <c r="O273" s="384"/>
      <c r="P273" s="384"/>
      <c r="Q273" s="384"/>
      <c r="R273" s="384"/>
    </row>
    <row r="274" spans="1:18">
      <c r="A274" s="571" t="s">
        <v>1656</v>
      </c>
      <c r="B274" s="384"/>
      <c r="C274" s="571" t="s">
        <v>1657</v>
      </c>
      <c r="D274" s="384"/>
      <c r="E274" s="543" t="s">
        <v>481</v>
      </c>
      <c r="F274" s="579" t="s">
        <v>1658</v>
      </c>
      <c r="G274" s="583">
        <f t="shared" si="7"/>
        <v>6218</v>
      </c>
      <c r="H274" s="572">
        <v>41987.63</v>
      </c>
      <c r="I274" s="384"/>
      <c r="J274" s="572">
        <v>41987.63</v>
      </c>
      <c r="K274" s="573">
        <v>0</v>
      </c>
      <c r="L274" s="573">
        <v>41987.63</v>
      </c>
      <c r="M274" s="384"/>
      <c r="N274" s="572">
        <v>0</v>
      </c>
      <c r="O274" s="384"/>
      <c r="P274" s="384"/>
      <c r="Q274" s="384"/>
      <c r="R274" s="384"/>
    </row>
    <row r="275" spans="1:18">
      <c r="A275" s="571" t="s">
        <v>1659</v>
      </c>
      <c r="B275" s="384"/>
      <c r="C275" s="571" t="s">
        <v>1105</v>
      </c>
      <c r="D275" s="384"/>
      <c r="E275" s="543" t="s">
        <v>481</v>
      </c>
      <c r="F275" s="579" t="s">
        <v>1660</v>
      </c>
      <c r="G275" s="583">
        <f t="shared" si="7"/>
        <v>6169</v>
      </c>
      <c r="H275" s="572">
        <v>69603.08</v>
      </c>
      <c r="I275" s="384"/>
      <c r="J275" s="572">
        <v>69603.08</v>
      </c>
      <c r="K275" s="573">
        <v>0</v>
      </c>
      <c r="L275" s="573">
        <v>69603.08</v>
      </c>
      <c r="M275" s="384"/>
      <c r="N275" s="572">
        <v>0</v>
      </c>
      <c r="O275" s="384"/>
      <c r="P275" s="384"/>
      <c r="Q275" s="384"/>
      <c r="R275" s="384"/>
    </row>
    <row r="276" spans="1:18">
      <c r="A276" s="571" t="s">
        <v>1661</v>
      </c>
      <c r="B276" s="384"/>
      <c r="C276" s="571" t="s">
        <v>1106</v>
      </c>
      <c r="D276" s="384"/>
      <c r="E276" s="543" t="s">
        <v>481</v>
      </c>
      <c r="F276" s="579" t="s">
        <v>1236</v>
      </c>
      <c r="G276" s="583">
        <f t="shared" si="7"/>
        <v>5950</v>
      </c>
      <c r="H276" s="572">
        <v>3301.5</v>
      </c>
      <c r="I276" s="384"/>
      <c r="J276" s="572">
        <v>3301.5</v>
      </c>
      <c r="K276" s="573">
        <v>0</v>
      </c>
      <c r="L276" s="573">
        <v>3301.5</v>
      </c>
      <c r="M276" s="384"/>
      <c r="N276" s="572">
        <v>0</v>
      </c>
      <c r="O276" s="384"/>
      <c r="P276" s="384"/>
      <c r="Q276" s="384"/>
      <c r="R276" s="384"/>
    </row>
    <row r="277" spans="1:18">
      <c r="A277" s="571" t="s">
        <v>1662</v>
      </c>
      <c r="B277" s="384"/>
      <c r="C277" s="571" t="s">
        <v>1107</v>
      </c>
      <c r="D277" s="384"/>
      <c r="E277" s="543" t="s">
        <v>481</v>
      </c>
      <c r="F277" s="579" t="s">
        <v>1663</v>
      </c>
      <c r="G277" s="583">
        <f t="shared" si="7"/>
        <v>5880</v>
      </c>
      <c r="H277" s="572">
        <v>23135.5</v>
      </c>
      <c r="I277" s="384"/>
      <c r="J277" s="572">
        <v>23135.5</v>
      </c>
      <c r="K277" s="573">
        <v>0</v>
      </c>
      <c r="L277" s="573">
        <v>23135.5</v>
      </c>
      <c r="M277" s="384"/>
      <c r="N277" s="572">
        <v>0</v>
      </c>
      <c r="O277" s="384"/>
      <c r="P277" s="384"/>
      <c r="Q277" s="384"/>
      <c r="R277" s="384"/>
    </row>
    <row r="278" spans="1:18">
      <c r="A278" s="571" t="s">
        <v>1664</v>
      </c>
      <c r="B278" s="384"/>
      <c r="C278" s="571" t="s">
        <v>1108</v>
      </c>
      <c r="D278" s="384"/>
      <c r="E278" s="543" t="s">
        <v>481</v>
      </c>
      <c r="F278" s="579" t="s">
        <v>1482</v>
      </c>
      <c r="G278" s="583">
        <f t="shared" si="7"/>
        <v>5796</v>
      </c>
      <c r="H278" s="572">
        <v>56128.08</v>
      </c>
      <c r="I278" s="384"/>
      <c r="J278" s="572">
        <v>56128.08</v>
      </c>
      <c r="K278" s="573">
        <v>0</v>
      </c>
      <c r="L278" s="573">
        <v>56128.08</v>
      </c>
      <c r="M278" s="384"/>
      <c r="N278" s="572">
        <v>0</v>
      </c>
      <c r="O278" s="384"/>
      <c r="P278" s="384"/>
      <c r="Q278" s="384"/>
      <c r="R278" s="384"/>
    </row>
    <row r="279" spans="1:18">
      <c r="A279" s="571" t="s">
        <v>1665</v>
      </c>
      <c r="B279" s="384"/>
      <c r="C279" s="571" t="s">
        <v>1109</v>
      </c>
      <c r="D279" s="384"/>
      <c r="E279" s="543" t="s">
        <v>481</v>
      </c>
      <c r="F279" s="579" t="s">
        <v>1666</v>
      </c>
      <c r="G279" s="583">
        <f t="shared" si="7"/>
        <v>5795</v>
      </c>
      <c r="H279" s="572">
        <v>646.5</v>
      </c>
      <c r="I279" s="384"/>
      <c r="J279" s="572">
        <v>646.5</v>
      </c>
      <c r="K279" s="573">
        <v>0</v>
      </c>
      <c r="L279" s="573">
        <v>646.5</v>
      </c>
      <c r="M279" s="384"/>
      <c r="N279" s="572">
        <v>0</v>
      </c>
      <c r="O279" s="384"/>
      <c r="P279" s="384"/>
      <c r="Q279" s="384"/>
      <c r="R279" s="384"/>
    </row>
    <row r="280" spans="1:18">
      <c r="A280" s="571" t="s">
        <v>1667</v>
      </c>
      <c r="B280" s="384"/>
      <c r="C280" s="571" t="s">
        <v>1110</v>
      </c>
      <c r="D280" s="384"/>
      <c r="E280" s="543" t="s">
        <v>481</v>
      </c>
      <c r="F280" s="579" t="s">
        <v>1210</v>
      </c>
      <c r="G280" s="583">
        <f t="shared" si="7"/>
        <v>5766</v>
      </c>
      <c r="H280" s="572">
        <v>23536.5</v>
      </c>
      <c r="I280" s="384"/>
      <c r="J280" s="572">
        <v>23536.5</v>
      </c>
      <c r="K280" s="573">
        <v>0</v>
      </c>
      <c r="L280" s="573">
        <v>23536.5</v>
      </c>
      <c r="M280" s="384"/>
      <c r="N280" s="572">
        <v>0</v>
      </c>
      <c r="O280" s="384"/>
      <c r="P280" s="384"/>
      <c r="Q280" s="384"/>
      <c r="R280" s="384"/>
    </row>
    <row r="281" spans="1:18" s="537" customFormat="1" ht="15">
      <c r="A281" s="571" t="s">
        <v>1668</v>
      </c>
      <c r="B281" s="384"/>
      <c r="C281" s="571" t="s">
        <v>1111</v>
      </c>
      <c r="D281" s="384"/>
      <c r="E281" s="543" t="s">
        <v>481</v>
      </c>
      <c r="F281" s="579" t="s">
        <v>1486</v>
      </c>
      <c r="G281" s="583">
        <f t="shared" si="7"/>
        <v>5705</v>
      </c>
      <c r="H281" s="572">
        <v>49028</v>
      </c>
      <c r="I281" s="384"/>
      <c r="J281" s="572">
        <v>49028</v>
      </c>
      <c r="K281" s="573">
        <v>0</v>
      </c>
      <c r="L281" s="573">
        <v>49028</v>
      </c>
      <c r="M281" s="384"/>
      <c r="N281" s="572">
        <v>0</v>
      </c>
      <c r="O281" s="384"/>
      <c r="P281" s="384"/>
      <c r="Q281" s="384"/>
      <c r="R281" s="384"/>
    </row>
    <row r="282" spans="1:18">
      <c r="A282" s="571" t="s">
        <v>1669</v>
      </c>
      <c r="B282" s="384"/>
      <c r="C282" s="571" t="s">
        <v>1112</v>
      </c>
      <c r="D282" s="384"/>
      <c r="E282" s="543" t="s">
        <v>481</v>
      </c>
      <c r="F282" s="579" t="s">
        <v>1670</v>
      </c>
      <c r="G282" s="583">
        <f t="shared" si="7"/>
        <v>5677</v>
      </c>
      <c r="H282" s="572">
        <v>822</v>
      </c>
      <c r="I282" s="384"/>
      <c r="J282" s="572">
        <v>822</v>
      </c>
      <c r="K282" s="573">
        <v>0</v>
      </c>
      <c r="L282" s="573">
        <v>822</v>
      </c>
      <c r="M282" s="384"/>
      <c r="N282" s="572">
        <v>0</v>
      </c>
      <c r="O282" s="384"/>
      <c r="P282" s="384"/>
      <c r="Q282" s="384"/>
      <c r="R282" s="384"/>
    </row>
    <row r="283" spans="1:18">
      <c r="A283" s="571" t="s">
        <v>1671</v>
      </c>
      <c r="B283" s="384"/>
      <c r="C283" s="571" t="s">
        <v>1115</v>
      </c>
      <c r="D283" s="384"/>
      <c r="E283" s="543" t="s">
        <v>481</v>
      </c>
      <c r="F283" s="579" t="s">
        <v>1672</v>
      </c>
      <c r="G283" s="583">
        <f t="shared" si="7"/>
        <v>5376</v>
      </c>
      <c r="H283" s="572">
        <v>25929</v>
      </c>
      <c r="I283" s="384"/>
      <c r="J283" s="572">
        <v>25929</v>
      </c>
      <c r="K283" s="573">
        <v>0</v>
      </c>
      <c r="L283" s="573">
        <v>25929</v>
      </c>
      <c r="M283" s="384"/>
      <c r="N283" s="572">
        <v>0</v>
      </c>
      <c r="O283" s="384"/>
      <c r="P283" s="384"/>
      <c r="Q283" s="384"/>
      <c r="R283" s="384"/>
    </row>
    <row r="284" spans="1:18">
      <c r="A284" s="571" t="s">
        <v>1673</v>
      </c>
      <c r="B284" s="384"/>
      <c r="C284" s="571" t="s">
        <v>1116</v>
      </c>
      <c r="D284" s="384"/>
      <c r="E284" s="543" t="s">
        <v>481</v>
      </c>
      <c r="F284" s="579" t="s">
        <v>1674</v>
      </c>
      <c r="G284" s="583">
        <f t="shared" si="7"/>
        <v>5353</v>
      </c>
      <c r="H284" s="572">
        <v>4446.38</v>
      </c>
      <c r="I284" s="384"/>
      <c r="J284" s="572">
        <v>4446.38</v>
      </c>
      <c r="K284" s="573">
        <v>0</v>
      </c>
      <c r="L284" s="573">
        <v>4446.38</v>
      </c>
      <c r="M284" s="384"/>
      <c r="N284" s="572">
        <v>0</v>
      </c>
      <c r="O284" s="384"/>
      <c r="P284" s="384"/>
      <c r="Q284" s="384"/>
      <c r="R284" s="384"/>
    </row>
    <row r="285" spans="1:18">
      <c r="A285" s="571" t="s">
        <v>1675</v>
      </c>
      <c r="B285" s="384"/>
      <c r="C285" s="571" t="s">
        <v>1114</v>
      </c>
      <c r="D285" s="384"/>
      <c r="E285" s="543" t="s">
        <v>481</v>
      </c>
      <c r="F285" s="579" t="s">
        <v>1676</v>
      </c>
      <c r="G285" s="583">
        <f t="shared" si="7"/>
        <v>5432</v>
      </c>
      <c r="H285" s="572">
        <v>3779.5</v>
      </c>
      <c r="I285" s="384"/>
      <c r="J285" s="572">
        <v>3779.5</v>
      </c>
      <c r="K285" s="573">
        <v>0</v>
      </c>
      <c r="L285" s="573">
        <v>3779.5</v>
      </c>
      <c r="M285" s="384"/>
      <c r="N285" s="572">
        <v>0</v>
      </c>
      <c r="O285" s="384"/>
      <c r="P285" s="384"/>
      <c r="Q285" s="384"/>
      <c r="R285" s="384"/>
    </row>
    <row r="286" spans="1:18">
      <c r="A286" s="571" t="s">
        <v>1677</v>
      </c>
      <c r="B286" s="384"/>
      <c r="C286" s="571" t="s">
        <v>1117</v>
      </c>
      <c r="D286" s="384"/>
      <c r="E286" s="543" t="s">
        <v>481</v>
      </c>
      <c r="F286" s="579" t="s">
        <v>1678</v>
      </c>
      <c r="G286" s="583">
        <f t="shared" si="7"/>
        <v>4892</v>
      </c>
      <c r="H286" s="572">
        <v>2896</v>
      </c>
      <c r="I286" s="384"/>
      <c r="J286" s="572">
        <v>2896</v>
      </c>
      <c r="K286" s="573">
        <v>0</v>
      </c>
      <c r="L286" s="573">
        <v>2896</v>
      </c>
      <c r="M286" s="384"/>
      <c r="N286" s="572">
        <v>0</v>
      </c>
      <c r="O286" s="384"/>
      <c r="P286" s="384"/>
      <c r="Q286" s="384"/>
      <c r="R286" s="384"/>
    </row>
    <row r="287" spans="1:18">
      <c r="A287" s="571" t="s">
        <v>1679</v>
      </c>
      <c r="B287" s="384"/>
      <c r="C287" s="571" t="s">
        <v>1101</v>
      </c>
      <c r="D287" s="384"/>
      <c r="E287" s="543" t="s">
        <v>481</v>
      </c>
      <c r="F287" s="579" t="s">
        <v>1680</v>
      </c>
      <c r="G287" s="583">
        <f t="shared" si="7"/>
        <v>3605</v>
      </c>
      <c r="H287" s="572">
        <v>16465.97</v>
      </c>
      <c r="I287" s="384"/>
      <c r="J287" s="572">
        <v>16465.97</v>
      </c>
      <c r="K287" s="573">
        <v>0</v>
      </c>
      <c r="L287" s="573">
        <v>16465.97</v>
      </c>
      <c r="M287" s="384"/>
      <c r="N287" s="572">
        <v>0</v>
      </c>
      <c r="O287" s="384"/>
      <c r="P287" s="384"/>
      <c r="Q287" s="384"/>
      <c r="R287" s="384"/>
    </row>
    <row r="288" spans="1:18">
      <c r="A288" s="571" t="s">
        <v>1681</v>
      </c>
      <c r="B288" s="384"/>
      <c r="C288" s="571" t="s">
        <v>1120</v>
      </c>
      <c r="D288" s="384"/>
      <c r="E288" s="543" t="s">
        <v>481</v>
      </c>
      <c r="F288" s="579" t="s">
        <v>1682</v>
      </c>
      <c r="G288" s="583">
        <f t="shared" si="7"/>
        <v>3542</v>
      </c>
      <c r="H288" s="572">
        <v>19831.21</v>
      </c>
      <c r="I288" s="384"/>
      <c r="J288" s="572">
        <v>19831.21</v>
      </c>
      <c r="K288" s="573">
        <v>0</v>
      </c>
      <c r="L288" s="573">
        <v>19831.21</v>
      </c>
      <c r="M288" s="384"/>
      <c r="N288" s="572">
        <v>0</v>
      </c>
      <c r="O288" s="384"/>
      <c r="P288" s="384"/>
      <c r="Q288" s="384"/>
      <c r="R288" s="384"/>
    </row>
    <row r="289" spans="1:18">
      <c r="A289" s="571" t="s">
        <v>1683</v>
      </c>
      <c r="B289" s="384"/>
      <c r="C289" s="571" t="s">
        <v>1121</v>
      </c>
      <c r="D289" s="384"/>
      <c r="E289" s="543" t="s">
        <v>481</v>
      </c>
      <c r="F289" s="579" t="s">
        <v>1684</v>
      </c>
      <c r="G289" s="583">
        <f t="shared" si="7"/>
        <v>1660</v>
      </c>
      <c r="H289" s="572">
        <v>20882.5</v>
      </c>
      <c r="I289" s="384"/>
      <c r="J289" s="572">
        <v>9397.1299999999992</v>
      </c>
      <c r="K289" s="573">
        <v>2088.25</v>
      </c>
      <c r="L289" s="573">
        <v>11485.38</v>
      </c>
      <c r="M289" s="384"/>
      <c r="N289" s="572">
        <v>9397.1200000000008</v>
      </c>
      <c r="O289" s="384"/>
      <c r="P289" s="384"/>
      <c r="Q289" s="384"/>
      <c r="R289" s="384"/>
    </row>
    <row r="290" spans="1:18">
      <c r="A290" s="571" t="s">
        <v>1685</v>
      </c>
      <c r="B290" s="384"/>
      <c r="C290" s="571" t="s">
        <v>1122</v>
      </c>
      <c r="D290" s="384"/>
      <c r="E290" s="543" t="s">
        <v>481</v>
      </c>
      <c r="F290" s="579" t="s">
        <v>1686</v>
      </c>
      <c r="G290" s="583">
        <f t="shared" si="7"/>
        <v>1486</v>
      </c>
      <c r="H290" s="572">
        <v>62380</v>
      </c>
      <c r="I290" s="384"/>
      <c r="J290" s="572">
        <v>25471.83</v>
      </c>
      <c r="K290" s="573">
        <v>6238</v>
      </c>
      <c r="L290" s="573">
        <v>31709.83</v>
      </c>
      <c r="M290" s="384"/>
      <c r="N290" s="572">
        <v>30670.17</v>
      </c>
      <c r="O290" s="384"/>
      <c r="P290" s="384"/>
      <c r="Q290" s="384"/>
      <c r="R290" s="384"/>
    </row>
    <row r="291" spans="1:18">
      <c r="A291" s="571" t="s">
        <v>1687</v>
      </c>
      <c r="B291" s="384"/>
      <c r="C291" s="571" t="s">
        <v>1688</v>
      </c>
      <c r="D291" s="384"/>
      <c r="E291" s="543" t="s">
        <v>481</v>
      </c>
      <c r="F291" s="579" t="s">
        <v>1689</v>
      </c>
      <c r="G291" s="583">
        <f t="shared" si="7"/>
        <v>1323</v>
      </c>
      <c r="H291" s="572">
        <v>79358.960000000006</v>
      </c>
      <c r="I291" s="384"/>
      <c r="J291" s="572">
        <v>56873.93</v>
      </c>
      <c r="K291" s="573">
        <v>15871.79</v>
      </c>
      <c r="L291" s="573">
        <v>72745.72</v>
      </c>
      <c r="M291" s="384"/>
      <c r="N291" s="572">
        <v>6613.24</v>
      </c>
      <c r="O291" s="384"/>
      <c r="P291" s="384"/>
      <c r="Q291" s="384"/>
      <c r="R291" s="384"/>
    </row>
    <row r="292" spans="1:18">
      <c r="A292" s="571" t="s">
        <v>1690</v>
      </c>
      <c r="B292" s="384"/>
      <c r="C292" s="571" t="s">
        <v>1123</v>
      </c>
      <c r="D292" s="384"/>
      <c r="E292" s="543" t="s">
        <v>481</v>
      </c>
      <c r="F292" s="579" t="s">
        <v>1691</v>
      </c>
      <c r="G292" s="583">
        <f t="shared" si="7"/>
        <v>560</v>
      </c>
      <c r="H292" s="572">
        <v>14043.38</v>
      </c>
      <c r="I292" s="384"/>
      <c r="J292" s="572">
        <v>3009.3</v>
      </c>
      <c r="K292" s="573">
        <v>2006.2</v>
      </c>
      <c r="L292" s="573">
        <v>5015.5</v>
      </c>
      <c r="M292" s="384"/>
      <c r="N292" s="572">
        <v>9027.8799999999992</v>
      </c>
      <c r="O292" s="384"/>
      <c r="P292" s="384"/>
      <c r="Q292" s="384"/>
      <c r="R292" s="384"/>
    </row>
    <row r="293" spans="1:18">
      <c r="A293" s="571" t="s">
        <v>1692</v>
      </c>
      <c r="B293" s="384"/>
      <c r="C293" s="571" t="s">
        <v>1124</v>
      </c>
      <c r="D293" s="384"/>
      <c r="E293" s="543" t="s">
        <v>481</v>
      </c>
      <c r="F293" s="579" t="s">
        <v>1693</v>
      </c>
      <c r="G293" s="583">
        <f t="shared" si="7"/>
        <v>450</v>
      </c>
      <c r="H293" s="572">
        <v>42995.85</v>
      </c>
      <c r="I293" s="384"/>
      <c r="J293" s="572">
        <v>10748.96</v>
      </c>
      <c r="K293" s="573">
        <v>8599.17</v>
      </c>
      <c r="L293" s="573">
        <v>19348.13</v>
      </c>
      <c r="M293" s="384"/>
      <c r="N293" s="572">
        <v>23647.72</v>
      </c>
      <c r="O293" s="384"/>
      <c r="P293" s="384"/>
      <c r="Q293" s="384"/>
      <c r="R293" s="384"/>
    </row>
    <row r="294" spans="1:18">
      <c r="A294" s="571" t="s">
        <v>1694</v>
      </c>
      <c r="B294" s="384"/>
      <c r="C294" s="571" t="s">
        <v>1125</v>
      </c>
      <c r="D294" s="384"/>
      <c r="E294" s="543" t="s">
        <v>481</v>
      </c>
      <c r="F294" s="579" t="s">
        <v>1695</v>
      </c>
      <c r="G294" s="583">
        <f t="shared" si="7"/>
        <v>379</v>
      </c>
      <c r="H294" s="572">
        <v>23538.71</v>
      </c>
      <c r="I294" s="384"/>
      <c r="J294" s="572">
        <v>4707.74</v>
      </c>
      <c r="K294" s="573">
        <v>4707.74</v>
      </c>
      <c r="L294" s="573">
        <v>9415.48</v>
      </c>
      <c r="M294" s="384"/>
      <c r="N294" s="572">
        <v>14123.23</v>
      </c>
      <c r="O294" s="384"/>
      <c r="P294" s="384"/>
      <c r="Q294" s="384"/>
      <c r="R294" s="384"/>
    </row>
    <row r="295" spans="1:18">
      <c r="A295" s="571" t="s">
        <v>1696</v>
      </c>
      <c r="B295" s="384"/>
      <c r="C295" s="571" t="s">
        <v>1126</v>
      </c>
      <c r="D295" s="384"/>
      <c r="E295" s="543" t="s">
        <v>481</v>
      </c>
      <c r="F295" s="579" t="s">
        <v>1697</v>
      </c>
      <c r="G295" s="583">
        <f t="shared" si="7"/>
        <v>245</v>
      </c>
      <c r="H295" s="572">
        <v>77964.240000000005</v>
      </c>
      <c r="I295" s="384"/>
      <c r="J295" s="572">
        <v>5197.62</v>
      </c>
      <c r="K295" s="573">
        <v>7796.42</v>
      </c>
      <c r="L295" s="573">
        <v>12994.04</v>
      </c>
      <c r="M295" s="384"/>
      <c r="N295" s="572">
        <v>64970.2</v>
      </c>
      <c r="O295" s="384"/>
      <c r="P295" s="384"/>
      <c r="Q295" s="384"/>
      <c r="R295" s="384"/>
    </row>
    <row r="296" spans="1:18">
      <c r="A296" s="571" t="s">
        <v>1698</v>
      </c>
      <c r="B296" s="384"/>
      <c r="C296" s="571" t="s">
        <v>1699</v>
      </c>
      <c r="D296" s="384"/>
      <c r="E296" s="543" t="s">
        <v>481</v>
      </c>
      <c r="F296" s="581" t="s">
        <v>1700</v>
      </c>
      <c r="G296" s="583">
        <f t="shared" si="7"/>
        <v>-119</v>
      </c>
      <c r="H296" s="572">
        <v>18788.63</v>
      </c>
      <c r="I296" s="384"/>
      <c r="J296" s="572">
        <v>0</v>
      </c>
      <c r="K296" s="573">
        <v>1789.39</v>
      </c>
      <c r="L296" s="573">
        <v>1789.39</v>
      </c>
      <c r="M296" s="384"/>
      <c r="N296" s="572">
        <v>16999.240000000002</v>
      </c>
      <c r="O296" s="384"/>
      <c r="P296" s="384"/>
      <c r="Q296" s="384"/>
      <c r="R296" s="384"/>
    </row>
    <row r="297" spans="1:18">
      <c r="A297" s="571" t="s">
        <v>1127</v>
      </c>
      <c r="B297" s="384"/>
      <c r="C297" s="384"/>
      <c r="D297" s="384"/>
      <c r="E297" s="543"/>
      <c r="F297" s="580"/>
      <c r="G297" s="539"/>
      <c r="H297" s="572">
        <v>756142.98</v>
      </c>
      <c r="I297" s="384"/>
      <c r="J297" s="572">
        <v>503292.94</v>
      </c>
      <c r="K297" s="573">
        <v>53342.6</v>
      </c>
      <c r="L297" s="573">
        <v>556635.54</v>
      </c>
      <c r="M297" s="384"/>
      <c r="N297" s="572">
        <v>199507.44</v>
      </c>
      <c r="O297" s="384"/>
      <c r="P297" s="384"/>
      <c r="Q297" s="384"/>
      <c r="R297" s="384"/>
    </row>
    <row r="298" spans="1:18">
      <c r="A298" s="571" t="s">
        <v>1128</v>
      </c>
      <c r="B298" s="384"/>
      <c r="C298" s="384"/>
      <c r="D298" s="384"/>
      <c r="E298" s="543"/>
      <c r="F298" s="580"/>
      <c r="G298" s="539"/>
      <c r="H298" s="535">
        <v>0</v>
      </c>
      <c r="I298" s="384"/>
      <c r="J298" s="535">
        <v>0</v>
      </c>
      <c r="K298" s="384">
        <v>0</v>
      </c>
      <c r="L298" s="384">
        <v>0</v>
      </c>
      <c r="M298" s="384"/>
      <c r="N298" s="535">
        <v>0</v>
      </c>
      <c r="O298" s="384"/>
      <c r="P298" s="384"/>
      <c r="Q298" s="384"/>
      <c r="R298" s="384"/>
    </row>
    <row r="299" spans="1:18">
      <c r="A299" s="571" t="s">
        <v>1701</v>
      </c>
      <c r="B299" s="384"/>
      <c r="C299" s="571" t="s">
        <v>1084</v>
      </c>
      <c r="D299" s="384"/>
      <c r="E299" s="543" t="s">
        <v>481</v>
      </c>
      <c r="F299" s="579" t="s">
        <v>1702</v>
      </c>
      <c r="G299" s="583">
        <f t="shared" ref="G299:G304" si="8">G$9-F299</f>
        <v>10062</v>
      </c>
      <c r="H299" s="572">
        <v>256.95</v>
      </c>
      <c r="I299" s="384"/>
      <c r="J299" s="572">
        <v>256.95</v>
      </c>
      <c r="K299" s="573">
        <v>0</v>
      </c>
      <c r="L299" s="573">
        <v>256.95</v>
      </c>
      <c r="M299" s="384"/>
      <c r="N299" s="572">
        <v>0</v>
      </c>
      <c r="O299" s="384"/>
      <c r="P299" s="384"/>
      <c r="Q299" s="384"/>
      <c r="R299" s="384"/>
    </row>
    <row r="300" spans="1:18">
      <c r="A300" s="571" t="s">
        <v>1703</v>
      </c>
      <c r="B300" s="384"/>
      <c r="C300" s="571" t="s">
        <v>1130</v>
      </c>
      <c r="D300" s="384"/>
      <c r="E300" s="543" t="s">
        <v>481</v>
      </c>
      <c r="F300" s="579" t="s">
        <v>1704</v>
      </c>
      <c r="G300" s="583">
        <f t="shared" si="8"/>
        <v>8966</v>
      </c>
      <c r="H300" s="572">
        <v>3071.32</v>
      </c>
      <c r="I300" s="384"/>
      <c r="J300" s="572">
        <v>3020.09</v>
      </c>
      <c r="K300" s="573">
        <v>51.23</v>
      </c>
      <c r="L300" s="573">
        <v>3071.32</v>
      </c>
      <c r="M300" s="384"/>
      <c r="N300" s="572">
        <v>0</v>
      </c>
      <c r="O300" s="384"/>
      <c r="P300" s="384"/>
      <c r="Q300" s="384"/>
      <c r="R300" s="384"/>
    </row>
    <row r="301" spans="1:18">
      <c r="A301" s="571" t="s">
        <v>1705</v>
      </c>
      <c r="B301" s="384"/>
      <c r="C301" s="571" t="s">
        <v>1131</v>
      </c>
      <c r="D301" s="384"/>
      <c r="E301" s="543" t="s">
        <v>481</v>
      </c>
      <c r="F301" s="579" t="s">
        <v>1706</v>
      </c>
      <c r="G301" s="583">
        <f t="shared" si="8"/>
        <v>8259</v>
      </c>
      <c r="H301" s="572">
        <v>240</v>
      </c>
      <c r="I301" s="384"/>
      <c r="J301" s="572">
        <v>240</v>
      </c>
      <c r="K301" s="573">
        <v>0</v>
      </c>
      <c r="L301" s="573">
        <v>240</v>
      </c>
      <c r="M301" s="384"/>
      <c r="N301" s="572">
        <v>0</v>
      </c>
      <c r="O301" s="384"/>
      <c r="P301" s="384"/>
      <c r="Q301" s="384"/>
      <c r="R301" s="384"/>
    </row>
    <row r="302" spans="1:18">
      <c r="A302" s="571" t="s">
        <v>1707</v>
      </c>
      <c r="B302" s="384"/>
      <c r="C302" s="571" t="s">
        <v>1132</v>
      </c>
      <c r="D302" s="384"/>
      <c r="E302" s="543" t="s">
        <v>481</v>
      </c>
      <c r="F302" s="579" t="s">
        <v>1708</v>
      </c>
      <c r="G302" s="583">
        <f t="shared" si="8"/>
        <v>7378</v>
      </c>
      <c r="H302" s="572">
        <v>176.14</v>
      </c>
      <c r="I302" s="384"/>
      <c r="J302" s="572">
        <v>176.14</v>
      </c>
      <c r="K302" s="573">
        <v>0</v>
      </c>
      <c r="L302" s="573">
        <v>176.14</v>
      </c>
      <c r="M302" s="384"/>
      <c r="N302" s="572">
        <v>0</v>
      </c>
      <c r="O302" s="384"/>
      <c r="P302" s="384"/>
      <c r="Q302" s="384"/>
      <c r="R302" s="384"/>
    </row>
    <row r="303" spans="1:18">
      <c r="A303" s="571" t="s">
        <v>1709</v>
      </c>
      <c r="B303" s="384"/>
      <c r="C303" s="571" t="s">
        <v>1133</v>
      </c>
      <c r="D303" s="384"/>
      <c r="E303" s="543" t="s">
        <v>481</v>
      </c>
      <c r="F303" s="579" t="s">
        <v>1710</v>
      </c>
      <c r="G303" s="583">
        <f t="shared" si="8"/>
        <v>6804</v>
      </c>
      <c r="H303" s="572">
        <v>188</v>
      </c>
      <c r="I303" s="384"/>
      <c r="J303" s="572">
        <v>188</v>
      </c>
      <c r="K303" s="573">
        <v>0</v>
      </c>
      <c r="L303" s="573">
        <v>188</v>
      </c>
      <c r="M303" s="384"/>
      <c r="N303" s="572">
        <v>0</v>
      </c>
      <c r="O303" s="384"/>
      <c r="P303" s="384"/>
      <c r="Q303" s="384"/>
      <c r="R303" s="384"/>
    </row>
    <row r="304" spans="1:18">
      <c r="A304" s="571" t="s">
        <v>1711</v>
      </c>
      <c r="B304" s="384"/>
      <c r="C304" s="571" t="s">
        <v>1134</v>
      </c>
      <c r="D304" s="384"/>
      <c r="E304" s="543" t="s">
        <v>481</v>
      </c>
      <c r="F304" s="579" t="s">
        <v>1464</v>
      </c>
      <c r="G304" s="583">
        <f t="shared" si="8"/>
        <v>6713</v>
      </c>
      <c r="H304" s="572">
        <v>213</v>
      </c>
      <c r="I304" s="384"/>
      <c r="J304" s="572">
        <v>213</v>
      </c>
      <c r="K304" s="573">
        <v>0</v>
      </c>
      <c r="L304" s="573">
        <v>213</v>
      </c>
      <c r="M304" s="384"/>
      <c r="N304" s="572">
        <v>0</v>
      </c>
      <c r="O304" s="384"/>
      <c r="P304" s="384"/>
      <c r="Q304" s="384"/>
      <c r="R304" s="384"/>
    </row>
    <row r="305" spans="1:18">
      <c r="A305" s="571" t="s">
        <v>1135</v>
      </c>
      <c r="B305" s="384"/>
      <c r="C305" s="384"/>
      <c r="D305" s="384"/>
      <c r="E305" s="567"/>
      <c r="F305" s="384"/>
      <c r="G305" s="384"/>
      <c r="H305" s="572">
        <v>4145.41</v>
      </c>
      <c r="I305" s="384"/>
      <c r="J305" s="572">
        <v>4094.18</v>
      </c>
      <c r="K305" s="573">
        <v>51.23</v>
      </c>
      <c r="L305" s="573">
        <v>4145.41</v>
      </c>
      <c r="M305" s="384"/>
      <c r="N305" s="572">
        <v>0</v>
      </c>
      <c r="O305" s="384"/>
      <c r="P305" s="384"/>
      <c r="Q305" s="384"/>
      <c r="R305" s="384"/>
    </row>
    <row r="306" spans="1:18">
      <c r="A306" s="571" t="s">
        <v>1136</v>
      </c>
      <c r="B306" s="384"/>
      <c r="C306" s="384"/>
      <c r="D306" s="384"/>
      <c r="E306" s="567"/>
      <c r="F306" s="384"/>
      <c r="G306" s="384"/>
      <c r="H306" s="572">
        <v>11419350.34</v>
      </c>
      <c r="I306" s="384"/>
      <c r="J306" s="572">
        <v>7330251.6100000003</v>
      </c>
      <c r="K306" s="573">
        <f>469109.75+1500</f>
        <v>470609.75</v>
      </c>
      <c r="L306" s="573">
        <v>7799361.3600000003</v>
      </c>
      <c r="M306" s="384"/>
      <c r="N306" s="572">
        <v>3619988.98</v>
      </c>
      <c r="O306" s="535">
        <f>SUM(O15:O305)</f>
        <v>-14614.740000000002</v>
      </c>
      <c r="P306" s="535">
        <f>SUM(P15:P305)</f>
        <v>14614.740000000002</v>
      </c>
      <c r="Q306" s="384"/>
      <c r="R306" s="384"/>
    </row>
    <row r="307" spans="1:18">
      <c r="A307" s="384"/>
      <c r="B307" s="384"/>
      <c r="C307" s="384"/>
      <c r="D307" s="384"/>
      <c r="E307" s="567"/>
      <c r="F307" s="384"/>
      <c r="G307" s="384"/>
      <c r="H307" s="535"/>
      <c r="I307" s="384"/>
      <c r="J307" s="384"/>
      <c r="K307" s="384"/>
      <c r="L307" s="384"/>
      <c r="M307" s="384"/>
      <c r="N307" s="384"/>
      <c r="O307" s="384"/>
      <c r="P307" s="384"/>
      <c r="Q307" s="384"/>
      <c r="R307" s="384"/>
    </row>
    <row r="308" spans="1:18">
      <c r="A308" s="384"/>
      <c r="B308" s="384"/>
      <c r="C308" s="384"/>
      <c r="D308" s="384"/>
      <c r="E308" s="567"/>
      <c r="F308" s="384"/>
      <c r="G308" s="384"/>
      <c r="H308" s="535"/>
      <c r="I308" s="384"/>
      <c r="J308" s="384"/>
      <c r="K308" s="384"/>
      <c r="L308" s="384"/>
      <c r="M308" s="384"/>
      <c r="N308" s="384"/>
      <c r="O308" s="384"/>
      <c r="P308" s="384"/>
      <c r="Q308" s="384"/>
      <c r="R308" s="384"/>
    </row>
    <row r="309" spans="1:18">
      <c r="A309" s="384"/>
      <c r="B309" s="384"/>
      <c r="C309" s="384"/>
      <c r="D309" s="384"/>
      <c r="E309" s="567"/>
      <c r="F309" s="384"/>
      <c r="G309" s="384"/>
      <c r="H309" s="535"/>
      <c r="I309" s="384"/>
      <c r="J309" s="384"/>
      <c r="K309" s="541" t="s">
        <v>154</v>
      </c>
      <c r="L309" s="384"/>
      <c r="M309" s="384"/>
      <c r="N309" s="384"/>
      <c r="O309" s="384"/>
      <c r="P309" s="384"/>
      <c r="Q309" s="384"/>
      <c r="R309" s="384"/>
    </row>
    <row r="310" spans="1:18">
      <c r="A310" s="384"/>
      <c r="B310" s="384"/>
      <c r="C310" s="384"/>
      <c r="D310" s="384"/>
      <c r="E310" s="567"/>
      <c r="F310" s="384"/>
      <c r="G310" s="384"/>
      <c r="H310" s="535"/>
      <c r="I310" s="384"/>
      <c r="J310" s="384"/>
      <c r="K310" s="541" t="s">
        <v>154</v>
      </c>
      <c r="L310" s="384"/>
      <c r="M310" s="384"/>
      <c r="N310" s="384"/>
      <c r="O310" s="384"/>
      <c r="P310" s="384"/>
      <c r="Q310" s="384"/>
      <c r="R310" s="384"/>
    </row>
    <row r="311" spans="1:18">
      <c r="A311" s="384"/>
      <c r="B311" s="384"/>
      <c r="C311" s="384"/>
      <c r="D311" s="384"/>
      <c r="E311" s="567"/>
      <c r="F311" s="384"/>
      <c r="G311" s="384"/>
      <c r="H311" s="535"/>
      <c r="I311" s="384"/>
      <c r="J311" s="384"/>
      <c r="K311" s="384"/>
      <c r="L311" s="384"/>
      <c r="M311" s="384"/>
      <c r="N311" s="384"/>
      <c r="O311" s="384"/>
      <c r="P311" s="384"/>
      <c r="Q311" s="384"/>
      <c r="R311" s="384"/>
    </row>
    <row r="312" spans="1:18">
      <c r="A312" s="384"/>
      <c r="B312" s="384"/>
      <c r="C312" s="384"/>
      <c r="D312" s="384"/>
      <c r="E312" s="567"/>
      <c r="F312" s="384"/>
      <c r="G312" s="384"/>
      <c r="H312" s="535"/>
      <c r="I312" s="384"/>
      <c r="J312" s="384"/>
      <c r="K312" s="384"/>
      <c r="L312" s="384"/>
      <c r="M312" s="384"/>
      <c r="N312" s="384"/>
      <c r="O312" s="384"/>
      <c r="P312" s="384"/>
      <c r="Q312" s="384"/>
      <c r="R312" s="384"/>
    </row>
    <row r="313" spans="1:18">
      <c r="A313" s="384"/>
      <c r="B313" s="384"/>
      <c r="C313" s="384"/>
      <c r="D313" s="384"/>
      <c r="E313" s="567"/>
      <c r="F313" s="384"/>
      <c r="G313" s="384"/>
      <c r="H313" s="535"/>
      <c r="I313" s="384"/>
      <c r="J313" s="384"/>
      <c r="K313" s="1">
        <v>2014</v>
      </c>
      <c r="L313" s="384"/>
      <c r="M313" s="384"/>
      <c r="N313" s="384"/>
      <c r="O313" s="384"/>
      <c r="P313" s="384"/>
      <c r="Q313" s="384"/>
      <c r="R313" s="384"/>
    </row>
    <row r="314" spans="1:18" ht="15">
      <c r="A314" s="384"/>
      <c r="B314" s="384"/>
      <c r="C314" s="574" t="s">
        <v>1137</v>
      </c>
      <c r="D314" s="384"/>
      <c r="E314" s="567"/>
      <c r="F314" s="384"/>
      <c r="G314" s="384"/>
      <c r="H314" s="575" t="s">
        <v>1138</v>
      </c>
      <c r="I314" s="384"/>
      <c r="J314" s="384"/>
      <c r="K314" s="575" t="s">
        <v>1712</v>
      </c>
      <c r="L314" s="1" t="s">
        <v>1139</v>
      </c>
      <c r="M314" s="384"/>
      <c r="N314" s="1" t="s">
        <v>908</v>
      </c>
      <c r="O314" s="384"/>
      <c r="P314" s="384"/>
      <c r="Q314" s="384"/>
      <c r="R314" s="384"/>
    </row>
    <row r="315" spans="1:18" s="537" customFormat="1" ht="15">
      <c r="A315" s="384"/>
      <c r="B315" s="384"/>
      <c r="C315" s="83" t="s">
        <v>761</v>
      </c>
      <c r="D315" s="384"/>
      <c r="E315" s="567"/>
      <c r="F315" s="384"/>
      <c r="G315" s="384"/>
      <c r="H315" s="150">
        <f>SUMIF(E$15:E$304,"G",H$15:H$304)</f>
        <v>1462452.17</v>
      </c>
      <c r="I315" s="384"/>
      <c r="J315" s="384"/>
      <c r="K315" s="150">
        <f>SUMIF(E$15:E$304,"G",K$15:K$304)</f>
        <v>69188.239999999991</v>
      </c>
      <c r="L315" s="536">
        <f>SUMIF(E$15:E$304,"G",L$15:L$304)+SUMIF(E$15:E$304,"G",O$15:O$304)</f>
        <v>1099331.4299999995</v>
      </c>
      <c r="M315" s="384"/>
      <c r="N315" s="150">
        <f>H315-L315</f>
        <v>363120.74000000046</v>
      </c>
      <c r="O315" s="384"/>
      <c r="P315" s="384"/>
      <c r="Q315" s="384"/>
      <c r="R315" s="384"/>
    </row>
    <row r="316" spans="1:18">
      <c r="A316" s="384"/>
      <c r="B316" s="384"/>
      <c r="C316" s="83" t="s">
        <v>763</v>
      </c>
      <c r="D316" s="384"/>
      <c r="E316" s="567"/>
      <c r="F316" s="384"/>
      <c r="G316" s="384"/>
      <c r="H316" s="150">
        <f>SUMIF(E$15:E$304,"D",H$15:H$304)</f>
        <v>6540966.8799999999</v>
      </c>
      <c r="I316" s="384"/>
      <c r="J316" s="384"/>
      <c r="K316" s="150">
        <f>SUMIF(E$15:E$304,"D",K$15:K$304)</f>
        <v>274353.31000000006</v>
      </c>
      <c r="L316" s="536">
        <f>SUMIF(E$15:E$304,"D",L$15:L$304)+SUMIF(E$15:E$304,"D",O$15:O$304)</f>
        <v>4645958.6799999978</v>
      </c>
      <c r="M316" s="384"/>
      <c r="N316" s="150">
        <f t="shared" ref="N316:N318" si="9">H316-L316</f>
        <v>1895008.200000002</v>
      </c>
      <c r="O316" s="384"/>
      <c r="P316" s="384"/>
      <c r="Q316" s="384"/>
      <c r="R316" s="384"/>
    </row>
    <row r="317" spans="1:18">
      <c r="A317" s="384"/>
      <c r="B317" s="384"/>
      <c r="C317" s="83" t="s">
        <v>1140</v>
      </c>
      <c r="D317" s="384"/>
      <c r="E317" s="567"/>
      <c r="F317" s="384"/>
      <c r="G317" s="384"/>
      <c r="H317" s="150">
        <f>SUMIF(E$15:E$304,"P",H$15:H$304)</f>
        <v>3064219.0099999993</v>
      </c>
      <c r="I317" s="384"/>
      <c r="J317" s="384"/>
      <c r="K317" s="150">
        <f>SUMIF(E$15:E$304,"P",K$15:K$304)</f>
        <v>126762.43000000001</v>
      </c>
      <c r="L317" s="536">
        <f>SUMIF(E$15:E$304,"P",L$15:L$304)+SUMIF(E$15:E$304,"P",O$15:O$304)</f>
        <v>1692534.6300000004</v>
      </c>
      <c r="M317" s="384"/>
      <c r="N317" s="150">
        <f t="shared" si="9"/>
        <v>1371684.379999999</v>
      </c>
      <c r="O317" s="384"/>
      <c r="P317" s="384"/>
      <c r="Q317" s="384"/>
      <c r="R317" s="384"/>
    </row>
    <row r="318" spans="1:18">
      <c r="A318" s="384"/>
      <c r="B318" s="384"/>
      <c r="C318" s="83" t="s">
        <v>762</v>
      </c>
      <c r="D318" s="384"/>
      <c r="E318" s="567"/>
      <c r="F318" s="384"/>
      <c r="G318" s="384"/>
      <c r="H318" s="150">
        <f>SUMIF(E$15:E$304,"T",H$15:H$304)</f>
        <v>351712.28</v>
      </c>
      <c r="I318" s="384"/>
      <c r="J318" s="384"/>
      <c r="K318" s="150">
        <f>SUMIF(E$15:E$304,"T",K$15:K$304)</f>
        <v>305.77</v>
      </c>
      <c r="L318" s="536">
        <f>SUMIF(E$15:E$304,"T",L$15:L$304)+SUMIF(E$15:E$304,"T",O$15:O$304)</f>
        <v>346921.88</v>
      </c>
      <c r="M318" s="384"/>
      <c r="N318" s="150">
        <f t="shared" si="9"/>
        <v>4790.4000000000233</v>
      </c>
      <c r="O318" s="384"/>
      <c r="P318" s="384"/>
      <c r="Q318" s="384"/>
      <c r="R318" s="384"/>
    </row>
    <row r="319" spans="1:18">
      <c r="A319" s="384"/>
      <c r="B319" s="384"/>
      <c r="C319" s="83" t="s">
        <v>1713</v>
      </c>
      <c r="D319" s="384"/>
      <c r="E319" s="567"/>
      <c r="F319" s="384"/>
      <c r="G319" s="384"/>
      <c r="H319" s="576">
        <f>SUM(H315:H318)</f>
        <v>11419350.339999998</v>
      </c>
      <c r="I319" s="384"/>
      <c r="J319" s="384"/>
      <c r="K319" s="576">
        <f>SUM(K315:K318)</f>
        <v>470609.75000000006</v>
      </c>
      <c r="L319" s="539">
        <f>SUM(L315:L318)</f>
        <v>7784746.6199999982</v>
      </c>
      <c r="M319" s="384"/>
      <c r="N319" s="576">
        <f>SUM(N315:N318)</f>
        <v>3634603.7200000011</v>
      </c>
      <c r="O319" s="384"/>
      <c r="P319" s="384"/>
      <c r="Q319" s="384"/>
      <c r="R319" s="384"/>
    </row>
    <row r="320" spans="1:18">
      <c r="A320" s="384"/>
      <c r="B320" s="384"/>
      <c r="C320" s="384"/>
      <c r="D320" s="384"/>
      <c r="E320" s="567"/>
      <c r="F320" s="384"/>
      <c r="G320" s="384"/>
      <c r="H320" s="535"/>
      <c r="I320" s="384"/>
      <c r="J320" s="384"/>
      <c r="K320" s="384"/>
      <c r="L320" s="384"/>
      <c r="M320" s="384"/>
      <c r="N320" s="384"/>
      <c r="O320" s="384"/>
      <c r="P320" s="384"/>
      <c r="Q320" s="384"/>
      <c r="R320" s="384"/>
    </row>
    <row r="321" spans="1:18">
      <c r="A321" s="384"/>
      <c r="B321" s="384"/>
      <c r="C321" s="578" t="s">
        <v>1715</v>
      </c>
      <c r="D321" s="384"/>
      <c r="E321" s="567"/>
      <c r="F321" s="384"/>
      <c r="G321" s="384"/>
      <c r="H321" s="535"/>
      <c r="I321" s="384"/>
      <c r="J321" s="384"/>
      <c r="K321" s="384"/>
      <c r="L321" s="539" t="s">
        <v>154</v>
      </c>
      <c r="M321" s="384"/>
      <c r="N321" s="384"/>
      <c r="O321" s="384"/>
      <c r="P321" s="384"/>
      <c r="Q321" s="384"/>
      <c r="R321" s="384"/>
    </row>
    <row r="322" spans="1:18">
      <c r="A322" s="384"/>
      <c r="B322" s="384"/>
      <c r="C322" s="83" t="s">
        <v>761</v>
      </c>
      <c r="D322" s="384"/>
      <c r="E322" s="567"/>
      <c r="F322" s="384"/>
      <c r="G322" s="384"/>
      <c r="H322" s="535">
        <f>SUMIFS(H$15:H$304,E$15:E$304,"G",G$15:G$304,"&lt;1")</f>
        <v>18788.63</v>
      </c>
      <c r="I322" s="384"/>
      <c r="J322" s="384"/>
      <c r="K322" s="384"/>
      <c r="L322" s="384"/>
      <c r="M322" s="384"/>
      <c r="N322" s="384"/>
      <c r="O322" s="384"/>
      <c r="P322" s="384"/>
      <c r="Q322" s="384"/>
      <c r="R322" s="384"/>
    </row>
    <row r="323" spans="1:18">
      <c r="A323" s="384"/>
      <c r="B323" s="384"/>
      <c r="C323" s="83" t="s">
        <v>763</v>
      </c>
      <c r="D323" s="384"/>
      <c r="E323" s="567"/>
      <c r="F323" s="384"/>
      <c r="G323" s="384"/>
      <c r="H323" s="535">
        <f>SUMIFS(H$15:H$304,E$15:E$304,"D",G$15:G$304,"&lt;1")</f>
        <v>319488.42000000004</v>
      </c>
      <c r="I323" s="384"/>
      <c r="J323" s="384"/>
      <c r="K323" s="384"/>
      <c r="L323" s="384"/>
      <c r="M323" s="384"/>
      <c r="N323" s="384"/>
      <c r="O323" s="384"/>
      <c r="P323" s="384"/>
      <c r="Q323" s="384"/>
      <c r="R323" s="384"/>
    </row>
    <row r="324" spans="1:18" s="537" customFormat="1" ht="15">
      <c r="A324" s="384"/>
      <c r="B324" s="384"/>
      <c r="C324" s="83" t="s">
        <v>1140</v>
      </c>
      <c r="D324" s="384"/>
      <c r="E324" s="567"/>
      <c r="F324" s="384"/>
      <c r="G324" s="384"/>
      <c r="H324" s="535">
        <f>SUMIFS(H$15:H$304,E$15:E$304,"P",G$15:G$304,"&lt;1")</f>
        <v>8871.09</v>
      </c>
      <c r="I324" s="384"/>
      <c r="J324" s="384"/>
      <c r="K324" s="384"/>
      <c r="L324" s="384"/>
      <c r="M324" s="384"/>
      <c r="N324" s="384"/>
      <c r="O324" s="384"/>
      <c r="P324" s="384"/>
      <c r="Q324" s="384"/>
      <c r="R324" s="384"/>
    </row>
    <row r="325" spans="1:18" s="537" customFormat="1" ht="15">
      <c r="A325" s="384"/>
      <c r="B325" s="384"/>
      <c r="C325" s="83" t="s">
        <v>762</v>
      </c>
      <c r="D325" s="384"/>
      <c r="E325" s="567"/>
      <c r="F325" s="384"/>
      <c r="G325" s="384"/>
      <c r="H325" s="535">
        <f>SUMIFS(H$15:H$304,E$15:E$304,"T",G$15:G$304,"&lt;1")</f>
        <v>0</v>
      </c>
      <c r="I325" s="384"/>
      <c r="J325" s="384"/>
      <c r="K325" s="384"/>
      <c r="L325" s="384"/>
      <c r="M325" s="384"/>
      <c r="N325" s="384"/>
      <c r="O325" s="384"/>
      <c r="P325" s="384"/>
      <c r="Q325" s="384"/>
      <c r="R325" s="384"/>
    </row>
    <row r="326" spans="1:18">
      <c r="A326" s="384"/>
      <c r="B326" s="384"/>
      <c r="C326" s="83" t="s">
        <v>1713</v>
      </c>
      <c r="D326" s="384"/>
      <c r="E326" s="567"/>
      <c r="F326" s="384"/>
      <c r="G326" s="384"/>
      <c r="H326" s="535">
        <f>SUM(H322:H325)</f>
        <v>347148.14000000007</v>
      </c>
      <c r="I326" s="384"/>
      <c r="J326" s="384"/>
      <c r="K326" s="384"/>
      <c r="L326" s="384"/>
      <c r="M326" s="384"/>
      <c r="N326" s="384"/>
      <c r="O326" s="384"/>
      <c r="P326" s="384"/>
      <c r="Q326" s="384"/>
      <c r="R326" s="384"/>
    </row>
    <row r="327" spans="1:18">
      <c r="A327" s="384"/>
      <c r="B327" s="384"/>
      <c r="C327" s="384"/>
      <c r="D327" s="384"/>
      <c r="E327" s="567"/>
      <c r="F327" s="384"/>
      <c r="G327" s="384"/>
      <c r="H327" s="535"/>
      <c r="I327" s="384"/>
      <c r="J327" s="384"/>
      <c r="K327" s="384"/>
      <c r="L327" s="384"/>
      <c r="M327" s="384"/>
      <c r="N327" s="384"/>
      <c r="O327" s="384"/>
      <c r="P327" s="384"/>
      <c r="Q327" s="384"/>
      <c r="R327" s="384"/>
    </row>
    <row r="328" spans="1:18">
      <c r="A328" s="384"/>
      <c r="B328" s="384"/>
      <c r="C328" s="541" t="s">
        <v>1769</v>
      </c>
      <c r="D328" s="384"/>
      <c r="E328" s="567"/>
      <c r="F328" s="384"/>
      <c r="G328" s="384"/>
      <c r="H328" s="535"/>
      <c r="I328" s="384"/>
      <c r="J328" s="384"/>
      <c r="K328" s="586" t="s">
        <v>154</v>
      </c>
      <c r="L328" s="384"/>
      <c r="M328" s="384"/>
      <c r="N328" s="384"/>
      <c r="O328" s="384"/>
      <c r="P328" s="384"/>
      <c r="Q328" s="384"/>
      <c r="R328" s="384"/>
    </row>
    <row r="329" spans="1:18">
      <c r="A329" s="384"/>
      <c r="B329" s="384"/>
      <c r="C329" s="83" t="s">
        <v>761</v>
      </c>
      <c r="D329" s="384"/>
      <c r="E329" s="567"/>
      <c r="F329" s="384"/>
      <c r="G329" s="384"/>
      <c r="H329" s="535">
        <v>70996.349999999991</v>
      </c>
      <c r="I329" s="384"/>
      <c r="J329" s="384"/>
      <c r="K329" s="1"/>
      <c r="L329" s="539">
        <f>H329</f>
        <v>70996.349999999991</v>
      </c>
      <c r="M329" s="384"/>
      <c r="N329" s="384"/>
      <c r="O329" s="384"/>
      <c r="P329" s="384"/>
      <c r="Q329" s="384"/>
      <c r="R329" s="384"/>
    </row>
    <row r="330" spans="1:18">
      <c r="A330" s="384"/>
      <c r="B330" s="384"/>
      <c r="C330" s="83" t="s">
        <v>763</v>
      </c>
      <c r="D330" s="384"/>
      <c r="E330" s="567"/>
      <c r="F330" s="384"/>
      <c r="G330" s="384"/>
      <c r="H330" s="535">
        <v>37537.850000000006</v>
      </c>
      <c r="I330" s="384"/>
      <c r="J330" s="384"/>
      <c r="K330" s="1"/>
      <c r="L330" s="539">
        <f>H330</f>
        <v>37537.850000000006</v>
      </c>
      <c r="M330" s="384"/>
      <c r="N330" s="384"/>
      <c r="O330" s="384"/>
      <c r="P330" s="384"/>
      <c r="Q330" s="384"/>
      <c r="R330" s="384"/>
    </row>
    <row r="331" spans="1:18">
      <c r="A331" s="384"/>
      <c r="B331" s="384"/>
      <c r="C331" s="83" t="s">
        <v>1140</v>
      </c>
      <c r="D331" s="384"/>
      <c r="E331" s="567"/>
      <c r="F331" s="384"/>
      <c r="G331" s="384"/>
      <c r="H331" s="535">
        <v>0</v>
      </c>
      <c r="I331" s="384"/>
      <c r="J331" s="384"/>
      <c r="K331" s="1"/>
      <c r="L331" s="384"/>
      <c r="M331" s="384"/>
      <c r="N331" s="384"/>
      <c r="O331" s="384"/>
      <c r="P331" s="384"/>
      <c r="Q331" s="384"/>
      <c r="R331" s="384"/>
    </row>
    <row r="332" spans="1:18">
      <c r="A332" s="384"/>
      <c r="B332" s="384"/>
      <c r="C332" s="83" t="s">
        <v>762</v>
      </c>
      <c r="D332" s="384"/>
      <c r="E332" s="567"/>
      <c r="F332" s="384"/>
      <c r="G332" s="384"/>
      <c r="H332" s="535">
        <v>0</v>
      </c>
      <c r="I332" s="384"/>
      <c r="J332" s="384"/>
      <c r="K332" s="1"/>
      <c r="L332" s="384"/>
      <c r="M332" s="384"/>
      <c r="N332" s="384"/>
      <c r="O332" s="384"/>
      <c r="P332" s="384"/>
      <c r="Q332" s="384"/>
      <c r="R332" s="384"/>
    </row>
    <row r="333" spans="1:18">
      <c r="A333" s="384"/>
      <c r="B333" s="384"/>
      <c r="C333" s="83" t="s">
        <v>1713</v>
      </c>
      <c r="D333" s="384"/>
      <c r="E333" s="567"/>
      <c r="F333" s="384"/>
      <c r="G333" s="384"/>
      <c r="H333" s="535">
        <v>108534.2</v>
      </c>
      <c r="I333" s="384"/>
      <c r="J333" s="384"/>
      <c r="K333" s="1"/>
      <c r="L333" s="539">
        <f>SUM(L329:L332)</f>
        <v>108534.2</v>
      </c>
      <c r="M333" s="384"/>
      <c r="N333" s="384"/>
      <c r="O333" s="384"/>
      <c r="P333" s="384"/>
      <c r="Q333" s="384"/>
      <c r="R333" s="384"/>
    </row>
    <row r="334" spans="1:18">
      <c r="A334" s="384"/>
      <c r="B334" s="384"/>
      <c r="C334" s="384"/>
      <c r="D334" s="384"/>
      <c r="E334" s="567"/>
      <c r="F334" s="384"/>
      <c r="G334" s="384"/>
      <c r="H334" s="535"/>
      <c r="I334" s="384"/>
      <c r="J334" s="384"/>
      <c r="K334" s="1"/>
      <c r="L334" s="384"/>
      <c r="M334" s="384"/>
      <c r="N334" s="384"/>
      <c r="O334" s="384"/>
      <c r="P334" s="384"/>
      <c r="Q334" s="384"/>
      <c r="R334" s="384"/>
    </row>
    <row r="335" spans="1:18">
      <c r="A335" s="384"/>
      <c r="B335" s="384"/>
      <c r="C335" s="384"/>
      <c r="D335" s="384"/>
      <c r="E335" s="567"/>
      <c r="F335" s="384"/>
      <c r="G335" s="384"/>
      <c r="H335" s="535"/>
      <c r="I335" s="384"/>
      <c r="J335" s="384"/>
      <c r="K335" s="1"/>
      <c r="L335" s="384"/>
      <c r="M335" s="384"/>
      <c r="N335" s="384"/>
      <c r="O335" s="384"/>
      <c r="P335" s="384"/>
      <c r="Q335" s="384"/>
      <c r="R335" s="384"/>
    </row>
    <row r="336" spans="1:18">
      <c r="A336" s="384"/>
      <c r="B336" s="384"/>
      <c r="C336" s="384"/>
      <c r="D336" s="384"/>
      <c r="E336" s="567"/>
      <c r="F336" s="384"/>
      <c r="G336" s="384"/>
      <c r="H336" s="535"/>
      <c r="I336" s="384"/>
      <c r="J336" s="384"/>
      <c r="K336" s="1"/>
      <c r="L336" s="384"/>
      <c r="M336" s="384"/>
      <c r="N336" s="384"/>
      <c r="O336" s="384"/>
      <c r="P336" s="384"/>
      <c r="Q336" s="384"/>
      <c r="R336" s="384"/>
    </row>
    <row r="337" spans="1:18" ht="15">
      <c r="A337" s="384"/>
      <c r="B337" s="384"/>
      <c r="C337" s="574" t="s">
        <v>1714</v>
      </c>
      <c r="D337" s="384"/>
      <c r="E337" s="567"/>
      <c r="F337" s="384"/>
      <c r="G337" s="384"/>
      <c r="H337" s="575" t="s">
        <v>1138</v>
      </c>
      <c r="I337" s="384"/>
      <c r="J337" s="384"/>
      <c r="K337" s="575" t="s">
        <v>1712</v>
      </c>
      <c r="L337" s="1" t="s">
        <v>1139</v>
      </c>
      <c r="M337" s="384"/>
      <c r="N337" s="1" t="s">
        <v>908</v>
      </c>
      <c r="O337" s="384"/>
      <c r="P337" s="384"/>
      <c r="Q337" s="384"/>
      <c r="R337" s="384"/>
    </row>
    <row r="338" spans="1:18">
      <c r="A338" s="384"/>
      <c r="B338" s="384"/>
      <c r="C338" s="83" t="s">
        <v>761</v>
      </c>
      <c r="D338" s="384"/>
      <c r="E338" s="567"/>
      <c r="F338" s="384"/>
      <c r="G338" s="384"/>
      <c r="H338" s="150">
        <f>SUMIF(E$15:E$304,"G",H$15:H$304)</f>
        <v>1462452.17</v>
      </c>
      <c r="I338" s="384"/>
      <c r="J338" s="384"/>
      <c r="K338" s="150">
        <f>SUMIF(E$15:E$304,"G",K$15:K$304)</f>
        <v>69188.239999999991</v>
      </c>
      <c r="L338" s="150">
        <f>SUMIF(E$15:E$304,"G",L$15:L$304)</f>
        <v>1099331.4299999995</v>
      </c>
      <c r="M338" s="384"/>
      <c r="N338" s="150">
        <f>H338-L338</f>
        <v>363120.74000000046</v>
      </c>
      <c r="O338" s="384"/>
      <c r="P338" s="384"/>
      <c r="Q338" s="384"/>
      <c r="R338" s="384"/>
    </row>
    <row r="339" spans="1:18">
      <c r="A339" s="384"/>
      <c r="B339" s="384"/>
      <c r="C339" s="83" t="s">
        <v>763</v>
      </c>
      <c r="D339" s="384"/>
      <c r="E339" s="567"/>
      <c r="F339" s="384"/>
      <c r="G339" s="384"/>
      <c r="H339" s="150">
        <f>SUMIF(E$15:E$304,"D",H$15:H$304)</f>
        <v>6540966.8799999999</v>
      </c>
      <c r="I339" s="384"/>
      <c r="J339" s="384"/>
      <c r="K339" s="150">
        <f>SUMIF(E$15:E$304,"D",K$15:K$304)</f>
        <v>274353.31000000006</v>
      </c>
      <c r="L339" s="150">
        <f>SUMIF(E$15:E$304,"D",L$15:L$304)</f>
        <v>4646102.8499999978</v>
      </c>
      <c r="M339" s="384"/>
      <c r="N339" s="150">
        <f t="shared" ref="N339:N341" si="10">H339-L339</f>
        <v>1894864.0300000021</v>
      </c>
      <c r="O339" s="384"/>
      <c r="P339" s="384"/>
      <c r="Q339" s="384"/>
      <c r="R339" s="384"/>
    </row>
    <row r="340" spans="1:18">
      <c r="A340" s="384"/>
      <c r="B340" s="384"/>
      <c r="C340" s="83" t="s">
        <v>1140</v>
      </c>
      <c r="D340" s="384"/>
      <c r="E340" s="567"/>
      <c r="F340" s="384"/>
      <c r="G340" s="384"/>
      <c r="H340" s="150">
        <f>SUMIF(E$15:E$304,"P",H$15:H$304)</f>
        <v>3064219.0099999993</v>
      </c>
      <c r="I340" s="384"/>
      <c r="J340" s="384"/>
      <c r="K340" s="150">
        <f>SUMIF(E$15:E$304,"P",K$15:K$304)</f>
        <v>126762.43000000001</v>
      </c>
      <c r="L340" s="150">
        <f>SUMIF(E$15:E$304,"P",L$15:L$304)</f>
        <v>1707005.2000000004</v>
      </c>
      <c r="M340" s="384"/>
      <c r="N340" s="150">
        <f t="shared" si="10"/>
        <v>1357213.8099999989</v>
      </c>
      <c r="O340" s="384"/>
      <c r="P340" s="384"/>
      <c r="Q340" s="384"/>
      <c r="R340" s="384"/>
    </row>
    <row r="341" spans="1:18">
      <c r="A341" s="384"/>
      <c r="B341" s="384"/>
      <c r="C341" s="83" t="s">
        <v>762</v>
      </c>
      <c r="D341" s="384"/>
      <c r="E341" s="567"/>
      <c r="F341" s="384"/>
      <c r="G341" s="384"/>
      <c r="H341" s="150">
        <f>SUMIF(E$15:E$304,"T",H$15:H$304)</f>
        <v>351712.28</v>
      </c>
      <c r="I341" s="384"/>
      <c r="J341" s="384"/>
      <c r="K341" s="150">
        <f>SUMIF(E$15:E$304,"T",K$15:K$304)</f>
        <v>305.77</v>
      </c>
      <c r="L341" s="150">
        <f>SUMIF(E$15:E$304,"T",L$15:L$304)</f>
        <v>346921.88</v>
      </c>
      <c r="M341" s="384"/>
      <c r="N341" s="150">
        <f t="shared" si="10"/>
        <v>4790.4000000000233</v>
      </c>
      <c r="O341" s="384"/>
      <c r="P341" s="384"/>
      <c r="Q341" s="384"/>
      <c r="R341" s="384"/>
    </row>
    <row r="342" spans="1:18">
      <c r="A342" s="384"/>
      <c r="B342" s="384"/>
      <c r="C342" s="577" t="s">
        <v>1713</v>
      </c>
      <c r="D342" s="384"/>
      <c r="E342" s="567"/>
      <c r="F342" s="384"/>
      <c r="G342" s="384"/>
      <c r="H342" s="576">
        <f>SUM(H338:H341)</f>
        <v>11419350.339999998</v>
      </c>
      <c r="I342" s="384"/>
      <c r="J342" s="384"/>
      <c r="K342" s="576">
        <f>SUM(K338:K341)</f>
        <v>470609.75000000006</v>
      </c>
      <c r="L342" s="576">
        <f>SUM(L338:L341)</f>
        <v>7799361.3599999975</v>
      </c>
      <c r="M342" s="384"/>
      <c r="N342" s="576">
        <f>SUM(N338:N341)</f>
        <v>3619988.9800000009</v>
      </c>
      <c r="O342" s="384"/>
      <c r="P342" s="384"/>
      <c r="Q342" s="384"/>
      <c r="R342" s="384"/>
    </row>
    <row r="343" spans="1:18">
      <c r="A343" s="384"/>
      <c r="B343" s="384"/>
      <c r="C343" s="384"/>
      <c r="D343" s="384"/>
      <c r="E343" s="567"/>
      <c r="F343" s="384"/>
      <c r="G343" s="384"/>
      <c r="H343" s="535"/>
      <c r="I343" s="384"/>
      <c r="J343" s="384"/>
      <c r="K343" s="384"/>
      <c r="L343" s="384"/>
      <c r="M343" s="384"/>
      <c r="N343" s="384"/>
      <c r="O343" s="384"/>
      <c r="P343" s="384"/>
      <c r="Q343" s="384"/>
      <c r="R343" s="384"/>
    </row>
    <row r="344" spans="1:18">
      <c r="A344" s="384"/>
      <c r="B344" s="384"/>
      <c r="C344" s="384"/>
      <c r="D344" s="384"/>
      <c r="E344" s="567"/>
      <c r="F344" s="384"/>
      <c r="G344" s="384"/>
      <c r="H344" s="535"/>
      <c r="I344" s="384"/>
      <c r="J344" s="384"/>
      <c r="K344" s="384"/>
      <c r="L344" s="384"/>
      <c r="M344" s="384"/>
      <c r="N344" s="384"/>
      <c r="O344" s="384"/>
      <c r="P344" s="384"/>
      <c r="Q344" s="384"/>
      <c r="R344" s="384"/>
    </row>
    <row r="345" spans="1:18">
      <c r="A345" s="384"/>
      <c r="B345" s="384"/>
      <c r="C345" s="384"/>
      <c r="D345" s="384"/>
      <c r="E345" s="567"/>
      <c r="F345" s="384"/>
      <c r="G345" s="384"/>
      <c r="H345" s="535"/>
      <c r="I345" s="384"/>
      <c r="J345" s="384"/>
      <c r="K345" s="384"/>
      <c r="L345" s="384"/>
      <c r="M345" s="384"/>
      <c r="N345" s="384"/>
      <c r="O345" s="384"/>
      <c r="P345" s="384"/>
      <c r="Q345" s="384"/>
      <c r="R345" s="384"/>
    </row>
    <row r="346" spans="1:18">
      <c r="A346" s="384"/>
      <c r="B346" s="384"/>
      <c r="C346" s="384"/>
      <c r="D346" s="384"/>
      <c r="E346" s="567"/>
      <c r="F346" s="384"/>
      <c r="G346" s="384"/>
      <c r="H346" s="535"/>
      <c r="I346" s="384"/>
      <c r="J346" s="384"/>
      <c r="K346" s="384"/>
      <c r="L346" s="384"/>
      <c r="M346" s="384"/>
      <c r="N346" s="384"/>
      <c r="O346" s="384"/>
      <c r="P346" s="384"/>
      <c r="Q346" s="384"/>
      <c r="R346" s="384"/>
    </row>
    <row r="347" spans="1:18">
      <c r="A347" s="384"/>
      <c r="B347" s="384"/>
      <c r="C347" s="541" t="s">
        <v>1717</v>
      </c>
      <c r="D347" s="384"/>
      <c r="E347" s="567"/>
      <c r="G347" s="384"/>
      <c r="H347" s="1" t="s">
        <v>1138</v>
      </c>
      <c r="I347" s="384"/>
      <c r="K347" s="384"/>
      <c r="L347" s="535" t="s">
        <v>1141</v>
      </c>
      <c r="M347" s="384"/>
      <c r="N347" s="384" t="s">
        <v>908</v>
      </c>
      <c r="O347" s="384"/>
      <c r="P347" s="384"/>
      <c r="Q347" s="384"/>
      <c r="R347" s="384"/>
    </row>
    <row r="348" spans="1:18">
      <c r="A348" s="384"/>
      <c r="B348" s="384"/>
      <c r="C348" s="384" t="s">
        <v>761</v>
      </c>
      <c r="D348" s="384"/>
      <c r="E348" s="567"/>
      <c r="G348" s="150"/>
      <c r="H348" s="150">
        <v>1514659.8899999997</v>
      </c>
      <c r="I348" s="150"/>
      <c r="K348" s="384"/>
      <c r="L348" s="150">
        <v>1101139.5299999998</v>
      </c>
      <c r="M348" s="384"/>
      <c r="N348" s="150">
        <v>413520.35999999987</v>
      </c>
      <c r="O348" s="384"/>
      <c r="P348" s="384"/>
      <c r="Q348" s="384"/>
      <c r="R348" s="384"/>
    </row>
    <row r="349" spans="1:18">
      <c r="A349" s="384"/>
      <c r="B349" s="384"/>
      <c r="C349" s="384" t="s">
        <v>763</v>
      </c>
      <c r="D349" s="384"/>
      <c r="E349" s="567"/>
      <c r="G349" s="150"/>
      <c r="H349" s="150">
        <v>6259016.3099999977</v>
      </c>
      <c r="I349" s="150"/>
      <c r="K349" s="384"/>
      <c r="L349" s="150">
        <v>4409287.8599999985</v>
      </c>
      <c r="M349" s="384"/>
      <c r="N349" s="150">
        <v>1849728.4499999993</v>
      </c>
      <c r="O349" s="384"/>
      <c r="P349" s="384"/>
      <c r="Q349" s="384"/>
      <c r="R349" s="384"/>
    </row>
    <row r="350" spans="1:18">
      <c r="A350" s="384"/>
      <c r="B350" s="384"/>
      <c r="C350" s="384" t="s">
        <v>1140</v>
      </c>
      <c r="D350" s="384"/>
      <c r="E350" s="567"/>
      <c r="G350" s="150"/>
      <c r="H350" s="150">
        <v>3055347.9599999995</v>
      </c>
      <c r="I350" s="150"/>
      <c r="K350" s="384"/>
      <c r="L350" s="150">
        <v>1580242.7699999998</v>
      </c>
      <c r="M350" s="384"/>
      <c r="N350" s="150">
        <v>1475105.1899999997</v>
      </c>
      <c r="O350" s="384"/>
      <c r="P350" s="384"/>
      <c r="Q350" s="384"/>
      <c r="R350" s="384"/>
    </row>
    <row r="351" spans="1:18">
      <c r="A351" s="384"/>
      <c r="B351" s="384"/>
      <c r="C351" s="384" t="s">
        <v>762</v>
      </c>
      <c r="D351" s="384"/>
      <c r="E351" s="567"/>
      <c r="G351" s="150"/>
      <c r="H351" s="150">
        <v>351712.28</v>
      </c>
      <c r="I351" s="150"/>
      <c r="K351" s="384"/>
      <c r="L351" s="150">
        <v>346616.11</v>
      </c>
      <c r="M351" s="384"/>
      <c r="N351" s="150">
        <v>5096.1700000000419</v>
      </c>
      <c r="O351" s="384"/>
      <c r="P351" s="384"/>
      <c r="Q351" s="384"/>
      <c r="R351" s="384"/>
    </row>
    <row r="352" spans="1:18">
      <c r="A352" s="384"/>
      <c r="B352" s="384"/>
      <c r="C352" s="384"/>
      <c r="D352" s="384"/>
      <c r="E352" s="567"/>
      <c r="G352" s="150"/>
      <c r="H352" s="150">
        <v>11180736.439999996</v>
      </c>
      <c r="I352" s="150"/>
      <c r="K352" s="384"/>
      <c r="L352" s="150">
        <v>7437286.2699999986</v>
      </c>
      <c r="M352" s="384"/>
      <c r="N352" s="150">
        <v>3743450.169999999</v>
      </c>
      <c r="O352" s="384"/>
      <c r="P352" s="384"/>
      <c r="Q352" s="384"/>
      <c r="R352" s="384"/>
    </row>
    <row r="353" spans="1:18">
      <c r="A353" s="384"/>
      <c r="B353" s="384"/>
      <c r="C353" s="384"/>
      <c r="D353" s="384"/>
      <c r="E353" s="567"/>
      <c r="F353" s="384"/>
      <c r="G353" s="384"/>
      <c r="H353" s="535"/>
      <c r="I353" s="384"/>
      <c r="J353" s="384"/>
      <c r="K353" s="384"/>
      <c r="L353" s="384"/>
      <c r="M353" s="384"/>
      <c r="N353" s="384"/>
      <c r="O353" s="384"/>
      <c r="P353" s="384"/>
      <c r="Q353" s="384"/>
      <c r="R353" s="384"/>
    </row>
    <row r="354" spans="1:18">
      <c r="A354" s="384"/>
      <c r="B354" s="384"/>
      <c r="C354" s="384"/>
      <c r="D354" s="384"/>
      <c r="E354" s="567"/>
      <c r="F354" s="384"/>
      <c r="G354" s="384"/>
      <c r="H354" s="535"/>
      <c r="I354" s="384"/>
      <c r="J354" s="384"/>
      <c r="K354" s="384"/>
      <c r="L354" s="384"/>
      <c r="M354" s="384"/>
      <c r="N354" s="384"/>
      <c r="O354" s="384"/>
      <c r="P354" s="384"/>
      <c r="Q354" s="384"/>
      <c r="R354" s="384"/>
    </row>
    <row r="355" spans="1:18">
      <c r="A355" s="384"/>
      <c r="B355" s="384"/>
      <c r="C355" s="541" t="s">
        <v>1718</v>
      </c>
      <c r="D355" s="384"/>
      <c r="E355" s="567"/>
      <c r="F355" s="384"/>
      <c r="G355" s="384"/>
      <c r="H355" s="535"/>
      <c r="I355" s="384"/>
      <c r="J355" s="384"/>
      <c r="K355" s="384"/>
      <c r="L355" s="384"/>
      <c r="M355" s="384"/>
      <c r="N355" s="384"/>
      <c r="O355" s="384"/>
      <c r="P355" s="384"/>
      <c r="Q355" s="384"/>
      <c r="R355" s="384"/>
    </row>
    <row r="356" spans="1:18">
      <c r="A356" s="384"/>
      <c r="B356" s="384"/>
      <c r="C356" s="384" t="s">
        <v>761</v>
      </c>
      <c r="D356" s="384"/>
      <c r="E356" s="567"/>
      <c r="F356" s="384"/>
      <c r="G356" s="384"/>
      <c r="H356" s="535">
        <f>H348+H322-H329</f>
        <v>1462452.1699999995</v>
      </c>
      <c r="I356" s="384"/>
      <c r="J356" s="384"/>
      <c r="K356" s="384"/>
      <c r="L356" s="576">
        <f>L348+K338-L329</f>
        <v>1099331.4199999997</v>
      </c>
      <c r="M356" s="384"/>
      <c r="N356" s="384"/>
      <c r="O356" s="384"/>
      <c r="P356" s="384"/>
      <c r="Q356" s="384"/>
      <c r="R356" s="384"/>
    </row>
    <row r="357" spans="1:18">
      <c r="A357" s="384"/>
      <c r="B357" s="384"/>
      <c r="C357" s="384" t="s">
        <v>763</v>
      </c>
      <c r="D357" s="384"/>
      <c r="E357" s="567"/>
      <c r="F357" s="384"/>
      <c r="G357" s="384"/>
      <c r="H357" s="535">
        <f>H349+H323-H330</f>
        <v>6540966.879999998</v>
      </c>
      <c r="I357" s="384"/>
      <c r="J357" s="384"/>
      <c r="K357" s="384"/>
      <c r="L357" s="576">
        <f>L349+K339-L330</f>
        <v>4646103.3199999984</v>
      </c>
      <c r="M357" s="384"/>
      <c r="N357" s="384"/>
      <c r="O357" s="384"/>
      <c r="P357" s="384"/>
      <c r="Q357" s="384"/>
      <c r="R357" s="384"/>
    </row>
    <row r="358" spans="1:18">
      <c r="A358" s="384"/>
      <c r="B358" s="384"/>
      <c r="C358" s="384" t="s">
        <v>1140</v>
      </c>
      <c r="D358" s="384"/>
      <c r="E358" s="567"/>
      <c r="F358" s="384"/>
      <c r="G358" s="384"/>
      <c r="H358" s="535">
        <f t="shared" ref="H358:H359" si="11">H350+H324-H331</f>
        <v>3064219.0499999993</v>
      </c>
      <c r="I358" s="384"/>
      <c r="J358" s="384"/>
      <c r="K358" s="384"/>
      <c r="L358" s="576">
        <f>L350+K340-L331</f>
        <v>1707005.1999999997</v>
      </c>
      <c r="M358" s="384"/>
      <c r="N358" s="384"/>
      <c r="O358" s="384"/>
      <c r="P358" s="384"/>
      <c r="Q358" s="384"/>
      <c r="R358" s="384"/>
    </row>
    <row r="359" spans="1:18">
      <c r="A359" s="384"/>
      <c r="B359" s="384"/>
      <c r="C359" s="384" t="s">
        <v>762</v>
      </c>
      <c r="D359" s="384"/>
      <c r="E359" s="567"/>
      <c r="F359" s="384"/>
      <c r="G359" s="384"/>
      <c r="H359" s="535">
        <f t="shared" si="11"/>
        <v>351712.28</v>
      </c>
      <c r="I359" s="384"/>
      <c r="J359" s="384"/>
      <c r="K359" s="384"/>
      <c r="L359" s="576">
        <f>L351+K341-L332</f>
        <v>346921.88</v>
      </c>
      <c r="M359" s="384"/>
      <c r="N359" s="384"/>
      <c r="O359" s="384"/>
      <c r="P359" s="384"/>
      <c r="Q359" s="384"/>
      <c r="R359" s="384"/>
    </row>
    <row r="360" spans="1:18">
      <c r="A360" s="384"/>
      <c r="B360" s="384"/>
      <c r="C360" s="384"/>
      <c r="D360" s="384"/>
      <c r="E360" s="567"/>
      <c r="F360" s="384"/>
      <c r="G360" s="384"/>
      <c r="H360" s="535">
        <f>SUM(H356:H359)</f>
        <v>11419350.379999995</v>
      </c>
      <c r="I360" s="384"/>
      <c r="J360" s="384"/>
      <c r="K360" s="384"/>
      <c r="L360" s="576">
        <f>SUM(L356:L359)</f>
        <v>7799361.8199999975</v>
      </c>
      <c r="M360" s="384"/>
      <c r="N360" s="384"/>
      <c r="O360" s="384"/>
      <c r="P360" s="384"/>
      <c r="Q360" s="384"/>
      <c r="R360" s="384"/>
    </row>
    <row r="361" spans="1:18">
      <c r="A361" s="384"/>
      <c r="B361" s="384"/>
      <c r="C361" s="384"/>
      <c r="D361" s="384"/>
      <c r="E361" s="567"/>
      <c r="F361" s="384"/>
      <c r="G361" s="384"/>
      <c r="H361" s="535"/>
      <c r="I361" s="384"/>
      <c r="J361" s="384"/>
      <c r="K361" s="384"/>
      <c r="L361" s="384"/>
      <c r="M361" s="384"/>
      <c r="N361" s="384"/>
      <c r="O361" s="384"/>
      <c r="P361" s="384"/>
      <c r="Q361" s="384"/>
      <c r="R361" s="384"/>
    </row>
    <row r="362" spans="1:18">
      <c r="A362" s="384"/>
      <c r="B362" s="384"/>
      <c r="C362" s="384"/>
      <c r="D362" s="384"/>
      <c r="E362" s="567"/>
      <c r="F362" s="384"/>
      <c r="G362" s="384"/>
      <c r="H362" s="585" t="s">
        <v>154</v>
      </c>
      <c r="I362" s="384"/>
      <c r="J362" s="384"/>
      <c r="K362" s="384"/>
      <c r="L362" s="384"/>
      <c r="M362" s="384"/>
      <c r="N362" s="384"/>
      <c r="O362" s="384"/>
      <c r="P362" s="384"/>
      <c r="Q362" s="384"/>
      <c r="R362" s="384"/>
    </row>
    <row r="363" spans="1:18">
      <c r="A363" s="384"/>
      <c r="B363" s="384"/>
      <c r="C363" s="384"/>
      <c r="D363" s="384"/>
      <c r="E363" s="567"/>
      <c r="F363" s="384"/>
      <c r="G363" s="384"/>
      <c r="H363" s="535"/>
      <c r="I363" s="384"/>
      <c r="J363" s="384"/>
      <c r="K363" s="384"/>
      <c r="L363" s="384"/>
      <c r="M363" s="384"/>
      <c r="N363" s="384"/>
      <c r="O363" s="384"/>
      <c r="P363" s="384"/>
      <c r="Q363" s="384"/>
      <c r="R363" s="384"/>
    </row>
    <row r="364" spans="1:18">
      <c r="A364" s="384"/>
      <c r="B364" s="384"/>
      <c r="C364" s="384"/>
      <c r="D364" s="384"/>
      <c r="E364" s="567"/>
      <c r="F364" s="384"/>
      <c r="G364" s="384"/>
      <c r="H364" s="535"/>
      <c r="I364" s="384"/>
      <c r="J364" s="384"/>
      <c r="K364" s="384"/>
      <c r="L364" s="384"/>
      <c r="M364" s="384"/>
      <c r="N364" s="384"/>
      <c r="O364" s="384"/>
      <c r="P364" s="384"/>
      <c r="Q364" s="384"/>
      <c r="R364" s="384"/>
    </row>
    <row r="365" spans="1:18">
      <c r="A365" s="384"/>
      <c r="B365" s="384"/>
      <c r="C365" s="384"/>
      <c r="D365" s="384"/>
      <c r="E365" s="567"/>
      <c r="F365" s="384"/>
      <c r="G365" s="384"/>
      <c r="H365" s="535"/>
      <c r="I365" s="384"/>
      <c r="J365" s="384"/>
      <c r="K365" s="384"/>
      <c r="L365" s="384"/>
      <c r="M365" s="384"/>
      <c r="N365" s="384"/>
      <c r="O365" s="384"/>
      <c r="P365" s="384"/>
      <c r="Q365" s="384"/>
      <c r="R365" s="384"/>
    </row>
    <row r="366" spans="1:18">
      <c r="A366" s="384"/>
      <c r="B366" s="384"/>
      <c r="C366" s="384"/>
      <c r="D366" s="384"/>
      <c r="E366" s="567"/>
      <c r="F366" s="384"/>
      <c r="G366" s="384"/>
      <c r="H366" s="535"/>
      <c r="I366" s="384"/>
      <c r="J366" s="384"/>
      <c r="K366" s="384"/>
      <c r="L366" s="384"/>
      <c r="M366" s="384"/>
      <c r="N366" s="384"/>
      <c r="O366" s="384"/>
      <c r="P366" s="384"/>
      <c r="Q366" s="384"/>
      <c r="R366" s="384"/>
    </row>
    <row r="367" spans="1:18">
      <c r="A367" s="384"/>
      <c r="B367" s="384"/>
      <c r="C367" s="384"/>
      <c r="D367" s="384"/>
      <c r="E367" s="567"/>
      <c r="F367" s="384"/>
      <c r="G367" s="384"/>
      <c r="H367" s="535"/>
      <c r="I367" s="384"/>
      <c r="J367" s="384"/>
      <c r="K367" s="384"/>
      <c r="L367" s="384"/>
      <c r="M367" s="384"/>
      <c r="N367" s="384"/>
      <c r="O367" s="384"/>
      <c r="P367" s="384"/>
      <c r="Q367" s="384"/>
      <c r="R367" s="384"/>
    </row>
    <row r="368" spans="1:18">
      <c r="A368" s="384"/>
      <c r="B368" s="384"/>
      <c r="C368" s="384"/>
      <c r="D368" s="384"/>
      <c r="E368" s="567"/>
      <c r="F368" s="384"/>
      <c r="G368" s="384"/>
      <c r="H368" s="535"/>
      <c r="I368" s="384"/>
      <c r="J368" s="384"/>
      <c r="K368" s="384"/>
      <c r="L368" s="384"/>
      <c r="M368" s="384"/>
      <c r="N368" s="384"/>
      <c r="O368" s="384"/>
      <c r="P368" s="384"/>
      <c r="Q368" s="384"/>
      <c r="R368" s="384"/>
    </row>
    <row r="369" spans="1:18">
      <c r="A369" s="384"/>
      <c r="B369" s="384"/>
      <c r="C369" s="384"/>
      <c r="D369" s="384"/>
      <c r="E369" s="567"/>
      <c r="F369" s="384"/>
      <c r="G369" s="384"/>
      <c r="H369" s="535"/>
      <c r="I369" s="384"/>
      <c r="J369" s="384"/>
      <c r="K369" s="384"/>
      <c r="L369" s="384"/>
      <c r="M369" s="384"/>
      <c r="N369" s="384"/>
      <c r="O369" s="384"/>
      <c r="P369" s="384"/>
      <c r="Q369" s="384"/>
      <c r="R369" s="384"/>
    </row>
    <row r="370" spans="1:18">
      <c r="A370" s="384"/>
      <c r="B370" s="384"/>
      <c r="C370" s="384"/>
      <c r="D370" s="384"/>
      <c r="E370" s="567"/>
      <c r="F370" s="384"/>
      <c r="G370" s="384"/>
      <c r="H370" s="535"/>
      <c r="I370" s="384"/>
      <c r="J370" s="384"/>
      <c r="K370" s="384"/>
      <c r="L370" s="384"/>
      <c r="M370" s="384"/>
      <c r="N370" s="384"/>
      <c r="O370" s="384"/>
      <c r="P370" s="384"/>
      <c r="Q370" s="384"/>
      <c r="R370" s="384"/>
    </row>
    <row r="371" spans="1:18">
      <c r="A371" s="384"/>
      <c r="B371" s="384"/>
      <c r="C371" s="384"/>
      <c r="D371" s="384"/>
      <c r="E371" s="567"/>
      <c r="F371" s="384"/>
      <c r="G371" s="384"/>
      <c r="H371" s="535"/>
      <c r="I371" s="384"/>
      <c r="J371" s="384"/>
      <c r="K371" s="384"/>
      <c r="L371" s="384"/>
      <c r="M371" s="384"/>
      <c r="N371" s="384"/>
      <c r="O371" s="384"/>
      <c r="P371" s="384"/>
      <c r="Q371" s="384"/>
      <c r="R371" s="384"/>
    </row>
    <row r="372" spans="1:18">
      <c r="A372" s="384" t="s">
        <v>1719</v>
      </c>
      <c r="B372" s="384"/>
      <c r="C372" s="384"/>
      <c r="D372" s="384"/>
      <c r="E372" s="567"/>
      <c r="F372" s="384"/>
      <c r="G372" s="384"/>
      <c r="H372" s="535"/>
      <c r="I372" s="384"/>
      <c r="J372" s="384"/>
      <c r="K372" s="384"/>
      <c r="L372" s="384"/>
      <c r="M372" s="384"/>
      <c r="N372" s="384"/>
      <c r="O372" s="384"/>
      <c r="P372" s="384"/>
      <c r="Q372" s="384"/>
      <c r="R372" s="384"/>
    </row>
    <row r="373" spans="1:18">
      <c r="A373" s="384"/>
      <c r="B373" s="384"/>
      <c r="C373" s="384"/>
      <c r="D373" s="384"/>
      <c r="E373" s="567"/>
      <c r="F373" s="384"/>
      <c r="G373" s="384"/>
      <c r="H373" s="535"/>
      <c r="I373" s="384"/>
      <c r="J373" s="384"/>
      <c r="K373" s="384"/>
      <c r="L373" s="384"/>
      <c r="M373" s="384"/>
      <c r="N373" s="384"/>
      <c r="O373" s="384"/>
      <c r="P373" s="384"/>
      <c r="Q373" s="384"/>
      <c r="R373" s="384"/>
    </row>
    <row r="374" spans="1:18">
      <c r="A374" s="384" t="s">
        <v>279</v>
      </c>
      <c r="B374" s="384"/>
      <c r="C374" s="384"/>
      <c r="D374" s="384"/>
      <c r="E374" s="567"/>
      <c r="F374" s="384"/>
      <c r="G374" s="384"/>
      <c r="H374" s="535"/>
      <c r="I374" s="384"/>
      <c r="J374" s="384"/>
      <c r="K374" s="384"/>
      <c r="L374" s="384"/>
      <c r="M374" s="384"/>
      <c r="N374" s="384"/>
      <c r="O374" s="384"/>
      <c r="P374" s="384"/>
      <c r="Q374" s="384"/>
      <c r="R374" s="384"/>
    </row>
    <row r="375" spans="1:18">
      <c r="A375" s="384"/>
      <c r="B375" s="384"/>
      <c r="C375" s="384"/>
      <c r="D375" s="384"/>
      <c r="E375" s="567"/>
      <c r="F375" s="384"/>
      <c r="G375" s="384"/>
      <c r="H375" s="535"/>
      <c r="I375" s="384"/>
      <c r="J375" s="384"/>
      <c r="K375" s="384"/>
      <c r="L375" s="384"/>
      <c r="M375" s="384"/>
      <c r="N375" s="384"/>
      <c r="O375" s="384"/>
      <c r="P375" s="384"/>
      <c r="Q375" s="384"/>
      <c r="R375" s="384"/>
    </row>
    <row r="376" spans="1:18">
      <c r="A376" s="384"/>
      <c r="B376" s="384"/>
      <c r="C376" s="384"/>
      <c r="D376" s="384"/>
      <c r="E376" s="567"/>
      <c r="F376" s="384"/>
      <c r="G376" s="384"/>
      <c r="H376" s="535"/>
      <c r="I376" s="384"/>
      <c r="J376" s="384"/>
      <c r="K376" s="384"/>
      <c r="L376" s="384"/>
      <c r="M376" s="384"/>
      <c r="N376" s="384"/>
      <c r="O376" s="384"/>
      <c r="P376" s="384"/>
      <c r="Q376" s="384"/>
      <c r="R376" s="384"/>
    </row>
    <row r="377" spans="1:18">
      <c r="A377" s="384"/>
      <c r="B377" s="384"/>
      <c r="C377" s="384"/>
      <c r="D377" s="384"/>
      <c r="E377" s="567"/>
      <c r="F377" s="384"/>
      <c r="G377" s="384"/>
      <c r="H377" s="535"/>
      <c r="I377" s="384"/>
      <c r="J377" s="384"/>
      <c r="K377" s="384"/>
      <c r="L377" s="384"/>
      <c r="M377" s="384"/>
      <c r="N377" s="384"/>
      <c r="O377" s="384"/>
      <c r="P377" s="384"/>
      <c r="Q377" s="384"/>
      <c r="R377" s="384"/>
    </row>
    <row r="378" spans="1:18">
      <c r="A378" s="384"/>
      <c r="B378" s="384"/>
      <c r="C378" s="384"/>
      <c r="D378" s="384"/>
      <c r="E378" s="567"/>
      <c r="F378" s="384"/>
      <c r="G378" s="384"/>
      <c r="H378" s="535"/>
      <c r="I378" s="384"/>
      <c r="J378" s="384"/>
      <c r="K378" s="384"/>
      <c r="L378" s="384"/>
      <c r="M378" s="384"/>
      <c r="N378" s="384"/>
      <c r="O378" s="384"/>
      <c r="P378" s="384"/>
      <c r="Q378" s="384"/>
      <c r="R378" s="384"/>
    </row>
    <row r="379" spans="1:18">
      <c r="A379" s="384"/>
      <c r="B379" s="384"/>
      <c r="C379" s="384"/>
      <c r="D379" s="384"/>
      <c r="E379" s="567"/>
      <c r="F379" s="384"/>
      <c r="G379" s="384"/>
      <c r="H379" s="535"/>
      <c r="I379" s="384"/>
      <c r="J379" s="384"/>
      <c r="K379" s="384"/>
      <c r="L379" s="384"/>
      <c r="M379" s="384"/>
      <c r="N379" s="384"/>
      <c r="O379" s="384"/>
      <c r="P379" s="384"/>
      <c r="Q379" s="384"/>
      <c r="R379" s="384"/>
    </row>
    <row r="380" spans="1:18">
      <c r="A380" s="384" t="s">
        <v>1198</v>
      </c>
      <c r="B380" s="384"/>
      <c r="C380" s="384"/>
      <c r="D380" s="384"/>
      <c r="E380" s="567"/>
      <c r="F380" s="384"/>
      <c r="G380" s="384"/>
      <c r="H380" s="535"/>
      <c r="I380" s="384"/>
      <c r="J380" s="384"/>
      <c r="K380" s="384"/>
      <c r="L380" s="384"/>
      <c r="M380" s="384" t="s">
        <v>1720</v>
      </c>
      <c r="N380" s="384"/>
      <c r="O380" s="384"/>
      <c r="P380" s="384"/>
      <c r="Q380" s="384"/>
      <c r="R380" s="384"/>
    </row>
    <row r="381" spans="1:18">
      <c r="A381" s="384" t="s">
        <v>899</v>
      </c>
      <c r="B381" s="384"/>
      <c r="C381" s="384"/>
      <c r="D381" s="384"/>
      <c r="E381" s="567"/>
      <c r="F381" s="384"/>
      <c r="G381" s="384"/>
      <c r="H381" s="535"/>
      <c r="I381" s="384"/>
      <c r="J381" s="384"/>
      <c r="K381" s="384"/>
      <c r="L381" s="384"/>
      <c r="M381" s="384"/>
      <c r="N381" s="384"/>
      <c r="O381" s="384"/>
      <c r="P381" s="384"/>
      <c r="Q381" s="384"/>
      <c r="R381" s="384"/>
    </row>
    <row r="382" spans="1:18">
      <c r="A382" s="384"/>
      <c r="B382" s="384"/>
      <c r="C382" s="384"/>
      <c r="D382" s="384"/>
      <c r="E382" s="567"/>
      <c r="F382" s="384"/>
      <c r="G382" s="384"/>
      <c r="H382" s="535"/>
      <c r="I382" s="384"/>
      <c r="J382" s="384"/>
      <c r="K382" s="384"/>
      <c r="L382" s="384"/>
      <c r="M382" s="384"/>
      <c r="N382" s="384"/>
      <c r="O382" s="384"/>
      <c r="P382" s="384"/>
      <c r="Q382" s="384"/>
      <c r="R382" s="384"/>
    </row>
    <row r="383" spans="1:18">
      <c r="A383" s="384"/>
      <c r="B383" s="384"/>
      <c r="C383" s="384"/>
      <c r="D383" s="384"/>
      <c r="E383" s="567"/>
      <c r="F383" s="384" t="s">
        <v>900</v>
      </c>
      <c r="G383" s="384" t="s">
        <v>1721</v>
      </c>
      <c r="H383" s="535"/>
      <c r="I383" s="384"/>
      <c r="J383" s="384" t="s">
        <v>1722</v>
      </c>
      <c r="K383" s="384"/>
      <c r="L383" s="384" t="s">
        <v>906</v>
      </c>
      <c r="M383" s="384"/>
      <c r="N383" s="384"/>
      <c r="O383" s="384"/>
      <c r="P383" s="384"/>
      <c r="Q383" s="384"/>
      <c r="R383" s="384"/>
    </row>
    <row r="384" spans="1:18">
      <c r="A384" s="83" t="s">
        <v>903</v>
      </c>
      <c r="C384" s="83" t="s">
        <v>904</v>
      </c>
      <c r="E384" s="83" t="s">
        <v>905</v>
      </c>
      <c r="F384" s="83" t="s">
        <v>504</v>
      </c>
      <c r="G384" s="83" t="s">
        <v>504</v>
      </c>
      <c r="H384" s="83" t="s">
        <v>450</v>
      </c>
      <c r="J384" s="83" t="s">
        <v>1203</v>
      </c>
      <c r="K384" s="83" t="s">
        <v>1723</v>
      </c>
      <c r="L384" s="83" t="s">
        <v>1724</v>
      </c>
      <c r="M384" s="535" t="s">
        <v>1725</v>
      </c>
    </row>
    <row r="385" spans="1:13">
      <c r="A385" s="83" t="s">
        <v>915</v>
      </c>
    </row>
    <row r="386" spans="1:13">
      <c r="A386" s="83" t="s">
        <v>1726</v>
      </c>
      <c r="C386" s="83" t="s">
        <v>918</v>
      </c>
      <c r="E386" s="83" t="s">
        <v>481</v>
      </c>
      <c r="F386" s="83" t="s">
        <v>1727</v>
      </c>
      <c r="G386" s="83" t="s">
        <v>1609</v>
      </c>
      <c r="H386" s="83">
        <v>2742.36</v>
      </c>
      <c r="J386" s="83" t="s">
        <v>1728</v>
      </c>
      <c r="K386" s="83" t="s">
        <v>1728</v>
      </c>
      <c r="L386" s="83">
        <v>2742.36</v>
      </c>
      <c r="M386" s="535" t="s">
        <v>1728</v>
      </c>
    </row>
    <row r="387" spans="1:13">
      <c r="A387" s="83" t="s">
        <v>1729</v>
      </c>
      <c r="C387" s="83" t="s">
        <v>918</v>
      </c>
      <c r="E387" s="83" t="s">
        <v>481</v>
      </c>
      <c r="F387" s="83" t="s">
        <v>1702</v>
      </c>
      <c r="G387" s="83" t="s">
        <v>1609</v>
      </c>
      <c r="H387" s="83">
        <v>1284</v>
      </c>
      <c r="J387" s="83" t="s">
        <v>1728</v>
      </c>
      <c r="K387" s="83" t="s">
        <v>1728</v>
      </c>
      <c r="L387" s="83">
        <v>1284</v>
      </c>
      <c r="M387" s="535" t="s">
        <v>1728</v>
      </c>
    </row>
    <row r="388" spans="1:13">
      <c r="A388" s="83" t="s">
        <v>1730</v>
      </c>
      <c r="C388" s="83" t="s">
        <v>926</v>
      </c>
      <c r="E388" s="83" t="s">
        <v>481</v>
      </c>
      <c r="F388" s="83" t="s">
        <v>1731</v>
      </c>
      <c r="G388" s="83" t="s">
        <v>1609</v>
      </c>
      <c r="H388" s="83">
        <v>522.61</v>
      </c>
      <c r="J388" s="83" t="s">
        <v>1728</v>
      </c>
      <c r="K388" s="83" t="s">
        <v>1728</v>
      </c>
      <c r="L388" s="83">
        <v>522.61</v>
      </c>
      <c r="M388" s="535" t="s">
        <v>1728</v>
      </c>
    </row>
    <row r="389" spans="1:13">
      <c r="A389" s="83" t="s">
        <v>943</v>
      </c>
      <c r="H389" s="83">
        <v>4548.97</v>
      </c>
      <c r="J389" s="83" t="s">
        <v>1728</v>
      </c>
      <c r="L389" s="83">
        <v>4548.97</v>
      </c>
      <c r="M389" s="535" t="s">
        <v>1728</v>
      </c>
    </row>
    <row r="390" spans="1:13">
      <c r="A390" s="83" t="s">
        <v>944</v>
      </c>
      <c r="H390" s="83">
        <v>0</v>
      </c>
      <c r="L390" s="83">
        <v>0</v>
      </c>
    </row>
    <row r="391" spans="1:13">
      <c r="A391" s="83" t="s">
        <v>1732</v>
      </c>
      <c r="C391" s="83" t="s">
        <v>918</v>
      </c>
      <c r="E391" s="83" t="s">
        <v>478</v>
      </c>
      <c r="F391" s="83" t="s">
        <v>1315</v>
      </c>
      <c r="G391" s="83" t="s">
        <v>1609</v>
      </c>
      <c r="H391" s="83">
        <v>3220</v>
      </c>
      <c r="J391" s="83" t="s">
        <v>1728</v>
      </c>
      <c r="K391" s="83" t="s">
        <v>1728</v>
      </c>
      <c r="L391" s="83">
        <v>3220</v>
      </c>
      <c r="M391" s="535" t="s">
        <v>1728</v>
      </c>
    </row>
    <row r="392" spans="1:13">
      <c r="A392" s="83" t="s">
        <v>990</v>
      </c>
      <c r="H392" s="83">
        <v>3220</v>
      </c>
      <c r="J392" s="83" t="s">
        <v>1728</v>
      </c>
      <c r="L392" s="83">
        <v>3220</v>
      </c>
      <c r="M392" s="535" t="s">
        <v>1728</v>
      </c>
    </row>
    <row r="393" spans="1:13">
      <c r="A393" s="83" t="s">
        <v>991</v>
      </c>
      <c r="H393" s="83">
        <v>0</v>
      </c>
      <c r="L393" s="83">
        <v>0</v>
      </c>
    </row>
    <row r="394" spans="1:13">
      <c r="A394" s="83" t="s">
        <v>1733</v>
      </c>
      <c r="C394" s="83" t="s">
        <v>993</v>
      </c>
      <c r="E394" s="83" t="s">
        <v>478</v>
      </c>
      <c r="F394" s="83" t="s">
        <v>1734</v>
      </c>
      <c r="G394" s="83" t="s">
        <v>1609</v>
      </c>
      <c r="H394" s="83">
        <v>1673.65</v>
      </c>
      <c r="J394" s="83" t="s">
        <v>1728</v>
      </c>
      <c r="K394" s="83" t="s">
        <v>1728</v>
      </c>
      <c r="L394" s="83">
        <v>1673.65</v>
      </c>
      <c r="M394" s="535" t="s">
        <v>1728</v>
      </c>
    </row>
    <row r="395" spans="1:13">
      <c r="A395" s="83" t="s">
        <v>1735</v>
      </c>
      <c r="C395" s="83" t="s">
        <v>994</v>
      </c>
      <c r="E395" s="83" t="s">
        <v>481</v>
      </c>
      <c r="F395" s="83" t="s">
        <v>1736</v>
      </c>
      <c r="G395" s="83" t="s">
        <v>1609</v>
      </c>
      <c r="H395" s="83">
        <v>130.37</v>
      </c>
      <c r="J395" s="83" t="s">
        <v>1728</v>
      </c>
      <c r="K395" s="83" t="s">
        <v>1728</v>
      </c>
      <c r="L395" s="83">
        <v>130.37</v>
      </c>
      <c r="M395" s="535" t="s">
        <v>1728</v>
      </c>
    </row>
    <row r="396" spans="1:13">
      <c r="A396" s="83" t="s">
        <v>1737</v>
      </c>
      <c r="C396" s="83" t="s">
        <v>995</v>
      </c>
      <c r="E396" s="83" t="s">
        <v>481</v>
      </c>
      <c r="F396" s="83" t="s">
        <v>1738</v>
      </c>
      <c r="G396" s="83" t="s">
        <v>1609</v>
      </c>
      <c r="H396" s="83">
        <v>185</v>
      </c>
      <c r="J396" s="83" t="s">
        <v>1728</v>
      </c>
      <c r="K396" s="83" t="s">
        <v>1728</v>
      </c>
      <c r="L396" s="83">
        <v>185</v>
      </c>
      <c r="M396" s="535" t="s">
        <v>1728</v>
      </c>
    </row>
    <row r="397" spans="1:13">
      <c r="A397" s="83" t="s">
        <v>1739</v>
      </c>
      <c r="C397" s="83" t="s">
        <v>998</v>
      </c>
      <c r="E397" s="83" t="s">
        <v>478</v>
      </c>
      <c r="F397" s="83" t="s">
        <v>1258</v>
      </c>
      <c r="G397" s="83" t="s">
        <v>1609</v>
      </c>
      <c r="H397" s="83">
        <v>14622.54</v>
      </c>
      <c r="J397" s="83" t="s">
        <v>1728</v>
      </c>
      <c r="K397" s="83" t="s">
        <v>1728</v>
      </c>
      <c r="L397" s="83">
        <v>14622.54</v>
      </c>
      <c r="M397" s="535" t="s">
        <v>1728</v>
      </c>
    </row>
    <row r="398" spans="1:13">
      <c r="A398" s="83" t="s">
        <v>1740</v>
      </c>
      <c r="C398" s="83" t="s">
        <v>998</v>
      </c>
      <c r="E398" s="83" t="s">
        <v>478</v>
      </c>
      <c r="F398" s="83" t="s">
        <v>1302</v>
      </c>
      <c r="G398" s="83" t="s">
        <v>1609</v>
      </c>
      <c r="H398" s="83">
        <v>1142</v>
      </c>
      <c r="J398" s="83" t="s">
        <v>1728</v>
      </c>
      <c r="K398" s="83" t="s">
        <v>1728</v>
      </c>
      <c r="L398" s="83">
        <v>1142</v>
      </c>
      <c r="M398" s="535" t="s">
        <v>1728</v>
      </c>
    </row>
    <row r="399" spans="1:13">
      <c r="A399" s="83" t="s">
        <v>1741</v>
      </c>
      <c r="C399" s="83" t="s">
        <v>998</v>
      </c>
      <c r="E399" s="83" t="s">
        <v>478</v>
      </c>
      <c r="F399" s="83" t="s">
        <v>1304</v>
      </c>
      <c r="G399" s="83" t="s">
        <v>1609</v>
      </c>
      <c r="H399" s="83">
        <v>5176.55</v>
      </c>
      <c r="J399" s="83" t="s">
        <v>1728</v>
      </c>
      <c r="K399" s="83" t="s">
        <v>1728</v>
      </c>
      <c r="L399" s="83">
        <v>5176.55</v>
      </c>
      <c r="M399" s="535" t="s">
        <v>1728</v>
      </c>
    </row>
    <row r="400" spans="1:13">
      <c r="A400" s="83" t="s">
        <v>1742</v>
      </c>
      <c r="C400" s="83" t="s">
        <v>998</v>
      </c>
      <c r="E400" s="83" t="s">
        <v>478</v>
      </c>
      <c r="F400" s="83" t="s">
        <v>1306</v>
      </c>
      <c r="G400" s="83" t="s">
        <v>1609</v>
      </c>
      <c r="H400" s="83">
        <v>1776</v>
      </c>
      <c r="J400" s="83" t="s">
        <v>1728</v>
      </c>
      <c r="K400" s="83" t="s">
        <v>1728</v>
      </c>
      <c r="L400" s="83">
        <v>1776</v>
      </c>
      <c r="M400" s="535" t="s">
        <v>1728</v>
      </c>
    </row>
    <row r="401" spans="1:13">
      <c r="A401" s="83" t="s">
        <v>1743</v>
      </c>
      <c r="C401" s="83" t="s">
        <v>998</v>
      </c>
      <c r="E401" s="83" t="s">
        <v>478</v>
      </c>
      <c r="F401" s="83" t="s">
        <v>1308</v>
      </c>
      <c r="G401" s="83" t="s">
        <v>1609</v>
      </c>
      <c r="H401" s="83">
        <v>3106.56</v>
      </c>
      <c r="J401" s="83" t="s">
        <v>1728</v>
      </c>
      <c r="K401" s="83" t="s">
        <v>1728</v>
      </c>
      <c r="L401" s="83">
        <v>3106.56</v>
      </c>
      <c r="M401" s="535" t="s">
        <v>1728</v>
      </c>
    </row>
    <row r="402" spans="1:13">
      <c r="A402" s="83" t="s">
        <v>1744</v>
      </c>
      <c r="C402" s="83" t="s">
        <v>1001</v>
      </c>
      <c r="E402" s="83" t="s">
        <v>478</v>
      </c>
      <c r="F402" s="83" t="s">
        <v>1702</v>
      </c>
      <c r="G402" s="83" t="s">
        <v>1609</v>
      </c>
      <c r="H402" s="83">
        <v>6600.77</v>
      </c>
      <c r="J402" s="83" t="s">
        <v>1728</v>
      </c>
      <c r="K402" s="83" t="s">
        <v>1728</v>
      </c>
      <c r="L402" s="83">
        <v>6600.77</v>
      </c>
      <c r="M402" s="535" t="s">
        <v>1728</v>
      </c>
    </row>
    <row r="403" spans="1:13">
      <c r="A403" s="83" t="s">
        <v>1745</v>
      </c>
      <c r="C403" s="83" t="s">
        <v>1003</v>
      </c>
      <c r="E403" s="83" t="s">
        <v>481</v>
      </c>
      <c r="F403" s="83" t="s">
        <v>1746</v>
      </c>
      <c r="G403" s="83" t="s">
        <v>1609</v>
      </c>
      <c r="H403" s="83">
        <v>1995</v>
      </c>
      <c r="J403" s="83" t="s">
        <v>1728</v>
      </c>
      <c r="K403" s="83" t="s">
        <v>1728</v>
      </c>
      <c r="L403" s="83">
        <v>1995</v>
      </c>
      <c r="M403" s="535" t="s">
        <v>1728</v>
      </c>
    </row>
    <row r="404" spans="1:13">
      <c r="A404" s="83" t="s">
        <v>1747</v>
      </c>
      <c r="C404" s="83" t="s">
        <v>1007</v>
      </c>
      <c r="E404" s="83" t="s">
        <v>481</v>
      </c>
      <c r="F404" s="83" t="s">
        <v>1230</v>
      </c>
      <c r="G404" s="83" t="s">
        <v>1609</v>
      </c>
      <c r="H404" s="83">
        <v>206</v>
      </c>
      <c r="J404" s="83" t="s">
        <v>1728</v>
      </c>
      <c r="K404" s="83" t="s">
        <v>1728</v>
      </c>
      <c r="L404" s="83">
        <v>206</v>
      </c>
      <c r="M404" s="535" t="s">
        <v>1728</v>
      </c>
    </row>
    <row r="405" spans="1:13">
      <c r="A405" s="83" t="s">
        <v>1748</v>
      </c>
      <c r="C405" s="83" t="s">
        <v>1017</v>
      </c>
      <c r="E405" s="83" t="s">
        <v>478</v>
      </c>
      <c r="F405" s="83" t="s">
        <v>1534</v>
      </c>
      <c r="G405" s="83" t="s">
        <v>1609</v>
      </c>
      <c r="H405" s="83">
        <v>219.78</v>
      </c>
      <c r="J405" s="83" t="s">
        <v>1728</v>
      </c>
      <c r="K405" s="83" t="s">
        <v>1728</v>
      </c>
      <c r="L405" s="83">
        <v>219.78</v>
      </c>
      <c r="M405" s="535" t="s">
        <v>1728</v>
      </c>
    </row>
    <row r="406" spans="1:13">
      <c r="A406" s="83" t="s">
        <v>1749</v>
      </c>
      <c r="C406" s="83" t="s">
        <v>1021</v>
      </c>
      <c r="E406" s="83" t="s">
        <v>481</v>
      </c>
      <c r="F406" s="83" t="s">
        <v>1750</v>
      </c>
      <c r="G406" s="83" t="s">
        <v>1609</v>
      </c>
      <c r="H406" s="83">
        <v>431.32</v>
      </c>
      <c r="J406" s="83" t="s">
        <v>1728</v>
      </c>
      <c r="K406" s="83" t="s">
        <v>1728</v>
      </c>
      <c r="L406" s="83">
        <v>431.32</v>
      </c>
      <c r="M406" s="535" t="s">
        <v>1728</v>
      </c>
    </row>
    <row r="407" spans="1:13">
      <c r="A407" s="83" t="s">
        <v>1751</v>
      </c>
      <c r="C407" s="83" t="s">
        <v>1023</v>
      </c>
      <c r="E407" s="83" t="s">
        <v>481</v>
      </c>
      <c r="F407" s="83" t="s">
        <v>1752</v>
      </c>
      <c r="G407" s="83" t="s">
        <v>1609</v>
      </c>
      <c r="H407" s="83">
        <v>525</v>
      </c>
      <c r="J407" s="83" t="s">
        <v>1728</v>
      </c>
      <c r="K407" s="83" t="s">
        <v>1728</v>
      </c>
      <c r="L407" s="83">
        <v>525</v>
      </c>
      <c r="M407" s="535" t="s">
        <v>1728</v>
      </c>
    </row>
    <row r="408" spans="1:13">
      <c r="A408" s="83" t="s">
        <v>1753</v>
      </c>
      <c r="C408" s="83" t="s">
        <v>1013</v>
      </c>
      <c r="E408" s="83" t="s">
        <v>481</v>
      </c>
      <c r="F408" s="83" t="s">
        <v>1754</v>
      </c>
      <c r="G408" s="83" t="s">
        <v>1609</v>
      </c>
      <c r="H408" s="83">
        <v>1057.5899999999999</v>
      </c>
      <c r="J408" s="83" t="s">
        <v>1728</v>
      </c>
      <c r="K408" s="83" t="s">
        <v>1728</v>
      </c>
      <c r="L408" s="83">
        <v>1057.5899999999999</v>
      </c>
      <c r="M408" s="535" t="s">
        <v>1728</v>
      </c>
    </row>
    <row r="409" spans="1:13">
      <c r="A409" s="83" t="s">
        <v>1755</v>
      </c>
      <c r="C409" s="83" t="s">
        <v>1013</v>
      </c>
      <c r="E409" s="83" t="s">
        <v>481</v>
      </c>
      <c r="F409" s="83" t="s">
        <v>1754</v>
      </c>
      <c r="G409" s="83" t="s">
        <v>1609</v>
      </c>
      <c r="H409" s="83">
        <v>1057.5899999999999</v>
      </c>
      <c r="J409" s="83" t="s">
        <v>1728</v>
      </c>
      <c r="K409" s="83" t="s">
        <v>1728</v>
      </c>
      <c r="L409" s="83">
        <v>1057.5899999999999</v>
      </c>
      <c r="M409" s="535" t="s">
        <v>1728</v>
      </c>
    </row>
    <row r="410" spans="1:13">
      <c r="A410" s="83" t="s">
        <v>1756</v>
      </c>
      <c r="C410" s="83" t="s">
        <v>1038</v>
      </c>
      <c r="E410" s="83" t="s">
        <v>481</v>
      </c>
      <c r="F410" s="83" t="s">
        <v>1238</v>
      </c>
      <c r="G410" s="83" t="s">
        <v>1609</v>
      </c>
      <c r="H410" s="83">
        <v>1396.75</v>
      </c>
      <c r="J410" s="83" t="s">
        <v>1728</v>
      </c>
      <c r="K410" s="83" t="s">
        <v>1728</v>
      </c>
      <c r="L410" s="83">
        <v>1396.75</v>
      </c>
      <c r="M410" s="535" t="s">
        <v>1728</v>
      </c>
    </row>
    <row r="411" spans="1:13">
      <c r="A411" s="83" t="s">
        <v>1757</v>
      </c>
      <c r="C411" s="83" t="s">
        <v>1040</v>
      </c>
      <c r="E411" s="83" t="s">
        <v>481</v>
      </c>
      <c r="F411" s="83" t="s">
        <v>1758</v>
      </c>
      <c r="G411" s="83" t="s">
        <v>1609</v>
      </c>
      <c r="H411" s="83">
        <v>806.74</v>
      </c>
      <c r="J411" s="83" t="s">
        <v>1728</v>
      </c>
      <c r="K411" s="83" t="s">
        <v>1728</v>
      </c>
      <c r="L411" s="83">
        <v>806.74</v>
      </c>
      <c r="M411" s="535" t="s">
        <v>1728</v>
      </c>
    </row>
    <row r="412" spans="1:13">
      <c r="A412" s="83" t="s">
        <v>1079</v>
      </c>
      <c r="H412" s="83">
        <v>42109.21</v>
      </c>
      <c r="J412" s="83" t="s">
        <v>1728</v>
      </c>
      <c r="L412" s="83">
        <v>42109.21</v>
      </c>
      <c r="M412" s="535" t="s">
        <v>1728</v>
      </c>
    </row>
    <row r="413" spans="1:13">
      <c r="A413" s="83" t="s">
        <v>1080</v>
      </c>
      <c r="H413" s="83">
        <v>0</v>
      </c>
      <c r="L413" s="83">
        <v>0</v>
      </c>
    </row>
    <row r="414" spans="1:13">
      <c r="A414" s="83" t="s">
        <v>1759</v>
      </c>
      <c r="C414" s="83" t="s">
        <v>1085</v>
      </c>
      <c r="E414" s="83" t="s">
        <v>481</v>
      </c>
      <c r="F414" s="83" t="s">
        <v>1760</v>
      </c>
      <c r="G414" s="83" t="s">
        <v>1609</v>
      </c>
      <c r="H414" s="83">
        <v>148.57</v>
      </c>
      <c r="J414" s="83" t="s">
        <v>1728</v>
      </c>
      <c r="K414" s="83" t="s">
        <v>1728</v>
      </c>
      <c r="L414" s="83">
        <v>148.57</v>
      </c>
      <c r="M414" s="535" t="s">
        <v>1728</v>
      </c>
    </row>
    <row r="415" spans="1:13">
      <c r="A415" s="83" t="s">
        <v>1096</v>
      </c>
      <c r="H415" s="83">
        <v>148.57</v>
      </c>
      <c r="J415" s="83" t="s">
        <v>1728</v>
      </c>
      <c r="L415" s="83">
        <v>148.57</v>
      </c>
      <c r="M415" s="535" t="s">
        <v>1728</v>
      </c>
    </row>
    <row r="416" spans="1:13">
      <c r="A416" s="83" t="s">
        <v>1097</v>
      </c>
      <c r="H416" s="83">
        <v>0</v>
      </c>
      <c r="L416" s="83">
        <v>0</v>
      </c>
    </row>
    <row r="417" spans="1:13">
      <c r="A417" s="83" t="s">
        <v>1761</v>
      </c>
      <c r="C417" s="83" t="s">
        <v>1098</v>
      </c>
      <c r="E417" s="83" t="s">
        <v>481</v>
      </c>
      <c r="F417" s="83" t="s">
        <v>1762</v>
      </c>
      <c r="G417" s="83" t="s">
        <v>1609</v>
      </c>
      <c r="H417" s="83">
        <v>7447</v>
      </c>
      <c r="J417" s="83" t="s">
        <v>1728</v>
      </c>
      <c r="K417" s="83" t="s">
        <v>1728</v>
      </c>
      <c r="L417" s="83">
        <v>7447</v>
      </c>
      <c r="M417" s="535" t="s">
        <v>1728</v>
      </c>
    </row>
    <row r="418" spans="1:13">
      <c r="A418" s="83" t="s">
        <v>1763</v>
      </c>
      <c r="C418" s="83" t="s">
        <v>1113</v>
      </c>
      <c r="E418" s="83" t="s">
        <v>481</v>
      </c>
      <c r="F418" s="83" t="s">
        <v>1758</v>
      </c>
      <c r="G418" s="83" t="s">
        <v>1609</v>
      </c>
      <c r="H418" s="83">
        <v>19094.689999999999</v>
      </c>
      <c r="J418" s="83" t="s">
        <v>1728</v>
      </c>
      <c r="K418" s="83" t="s">
        <v>1728</v>
      </c>
      <c r="L418" s="83">
        <v>19094.689999999999</v>
      </c>
      <c r="M418" s="535" t="s">
        <v>1728</v>
      </c>
    </row>
    <row r="419" spans="1:13">
      <c r="A419" s="83" t="s">
        <v>1764</v>
      </c>
      <c r="C419" s="83" t="s">
        <v>1118</v>
      </c>
      <c r="E419" s="83" t="s">
        <v>481</v>
      </c>
      <c r="F419" s="83" t="s">
        <v>1765</v>
      </c>
      <c r="G419" s="83" t="s">
        <v>1609</v>
      </c>
      <c r="H419" s="83">
        <v>1620.21</v>
      </c>
      <c r="J419" s="83" t="s">
        <v>1728</v>
      </c>
      <c r="K419" s="83" t="s">
        <v>1728</v>
      </c>
      <c r="L419" s="83">
        <v>1620.21</v>
      </c>
      <c r="M419" s="535" t="s">
        <v>1728</v>
      </c>
    </row>
    <row r="420" spans="1:13">
      <c r="A420" s="83" t="s">
        <v>1766</v>
      </c>
      <c r="C420" s="83" t="s">
        <v>1119</v>
      </c>
      <c r="E420" s="83" t="s">
        <v>481</v>
      </c>
      <c r="F420" s="83" t="s">
        <v>1767</v>
      </c>
      <c r="G420" s="83" t="s">
        <v>1609</v>
      </c>
      <c r="H420" s="83">
        <v>7401.75</v>
      </c>
      <c r="J420" s="83" t="s">
        <v>1728</v>
      </c>
      <c r="K420" s="83" t="s">
        <v>1728</v>
      </c>
      <c r="L420" s="83">
        <v>7401.75</v>
      </c>
      <c r="M420" s="535" t="s">
        <v>1728</v>
      </c>
    </row>
    <row r="421" spans="1:13">
      <c r="A421" s="83" t="s">
        <v>1127</v>
      </c>
      <c r="H421" s="83">
        <v>35563.65</v>
      </c>
      <c r="J421" s="83" t="s">
        <v>1728</v>
      </c>
      <c r="L421" s="83">
        <v>35563.65</v>
      </c>
      <c r="M421" s="535" t="s">
        <v>1728</v>
      </c>
    </row>
    <row r="422" spans="1:13">
      <c r="A422" s="83" t="s">
        <v>1128</v>
      </c>
      <c r="H422" s="83">
        <v>0</v>
      </c>
      <c r="L422" s="83">
        <v>0</v>
      </c>
    </row>
    <row r="423" spans="1:13">
      <c r="A423" s="83" t="s">
        <v>1768</v>
      </c>
      <c r="C423" s="83" t="s">
        <v>1129</v>
      </c>
      <c r="E423" s="83" t="s">
        <v>481</v>
      </c>
      <c r="F423" s="83" t="s">
        <v>1444</v>
      </c>
      <c r="G423" s="83" t="s">
        <v>1609</v>
      </c>
      <c r="H423" s="83">
        <v>22943.8</v>
      </c>
      <c r="J423" s="83" t="s">
        <v>1728</v>
      </c>
      <c r="K423" s="83" t="s">
        <v>1728</v>
      </c>
      <c r="L423" s="83">
        <v>22943.8</v>
      </c>
      <c r="M423" s="535" t="s">
        <v>1728</v>
      </c>
    </row>
    <row r="424" spans="1:13">
      <c r="A424" s="83" t="s">
        <v>1135</v>
      </c>
      <c r="H424" s="83">
        <v>22943.8</v>
      </c>
      <c r="J424" s="83" t="s">
        <v>1728</v>
      </c>
      <c r="L424" s="83">
        <v>22943.8</v>
      </c>
      <c r="M424" s="535" t="s">
        <v>1728</v>
      </c>
    </row>
    <row r="425" spans="1:13">
      <c r="A425" s="83" t="s">
        <v>1136</v>
      </c>
      <c r="H425" s="83">
        <v>108534.2</v>
      </c>
      <c r="J425" s="83" t="s">
        <v>1728</v>
      </c>
      <c r="L425" s="83">
        <v>108534.2</v>
      </c>
      <c r="M425" s="535" t="s">
        <v>1728</v>
      </c>
    </row>
    <row r="426" spans="1:13">
      <c r="E426" s="83" t="s">
        <v>1716</v>
      </c>
    </row>
    <row r="427" spans="1:13">
      <c r="E427" s="83" t="s">
        <v>761</v>
      </c>
      <c r="H427" s="83">
        <v>70996.349999999991</v>
      </c>
    </row>
    <row r="428" spans="1:13">
      <c r="E428" s="83" t="s">
        <v>763</v>
      </c>
      <c r="H428" s="83">
        <v>37537.850000000006</v>
      </c>
    </row>
    <row r="429" spans="1:13">
      <c r="E429" s="83" t="s">
        <v>1140</v>
      </c>
      <c r="H429" s="83">
        <v>0</v>
      </c>
    </row>
    <row r="430" spans="1:13">
      <c r="E430" s="83" t="s">
        <v>762</v>
      </c>
      <c r="H430" s="83">
        <v>0</v>
      </c>
    </row>
    <row r="431" spans="1:13">
      <c r="E431" s="83" t="s">
        <v>1713</v>
      </c>
      <c r="H431" s="83">
        <v>108534.2</v>
      </c>
    </row>
  </sheetData>
  <phoneticPr fontId="32" type="noConversion"/>
  <pageMargins left="0.75" right="0.75" top="1" bottom="1" header="0.5" footer="0.5"/>
  <pageSetup scale="41"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AC134"/>
  <sheetViews>
    <sheetView topLeftCell="A108" workbookViewId="0">
      <selection activeCell="B126" sqref="B126"/>
    </sheetView>
  </sheetViews>
  <sheetFormatPr defaultRowHeight="12.75"/>
  <cols>
    <col min="1" max="1" width="21.5703125" style="157" bestFit="1" customWidth="1"/>
    <col min="2" max="2" width="45.28515625" style="157" bestFit="1" customWidth="1"/>
    <col min="3" max="3" width="19.85546875" style="157" customWidth="1"/>
    <col min="4" max="4" width="31" style="157" customWidth="1"/>
    <col min="5" max="5" width="19.140625" style="157" customWidth="1"/>
    <col min="6" max="6" width="33" style="157" bestFit="1" customWidth="1"/>
    <col min="7" max="7" width="15.140625" style="157" customWidth="1"/>
    <col min="8" max="8" width="15.42578125" style="157" customWidth="1"/>
    <col min="9" max="9" width="11.42578125" style="157" customWidth="1"/>
    <col min="10" max="10" width="12.28515625" style="157" customWidth="1"/>
    <col min="11" max="11" width="16.42578125" style="157" customWidth="1"/>
    <col min="12" max="12" width="9.140625" style="157" customWidth="1"/>
    <col min="13" max="13" width="13.7109375" style="157" customWidth="1"/>
    <col min="14" max="14" width="18.28515625" style="285" customWidth="1"/>
    <col min="15" max="15" width="13.28515625" style="157" customWidth="1"/>
    <col min="16" max="16" width="12.28515625" style="157" customWidth="1"/>
    <col min="17" max="17" width="16.85546875" style="157" customWidth="1"/>
    <col min="18" max="18" width="17.42578125" customWidth="1"/>
    <col min="19" max="19" width="12.140625" customWidth="1"/>
    <col min="20" max="20" width="12.28515625" customWidth="1"/>
    <col min="21" max="21" width="10.5703125" customWidth="1"/>
    <col min="22" max="22" width="11.28515625" style="157" customWidth="1"/>
    <col min="23" max="23" width="9.140625" style="157"/>
    <col min="24" max="24" width="12.28515625" style="157" bestFit="1" customWidth="1"/>
    <col min="25" max="25" width="9.7109375" style="157" bestFit="1" customWidth="1"/>
    <col min="26" max="26" width="11.28515625" style="157" bestFit="1" customWidth="1"/>
    <col min="27" max="27" width="11.28515625" style="157" customWidth="1"/>
    <col min="28" max="28" width="17.42578125" style="157" bestFit="1" customWidth="1"/>
    <col min="29" max="29" width="11.28515625" style="157" bestFit="1" customWidth="1"/>
    <col min="30" max="16384" width="9.140625" style="157"/>
  </cols>
  <sheetData>
    <row r="2" spans="1:17" ht="15.75">
      <c r="C2" s="284" t="s">
        <v>667</v>
      </c>
    </row>
    <row r="4" spans="1:17">
      <c r="D4" s="286" t="s">
        <v>282</v>
      </c>
      <c r="H4" s="287" t="s">
        <v>1183</v>
      </c>
      <c r="I4"/>
      <c r="M4" s="287" t="s">
        <v>154</v>
      </c>
    </row>
    <row r="7" spans="1:17">
      <c r="B7" s="285"/>
      <c r="N7" s="157"/>
    </row>
    <row r="8" spans="1:17">
      <c r="A8" s="456" t="s">
        <v>506</v>
      </c>
      <c r="B8" s="457"/>
      <c r="C8" s="458"/>
      <c r="N8" s="157"/>
    </row>
    <row r="9" spans="1:17">
      <c r="A9" s="458"/>
      <c r="B9" s="457"/>
      <c r="C9" s="458"/>
      <c r="N9" s="157"/>
    </row>
    <row r="10" spans="1:17">
      <c r="A10" s="458"/>
      <c r="B10" s="457"/>
      <c r="C10" s="458"/>
      <c r="G10" s="331" t="s">
        <v>696</v>
      </c>
      <c r="N10" s="157"/>
    </row>
    <row r="11" spans="1:17" ht="38.25">
      <c r="A11" s="459" t="s">
        <v>507</v>
      </c>
      <c r="B11" s="460" t="s">
        <v>508</v>
      </c>
      <c r="C11" s="459" t="s">
        <v>79</v>
      </c>
      <c r="D11" s="157" t="s">
        <v>896</v>
      </c>
      <c r="E11" s="478" t="s">
        <v>781</v>
      </c>
      <c r="F11" s="479" t="s">
        <v>782</v>
      </c>
      <c r="G11" s="475" t="s">
        <v>265</v>
      </c>
      <c r="H11" s="435" t="s">
        <v>266</v>
      </c>
      <c r="I11" s="435" t="s">
        <v>267</v>
      </c>
      <c r="J11" s="476" t="s">
        <v>693</v>
      </c>
      <c r="K11" s="476" t="s">
        <v>694</v>
      </c>
      <c r="L11" s="475" t="s">
        <v>695</v>
      </c>
      <c r="M11" s="475" t="s">
        <v>278</v>
      </c>
      <c r="N11" s="332" t="s">
        <v>697</v>
      </c>
      <c r="O11" s="331" t="s">
        <v>505</v>
      </c>
      <c r="P11" s="334" t="s">
        <v>703</v>
      </c>
      <c r="Q11" s="157" t="s">
        <v>753</v>
      </c>
    </row>
    <row r="12" spans="1:17">
      <c r="A12" s="458"/>
      <c r="B12" s="457"/>
      <c r="C12" s="458"/>
      <c r="N12" s="157"/>
    </row>
    <row r="13" spans="1:17">
      <c r="A13" s="461">
        <v>510</v>
      </c>
      <c r="B13" s="462" t="s">
        <v>509</v>
      </c>
      <c r="C13" s="458"/>
      <c r="E13" s="477"/>
      <c r="N13" s="157"/>
    </row>
    <row r="14" spans="1:17">
      <c r="A14" s="461" t="s">
        <v>510</v>
      </c>
      <c r="B14" s="462" t="s">
        <v>511</v>
      </c>
      <c r="C14" s="457">
        <v>442914.03</v>
      </c>
      <c r="E14" s="480" t="s">
        <v>783</v>
      </c>
      <c r="F14" s="481" t="s">
        <v>786</v>
      </c>
      <c r="N14" s="157"/>
    </row>
    <row r="15" spans="1:17">
      <c r="A15" s="461" t="s">
        <v>512</v>
      </c>
      <c r="B15" s="462" t="s">
        <v>513</v>
      </c>
      <c r="C15" s="457">
        <v>3116.91</v>
      </c>
      <c r="E15" s="480" t="s">
        <v>785</v>
      </c>
      <c r="F15" s="482" t="s">
        <v>787</v>
      </c>
      <c r="N15" s="157"/>
    </row>
    <row r="16" spans="1:17">
      <c r="A16" s="461" t="s">
        <v>514</v>
      </c>
      <c r="B16" s="461" t="s">
        <v>515</v>
      </c>
      <c r="C16" s="457">
        <v>26394.14</v>
      </c>
      <c r="D16" s="291" t="s">
        <v>154</v>
      </c>
      <c r="E16" s="480" t="s">
        <v>784</v>
      </c>
      <c r="F16" s="483" t="s">
        <v>788</v>
      </c>
      <c r="N16" s="157"/>
    </row>
    <row r="17" spans="1:18">
      <c r="A17" s="463" t="s">
        <v>668</v>
      </c>
      <c r="B17" s="464" t="s">
        <v>669</v>
      </c>
      <c r="C17" s="457">
        <v>-1401.6</v>
      </c>
      <c r="D17" s="331" t="s">
        <v>705</v>
      </c>
      <c r="E17" s="484" t="s">
        <v>789</v>
      </c>
      <c r="F17" s="484" t="s">
        <v>790</v>
      </c>
      <c r="G17" s="285">
        <f>$C17/$C$21*G$20</f>
        <v>-109.1033938459264</v>
      </c>
      <c r="H17" s="285">
        <f t="shared" ref="H17:M18" si="0">$C17/$C$21*H$20</f>
        <v>-56.161862227686534</v>
      </c>
      <c r="I17" s="285">
        <f t="shared" si="0"/>
        <v>-584.7327661735352</v>
      </c>
      <c r="J17" s="285">
        <f t="shared" si="0"/>
        <v>0</v>
      </c>
      <c r="K17" s="285">
        <f t="shared" si="0"/>
        <v>-9.4334693175218849</v>
      </c>
      <c r="L17" s="285">
        <f t="shared" si="0"/>
        <v>0</v>
      </c>
      <c r="M17" s="285">
        <f t="shared" si="0"/>
        <v>-642.16850843532961</v>
      </c>
      <c r="N17" s="157"/>
      <c r="Q17" s="326">
        <f>SUM(G17:P17)</f>
        <v>-1401.5999999999997</v>
      </c>
    </row>
    <row r="18" spans="1:18">
      <c r="A18" s="463" t="s">
        <v>670</v>
      </c>
      <c r="B18" s="464" t="s">
        <v>671</v>
      </c>
      <c r="C18" s="465">
        <v>3937.36</v>
      </c>
      <c r="D18" s="331" t="s">
        <v>705</v>
      </c>
      <c r="E18" s="477" t="s">
        <v>339</v>
      </c>
      <c r="G18" s="285">
        <f>$C18/$C$21*G$20</f>
        <v>306.49210815724661</v>
      </c>
      <c r="H18" s="285">
        <f t="shared" si="0"/>
        <v>157.76931354224021</v>
      </c>
      <c r="I18" s="285">
        <f t="shared" si="0"/>
        <v>1642.6251457056442</v>
      </c>
      <c r="J18" s="285">
        <f t="shared" si="0"/>
        <v>0</v>
      </c>
      <c r="K18" s="285">
        <f t="shared" si="0"/>
        <v>26.500402933817046</v>
      </c>
      <c r="L18" s="285">
        <f t="shared" si="0"/>
        <v>0</v>
      </c>
      <c r="M18" s="285">
        <f t="shared" si="0"/>
        <v>1803.9730296610514</v>
      </c>
      <c r="N18" s="157"/>
      <c r="Q18" s="326">
        <f>SUM(G18:P18)</f>
        <v>3937.3599999999997</v>
      </c>
    </row>
    <row r="19" spans="1:18">
      <c r="A19" s="471" t="s">
        <v>892</v>
      </c>
      <c r="B19" s="466" t="s">
        <v>891</v>
      </c>
      <c r="C19" s="457">
        <v>-148838.44</v>
      </c>
      <c r="N19" s="157"/>
      <c r="Q19" s="326">
        <f>SUM(G19:P19)</f>
        <v>0</v>
      </c>
    </row>
    <row r="20" spans="1:18">
      <c r="A20" s="461">
        <v>510</v>
      </c>
      <c r="B20" s="457" t="s">
        <v>109</v>
      </c>
      <c r="C20" s="457">
        <f>SUM(C14:C19)</f>
        <v>326122.40000000002</v>
      </c>
      <c r="D20" s="326" t="s">
        <v>154</v>
      </c>
      <c r="F20" s="326" t="s">
        <v>154</v>
      </c>
      <c r="G20" s="285">
        <f>'WAGE SALARY'!C6</f>
        <v>25188.642000000003</v>
      </c>
      <c r="H20" s="285">
        <f>'WAGE SALARY'!C7</f>
        <v>12966.059000000001</v>
      </c>
      <c r="I20" s="285">
        <f>'WAGE SALARY'!C8</f>
        <v>134996.93999999994</v>
      </c>
      <c r="J20" s="285"/>
      <c r="K20" s="285">
        <f>'WAGE SALARY'!C9</f>
        <v>2177.9</v>
      </c>
      <c r="L20" s="285"/>
      <c r="M20" s="285">
        <f>'WAGE SALARY'!C10</f>
        <v>148257.09899999999</v>
      </c>
      <c r="N20" s="157"/>
      <c r="Q20" s="326">
        <f>SUM(G20:P20)</f>
        <v>323586.6399999999</v>
      </c>
      <c r="R20" s="153">
        <f>Q20-C21</f>
        <v>0</v>
      </c>
    </row>
    <row r="21" spans="1:18">
      <c r="A21" s="461"/>
      <c r="B21" s="457"/>
      <c r="C21" s="457">
        <f>C20-C18-C17</f>
        <v>323586.64</v>
      </c>
      <c r="N21" s="157"/>
    </row>
    <row r="22" spans="1:18">
      <c r="A22" s="461"/>
      <c r="B22" s="457"/>
      <c r="C22" s="611" t="s">
        <v>154</v>
      </c>
      <c r="N22" s="157"/>
    </row>
    <row r="23" spans="1:18">
      <c r="A23" s="461">
        <v>520</v>
      </c>
      <c r="B23" s="468" t="s">
        <v>154</v>
      </c>
      <c r="C23" s="467"/>
      <c r="N23" s="157"/>
    </row>
    <row r="24" spans="1:18">
      <c r="A24" s="469" t="s">
        <v>672</v>
      </c>
      <c r="B24" s="468" t="s">
        <v>673</v>
      </c>
      <c r="C24" s="457">
        <v>34119.99</v>
      </c>
      <c r="D24" s="331" t="s">
        <v>704</v>
      </c>
      <c r="E24" s="485" t="s">
        <v>791</v>
      </c>
      <c r="F24" s="485" t="s">
        <v>792</v>
      </c>
      <c r="G24" s="285">
        <f>$C24/$C21*G20</f>
        <v>2655.9693971097818</v>
      </c>
      <c r="H24" s="285">
        <f t="shared" ref="H24:M24" si="1">$C24/$C21*H20</f>
        <v>1367.1819189426672</v>
      </c>
      <c r="I24" s="285">
        <f t="shared" si="1"/>
        <v>14234.500666747545</v>
      </c>
      <c r="J24" s="285">
        <f t="shared" si="1"/>
        <v>0</v>
      </c>
      <c r="K24" s="285">
        <f t="shared" si="1"/>
        <v>229.64460529334585</v>
      </c>
      <c r="L24" s="285">
        <f t="shared" si="1"/>
        <v>0</v>
      </c>
      <c r="M24" s="285">
        <f t="shared" si="1"/>
        <v>15632.69341190665</v>
      </c>
      <c r="N24" s="157"/>
      <c r="Q24" s="326">
        <f t="shared" ref="Q24:Q34" si="2">SUM(G24:P24)</f>
        <v>34119.989999999991</v>
      </c>
    </row>
    <row r="25" spans="1:18">
      <c r="A25" s="469" t="s">
        <v>674</v>
      </c>
      <c r="B25" s="468" t="s">
        <v>676</v>
      </c>
      <c r="C25" s="457">
        <v>27415.919999999998</v>
      </c>
      <c r="D25" s="331" t="s">
        <v>678</v>
      </c>
      <c r="E25" s="485" t="s">
        <v>793</v>
      </c>
      <c r="F25" s="485" t="s">
        <v>794</v>
      </c>
      <c r="N25" s="326">
        <f>C25</f>
        <v>27415.919999999998</v>
      </c>
      <c r="Q25" s="326">
        <f t="shared" si="2"/>
        <v>27415.919999999998</v>
      </c>
    </row>
    <row r="26" spans="1:18">
      <c r="A26" s="469" t="s">
        <v>675</v>
      </c>
      <c r="B26" s="468" t="s">
        <v>677</v>
      </c>
      <c r="C26" s="457">
        <v>6411.76</v>
      </c>
      <c r="D26" s="331" t="s">
        <v>678</v>
      </c>
      <c r="E26" s="485" t="s">
        <v>795</v>
      </c>
      <c r="F26" s="485" t="s">
        <v>796</v>
      </c>
      <c r="N26" s="326">
        <f>C26</f>
        <v>6411.76</v>
      </c>
      <c r="Q26" s="326">
        <f t="shared" si="2"/>
        <v>6411.76</v>
      </c>
    </row>
    <row r="27" spans="1:18">
      <c r="A27" s="461"/>
      <c r="B27" s="457"/>
      <c r="C27" s="457"/>
      <c r="N27" s="157"/>
      <c r="Q27" s="326">
        <f t="shared" si="2"/>
        <v>0</v>
      </c>
    </row>
    <row r="28" spans="1:18">
      <c r="A28" s="461">
        <v>520</v>
      </c>
      <c r="B28" s="457" t="s">
        <v>109</v>
      </c>
      <c r="C28" s="457">
        <f>SUM(C24:C26)</f>
        <v>67947.67</v>
      </c>
      <c r="D28" s="157" t="s">
        <v>154</v>
      </c>
      <c r="N28" s="157"/>
      <c r="Q28" s="326">
        <f t="shared" si="2"/>
        <v>0</v>
      </c>
    </row>
    <row r="29" spans="1:18">
      <c r="A29" s="461"/>
      <c r="B29" s="457"/>
      <c r="C29" s="467"/>
      <c r="N29" s="157"/>
      <c r="Q29" s="326">
        <f t="shared" si="2"/>
        <v>0</v>
      </c>
    </row>
    <row r="30" spans="1:18">
      <c r="A30" s="461">
        <v>530</v>
      </c>
      <c r="B30" s="457"/>
      <c r="C30" s="458"/>
      <c r="N30" s="157"/>
      <c r="Q30" s="326">
        <f t="shared" si="2"/>
        <v>0</v>
      </c>
    </row>
    <row r="31" spans="1:18">
      <c r="A31" s="463" t="s">
        <v>519</v>
      </c>
      <c r="B31" s="468" t="s">
        <v>520</v>
      </c>
      <c r="C31" s="457">
        <v>54504.53</v>
      </c>
      <c r="E31" s="486" t="s">
        <v>797</v>
      </c>
      <c r="F31" s="486" t="s">
        <v>798</v>
      </c>
      <c r="N31" s="157"/>
      <c r="Q31" s="326">
        <f t="shared" si="2"/>
        <v>0</v>
      </c>
    </row>
    <row r="32" spans="1:18">
      <c r="A32" s="463" t="s">
        <v>521</v>
      </c>
      <c r="B32" s="468" t="s">
        <v>522</v>
      </c>
      <c r="C32" s="457">
        <v>1232</v>
      </c>
      <c r="E32" s="486" t="s">
        <v>799</v>
      </c>
      <c r="F32" s="486" t="s">
        <v>800</v>
      </c>
      <c r="N32" s="157"/>
      <c r="Q32" s="326">
        <f t="shared" si="2"/>
        <v>0</v>
      </c>
    </row>
    <row r="33" spans="1:19">
      <c r="A33" s="463" t="s">
        <v>523</v>
      </c>
      <c r="B33" s="468" t="s">
        <v>679</v>
      </c>
      <c r="C33" s="457">
        <v>19597.2</v>
      </c>
      <c r="E33" s="486" t="s">
        <v>801</v>
      </c>
      <c r="F33" s="486" t="s">
        <v>802</v>
      </c>
      <c r="N33" s="157"/>
      <c r="Q33" s="326">
        <f t="shared" si="2"/>
        <v>0</v>
      </c>
    </row>
    <row r="34" spans="1:19">
      <c r="A34" s="458"/>
      <c r="B34" s="457"/>
      <c r="C34" s="457"/>
      <c r="N34" s="157"/>
      <c r="Q34" s="326">
        <f t="shared" si="2"/>
        <v>0</v>
      </c>
    </row>
    <row r="35" spans="1:19">
      <c r="A35" s="461">
        <v>530</v>
      </c>
      <c r="B35" s="468" t="s">
        <v>109</v>
      </c>
      <c r="C35" s="457">
        <f>SUM(C31:C34)</f>
        <v>75333.73</v>
      </c>
      <c r="D35" s="333">
        <f>C35+C28+C20</f>
        <v>469403.80000000005</v>
      </c>
      <c r="G35" s="285">
        <f>$C35/$C21*G20</f>
        <v>5864.1307178029974</v>
      </c>
      <c r="H35" s="285">
        <f t="shared" ref="H35:M35" si="3">$C35/$C21*H20</f>
        <v>3018.6091362426769</v>
      </c>
      <c r="I35" s="285">
        <f t="shared" si="3"/>
        <v>31428.439161722483</v>
      </c>
      <c r="J35" s="285">
        <f t="shared" si="3"/>
        <v>0</v>
      </c>
      <c r="K35" s="285">
        <f t="shared" si="3"/>
        <v>507.03369758096318</v>
      </c>
      <c r="L35" s="285">
        <f t="shared" si="3"/>
        <v>0</v>
      </c>
      <c r="M35" s="285">
        <f t="shared" si="3"/>
        <v>34515.517286650858</v>
      </c>
      <c r="N35" s="326"/>
      <c r="O35" s="326"/>
      <c r="P35" s="326"/>
      <c r="Q35" s="326">
        <f>SUM(G35:P35)</f>
        <v>75333.729999999981</v>
      </c>
      <c r="R35" s="153">
        <f>Q35-C35</f>
        <v>0</v>
      </c>
      <c r="S35" s="153">
        <f>R35+R20</f>
        <v>0</v>
      </c>
    </row>
    <row r="36" spans="1:19">
      <c r="A36" s="458"/>
      <c r="B36" s="457"/>
      <c r="C36" s="458"/>
      <c r="N36" s="157"/>
    </row>
    <row r="37" spans="1:19">
      <c r="A37" s="461">
        <v>540</v>
      </c>
      <c r="B37" s="457" t="s">
        <v>516</v>
      </c>
      <c r="C37" s="467"/>
      <c r="N37" s="157"/>
    </row>
    <row r="38" spans="1:19">
      <c r="A38" s="461" t="s">
        <v>524</v>
      </c>
      <c r="B38" s="457" t="s">
        <v>525</v>
      </c>
      <c r="C38" s="457">
        <f>3658.78</f>
        <v>3658.78</v>
      </c>
      <c r="E38" s="522" t="s">
        <v>871</v>
      </c>
      <c r="F38" s="522" t="s">
        <v>872</v>
      </c>
      <c r="H38" s="333" t="s">
        <v>154</v>
      </c>
      <c r="I38" s="326">
        <f>C38</f>
        <v>3658.78</v>
      </c>
      <c r="N38" s="157"/>
      <c r="Q38" s="326">
        <f t="shared" ref="Q38:Q60" si="4">SUM(G38:P38)</f>
        <v>3658.78</v>
      </c>
    </row>
    <row r="39" spans="1:19">
      <c r="A39" s="461" t="s">
        <v>526</v>
      </c>
      <c r="B39" s="457" t="s">
        <v>527</v>
      </c>
      <c r="C39" s="457">
        <v>0</v>
      </c>
      <c r="I39" s="326">
        <f>C39</f>
        <v>0</v>
      </c>
      <c r="N39" s="157"/>
      <c r="Q39" s="326">
        <f t="shared" si="4"/>
        <v>0</v>
      </c>
    </row>
    <row r="40" spans="1:19">
      <c r="A40" s="461" t="s">
        <v>528</v>
      </c>
      <c r="B40" s="457" t="s">
        <v>529</v>
      </c>
      <c r="C40" s="457">
        <v>0</v>
      </c>
      <c r="M40" s="326">
        <f>C40</f>
        <v>0</v>
      </c>
      <c r="N40" s="157"/>
      <c r="Q40" s="326">
        <f t="shared" si="4"/>
        <v>0</v>
      </c>
    </row>
    <row r="41" spans="1:19">
      <c r="A41" s="469" t="s">
        <v>680</v>
      </c>
      <c r="B41" s="468" t="s">
        <v>681</v>
      </c>
      <c r="C41" s="457">
        <f>96392.87</f>
        <v>96392.87</v>
      </c>
      <c r="G41" s="326">
        <f>C41</f>
        <v>96392.87</v>
      </c>
      <c r="N41" s="157"/>
      <c r="Q41" s="326">
        <f t="shared" si="4"/>
        <v>96392.87</v>
      </c>
    </row>
    <row r="42" spans="1:19">
      <c r="A42" s="469" t="s">
        <v>682</v>
      </c>
      <c r="B42" s="468" t="s">
        <v>683</v>
      </c>
      <c r="C42" s="457">
        <v>0</v>
      </c>
      <c r="H42" s="326">
        <f>C42</f>
        <v>0</v>
      </c>
      <c r="N42" s="157"/>
      <c r="Q42" s="326">
        <f t="shared" si="4"/>
        <v>0</v>
      </c>
    </row>
    <row r="43" spans="1:19">
      <c r="A43" s="469" t="s">
        <v>754</v>
      </c>
      <c r="B43" s="468" t="s">
        <v>755</v>
      </c>
      <c r="C43" s="457">
        <v>0</v>
      </c>
      <c r="H43" s="326"/>
      <c r="I43" s="326">
        <f>C43</f>
        <v>0</v>
      </c>
      <c r="N43" s="157"/>
      <c r="Q43" s="326">
        <f t="shared" si="4"/>
        <v>0</v>
      </c>
    </row>
    <row r="44" spans="1:19">
      <c r="A44" s="469" t="s">
        <v>684</v>
      </c>
      <c r="B44" s="468" t="s">
        <v>685</v>
      </c>
      <c r="C44" s="457">
        <f>23018.27</f>
        <v>23018.27</v>
      </c>
      <c r="E44" s="521" t="s">
        <v>869</v>
      </c>
      <c r="F44" s="521" t="s">
        <v>870</v>
      </c>
      <c r="I44" s="326">
        <f>C44</f>
        <v>23018.27</v>
      </c>
      <c r="N44" s="157"/>
      <c r="Q44" s="326">
        <f t="shared" si="4"/>
        <v>23018.27</v>
      </c>
    </row>
    <row r="45" spans="1:19">
      <c r="A45" s="469" t="s">
        <v>686</v>
      </c>
      <c r="B45" s="468" t="s">
        <v>687</v>
      </c>
      <c r="C45" s="457">
        <v>5222</v>
      </c>
      <c r="E45" s="525" t="s">
        <v>875</v>
      </c>
      <c r="F45" s="525" t="s">
        <v>876</v>
      </c>
      <c r="I45" s="326">
        <f>C45</f>
        <v>5222</v>
      </c>
      <c r="N45" s="157"/>
      <c r="Q45" s="326">
        <f t="shared" si="4"/>
        <v>5222</v>
      </c>
    </row>
    <row r="46" spans="1:19">
      <c r="A46" s="461" t="s">
        <v>530</v>
      </c>
      <c r="B46" s="457" t="s">
        <v>531</v>
      </c>
      <c r="C46" s="457">
        <v>1355.89</v>
      </c>
      <c r="E46" s="523" t="s">
        <v>855</v>
      </c>
      <c r="F46" s="523" t="s">
        <v>856</v>
      </c>
      <c r="M46" s="326">
        <f>C46</f>
        <v>1355.89</v>
      </c>
      <c r="N46" s="157"/>
      <c r="Q46" s="326">
        <f t="shared" si="4"/>
        <v>1355.89</v>
      </c>
    </row>
    <row r="47" spans="1:19">
      <c r="A47" s="461" t="s">
        <v>532</v>
      </c>
      <c r="B47" s="457" t="s">
        <v>533</v>
      </c>
      <c r="C47" s="457">
        <v>77</v>
      </c>
      <c r="E47" s="526" t="s">
        <v>877</v>
      </c>
      <c r="F47" s="526" t="s">
        <v>878</v>
      </c>
      <c r="M47" s="326">
        <f t="shared" ref="M47:M52" si="5">C47</f>
        <v>77</v>
      </c>
      <c r="N47" s="157"/>
      <c r="Q47" s="326">
        <f t="shared" si="4"/>
        <v>77</v>
      </c>
    </row>
    <row r="48" spans="1:19">
      <c r="A48" s="461" t="s">
        <v>534</v>
      </c>
      <c r="B48" s="457" t="s">
        <v>535</v>
      </c>
      <c r="C48" s="457">
        <v>0</v>
      </c>
      <c r="M48" s="326">
        <f t="shared" si="5"/>
        <v>0</v>
      </c>
      <c r="N48" s="157"/>
      <c r="Q48" s="326">
        <f t="shared" si="4"/>
        <v>0</v>
      </c>
    </row>
    <row r="49" spans="1:17">
      <c r="A49" s="469" t="s">
        <v>688</v>
      </c>
      <c r="B49" s="468" t="s">
        <v>689</v>
      </c>
      <c r="C49" s="457">
        <v>0</v>
      </c>
      <c r="M49" s="326">
        <f t="shared" si="5"/>
        <v>0</v>
      </c>
      <c r="N49" s="157"/>
      <c r="Q49" s="326">
        <f t="shared" si="4"/>
        <v>0</v>
      </c>
    </row>
    <row r="50" spans="1:17">
      <c r="A50" s="469" t="s">
        <v>690</v>
      </c>
      <c r="B50" s="468" t="s">
        <v>691</v>
      </c>
      <c r="C50" s="457">
        <f>4599.25</f>
        <v>4599.25</v>
      </c>
      <c r="E50" s="520" t="s">
        <v>867</v>
      </c>
      <c r="F50" s="520" t="s">
        <v>868</v>
      </c>
      <c r="M50" s="326">
        <f t="shared" si="5"/>
        <v>4599.25</v>
      </c>
      <c r="N50" s="157"/>
      <c r="Q50" s="326">
        <f t="shared" si="4"/>
        <v>4599.25</v>
      </c>
    </row>
    <row r="51" spans="1:17">
      <c r="A51" s="461" t="s">
        <v>536</v>
      </c>
      <c r="B51" s="457" t="s">
        <v>537</v>
      </c>
      <c r="C51" s="457">
        <f>5914.59</f>
        <v>5914.59</v>
      </c>
      <c r="E51" s="524" t="s">
        <v>873</v>
      </c>
      <c r="F51" s="524" t="s">
        <v>874</v>
      </c>
      <c r="M51" s="326">
        <f t="shared" si="5"/>
        <v>5914.59</v>
      </c>
      <c r="N51" s="157"/>
      <c r="Q51" s="326">
        <f t="shared" si="4"/>
        <v>5914.59</v>
      </c>
    </row>
    <row r="52" spans="1:17">
      <c r="A52" s="461" t="s">
        <v>538</v>
      </c>
      <c r="B52" s="457" t="s">
        <v>539</v>
      </c>
      <c r="C52" s="457">
        <v>0</v>
      </c>
      <c r="M52" s="326">
        <f t="shared" si="5"/>
        <v>0</v>
      </c>
      <c r="N52" s="157"/>
      <c r="Q52" s="326">
        <f t="shared" si="4"/>
        <v>0</v>
      </c>
    </row>
    <row r="53" spans="1:17">
      <c r="A53" s="461"/>
      <c r="B53" s="457"/>
      <c r="C53" s="457"/>
      <c r="N53" s="157"/>
      <c r="Q53" s="326">
        <f t="shared" si="4"/>
        <v>0</v>
      </c>
    </row>
    <row r="54" spans="1:17">
      <c r="A54" s="461">
        <v>540</v>
      </c>
      <c r="B54" s="457" t="s">
        <v>109</v>
      </c>
      <c r="C54" s="457">
        <f>SUM(C38:C53)</f>
        <v>140238.65</v>
      </c>
      <c r="D54" s="157" t="s">
        <v>154</v>
      </c>
      <c r="N54" s="157"/>
      <c r="Q54" s="326">
        <f>SUM(Q38:Q53)</f>
        <v>140238.65</v>
      </c>
    </row>
    <row r="55" spans="1:17">
      <c r="A55" s="461"/>
      <c r="B55" s="457"/>
      <c r="C55" s="467"/>
      <c r="N55" s="157"/>
      <c r="Q55" s="326" t="s">
        <v>154</v>
      </c>
    </row>
    <row r="56" spans="1:17">
      <c r="A56" s="461">
        <v>550</v>
      </c>
      <c r="B56" s="457" t="s">
        <v>517</v>
      </c>
      <c r="C56" s="467"/>
      <c r="N56" s="157"/>
      <c r="Q56" s="326" t="s">
        <v>154</v>
      </c>
    </row>
    <row r="57" spans="1:17">
      <c r="A57" s="458" t="s">
        <v>540</v>
      </c>
      <c r="B57" s="457" t="s">
        <v>541</v>
      </c>
      <c r="C57" s="457">
        <f>5078.08</f>
        <v>5078.08</v>
      </c>
      <c r="E57" s="498" t="s">
        <v>827</v>
      </c>
      <c r="F57" s="498" t="s">
        <v>828</v>
      </c>
      <c r="M57" s="326">
        <f>C57</f>
        <v>5078.08</v>
      </c>
      <c r="N57" s="157"/>
      <c r="Q57" s="326">
        <f t="shared" si="4"/>
        <v>5078.08</v>
      </c>
    </row>
    <row r="58" spans="1:17">
      <c r="A58" s="470" t="s">
        <v>757</v>
      </c>
      <c r="B58" s="457" t="s">
        <v>758</v>
      </c>
      <c r="C58" s="457">
        <f>1539.74</f>
        <v>1539.74</v>
      </c>
      <c r="E58" s="497" t="s">
        <v>823</v>
      </c>
      <c r="F58" s="497" t="s">
        <v>824</v>
      </c>
      <c r="M58" s="326">
        <f>C58</f>
        <v>1539.74</v>
      </c>
      <c r="N58" s="157"/>
      <c r="Q58" s="326">
        <f t="shared" si="4"/>
        <v>1539.74</v>
      </c>
    </row>
    <row r="59" spans="1:17">
      <c r="A59" s="458" t="s">
        <v>542</v>
      </c>
      <c r="B59" s="457" t="s">
        <v>543</v>
      </c>
      <c r="C59" s="457">
        <f>231.9</f>
        <v>231.9</v>
      </c>
      <c r="E59" s="497" t="s">
        <v>825</v>
      </c>
      <c r="F59" s="497" t="s">
        <v>826</v>
      </c>
      <c r="M59" s="326">
        <f>C59</f>
        <v>231.9</v>
      </c>
      <c r="N59" s="157"/>
      <c r="Q59" s="326">
        <f t="shared" si="4"/>
        <v>231.9</v>
      </c>
    </row>
    <row r="60" spans="1:17">
      <c r="A60" s="458" t="s">
        <v>544</v>
      </c>
      <c r="B60" s="457" t="s">
        <v>545</v>
      </c>
      <c r="C60" s="465">
        <f>310.76</f>
        <v>310.76</v>
      </c>
      <c r="E60" s="499" t="s">
        <v>829</v>
      </c>
      <c r="F60" s="499" t="s">
        <v>830</v>
      </c>
      <c r="M60" s="326">
        <f>C60</f>
        <v>310.76</v>
      </c>
      <c r="N60" s="157"/>
      <c r="Q60" s="326">
        <f t="shared" si="4"/>
        <v>310.76</v>
      </c>
    </row>
    <row r="61" spans="1:17">
      <c r="A61" s="458"/>
      <c r="B61" s="457"/>
      <c r="C61" s="465"/>
      <c r="N61" s="157"/>
    </row>
    <row r="62" spans="1:17">
      <c r="A62" s="470" t="s">
        <v>546</v>
      </c>
      <c r="B62" s="457" t="s">
        <v>109</v>
      </c>
      <c r="C62" s="465">
        <f>SUM(C57:C60)</f>
        <v>7160.48</v>
      </c>
      <c r="D62" s="157" t="s">
        <v>154</v>
      </c>
      <c r="N62" s="157"/>
      <c r="Q62" s="326">
        <f>SUM(Q57:Q60)</f>
        <v>7160.48</v>
      </c>
    </row>
    <row r="63" spans="1:17">
      <c r="A63" s="458"/>
      <c r="B63" s="457"/>
      <c r="C63" s="458"/>
      <c r="N63" s="157"/>
    </row>
    <row r="64" spans="1:17">
      <c r="A64" s="470" t="s">
        <v>547</v>
      </c>
      <c r="B64" s="457" t="s">
        <v>518</v>
      </c>
      <c r="C64" s="458"/>
      <c r="N64" s="157"/>
    </row>
    <row r="65" spans="1:17">
      <c r="A65" s="458" t="s">
        <v>548</v>
      </c>
      <c r="B65" s="457" t="s">
        <v>549</v>
      </c>
      <c r="C65" s="457">
        <v>0</v>
      </c>
      <c r="E65" s="501"/>
      <c r="F65" s="501"/>
      <c r="M65" s="326">
        <f t="shared" ref="M65:M70" si="6">C65</f>
        <v>0</v>
      </c>
      <c r="N65" s="157"/>
      <c r="Q65" s="326">
        <f t="shared" ref="Q65:Q70" si="7">SUM(G65:P65)</f>
        <v>0</v>
      </c>
    </row>
    <row r="66" spans="1:17">
      <c r="A66" s="458" t="s">
        <v>550</v>
      </c>
      <c r="B66" s="457" t="s">
        <v>551</v>
      </c>
      <c r="C66" s="457">
        <f>10827.33</f>
        <v>10827.33</v>
      </c>
      <c r="E66" s="503" t="s">
        <v>837</v>
      </c>
      <c r="F66" s="503" t="s">
        <v>838</v>
      </c>
      <c r="M66" s="326">
        <f t="shared" si="6"/>
        <v>10827.33</v>
      </c>
      <c r="N66" s="157"/>
      <c r="Q66" s="326">
        <f t="shared" si="7"/>
        <v>10827.33</v>
      </c>
    </row>
    <row r="67" spans="1:17">
      <c r="A67" s="458" t="s">
        <v>552</v>
      </c>
      <c r="B67" s="457" t="s">
        <v>553</v>
      </c>
      <c r="C67" s="457">
        <f>63585.1</f>
        <v>63585.1</v>
      </c>
      <c r="E67" s="532" t="s">
        <v>833</v>
      </c>
      <c r="F67" s="532" t="s">
        <v>834</v>
      </c>
      <c r="M67" s="326">
        <f t="shared" si="6"/>
        <v>63585.1</v>
      </c>
      <c r="N67" s="157"/>
      <c r="Q67" s="326">
        <f t="shared" si="7"/>
        <v>63585.1</v>
      </c>
    </row>
    <row r="68" spans="1:17">
      <c r="A68" s="458" t="s">
        <v>554</v>
      </c>
      <c r="B68" s="457" t="s">
        <v>555</v>
      </c>
      <c r="C68" s="457">
        <v>15341</v>
      </c>
      <c r="E68" s="500" t="s">
        <v>831</v>
      </c>
      <c r="F68" s="500" t="s">
        <v>832</v>
      </c>
      <c r="M68" s="326">
        <f t="shared" si="6"/>
        <v>15341</v>
      </c>
      <c r="N68" s="157"/>
      <c r="Q68" s="326">
        <f t="shared" si="7"/>
        <v>15341</v>
      </c>
    </row>
    <row r="69" spans="1:17">
      <c r="A69" s="458" t="s">
        <v>556</v>
      </c>
      <c r="B69" s="457" t="s">
        <v>557</v>
      </c>
      <c r="C69" s="457">
        <f>2226</f>
        <v>2226</v>
      </c>
      <c r="E69" s="502" t="s">
        <v>835</v>
      </c>
      <c r="F69" s="502" t="s">
        <v>836</v>
      </c>
      <c r="M69" s="326">
        <f t="shared" si="6"/>
        <v>2226</v>
      </c>
      <c r="N69" s="157"/>
      <c r="Q69" s="326">
        <f t="shared" si="7"/>
        <v>2226</v>
      </c>
    </row>
    <row r="70" spans="1:17">
      <c r="A70" s="458" t="s">
        <v>558</v>
      </c>
      <c r="B70" s="457" t="s">
        <v>559</v>
      </c>
      <c r="C70" s="457">
        <f>893.06</f>
        <v>893.06</v>
      </c>
      <c r="E70" s="504" t="s">
        <v>839</v>
      </c>
      <c r="F70" s="504" t="s">
        <v>840</v>
      </c>
      <c r="M70" s="326">
        <f t="shared" si="6"/>
        <v>893.06</v>
      </c>
      <c r="N70" s="157"/>
      <c r="Q70" s="326">
        <f t="shared" si="7"/>
        <v>893.06</v>
      </c>
    </row>
    <row r="71" spans="1:17">
      <c r="A71" s="458"/>
      <c r="B71" s="457"/>
      <c r="C71" s="457"/>
      <c r="N71" s="157"/>
    </row>
    <row r="72" spans="1:17">
      <c r="A72" s="470" t="s">
        <v>547</v>
      </c>
      <c r="B72" s="457" t="s">
        <v>109</v>
      </c>
      <c r="C72" s="457">
        <f>SUM(C65:C70)</f>
        <v>92872.489999999991</v>
      </c>
      <c r="D72" s="157" t="s">
        <v>154</v>
      </c>
      <c r="N72" s="157"/>
      <c r="Q72" s="326">
        <f>SUM(Q65:Q70)</f>
        <v>92872.489999999991</v>
      </c>
    </row>
    <row r="73" spans="1:17">
      <c r="A73" s="470"/>
      <c r="B73" s="457"/>
      <c r="C73" s="467"/>
      <c r="N73" s="157"/>
    </row>
    <row r="74" spans="1:17">
      <c r="A74" s="471">
        <v>570</v>
      </c>
      <c r="B74" s="458"/>
      <c r="C74" s="472" t="s">
        <v>154</v>
      </c>
      <c r="N74" s="157"/>
    </row>
    <row r="75" spans="1:17">
      <c r="A75" s="473" t="s">
        <v>692</v>
      </c>
      <c r="B75" s="468" t="s">
        <v>505</v>
      </c>
      <c r="C75" s="457">
        <f>470609.75</f>
        <v>470609.75</v>
      </c>
      <c r="E75" s="519" t="s">
        <v>866</v>
      </c>
      <c r="F75" s="519" t="s">
        <v>505</v>
      </c>
      <c r="N75" s="157"/>
      <c r="O75" s="326">
        <f>C75</f>
        <v>470609.75</v>
      </c>
      <c r="P75" s="326"/>
      <c r="Q75" s="326">
        <f>SUM(G75:P75)</f>
        <v>470609.75</v>
      </c>
    </row>
    <row r="76" spans="1:17">
      <c r="A76" s="470"/>
      <c r="B76" s="457" t="s">
        <v>154</v>
      </c>
      <c r="C76" s="457">
        <v>0</v>
      </c>
      <c r="M76" s="326">
        <f>C76</f>
        <v>0</v>
      </c>
      <c r="N76" s="157"/>
    </row>
    <row r="77" spans="1:17">
      <c r="A77" s="470"/>
      <c r="B77" s="457"/>
      <c r="C77" s="457"/>
      <c r="N77" s="157"/>
    </row>
    <row r="78" spans="1:17">
      <c r="A78" s="471">
        <v>570</v>
      </c>
      <c r="B78" s="457" t="s">
        <v>109</v>
      </c>
      <c r="C78" s="457">
        <f>SUM(C75:C76)</f>
        <v>470609.75</v>
      </c>
      <c r="D78" s="157" t="s">
        <v>154</v>
      </c>
      <c r="N78" s="157"/>
      <c r="Q78" s="289">
        <f>SUM(Q75:Q76)</f>
        <v>470609.75</v>
      </c>
    </row>
    <row r="79" spans="1:17">
      <c r="A79" s="458"/>
      <c r="B79" s="457"/>
      <c r="C79" s="458"/>
      <c r="N79" s="157"/>
    </row>
    <row r="80" spans="1:17">
      <c r="A80" s="461">
        <v>580</v>
      </c>
      <c r="B80" s="457" t="s">
        <v>560</v>
      </c>
      <c r="C80" s="458"/>
      <c r="N80" s="157"/>
    </row>
    <row r="81" spans="1:17">
      <c r="A81" s="458" t="s">
        <v>561</v>
      </c>
      <c r="B81" s="457" t="s">
        <v>562</v>
      </c>
      <c r="C81" s="457">
        <v>3963</v>
      </c>
      <c r="E81" s="488" t="s">
        <v>805</v>
      </c>
      <c r="F81" s="488" t="s">
        <v>806</v>
      </c>
      <c r="M81" s="326">
        <f>C81</f>
        <v>3963</v>
      </c>
      <c r="N81" s="157"/>
      <c r="Q81" s="326">
        <f t="shared" ref="Q81:Q115" si="8">SUM(G81:P81)</f>
        <v>3963</v>
      </c>
    </row>
    <row r="82" spans="1:17">
      <c r="A82" s="458" t="s">
        <v>563</v>
      </c>
      <c r="B82" s="457" t="s">
        <v>564</v>
      </c>
      <c r="C82" s="457">
        <v>3685</v>
      </c>
      <c r="E82" s="489" t="s">
        <v>807</v>
      </c>
      <c r="F82" s="489" t="s">
        <v>808</v>
      </c>
      <c r="M82" s="326">
        <f>C82</f>
        <v>3685</v>
      </c>
      <c r="N82" s="157"/>
      <c r="Q82" s="326">
        <f t="shared" si="8"/>
        <v>3685</v>
      </c>
    </row>
    <row r="83" spans="1:17">
      <c r="A83" s="458" t="s">
        <v>565</v>
      </c>
      <c r="B83" s="457" t="s">
        <v>566</v>
      </c>
      <c r="C83" s="457">
        <v>2063</v>
      </c>
      <c r="E83" s="490" t="s">
        <v>811</v>
      </c>
      <c r="F83" s="490" t="s">
        <v>812</v>
      </c>
      <c r="I83" s="326">
        <f>C83</f>
        <v>2063</v>
      </c>
      <c r="N83" s="157"/>
      <c r="Q83" s="326">
        <f t="shared" si="8"/>
        <v>2063</v>
      </c>
    </row>
    <row r="84" spans="1:17">
      <c r="A84" s="458" t="s">
        <v>567</v>
      </c>
      <c r="B84" s="457" t="s">
        <v>568</v>
      </c>
      <c r="C84" s="457">
        <v>0</v>
      </c>
      <c r="E84" s="491" t="s">
        <v>809</v>
      </c>
      <c r="F84" s="491" t="s">
        <v>810</v>
      </c>
      <c r="I84" s="326">
        <f>C84</f>
        <v>0</v>
      </c>
      <c r="N84" s="157"/>
      <c r="Q84" s="326">
        <f t="shared" si="8"/>
        <v>0</v>
      </c>
    </row>
    <row r="85" spans="1:17">
      <c r="A85" s="458" t="s">
        <v>569</v>
      </c>
      <c r="B85" s="457" t="s">
        <v>570</v>
      </c>
      <c r="C85" s="457">
        <f>2452.32</f>
        <v>2452.3200000000002</v>
      </c>
      <c r="E85" s="492" t="s">
        <v>813</v>
      </c>
      <c r="F85" s="492" t="s">
        <v>814</v>
      </c>
      <c r="M85" s="326">
        <f>C85</f>
        <v>2452.3200000000002</v>
      </c>
      <c r="N85" s="157"/>
      <c r="Q85" s="326">
        <f t="shared" si="8"/>
        <v>2452.3200000000002</v>
      </c>
    </row>
    <row r="86" spans="1:17">
      <c r="A86" s="458" t="s">
        <v>571</v>
      </c>
      <c r="B86" s="457" t="s">
        <v>572</v>
      </c>
      <c r="C86" s="457">
        <f>440</f>
        <v>440</v>
      </c>
      <c r="E86" s="493" t="s">
        <v>815</v>
      </c>
      <c r="F86" s="493" t="s">
        <v>816</v>
      </c>
      <c r="M86" s="326">
        <f>C86</f>
        <v>440</v>
      </c>
      <c r="N86" s="157"/>
      <c r="Q86" s="326">
        <f t="shared" si="8"/>
        <v>440</v>
      </c>
    </row>
    <row r="87" spans="1:17">
      <c r="A87" s="458" t="s">
        <v>573</v>
      </c>
      <c r="B87" s="457" t="s">
        <v>574</v>
      </c>
      <c r="C87" s="457">
        <f>231.29</f>
        <v>231.29</v>
      </c>
      <c r="M87" s="326">
        <f>C87</f>
        <v>231.29</v>
      </c>
      <c r="N87" s="157"/>
      <c r="Q87" s="326">
        <f t="shared" si="8"/>
        <v>231.29</v>
      </c>
    </row>
    <row r="88" spans="1:17">
      <c r="A88" s="458" t="s">
        <v>575</v>
      </c>
      <c r="B88" s="457" t="s">
        <v>576</v>
      </c>
      <c r="C88" s="457">
        <v>5128</v>
      </c>
      <c r="E88" s="487" t="s">
        <v>803</v>
      </c>
      <c r="F88" s="487" t="s">
        <v>804</v>
      </c>
      <c r="M88" s="326">
        <f>C88</f>
        <v>5128</v>
      </c>
      <c r="N88" s="157"/>
      <c r="Q88" s="326">
        <f t="shared" si="8"/>
        <v>5128</v>
      </c>
    </row>
    <row r="89" spans="1:17">
      <c r="A89" s="458" t="s">
        <v>577</v>
      </c>
      <c r="B89" s="457" t="s">
        <v>578</v>
      </c>
      <c r="C89" s="457">
        <v>556</v>
      </c>
      <c r="E89" s="512"/>
      <c r="F89" s="512"/>
      <c r="I89" s="326">
        <f>C89</f>
        <v>556</v>
      </c>
      <c r="N89" s="157"/>
      <c r="Q89" s="326">
        <f t="shared" si="8"/>
        <v>556</v>
      </c>
    </row>
    <row r="90" spans="1:17">
      <c r="A90" s="458" t="s">
        <v>579</v>
      </c>
      <c r="B90" s="457" t="s">
        <v>580</v>
      </c>
      <c r="C90" s="457">
        <v>9828</v>
      </c>
      <c r="E90" s="496" t="s">
        <v>821</v>
      </c>
      <c r="F90" s="496" t="s">
        <v>822</v>
      </c>
      <c r="I90" s="326">
        <f>C90</f>
        <v>9828</v>
      </c>
      <c r="N90" s="157"/>
      <c r="Q90" s="326">
        <f t="shared" si="8"/>
        <v>9828</v>
      </c>
    </row>
    <row r="91" spans="1:17">
      <c r="A91" s="458" t="s">
        <v>581</v>
      </c>
      <c r="B91" s="457" t="s">
        <v>582</v>
      </c>
      <c r="C91" s="457">
        <v>7561</v>
      </c>
      <c r="E91" s="511" t="s">
        <v>853</v>
      </c>
      <c r="F91" s="511" t="s">
        <v>854</v>
      </c>
      <c r="I91" s="326">
        <f>C91</f>
        <v>7561</v>
      </c>
      <c r="N91" s="157"/>
      <c r="Q91" s="326">
        <f t="shared" si="8"/>
        <v>7561</v>
      </c>
    </row>
    <row r="92" spans="1:17">
      <c r="A92" s="458" t="s">
        <v>583</v>
      </c>
      <c r="B92" s="457" t="s">
        <v>584</v>
      </c>
      <c r="C92" s="457">
        <f>1017</f>
        <v>1017</v>
      </c>
      <c r="E92" s="494" t="s">
        <v>817</v>
      </c>
      <c r="F92" s="494" t="s">
        <v>818</v>
      </c>
      <c r="M92" s="326">
        <f>C92</f>
        <v>1017</v>
      </c>
      <c r="N92" s="157"/>
      <c r="Q92" s="326">
        <f t="shared" si="8"/>
        <v>1017</v>
      </c>
    </row>
    <row r="93" spans="1:17">
      <c r="A93" s="458" t="s">
        <v>585</v>
      </c>
      <c r="B93" s="457" t="s">
        <v>586</v>
      </c>
      <c r="C93" s="457">
        <v>0</v>
      </c>
      <c r="M93" s="326">
        <f>C93</f>
        <v>0</v>
      </c>
      <c r="N93" s="157"/>
      <c r="Q93" s="326">
        <f t="shared" si="8"/>
        <v>0</v>
      </c>
    </row>
    <row r="94" spans="1:17">
      <c r="A94" s="562"/>
      <c r="B94" s="609" t="s">
        <v>1771</v>
      </c>
      <c r="C94" s="457">
        <f>4554.13</f>
        <v>4554.13</v>
      </c>
      <c r="E94" s="610" t="s">
        <v>1772</v>
      </c>
      <c r="F94" s="477" t="s">
        <v>1771</v>
      </c>
      <c r="M94" s="326">
        <f>C94</f>
        <v>4554.13</v>
      </c>
      <c r="N94" s="157"/>
      <c r="Q94" s="326">
        <f t="shared" si="8"/>
        <v>4554.13</v>
      </c>
    </row>
    <row r="95" spans="1:17">
      <c r="A95" s="458" t="s">
        <v>587</v>
      </c>
      <c r="B95" s="457" t="s">
        <v>588</v>
      </c>
      <c r="C95" s="457">
        <v>15505</v>
      </c>
      <c r="E95" s="516" t="s">
        <v>863</v>
      </c>
      <c r="F95" s="516" t="s">
        <v>864</v>
      </c>
      <c r="G95" s="517"/>
      <c r="M95" s="326">
        <f>C95</f>
        <v>15505</v>
      </c>
      <c r="N95" s="157"/>
      <c r="Q95" s="326">
        <f t="shared" si="8"/>
        <v>15505</v>
      </c>
    </row>
    <row r="96" spans="1:17">
      <c r="A96" s="458" t="s">
        <v>589</v>
      </c>
      <c r="B96" s="457" t="s">
        <v>590</v>
      </c>
      <c r="C96" s="457">
        <f>1922</f>
        <v>1922</v>
      </c>
      <c r="E96" s="505" t="s">
        <v>841</v>
      </c>
      <c r="F96" s="505" t="s">
        <v>842</v>
      </c>
      <c r="M96" s="326">
        <f>C96</f>
        <v>1922</v>
      </c>
      <c r="N96" s="157"/>
      <c r="Q96" s="326">
        <f t="shared" si="8"/>
        <v>1922</v>
      </c>
    </row>
    <row r="97" spans="1:17">
      <c r="A97" s="458" t="s">
        <v>591</v>
      </c>
      <c r="B97" s="457" t="s">
        <v>592</v>
      </c>
      <c r="C97" s="457">
        <v>0</v>
      </c>
      <c r="I97" s="326">
        <f>C97</f>
        <v>0</v>
      </c>
      <c r="N97" s="157"/>
      <c r="Q97" s="326">
        <f t="shared" si="8"/>
        <v>0</v>
      </c>
    </row>
    <row r="98" spans="1:17">
      <c r="A98" s="458" t="s">
        <v>593</v>
      </c>
      <c r="B98" s="457" t="s">
        <v>594</v>
      </c>
      <c r="C98" s="457">
        <v>2750</v>
      </c>
      <c r="E98" s="495" t="s">
        <v>819</v>
      </c>
      <c r="F98" s="495" t="s">
        <v>820</v>
      </c>
      <c r="M98" s="326">
        <f>C98</f>
        <v>2750</v>
      </c>
      <c r="N98" s="157"/>
      <c r="Q98" s="326">
        <f t="shared" si="8"/>
        <v>2750</v>
      </c>
    </row>
    <row r="99" spans="1:17">
      <c r="A99" s="458" t="s">
        <v>595</v>
      </c>
      <c r="B99" s="457" t="s">
        <v>596</v>
      </c>
      <c r="C99" s="457">
        <f>21173.8</f>
        <v>21173.8</v>
      </c>
      <c r="E99" s="506" t="s">
        <v>843</v>
      </c>
      <c r="F99" s="506" t="s">
        <v>844</v>
      </c>
      <c r="M99" s="326">
        <f>C99</f>
        <v>21173.8</v>
      </c>
      <c r="N99" s="157"/>
      <c r="Q99" s="326">
        <f t="shared" si="8"/>
        <v>21173.8</v>
      </c>
    </row>
    <row r="100" spans="1:17">
      <c r="A100" s="458" t="s">
        <v>597</v>
      </c>
      <c r="B100" s="457" t="s">
        <v>598</v>
      </c>
      <c r="C100" s="457">
        <v>3827.9</v>
      </c>
      <c r="E100" s="510" t="s">
        <v>851</v>
      </c>
      <c r="F100" s="510" t="s">
        <v>852</v>
      </c>
      <c r="M100" s="326">
        <f>C100</f>
        <v>3827.9</v>
      </c>
      <c r="N100" s="157"/>
      <c r="Q100" s="326">
        <f t="shared" si="8"/>
        <v>3827.9</v>
      </c>
    </row>
    <row r="101" spans="1:17">
      <c r="A101" s="458" t="s">
        <v>599</v>
      </c>
      <c r="B101" s="457" t="s">
        <v>600</v>
      </c>
      <c r="C101" s="457">
        <f>2330.8</f>
        <v>2330.8000000000002</v>
      </c>
      <c r="E101" s="515" t="s">
        <v>861</v>
      </c>
      <c r="F101" s="515" t="s">
        <v>862</v>
      </c>
      <c r="I101" s="326">
        <f>C101</f>
        <v>2330.8000000000002</v>
      </c>
      <c r="N101" s="157"/>
      <c r="Q101" s="326">
        <f t="shared" si="8"/>
        <v>2330.8000000000002</v>
      </c>
    </row>
    <row r="102" spans="1:17">
      <c r="A102" s="458" t="s">
        <v>601</v>
      </c>
      <c r="B102" s="457" t="s">
        <v>602</v>
      </c>
      <c r="C102" s="457">
        <f>22.78</f>
        <v>22.78</v>
      </c>
      <c r="E102" s="507" t="s">
        <v>845</v>
      </c>
      <c r="F102" s="507" t="s">
        <v>846</v>
      </c>
      <c r="M102" s="326">
        <f>C102</f>
        <v>22.78</v>
      </c>
      <c r="N102" s="157"/>
      <c r="Q102" s="326">
        <f t="shared" si="8"/>
        <v>22.78</v>
      </c>
    </row>
    <row r="103" spans="1:17">
      <c r="A103" s="458" t="s">
        <v>603</v>
      </c>
      <c r="B103" s="474" t="s">
        <v>604</v>
      </c>
      <c r="C103" s="457">
        <v>14400</v>
      </c>
      <c r="D103" s="331" t="s">
        <v>154</v>
      </c>
      <c r="E103" s="508" t="s">
        <v>847</v>
      </c>
      <c r="F103" s="508" t="s">
        <v>848</v>
      </c>
      <c r="L103" s="326">
        <f>C103</f>
        <v>14400</v>
      </c>
      <c r="N103" s="157"/>
      <c r="Q103" s="326">
        <f t="shared" si="8"/>
        <v>14400</v>
      </c>
    </row>
    <row r="104" spans="1:17">
      <c r="A104" s="458" t="s">
        <v>605</v>
      </c>
      <c r="B104" s="457" t="s">
        <v>606</v>
      </c>
      <c r="C104" s="457">
        <f>540</f>
        <v>540</v>
      </c>
      <c r="E104" s="514" t="s">
        <v>859</v>
      </c>
      <c r="F104" s="514" t="s">
        <v>860</v>
      </c>
      <c r="M104" s="326">
        <f>C104</f>
        <v>540</v>
      </c>
      <c r="N104" s="157"/>
      <c r="Q104" s="326">
        <f t="shared" si="8"/>
        <v>540</v>
      </c>
    </row>
    <row r="105" spans="1:17">
      <c r="A105" s="458" t="s">
        <v>607</v>
      </c>
      <c r="B105" s="457" t="s">
        <v>608</v>
      </c>
      <c r="C105" s="457">
        <f>2765.73</f>
        <v>2765.73</v>
      </c>
      <c r="E105" s="527" t="s">
        <v>879</v>
      </c>
      <c r="F105" s="527" t="s">
        <v>880</v>
      </c>
      <c r="J105" s="326">
        <f>C105</f>
        <v>2765.73</v>
      </c>
      <c r="N105" s="157"/>
      <c r="Q105" s="326">
        <f t="shared" si="8"/>
        <v>2765.73</v>
      </c>
    </row>
    <row r="106" spans="1:17">
      <c r="A106" s="458" t="s">
        <v>154</v>
      </c>
      <c r="B106" s="457" t="s">
        <v>894</v>
      </c>
      <c r="C106" s="457">
        <f>1269.79</f>
        <v>1269.79</v>
      </c>
      <c r="E106" s="533" t="s">
        <v>895</v>
      </c>
      <c r="F106" s="157" t="s">
        <v>894</v>
      </c>
      <c r="H106" s="326">
        <f>C106</f>
        <v>1269.79</v>
      </c>
      <c r="M106"/>
      <c r="N106" s="157"/>
      <c r="Q106" s="326">
        <f t="shared" si="8"/>
        <v>1269.79</v>
      </c>
    </row>
    <row r="107" spans="1:17">
      <c r="A107" s="458" t="s">
        <v>609</v>
      </c>
      <c r="B107" s="457" t="s">
        <v>610</v>
      </c>
      <c r="C107" s="457">
        <f>3482.59</f>
        <v>3482.59</v>
      </c>
      <c r="E107" s="513" t="s">
        <v>857</v>
      </c>
      <c r="F107" s="513" t="s">
        <v>858</v>
      </c>
      <c r="I107" s="326">
        <f>C107</f>
        <v>3482.59</v>
      </c>
      <c r="N107" s="157"/>
      <c r="Q107" s="326">
        <f t="shared" si="8"/>
        <v>3482.59</v>
      </c>
    </row>
    <row r="108" spans="1:17">
      <c r="A108" s="458" t="s">
        <v>611</v>
      </c>
      <c r="B108" s="457" t="s">
        <v>612</v>
      </c>
      <c r="C108" s="457">
        <v>29862.69</v>
      </c>
      <c r="E108" s="530" t="s">
        <v>885</v>
      </c>
      <c r="F108" s="530" t="s">
        <v>886</v>
      </c>
      <c r="I108" s="326">
        <f>C108</f>
        <v>29862.69</v>
      </c>
      <c r="N108" s="157"/>
      <c r="Q108" s="326">
        <f t="shared" si="8"/>
        <v>29862.69</v>
      </c>
    </row>
    <row r="109" spans="1:17">
      <c r="A109" s="470" t="s">
        <v>759</v>
      </c>
      <c r="B109" s="457" t="s">
        <v>760</v>
      </c>
      <c r="C109" s="457">
        <v>0</v>
      </c>
      <c r="I109" s="326"/>
      <c r="M109" s="326">
        <f>C109</f>
        <v>0</v>
      </c>
      <c r="N109" s="157"/>
      <c r="Q109" s="326">
        <f t="shared" si="8"/>
        <v>0</v>
      </c>
    </row>
    <row r="110" spans="1:17">
      <c r="A110" s="458" t="s">
        <v>613</v>
      </c>
      <c r="B110" s="457" t="s">
        <v>614</v>
      </c>
      <c r="C110" s="457">
        <f>144642.09</f>
        <v>144642.09</v>
      </c>
      <c r="D110" s="331" t="s">
        <v>154</v>
      </c>
      <c r="E110" s="509" t="s">
        <v>849</v>
      </c>
      <c r="F110" s="509" t="s">
        <v>850</v>
      </c>
      <c r="K110" s="326">
        <f>C110</f>
        <v>144642.09</v>
      </c>
      <c r="N110" s="157"/>
      <c r="Q110" s="326">
        <f t="shared" si="8"/>
        <v>144642.09</v>
      </c>
    </row>
    <row r="111" spans="1:17">
      <c r="A111" s="458" t="s">
        <v>615</v>
      </c>
      <c r="B111" s="457" t="s">
        <v>616</v>
      </c>
      <c r="C111" s="457">
        <v>0</v>
      </c>
      <c r="M111" s="326">
        <f>C111</f>
        <v>0</v>
      </c>
      <c r="N111" s="157"/>
      <c r="Q111" s="326">
        <f t="shared" si="8"/>
        <v>0</v>
      </c>
    </row>
    <row r="112" spans="1:17">
      <c r="A112" s="458" t="s">
        <v>617</v>
      </c>
      <c r="B112" s="457" t="s">
        <v>618</v>
      </c>
      <c r="C112" s="457">
        <f>1846.79</f>
        <v>1846.79</v>
      </c>
      <c r="E112" s="528" t="s">
        <v>881</v>
      </c>
      <c r="F112" s="528" t="s">
        <v>882</v>
      </c>
      <c r="M112" s="326">
        <f>C112</f>
        <v>1846.79</v>
      </c>
      <c r="N112" s="157"/>
      <c r="Q112" s="326">
        <f t="shared" si="8"/>
        <v>1846.79</v>
      </c>
    </row>
    <row r="113" spans="1:29">
      <c r="A113" s="458" t="s">
        <v>619</v>
      </c>
      <c r="B113" s="457" t="s">
        <v>620</v>
      </c>
      <c r="C113" s="457">
        <v>0</v>
      </c>
      <c r="M113" s="326">
        <f>C113</f>
        <v>0</v>
      </c>
      <c r="N113" s="157"/>
      <c r="Q113" s="326">
        <f t="shared" si="8"/>
        <v>0</v>
      </c>
    </row>
    <row r="114" spans="1:29">
      <c r="A114" s="458" t="s">
        <v>621</v>
      </c>
      <c r="B114" s="457" t="s">
        <v>622</v>
      </c>
      <c r="C114" s="457">
        <v>-1233.1500000000001</v>
      </c>
      <c r="E114" s="529" t="s">
        <v>883</v>
      </c>
      <c r="F114" s="529" t="s">
        <v>884</v>
      </c>
      <c r="M114" s="326">
        <f>C114</f>
        <v>-1233.1500000000001</v>
      </c>
      <c r="N114" s="157"/>
      <c r="Q114" s="326">
        <f t="shared" si="8"/>
        <v>-1233.1500000000001</v>
      </c>
    </row>
    <row r="115" spans="1:29">
      <c r="A115" s="458"/>
      <c r="B115" s="457" t="s">
        <v>893</v>
      </c>
      <c r="C115" s="457">
        <f>3909.12</f>
        <v>3909.12</v>
      </c>
      <c r="E115" s="531" t="s">
        <v>887</v>
      </c>
      <c r="F115" s="531" t="s">
        <v>888</v>
      </c>
      <c r="M115" s="285">
        <f>C115</f>
        <v>3909.12</v>
      </c>
      <c r="N115" s="157"/>
      <c r="Q115" s="326">
        <f t="shared" si="8"/>
        <v>3909.12</v>
      </c>
    </row>
    <row r="116" spans="1:29">
      <c r="A116" s="461">
        <v>580</v>
      </c>
      <c r="B116" s="457" t="s">
        <v>109</v>
      </c>
      <c r="C116" s="457">
        <f>SUM(C81:C115)</f>
        <v>290496.66999999993</v>
      </c>
      <c r="D116" s="326">
        <f>C116+C72+C62+C54</f>
        <v>530768.28999999992</v>
      </c>
      <c r="N116" s="157"/>
      <c r="Q116" s="326">
        <f>SUM(Q81:Q115)</f>
        <v>290496.66999999993</v>
      </c>
    </row>
    <row r="117" spans="1:29">
      <c r="A117" s="458"/>
      <c r="B117" s="457"/>
      <c r="C117" s="458"/>
      <c r="D117" s="157" t="s">
        <v>154</v>
      </c>
      <c r="N117" s="157"/>
    </row>
    <row r="118" spans="1:29">
      <c r="A118" s="458"/>
      <c r="B118" s="457"/>
      <c r="C118" s="458"/>
      <c r="D118" s="326" t="s">
        <v>154</v>
      </c>
      <c r="N118" s="157"/>
    </row>
    <row r="119" spans="1:29">
      <c r="A119" s="461">
        <v>600</v>
      </c>
      <c r="B119" s="457"/>
      <c r="C119" s="458"/>
      <c r="N119" s="157"/>
    </row>
    <row r="120" spans="1:29">
      <c r="A120" s="463" t="s">
        <v>698</v>
      </c>
      <c r="B120" s="468" t="s">
        <v>699</v>
      </c>
      <c r="C120" s="457">
        <v>27581.89</v>
      </c>
      <c r="E120" s="532" t="s">
        <v>889</v>
      </c>
      <c r="F120" s="532" t="s">
        <v>890</v>
      </c>
      <c r="N120" s="157"/>
      <c r="P120" s="326">
        <f>C120</f>
        <v>27581.89</v>
      </c>
      <c r="Q120" s="326">
        <f>SUM(G120:P120)</f>
        <v>27581.89</v>
      </c>
    </row>
    <row r="121" spans="1:29">
      <c r="A121" s="470" t="s">
        <v>154</v>
      </c>
      <c r="B121" s="457" t="s">
        <v>898</v>
      </c>
      <c r="C121" s="457">
        <v>1900</v>
      </c>
      <c r="D121" s="326">
        <f>C121+C120</f>
        <v>29481.89</v>
      </c>
      <c r="N121" s="157"/>
      <c r="P121" s="326">
        <f>C121</f>
        <v>1900</v>
      </c>
      <c r="Q121" s="326">
        <f>SUM(G121:P121)</f>
        <v>1900</v>
      </c>
    </row>
    <row r="122" spans="1:29">
      <c r="A122" s="461" t="s">
        <v>154</v>
      </c>
      <c r="B122" s="457"/>
      <c r="C122" s="458"/>
      <c r="N122" s="157"/>
    </row>
    <row r="123" spans="1:29">
      <c r="A123" s="463" t="s">
        <v>700</v>
      </c>
      <c r="B123" s="468" t="s">
        <v>701</v>
      </c>
      <c r="C123" s="457">
        <v>175000</v>
      </c>
      <c r="E123" s="518" t="s">
        <v>865</v>
      </c>
      <c r="F123" s="518" t="s">
        <v>95</v>
      </c>
      <c r="N123" s="326">
        <f>C123</f>
        <v>175000</v>
      </c>
      <c r="Q123" s="326">
        <f>SUM(G123:P123)</f>
        <v>175000</v>
      </c>
    </row>
    <row r="124" spans="1:29">
      <c r="A124" s="458"/>
      <c r="B124" s="457"/>
      <c r="C124" s="458"/>
      <c r="N124" s="157"/>
    </row>
    <row r="125" spans="1:29">
      <c r="A125" s="458"/>
      <c r="B125" s="457"/>
      <c r="C125" s="458"/>
      <c r="N125" s="157"/>
    </row>
    <row r="126" spans="1:29">
      <c r="A126" s="463" t="s">
        <v>702</v>
      </c>
      <c r="B126" s="457"/>
      <c r="C126" s="465">
        <f>C123+C120+C116+C78+C72+C62+C54+C35+C28+C20+C121</f>
        <v>1675263.7299999995</v>
      </c>
      <c r="G126" s="285">
        <f>SUM(G14:G125)</f>
        <v>130299.0008292241</v>
      </c>
      <c r="H126" s="285">
        <f t="shared" ref="H126:O126" si="9">SUM(H14:H125)</f>
        <v>18723.247506499902</v>
      </c>
      <c r="I126" s="285">
        <f t="shared" si="9"/>
        <v>269300.90220800205</v>
      </c>
      <c r="J126" s="285">
        <f t="shared" si="9"/>
        <v>2765.73</v>
      </c>
      <c r="K126" s="285">
        <f t="shared" si="9"/>
        <v>147573.73523649061</v>
      </c>
      <c r="L126" s="285">
        <f t="shared" si="9"/>
        <v>14400</v>
      </c>
      <c r="M126" s="285">
        <f t="shared" si="9"/>
        <v>383281.79421978316</v>
      </c>
      <c r="N126" s="285">
        <f t="shared" si="9"/>
        <v>208827.68</v>
      </c>
      <c r="O126" s="285">
        <f t="shared" si="9"/>
        <v>470609.75</v>
      </c>
      <c r="P126" s="285">
        <f>SUM(P14:P125)</f>
        <v>29481.89</v>
      </c>
      <c r="Q126" s="285">
        <f>SUM(G126:P126)</f>
        <v>1675263.7299999997</v>
      </c>
      <c r="R126" s="285">
        <f>SUM(R17:R125)</f>
        <v>0</v>
      </c>
    </row>
    <row r="127" spans="1:29">
      <c r="A127" s="558" t="s">
        <v>1179</v>
      </c>
      <c r="B127" s="289"/>
      <c r="C127" s="288"/>
      <c r="H127" s="285">
        <f>'TARIFF REVENUE'!AC59+'TARIFF REVENUE'!AC60+'TARIFF REVENUE'!AC62</f>
        <v>331.97</v>
      </c>
      <c r="N127" s="157"/>
      <c r="Q127" s="326">
        <f>Q126-C126</f>
        <v>0</v>
      </c>
    </row>
    <row r="128" spans="1:29">
      <c r="C128" s="326" t="s">
        <v>154</v>
      </c>
      <c r="E128" s="325"/>
      <c r="H128" s="326">
        <f>H127+H126</f>
        <v>19055.217506499903</v>
      </c>
      <c r="M128" s="288"/>
      <c r="N128" s="289"/>
      <c r="O128" s="288"/>
      <c r="Q128" s="326">
        <f>Q126-Q127</f>
        <v>1675263.7299999997</v>
      </c>
      <c r="AC128" s="326" t="s">
        <v>154</v>
      </c>
    </row>
    <row r="129" spans="5:18">
      <c r="E129" s="325"/>
      <c r="M129" s="288"/>
      <c r="N129" s="289"/>
      <c r="O129" s="288"/>
    </row>
    <row r="130" spans="5:18">
      <c r="H130" s="326">
        <f>H127+H106</f>
        <v>1601.76</v>
      </c>
      <c r="I130" s="157" t="s">
        <v>1792</v>
      </c>
      <c r="M130" s="288"/>
      <c r="N130" s="289"/>
      <c r="O130" s="290"/>
      <c r="P130" s="157" t="s">
        <v>154</v>
      </c>
    </row>
    <row r="131" spans="5:18">
      <c r="M131" s="288"/>
      <c r="N131" s="289"/>
      <c r="O131" s="290"/>
      <c r="Q131" s="326" t="s">
        <v>154</v>
      </c>
    </row>
    <row r="132" spans="5:18">
      <c r="Q132" s="333" t="s">
        <v>154</v>
      </c>
      <c r="R132" t="s">
        <v>154</v>
      </c>
    </row>
    <row r="133" spans="5:18">
      <c r="Q133"/>
    </row>
    <row r="134" spans="5:18">
      <c r="O134" s="326" t="s">
        <v>154</v>
      </c>
      <c r="Q134" s="157" t="s">
        <v>154</v>
      </c>
    </row>
  </sheetData>
  <phoneticPr fontId="32" type="noConversion"/>
  <pageMargins left="0.75" right="0.75" top="1" bottom="1" header="0.5" footer="0.5"/>
  <headerFooter alignWithMargins="0"/>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N107"/>
  <sheetViews>
    <sheetView topLeftCell="A17" workbookViewId="0">
      <selection activeCell="C25" sqref="C25"/>
    </sheetView>
  </sheetViews>
  <sheetFormatPr defaultRowHeight="12.75"/>
  <cols>
    <col min="1" max="1" width="9.140625" style="419"/>
    <col min="2" max="2" width="65.85546875" style="419" customWidth="1"/>
    <col min="3" max="3" width="33.5703125" style="418" customWidth="1"/>
    <col min="4" max="4" width="25.140625" style="419" bestFit="1" customWidth="1"/>
    <col min="5" max="5" width="46.7109375" style="419" customWidth="1"/>
    <col min="6" max="6" width="22.5703125" style="419" customWidth="1"/>
    <col min="7" max="8" width="27.140625" style="419" customWidth="1"/>
    <col min="9" max="13" width="17.5703125" style="419" customWidth="1"/>
    <col min="14" max="14" width="11.7109375" style="419" customWidth="1"/>
    <col min="15" max="16384" width="9.140625" style="419"/>
  </cols>
  <sheetData>
    <row r="1" spans="2:13">
      <c r="B1" s="417" t="s">
        <v>279</v>
      </c>
    </row>
    <row r="2" spans="2:13">
      <c r="B2" s="417" t="s">
        <v>280</v>
      </c>
    </row>
    <row r="3" spans="2:13">
      <c r="B3" s="417" t="s">
        <v>281</v>
      </c>
    </row>
    <row r="5" spans="2:13" ht="42.75" customHeight="1">
      <c r="B5" s="420" t="s">
        <v>263</v>
      </c>
      <c r="C5" s="147"/>
      <c r="E5" s="420" t="s">
        <v>264</v>
      </c>
    </row>
    <row r="6" spans="2:13" ht="61.5" customHeight="1">
      <c r="B6" s="421" t="s">
        <v>265</v>
      </c>
      <c r="C6" s="147">
        <f>I39</f>
        <v>25188.642000000003</v>
      </c>
      <c r="D6" s="422">
        <f>C6/C$11</f>
        <v>7.7842033280484044E-2</v>
      </c>
      <c r="E6" s="423" t="s">
        <v>897</v>
      </c>
    </row>
    <row r="7" spans="2:13" ht="42.75" customHeight="1">
      <c r="B7" s="421" t="s">
        <v>266</v>
      </c>
      <c r="C7" s="147">
        <f>J39</f>
        <v>12966.059000000001</v>
      </c>
      <c r="D7" s="422">
        <f>C7/C$11</f>
        <v>4.0069821794867691E-2</v>
      </c>
      <c r="E7" s="424"/>
    </row>
    <row r="8" spans="2:13" ht="42.75" customHeight="1">
      <c r="B8" s="421" t="s">
        <v>267</v>
      </c>
      <c r="C8" s="147">
        <f>K39</f>
        <v>134996.93999999994</v>
      </c>
      <c r="D8" s="422">
        <f>C8/C$11</f>
        <v>0.41718947358271646</v>
      </c>
      <c r="E8" s="425"/>
    </row>
    <row r="9" spans="2:13" ht="42.75" customHeight="1">
      <c r="B9" s="421" t="s">
        <v>268</v>
      </c>
      <c r="C9" s="147">
        <f>L39</f>
        <v>2177.9</v>
      </c>
      <c r="D9" s="422">
        <f>C9/C$11</f>
        <v>6.7305003692365072E-3</v>
      </c>
      <c r="E9" s="425"/>
    </row>
    <row r="10" spans="2:13" ht="42.75" customHeight="1">
      <c r="B10" s="426" t="s">
        <v>269</v>
      </c>
      <c r="C10" s="427">
        <f>M39</f>
        <v>148257.09899999999</v>
      </c>
      <c r="D10" s="422">
        <f>C10/C$11</f>
        <v>0.45816817097269541</v>
      </c>
      <c r="E10" s="425"/>
    </row>
    <row r="11" spans="2:13" ht="42.75" customHeight="1">
      <c r="B11" s="428" t="s">
        <v>109</v>
      </c>
      <c r="C11" s="429">
        <f>SUM(C6:C10)</f>
        <v>323586.6399999999</v>
      </c>
      <c r="D11" s="430" t="s">
        <v>270</v>
      </c>
      <c r="E11" s="429">
        <f>'EXPENSE DETAILS'!C21</f>
        <v>323586.64</v>
      </c>
      <c r="F11" s="431">
        <f>C11-E11</f>
        <v>0</v>
      </c>
      <c r="H11" s="668" t="s">
        <v>709</v>
      </c>
      <c r="I11" s="668"/>
      <c r="J11" s="668"/>
      <c r="K11" s="668"/>
      <c r="L11" s="668"/>
    </row>
    <row r="12" spans="2:13">
      <c r="H12" s="432" t="s">
        <v>265</v>
      </c>
      <c r="I12" s="432" t="s">
        <v>266</v>
      </c>
      <c r="J12" s="432" t="s">
        <v>267</v>
      </c>
      <c r="K12" s="432" t="s">
        <v>710</v>
      </c>
      <c r="L12" s="432" t="s">
        <v>278</v>
      </c>
    </row>
    <row r="13" spans="2:13">
      <c r="C13" s="433" t="s">
        <v>154</v>
      </c>
      <c r="D13"/>
      <c r="E13"/>
      <c r="F13"/>
      <c r="G13"/>
      <c r="H13"/>
      <c r="I13"/>
      <c r="J13"/>
      <c r="K13"/>
      <c r="L13"/>
      <c r="M13"/>
    </row>
    <row r="14" spans="2:13" ht="15.75" customHeight="1">
      <c r="B14" s="83"/>
      <c r="C14" s="83"/>
      <c r="D14"/>
      <c r="E14"/>
      <c r="F14"/>
      <c r="G14"/>
      <c r="H14"/>
      <c r="I14"/>
      <c r="J14"/>
      <c r="K14"/>
      <c r="L14"/>
      <c r="M14"/>
    </row>
    <row r="15" spans="2:13">
      <c r="D15"/>
      <c r="E15"/>
      <c r="F15"/>
      <c r="G15"/>
      <c r="H15"/>
      <c r="I15"/>
      <c r="J15"/>
      <c r="K15"/>
      <c r="L15"/>
      <c r="M15"/>
    </row>
    <row r="16" spans="2:13">
      <c r="D16"/>
      <c r="E16"/>
      <c r="F16"/>
      <c r="G16"/>
      <c r="H16"/>
      <c r="I16"/>
      <c r="J16"/>
      <c r="K16"/>
      <c r="L16"/>
      <c r="M16"/>
    </row>
    <row r="17" spans="2:13" ht="30" customHeight="1" thickBot="1">
      <c r="B17" s="436" t="s">
        <v>154</v>
      </c>
    </row>
    <row r="18" spans="2:13" ht="20.25" customHeight="1">
      <c r="B18" s="437" t="s">
        <v>271</v>
      </c>
      <c r="C18" s="438" t="s">
        <v>272</v>
      </c>
      <c r="D18" s="439" t="s">
        <v>273</v>
      </c>
      <c r="E18" s="439" t="s">
        <v>274</v>
      </c>
      <c r="F18" s="439" t="s">
        <v>275</v>
      </c>
      <c r="G18" s="439" t="s">
        <v>276</v>
      </c>
      <c r="H18" s="439" t="s">
        <v>277</v>
      </c>
      <c r="I18" s="440" t="s">
        <v>265</v>
      </c>
      <c r="J18" s="440" t="s">
        <v>266</v>
      </c>
      <c r="K18" s="440" t="s">
        <v>267</v>
      </c>
      <c r="L18" s="440" t="s">
        <v>268</v>
      </c>
      <c r="M18" s="441" t="s">
        <v>278</v>
      </c>
    </row>
    <row r="19" spans="2:13" ht="20.25" customHeight="1">
      <c r="B19" s="442"/>
      <c r="C19" s="147"/>
      <c r="D19" s="443">
        <v>0</v>
      </c>
      <c r="E19" s="443">
        <v>0</v>
      </c>
      <c r="F19" s="443">
        <v>0</v>
      </c>
      <c r="G19" s="443"/>
      <c r="H19" s="443">
        <v>0</v>
      </c>
      <c r="I19" s="444">
        <f>D19*C19</f>
        <v>0</v>
      </c>
      <c r="J19" s="444">
        <f>E19*C19</f>
        <v>0</v>
      </c>
      <c r="K19" s="444">
        <f>F19*C19</f>
        <v>0</v>
      </c>
      <c r="L19" s="444">
        <f>G19*C19</f>
        <v>0</v>
      </c>
      <c r="M19" s="445">
        <f>H19*C19</f>
        <v>0</v>
      </c>
    </row>
    <row r="20" spans="2:13" ht="20.25" customHeight="1">
      <c r="B20" s="614" t="s">
        <v>1773</v>
      </c>
      <c r="C20" s="613">
        <v>10629.51</v>
      </c>
      <c r="D20" s="615">
        <v>0</v>
      </c>
      <c r="E20" s="617">
        <v>0</v>
      </c>
      <c r="F20" s="618">
        <v>0</v>
      </c>
      <c r="G20" s="620"/>
      <c r="H20" s="622">
        <v>1</v>
      </c>
      <c r="I20" s="444">
        <f t="shared" ref="I20:I38" si="0">D20*C20</f>
        <v>0</v>
      </c>
      <c r="J20" s="444">
        <f t="shared" ref="J20:J38" si="1">E20*C20</f>
        <v>0</v>
      </c>
      <c r="K20" s="444">
        <f t="shared" ref="K20:K38" si="2">F20*C20</f>
        <v>0</v>
      </c>
      <c r="L20" s="444">
        <f t="shared" ref="L20:L38" si="3">G20*C20</f>
        <v>0</v>
      </c>
      <c r="M20" s="445">
        <f t="shared" ref="M20:M38" si="4">H20*C20</f>
        <v>10629.51</v>
      </c>
    </row>
    <row r="21" spans="2:13" ht="20.25" customHeight="1">
      <c r="B21" s="614" t="s">
        <v>1774</v>
      </c>
      <c r="C21" s="613">
        <v>708.59</v>
      </c>
      <c r="D21" s="615">
        <v>0</v>
      </c>
      <c r="E21" s="617">
        <v>0</v>
      </c>
      <c r="F21" s="618">
        <v>0</v>
      </c>
      <c r="G21" s="620"/>
      <c r="H21" s="622">
        <v>1</v>
      </c>
      <c r="I21" s="444">
        <f t="shared" si="0"/>
        <v>0</v>
      </c>
      <c r="J21" s="444">
        <f t="shared" si="1"/>
        <v>0</v>
      </c>
      <c r="K21" s="444">
        <f t="shared" si="2"/>
        <v>0</v>
      </c>
      <c r="L21" s="444">
        <f t="shared" si="3"/>
        <v>0</v>
      </c>
      <c r="M21" s="445">
        <f t="shared" si="4"/>
        <v>708.59</v>
      </c>
    </row>
    <row r="22" spans="2:13" ht="20.25" customHeight="1">
      <c r="B22" s="614" t="s">
        <v>1775</v>
      </c>
      <c r="C22" s="613">
        <v>15655.65</v>
      </c>
      <c r="D22" s="615">
        <v>0</v>
      </c>
      <c r="E22" s="617">
        <v>0</v>
      </c>
      <c r="F22" s="618">
        <v>0</v>
      </c>
      <c r="G22" s="620"/>
      <c r="H22" s="622">
        <v>1</v>
      </c>
      <c r="I22" s="444">
        <f t="shared" si="0"/>
        <v>0</v>
      </c>
      <c r="J22" s="444">
        <f t="shared" si="1"/>
        <v>0</v>
      </c>
      <c r="K22" s="444">
        <f t="shared" si="2"/>
        <v>0</v>
      </c>
      <c r="L22" s="444">
        <f t="shared" si="3"/>
        <v>0</v>
      </c>
      <c r="M22" s="445">
        <f t="shared" si="4"/>
        <v>15655.65</v>
      </c>
    </row>
    <row r="23" spans="2:13" ht="20.25" customHeight="1">
      <c r="B23" s="614" t="s">
        <v>1776</v>
      </c>
      <c r="C23" s="613">
        <v>9781.1200000000008</v>
      </c>
      <c r="D23" s="615">
        <v>0</v>
      </c>
      <c r="E23" s="617">
        <v>0</v>
      </c>
      <c r="F23" s="618">
        <v>0</v>
      </c>
      <c r="G23" s="620"/>
      <c r="H23" s="622">
        <v>1</v>
      </c>
      <c r="I23" s="444">
        <f t="shared" si="0"/>
        <v>0</v>
      </c>
      <c r="J23" s="444">
        <f t="shared" si="1"/>
        <v>0</v>
      </c>
      <c r="K23" s="444">
        <f t="shared" si="2"/>
        <v>0</v>
      </c>
      <c r="L23" s="444">
        <f t="shared" si="3"/>
        <v>0</v>
      </c>
      <c r="M23" s="445">
        <f t="shared" si="4"/>
        <v>9781.1200000000008</v>
      </c>
    </row>
    <row r="24" spans="2:13" ht="20.25" customHeight="1">
      <c r="B24" s="614" t="s">
        <v>1777</v>
      </c>
      <c r="C24" s="613">
        <v>7252.49</v>
      </c>
      <c r="D24" s="615">
        <v>0</v>
      </c>
      <c r="E24" s="617">
        <v>0</v>
      </c>
      <c r="F24" s="618">
        <v>0</v>
      </c>
      <c r="G24" s="620"/>
      <c r="H24" s="622">
        <v>1</v>
      </c>
      <c r="I24" s="444">
        <f t="shared" si="0"/>
        <v>0</v>
      </c>
      <c r="J24" s="444">
        <f t="shared" si="1"/>
        <v>0</v>
      </c>
      <c r="K24" s="444">
        <f t="shared" si="2"/>
        <v>0</v>
      </c>
      <c r="L24" s="444">
        <f t="shared" si="3"/>
        <v>0</v>
      </c>
      <c r="M24" s="445">
        <f t="shared" si="4"/>
        <v>7252.49</v>
      </c>
    </row>
    <row r="25" spans="2:13" ht="20.25" customHeight="1">
      <c r="B25" s="614" t="s">
        <v>1778</v>
      </c>
      <c r="C25" s="613">
        <v>7338.83</v>
      </c>
      <c r="D25" s="615">
        <v>0</v>
      </c>
      <c r="E25" s="617">
        <v>0</v>
      </c>
      <c r="F25" s="618">
        <v>0</v>
      </c>
      <c r="G25" s="620">
        <v>0</v>
      </c>
      <c r="H25" s="622">
        <v>1</v>
      </c>
      <c r="I25" s="444">
        <f t="shared" si="0"/>
        <v>0</v>
      </c>
      <c r="J25" s="444">
        <f t="shared" si="1"/>
        <v>0</v>
      </c>
      <c r="K25" s="444">
        <f t="shared" si="2"/>
        <v>0</v>
      </c>
      <c r="L25" s="444">
        <f t="shared" si="3"/>
        <v>0</v>
      </c>
      <c r="M25" s="445">
        <f t="shared" si="4"/>
        <v>7338.83</v>
      </c>
    </row>
    <row r="26" spans="2:13" ht="20.25" customHeight="1">
      <c r="B26" s="614" t="s">
        <v>1779</v>
      </c>
      <c r="C26" s="613">
        <v>2408.3200000000002</v>
      </c>
      <c r="D26" s="615">
        <v>0</v>
      </c>
      <c r="E26" s="617">
        <v>0</v>
      </c>
      <c r="F26" s="618">
        <v>0</v>
      </c>
      <c r="G26" s="620"/>
      <c r="H26" s="622">
        <v>1</v>
      </c>
      <c r="I26" s="444">
        <f t="shared" si="0"/>
        <v>0</v>
      </c>
      <c r="J26" s="444">
        <f t="shared" si="1"/>
        <v>0</v>
      </c>
      <c r="K26" s="444">
        <f t="shared" si="2"/>
        <v>0</v>
      </c>
      <c r="L26" s="444">
        <f t="shared" si="3"/>
        <v>0</v>
      </c>
      <c r="M26" s="445">
        <f t="shared" si="4"/>
        <v>2408.3200000000002</v>
      </c>
    </row>
    <row r="27" spans="2:13" ht="20.25" customHeight="1">
      <c r="B27" s="614" t="s">
        <v>1780</v>
      </c>
      <c r="C27" s="613">
        <v>64505.61</v>
      </c>
      <c r="D27" s="615">
        <v>0.05</v>
      </c>
      <c r="E27" s="617">
        <v>0</v>
      </c>
      <c r="F27" s="618">
        <v>0.95</v>
      </c>
      <c r="G27" s="620"/>
      <c r="H27" s="622">
        <v>0</v>
      </c>
      <c r="I27" s="444">
        <f t="shared" si="0"/>
        <v>3225.2805000000003</v>
      </c>
      <c r="J27" s="444">
        <f t="shared" si="1"/>
        <v>0</v>
      </c>
      <c r="K27" s="444">
        <f t="shared" si="2"/>
        <v>61280.3295</v>
      </c>
      <c r="L27" s="444">
        <f t="shared" si="3"/>
        <v>0</v>
      </c>
      <c r="M27" s="445">
        <f t="shared" si="4"/>
        <v>0</v>
      </c>
    </row>
    <row r="28" spans="2:13" ht="20.25" customHeight="1">
      <c r="B28" s="614" t="s">
        <v>1781</v>
      </c>
      <c r="C28" s="613">
        <v>60797.59</v>
      </c>
      <c r="D28" s="615">
        <v>0.05</v>
      </c>
      <c r="E28" s="617">
        <v>0</v>
      </c>
      <c r="F28" s="618">
        <v>0.95</v>
      </c>
      <c r="G28" s="620"/>
      <c r="H28" s="622">
        <v>0</v>
      </c>
      <c r="I28" s="444">
        <f t="shared" si="0"/>
        <v>3039.8795</v>
      </c>
      <c r="J28" s="444">
        <f t="shared" si="1"/>
        <v>0</v>
      </c>
      <c r="K28" s="444">
        <f t="shared" si="2"/>
        <v>57757.710499999994</v>
      </c>
      <c r="L28" s="444">
        <f t="shared" si="3"/>
        <v>0</v>
      </c>
      <c r="M28" s="445">
        <f t="shared" si="4"/>
        <v>0</v>
      </c>
    </row>
    <row r="29" spans="2:13" ht="20.25" customHeight="1">
      <c r="B29" s="614" t="s">
        <v>1782</v>
      </c>
      <c r="C29" s="613">
        <v>40243.839999999997</v>
      </c>
      <c r="D29" s="615">
        <v>0.1</v>
      </c>
      <c r="E29" s="617">
        <v>0.1</v>
      </c>
      <c r="F29" s="618">
        <v>0.3</v>
      </c>
      <c r="G29" s="620"/>
      <c r="H29" s="622">
        <v>0.5</v>
      </c>
      <c r="I29" s="444">
        <f t="shared" si="0"/>
        <v>4024.384</v>
      </c>
      <c r="J29" s="444">
        <f t="shared" si="1"/>
        <v>4024.384</v>
      </c>
      <c r="K29" s="444">
        <f t="shared" si="2"/>
        <v>12073.151999999998</v>
      </c>
      <c r="L29" s="444">
        <f t="shared" si="3"/>
        <v>0</v>
      </c>
      <c r="M29" s="445">
        <f t="shared" si="4"/>
        <v>20121.919999999998</v>
      </c>
    </row>
    <row r="30" spans="2:13" ht="20.25" customHeight="1">
      <c r="B30" s="614" t="s">
        <v>1783</v>
      </c>
      <c r="C30" s="613">
        <v>89416.75</v>
      </c>
      <c r="D30" s="615">
        <v>0.1</v>
      </c>
      <c r="E30" s="617">
        <v>0.1</v>
      </c>
      <c r="F30" s="618">
        <v>0.3</v>
      </c>
      <c r="G30" s="620"/>
      <c r="H30" s="622">
        <v>0.5</v>
      </c>
      <c r="I30" s="444">
        <f t="shared" si="0"/>
        <v>8941.6750000000011</v>
      </c>
      <c r="J30" s="444">
        <f t="shared" si="1"/>
        <v>8941.6750000000011</v>
      </c>
      <c r="K30" s="444">
        <f t="shared" si="2"/>
        <v>26825.024999999998</v>
      </c>
      <c r="L30" s="444">
        <f t="shared" si="3"/>
        <v>0</v>
      </c>
      <c r="M30" s="445">
        <f t="shared" si="4"/>
        <v>44708.375</v>
      </c>
    </row>
    <row r="31" spans="2:13" ht="20.25" customHeight="1">
      <c r="B31" s="614" t="s">
        <v>1784</v>
      </c>
      <c r="C31" s="613">
        <v>59752.24</v>
      </c>
      <c r="D31" s="615">
        <v>0.05</v>
      </c>
      <c r="E31" s="617">
        <v>0</v>
      </c>
      <c r="F31" s="618">
        <v>0.95</v>
      </c>
      <c r="G31" s="620"/>
      <c r="H31" s="622">
        <v>0</v>
      </c>
      <c r="I31" s="444">
        <f t="shared" si="0"/>
        <v>2987.6120000000001</v>
      </c>
      <c r="J31" s="444">
        <f t="shared" si="1"/>
        <v>0</v>
      </c>
      <c r="K31" s="444">
        <f t="shared" si="2"/>
        <v>56764.627999999997</v>
      </c>
      <c r="L31" s="444">
        <f t="shared" si="3"/>
        <v>0</v>
      </c>
      <c r="M31" s="445">
        <f t="shared" si="4"/>
        <v>0</v>
      </c>
    </row>
    <row r="32" spans="2:13" ht="20.25" customHeight="1">
      <c r="B32" s="614" t="s">
        <v>1785</v>
      </c>
      <c r="C32" s="613">
        <v>59396.22</v>
      </c>
      <c r="D32" s="615">
        <v>0.05</v>
      </c>
      <c r="E32" s="617">
        <v>0</v>
      </c>
      <c r="F32" s="618">
        <v>0.95</v>
      </c>
      <c r="G32" s="620"/>
      <c r="H32" s="622">
        <v>0</v>
      </c>
      <c r="I32" s="444">
        <f t="shared" si="0"/>
        <v>2969.8110000000001</v>
      </c>
      <c r="J32" s="444">
        <f t="shared" si="1"/>
        <v>0</v>
      </c>
      <c r="K32" s="444">
        <f t="shared" si="2"/>
        <v>56426.409</v>
      </c>
      <c r="L32" s="444">
        <f t="shared" si="3"/>
        <v>0</v>
      </c>
      <c r="M32" s="445">
        <f t="shared" si="4"/>
        <v>0</v>
      </c>
    </row>
    <row r="33" spans="2:14" ht="20.25" customHeight="1">
      <c r="B33" s="614" t="s">
        <v>1786</v>
      </c>
      <c r="C33" s="613">
        <v>2177.9</v>
      </c>
      <c r="D33" s="615">
        <v>0</v>
      </c>
      <c r="E33" s="617">
        <v>0</v>
      </c>
      <c r="F33" s="618">
        <v>0</v>
      </c>
      <c r="G33" s="620">
        <v>1</v>
      </c>
      <c r="H33" s="622"/>
      <c r="I33" s="444">
        <f t="shared" si="0"/>
        <v>0</v>
      </c>
      <c r="J33" s="444">
        <f t="shared" si="1"/>
        <v>0</v>
      </c>
      <c r="K33" s="444">
        <f t="shared" si="2"/>
        <v>0</v>
      </c>
      <c r="L33" s="444">
        <f t="shared" si="3"/>
        <v>2177.9</v>
      </c>
      <c r="M33" s="445">
        <f t="shared" si="4"/>
        <v>0</v>
      </c>
    </row>
    <row r="34" spans="2:14" ht="20.25" customHeight="1">
      <c r="B34" s="614" t="s">
        <v>1787</v>
      </c>
      <c r="C34" s="613">
        <v>42360.42</v>
      </c>
      <c r="D34" s="615">
        <v>0</v>
      </c>
      <c r="E34" s="617">
        <v>0</v>
      </c>
      <c r="F34" s="618">
        <v>0.3</v>
      </c>
      <c r="G34" s="620">
        <v>0</v>
      </c>
      <c r="H34" s="622">
        <v>0.7</v>
      </c>
      <c r="I34" s="444">
        <f t="shared" si="0"/>
        <v>0</v>
      </c>
      <c r="J34" s="444">
        <f t="shared" si="1"/>
        <v>0</v>
      </c>
      <c r="K34" s="444">
        <f t="shared" si="2"/>
        <v>12708.125999999998</v>
      </c>
      <c r="L34" s="444">
        <f t="shared" si="3"/>
        <v>0</v>
      </c>
      <c r="M34" s="445">
        <f t="shared" si="4"/>
        <v>29652.293999999998</v>
      </c>
    </row>
    <row r="35" spans="2:14" ht="20.25" customHeight="1">
      <c r="B35" s="614" t="s">
        <v>891</v>
      </c>
      <c r="C35" s="612">
        <v>-148838.44</v>
      </c>
      <c r="D35" s="616">
        <v>0</v>
      </c>
      <c r="E35" s="443">
        <v>0</v>
      </c>
      <c r="F35" s="619">
        <v>1</v>
      </c>
      <c r="G35" s="621"/>
      <c r="H35" s="623">
        <v>0</v>
      </c>
      <c r="I35" s="444">
        <f t="shared" si="0"/>
        <v>0</v>
      </c>
      <c r="J35" s="444">
        <f t="shared" si="1"/>
        <v>0</v>
      </c>
      <c r="K35" s="444">
        <f t="shared" si="2"/>
        <v>-148838.44</v>
      </c>
      <c r="L35" s="444">
        <f t="shared" si="3"/>
        <v>0</v>
      </c>
      <c r="M35" s="445">
        <f t="shared" si="4"/>
        <v>0</v>
      </c>
    </row>
    <row r="36" spans="2:14" ht="20.25" customHeight="1">
      <c r="B36" s="442"/>
      <c r="C36" s="147"/>
      <c r="D36" s="443"/>
      <c r="E36" s="443"/>
      <c r="F36" s="443"/>
      <c r="G36" s="443"/>
      <c r="H36" s="443"/>
      <c r="I36" s="444">
        <f t="shared" si="0"/>
        <v>0</v>
      </c>
      <c r="J36" s="444">
        <f t="shared" si="1"/>
        <v>0</v>
      </c>
      <c r="K36" s="444">
        <f t="shared" si="2"/>
        <v>0</v>
      </c>
      <c r="L36" s="444">
        <f t="shared" si="3"/>
        <v>0</v>
      </c>
      <c r="M36" s="445">
        <f t="shared" si="4"/>
        <v>0</v>
      </c>
    </row>
    <row r="37" spans="2:14" ht="20.25" customHeight="1">
      <c r="B37" s="442"/>
      <c r="C37" s="147"/>
      <c r="D37" s="443"/>
      <c r="E37" s="443"/>
      <c r="F37" s="443"/>
      <c r="G37" s="443"/>
      <c r="H37" s="443"/>
      <c r="I37" s="444">
        <f t="shared" si="0"/>
        <v>0</v>
      </c>
      <c r="J37" s="444">
        <f t="shared" si="1"/>
        <v>0</v>
      </c>
      <c r="K37" s="444">
        <f t="shared" si="2"/>
        <v>0</v>
      </c>
      <c r="L37" s="444">
        <f t="shared" si="3"/>
        <v>0</v>
      </c>
      <c r="M37" s="445">
        <f t="shared" si="4"/>
        <v>0</v>
      </c>
    </row>
    <row r="38" spans="2:14" ht="20.25" customHeight="1" thickBot="1">
      <c r="B38" s="446"/>
      <c r="C38" s="447"/>
      <c r="D38" s="448"/>
      <c r="E38" s="448"/>
      <c r="F38" s="448"/>
      <c r="G38" s="448"/>
      <c r="H38" s="448"/>
      <c r="I38" s="444">
        <f t="shared" si="0"/>
        <v>0</v>
      </c>
      <c r="J38" s="444">
        <f t="shared" si="1"/>
        <v>0</v>
      </c>
      <c r="K38" s="444">
        <f t="shared" si="2"/>
        <v>0</v>
      </c>
      <c r="L38" s="444">
        <f t="shared" si="3"/>
        <v>0</v>
      </c>
      <c r="M38" s="445">
        <f t="shared" si="4"/>
        <v>0</v>
      </c>
    </row>
    <row r="39" spans="2:14" ht="17.25" thickTop="1" thickBot="1">
      <c r="B39" s="449" t="s">
        <v>109</v>
      </c>
      <c r="C39" s="450">
        <f>SUM(C19:C38)</f>
        <v>323586.64</v>
      </c>
      <c r="D39" s="451"/>
      <c r="E39" s="451"/>
      <c r="F39" s="451"/>
      <c r="G39" s="451"/>
      <c r="H39" s="451"/>
      <c r="I39" s="452">
        <f>SUM(I19:I38)</f>
        <v>25188.642000000003</v>
      </c>
      <c r="J39" s="452">
        <f>SUM(J19:J38)</f>
        <v>12966.059000000001</v>
      </c>
      <c r="K39" s="452">
        <f>SUM(K19:K38)</f>
        <v>134996.93999999994</v>
      </c>
      <c r="L39" s="452">
        <f>SUM(L19:L38)</f>
        <v>2177.9</v>
      </c>
      <c r="M39" s="453">
        <f>SUM(M19:M38)</f>
        <v>148257.09899999999</v>
      </c>
      <c r="N39" s="454">
        <f>C39-I39-J39-K39-L39-M39</f>
        <v>0</v>
      </c>
    </row>
    <row r="40" spans="2:14">
      <c r="D40" s="422"/>
      <c r="E40" s="422"/>
      <c r="F40" s="422"/>
      <c r="G40" s="422"/>
      <c r="H40" s="422"/>
      <c r="I40" s="434"/>
      <c r="J40" s="434"/>
      <c r="K40" s="434"/>
      <c r="L40" s="434"/>
    </row>
    <row r="41" spans="2:14">
      <c r="D41" s="422"/>
      <c r="E41" s="422"/>
      <c r="F41" s="422"/>
      <c r="G41" s="422"/>
      <c r="H41" s="422"/>
      <c r="I41" s="434"/>
      <c r="J41" s="434"/>
      <c r="K41" s="434"/>
      <c r="L41" s="434"/>
    </row>
    <row r="42" spans="2:14">
      <c r="D42" s="422"/>
      <c r="E42" s="422"/>
      <c r="F42" s="422"/>
      <c r="G42" s="422"/>
      <c r="H42" s="422"/>
      <c r="I42" s="434"/>
      <c r="J42" s="434"/>
      <c r="K42" s="434"/>
      <c r="L42" s="434"/>
    </row>
    <row r="43" spans="2:14">
      <c r="D43" s="422"/>
      <c r="E43" s="422"/>
      <c r="F43" s="422"/>
      <c r="G43" s="422"/>
      <c r="H43" s="422"/>
    </row>
    <row r="44" spans="2:14">
      <c r="D44" s="422"/>
      <c r="E44" s="422"/>
      <c r="F44" s="422"/>
      <c r="G44" s="422"/>
      <c r="H44" s="422"/>
    </row>
    <row r="45" spans="2:14">
      <c r="D45" s="422"/>
      <c r="E45" s="422"/>
      <c r="F45" s="422"/>
      <c r="G45" s="422"/>
      <c r="H45" s="422"/>
    </row>
    <row r="46" spans="2:14">
      <c r="D46" s="422"/>
      <c r="E46" s="422"/>
      <c r="F46" s="422"/>
      <c r="G46" s="422"/>
      <c r="H46" s="422"/>
    </row>
    <row r="47" spans="2:14">
      <c r="D47" s="422"/>
      <c r="E47" s="422"/>
      <c r="F47" s="422"/>
      <c r="G47" s="422"/>
      <c r="H47" s="422"/>
    </row>
    <row r="48" spans="2:14">
      <c r="D48" s="422"/>
      <c r="E48" s="422"/>
      <c r="F48" s="422"/>
      <c r="G48" s="422"/>
      <c r="H48" s="422"/>
    </row>
    <row r="49" spans="4:8">
      <c r="D49" s="422"/>
      <c r="E49" s="422"/>
      <c r="F49" s="422"/>
      <c r="G49" s="422"/>
      <c r="H49" s="422"/>
    </row>
    <row r="50" spans="4:8">
      <c r="D50" s="422"/>
      <c r="E50" s="422"/>
      <c r="F50" s="422"/>
      <c r="G50" s="422"/>
      <c r="H50" s="422"/>
    </row>
    <row r="51" spans="4:8">
      <c r="D51" s="422"/>
      <c r="E51" s="422"/>
      <c r="F51" s="422"/>
      <c r="G51" s="422"/>
      <c r="H51" s="422"/>
    </row>
    <row r="52" spans="4:8">
      <c r="D52" s="422"/>
      <c r="E52" s="422"/>
      <c r="F52" s="422"/>
      <c r="G52" s="422"/>
      <c r="H52" s="422"/>
    </row>
    <row r="53" spans="4:8">
      <c r="D53" s="422"/>
      <c r="E53" s="422"/>
      <c r="F53" s="422"/>
      <c r="G53" s="422"/>
      <c r="H53" s="422"/>
    </row>
    <row r="54" spans="4:8">
      <c r="D54" s="422"/>
      <c r="E54" s="422"/>
      <c r="F54" s="422"/>
      <c r="G54" s="422"/>
      <c r="H54" s="422"/>
    </row>
    <row r="55" spans="4:8">
      <c r="D55" s="422"/>
      <c r="E55" s="422"/>
      <c r="F55" s="422"/>
      <c r="G55" s="422"/>
      <c r="H55" s="422"/>
    </row>
    <row r="56" spans="4:8">
      <c r="D56" s="422"/>
      <c r="E56" s="422"/>
      <c r="F56" s="422"/>
      <c r="G56" s="422"/>
      <c r="H56" s="422"/>
    </row>
    <row r="57" spans="4:8">
      <c r="D57" s="422"/>
      <c r="E57" s="422"/>
      <c r="F57" s="422"/>
      <c r="G57" s="422"/>
      <c r="H57" s="422"/>
    </row>
    <row r="106" spans="5:5">
      <c r="E106" s="455">
        <v>0</v>
      </c>
    </row>
    <row r="107" spans="5:5">
      <c r="E107" s="455">
        <f>'EIA412 Balance sheet'!C46</f>
        <v>0</v>
      </c>
    </row>
  </sheetData>
  <mergeCells count="1">
    <mergeCell ref="H11:L11"/>
  </mergeCells>
  <phoneticPr fontId="32"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79"/>
  <sheetViews>
    <sheetView workbookViewId="0">
      <pane xSplit="6" ySplit="1" topLeftCell="Y50" activePane="bottomRight" state="frozenSplit"/>
      <selection pane="topRight" activeCell="G1" sqref="G1"/>
      <selection pane="bottomLeft" activeCell="A2" sqref="A2"/>
      <selection pane="bottomRight" activeCell="AG69" sqref="AG69"/>
    </sheetView>
  </sheetViews>
  <sheetFormatPr defaultRowHeight="12.75"/>
  <cols>
    <col min="1" max="5" width="3" style="385" customWidth="1"/>
    <col min="6" max="6" width="32.7109375" style="385" customWidth="1"/>
    <col min="7" max="8" width="2.28515625" style="385" customWidth="1"/>
    <col min="9" max="9" width="9.42578125" style="385" bestFit="1" customWidth="1"/>
    <col min="10" max="10" width="2.28515625" style="385" customWidth="1"/>
    <col min="11" max="11" width="8.7109375" style="385" bestFit="1" customWidth="1"/>
    <col min="12" max="12" width="2.28515625" style="385" customWidth="1"/>
    <col min="13" max="13" width="4.5703125" style="385" bestFit="1" customWidth="1"/>
    <col min="14" max="14" width="2.28515625" style="385" customWidth="1"/>
    <col min="15" max="15" width="21" style="385" bestFit="1" customWidth="1"/>
    <col min="16" max="16" width="2.28515625" style="385" customWidth="1"/>
    <col min="17" max="17" width="28.7109375" style="385" bestFit="1" customWidth="1"/>
    <col min="18" max="18" width="2.28515625" style="385" customWidth="1"/>
    <col min="19" max="19" width="28.85546875" style="385" bestFit="1" customWidth="1"/>
    <col min="20" max="20" width="2.28515625" style="385" customWidth="1"/>
    <col min="21" max="21" width="7.85546875" style="385" bestFit="1" customWidth="1"/>
    <col min="22" max="22" width="2.28515625" style="385" customWidth="1"/>
    <col min="23" max="23" width="3.28515625" style="385" bestFit="1" customWidth="1"/>
    <col min="24" max="24" width="2.28515625" style="385" customWidth="1"/>
    <col min="25" max="25" width="22" style="385" bestFit="1" customWidth="1"/>
    <col min="26" max="26" width="2.28515625" style="385" customWidth="1"/>
    <col min="27" max="27" width="7.85546875" style="385" bestFit="1" customWidth="1"/>
    <col min="28" max="28" width="2.28515625" style="385" customWidth="1"/>
    <col min="29" max="29" width="7" style="385" bestFit="1" customWidth="1"/>
    <col min="30" max="30" width="2.28515625" style="385" customWidth="1"/>
    <col min="31" max="31" width="8.42578125" style="385" bestFit="1" customWidth="1"/>
    <col min="32" max="16384" width="9.140625" style="384"/>
  </cols>
  <sheetData>
    <row r="1" spans="1:35" s="1" customFormat="1" ht="13.5" thickBot="1">
      <c r="A1" s="543"/>
      <c r="B1" s="543"/>
      <c r="C1" s="543"/>
      <c r="D1" s="543"/>
      <c r="E1" s="543"/>
      <c r="F1" s="543" t="s">
        <v>1790</v>
      </c>
      <c r="G1" s="543"/>
      <c r="H1" s="543"/>
      <c r="I1" s="544" t="s">
        <v>136</v>
      </c>
      <c r="J1" s="543"/>
      <c r="K1" s="544" t="s">
        <v>504</v>
      </c>
      <c r="L1" s="543"/>
      <c r="M1" s="544" t="s">
        <v>1144</v>
      </c>
      <c r="N1" s="543"/>
      <c r="O1" s="544" t="s">
        <v>1145</v>
      </c>
      <c r="P1" s="543"/>
      <c r="Q1" s="544" t="s">
        <v>1146</v>
      </c>
      <c r="R1" s="543"/>
      <c r="S1" s="544" t="s">
        <v>1147</v>
      </c>
      <c r="T1" s="543"/>
      <c r="U1" s="544" t="s">
        <v>1148</v>
      </c>
      <c r="V1" s="543"/>
      <c r="W1" s="544" t="s">
        <v>1149</v>
      </c>
      <c r="X1" s="543"/>
      <c r="Y1" s="544" t="s">
        <v>1150</v>
      </c>
      <c r="Z1" s="543"/>
      <c r="AA1" s="544" t="s">
        <v>1151</v>
      </c>
      <c r="AB1" s="543"/>
      <c r="AC1" s="544" t="s">
        <v>1152</v>
      </c>
      <c r="AD1" s="543"/>
      <c r="AE1" s="544" t="s">
        <v>92</v>
      </c>
    </row>
    <row r="2" spans="1:35" ht="13.5" thickTop="1">
      <c r="A2" s="545"/>
      <c r="B2" s="545" t="s">
        <v>1153</v>
      </c>
      <c r="C2" s="545"/>
      <c r="D2" s="545"/>
      <c r="E2" s="545"/>
      <c r="F2" s="545"/>
      <c r="G2" s="545"/>
      <c r="H2" s="545"/>
      <c r="I2" s="545"/>
      <c r="J2" s="545"/>
      <c r="K2" s="546"/>
      <c r="L2" s="545"/>
      <c r="M2" s="545"/>
      <c r="N2" s="545"/>
      <c r="O2" s="545"/>
      <c r="P2" s="545"/>
      <c r="Q2" s="545"/>
      <c r="R2" s="545"/>
      <c r="S2" s="545"/>
      <c r="T2" s="545"/>
      <c r="U2" s="545"/>
      <c r="V2" s="545"/>
      <c r="W2" s="545"/>
      <c r="X2" s="545"/>
      <c r="Y2" s="545"/>
      <c r="Z2" s="545"/>
      <c r="AA2" s="547"/>
      <c r="AB2" s="545"/>
      <c r="AC2" s="547"/>
      <c r="AD2" s="545"/>
      <c r="AE2" s="547"/>
      <c r="AF2"/>
      <c r="AG2"/>
      <c r="AH2"/>
      <c r="AI2"/>
    </row>
    <row r="3" spans="1:35">
      <c r="A3" s="545"/>
      <c r="B3" s="545"/>
      <c r="C3" s="545" t="s">
        <v>1154</v>
      </c>
      <c r="D3" s="545"/>
      <c r="E3" s="545"/>
      <c r="F3" s="545"/>
      <c r="G3" s="545"/>
      <c r="H3" s="545"/>
      <c r="I3" s="545"/>
      <c r="J3" s="545"/>
      <c r="K3" s="546"/>
      <c r="L3" s="545"/>
      <c r="M3" s="545"/>
      <c r="N3" s="545"/>
      <c r="O3" s="545"/>
      <c r="P3" s="545"/>
      <c r="Q3" s="545"/>
      <c r="R3" s="545"/>
      <c r="S3" s="545"/>
      <c r="T3" s="545"/>
      <c r="U3" s="545"/>
      <c r="V3" s="545"/>
      <c r="W3" s="545"/>
      <c r="X3" s="545"/>
      <c r="Y3" s="545"/>
      <c r="Z3" s="545"/>
      <c r="AA3" s="547"/>
      <c r="AB3" s="545"/>
      <c r="AC3" s="547"/>
      <c r="AD3" s="545"/>
      <c r="AE3" s="547"/>
      <c r="AF3"/>
      <c r="AG3"/>
      <c r="AH3"/>
      <c r="AI3"/>
    </row>
    <row r="4" spans="1:35">
      <c r="A4" s="545"/>
      <c r="B4" s="545"/>
      <c r="C4" s="545"/>
      <c r="D4" s="545" t="s">
        <v>1155</v>
      </c>
      <c r="E4" s="545"/>
      <c r="F4" s="545"/>
      <c r="G4" s="545"/>
      <c r="H4" s="545"/>
      <c r="I4" s="545"/>
      <c r="J4" s="545"/>
      <c r="K4" s="546"/>
      <c r="L4" s="545"/>
      <c r="M4" s="545"/>
      <c r="N4" s="545"/>
      <c r="O4" s="545"/>
      <c r="P4" s="545"/>
      <c r="Q4" s="545"/>
      <c r="R4" s="545"/>
      <c r="S4" s="545"/>
      <c r="T4" s="545"/>
      <c r="U4" s="545"/>
      <c r="V4" s="545"/>
      <c r="W4" s="545"/>
      <c r="X4" s="545"/>
      <c r="Y4" s="545"/>
      <c r="Z4" s="545"/>
      <c r="AA4" s="547"/>
      <c r="AB4" s="545"/>
      <c r="AC4" s="547"/>
      <c r="AD4" s="545"/>
      <c r="AE4" s="547"/>
      <c r="AF4"/>
      <c r="AG4"/>
      <c r="AH4"/>
      <c r="AI4"/>
    </row>
    <row r="5" spans="1:35">
      <c r="A5" s="548"/>
      <c r="B5" s="548"/>
      <c r="C5" s="548"/>
      <c r="D5" s="548"/>
      <c r="E5" s="548"/>
      <c r="F5" s="548"/>
      <c r="G5" s="548"/>
      <c r="H5" s="548"/>
      <c r="I5" s="548" t="s">
        <v>1156</v>
      </c>
      <c r="J5" s="548"/>
      <c r="K5" s="549">
        <v>41666</v>
      </c>
      <c r="L5" s="548"/>
      <c r="M5" s="548" t="s">
        <v>1184</v>
      </c>
      <c r="N5" s="548"/>
      <c r="O5" s="548" t="s">
        <v>756</v>
      </c>
      <c r="P5" s="548"/>
      <c r="Q5" s="548" t="s">
        <v>1157</v>
      </c>
      <c r="R5" s="548"/>
      <c r="S5" s="548" t="s">
        <v>1155</v>
      </c>
      <c r="T5" s="548"/>
      <c r="U5" s="548" t="s">
        <v>761</v>
      </c>
      <c r="V5" s="548"/>
      <c r="W5" s="550"/>
      <c r="X5" s="548"/>
      <c r="Y5" s="548" t="s">
        <v>1158</v>
      </c>
      <c r="Z5" s="548"/>
      <c r="AA5" s="551">
        <v>102.04</v>
      </c>
      <c r="AB5" s="548"/>
      <c r="AC5" s="551"/>
      <c r="AD5" s="548"/>
      <c r="AE5" s="551">
        <v>-102.04</v>
      </c>
      <c r="AF5"/>
      <c r="AG5"/>
      <c r="AH5"/>
      <c r="AI5"/>
    </row>
    <row r="6" spans="1:35">
      <c r="A6" s="548"/>
      <c r="B6" s="548"/>
      <c r="C6" s="548"/>
      <c r="D6" s="548"/>
      <c r="E6" s="548"/>
      <c r="F6" s="548"/>
      <c r="G6" s="548"/>
      <c r="H6" s="548"/>
      <c r="I6" s="548" t="s">
        <v>1156</v>
      </c>
      <c r="J6" s="548"/>
      <c r="K6" s="549">
        <v>41697</v>
      </c>
      <c r="L6" s="548"/>
      <c r="M6" s="548" t="s">
        <v>1185</v>
      </c>
      <c r="N6" s="548"/>
      <c r="O6" s="548" t="s">
        <v>756</v>
      </c>
      <c r="P6" s="548"/>
      <c r="Q6" s="548" t="s">
        <v>1157</v>
      </c>
      <c r="R6" s="548"/>
      <c r="S6" s="548" t="s">
        <v>1155</v>
      </c>
      <c r="T6" s="548"/>
      <c r="U6" s="548" t="s">
        <v>761</v>
      </c>
      <c r="V6" s="548"/>
      <c r="W6" s="550"/>
      <c r="X6" s="548"/>
      <c r="Y6" s="548" t="s">
        <v>1158</v>
      </c>
      <c r="Z6" s="548"/>
      <c r="AA6" s="551">
        <v>91.02</v>
      </c>
      <c r="AB6" s="548"/>
      <c r="AC6" s="551"/>
      <c r="AD6" s="548"/>
      <c r="AE6" s="551">
        <v>-193.06</v>
      </c>
      <c r="AF6"/>
      <c r="AG6"/>
      <c r="AH6"/>
      <c r="AI6"/>
    </row>
    <row r="7" spans="1:35">
      <c r="A7" s="548"/>
      <c r="B7" s="548"/>
      <c r="C7" s="548"/>
      <c r="D7" s="548"/>
      <c r="E7" s="548"/>
      <c r="F7" s="548"/>
      <c r="G7" s="548"/>
      <c r="H7" s="548"/>
      <c r="I7" s="548" t="s">
        <v>1156</v>
      </c>
      <c r="J7" s="548"/>
      <c r="K7" s="549">
        <v>41723</v>
      </c>
      <c r="L7" s="548"/>
      <c r="M7" s="548" t="s">
        <v>1186</v>
      </c>
      <c r="N7" s="548"/>
      <c r="O7" s="548" t="s">
        <v>756</v>
      </c>
      <c r="P7" s="548"/>
      <c r="Q7" s="548" t="s">
        <v>1157</v>
      </c>
      <c r="R7" s="548"/>
      <c r="S7" s="548" t="s">
        <v>1155</v>
      </c>
      <c r="T7" s="548"/>
      <c r="U7" s="548" t="s">
        <v>761</v>
      </c>
      <c r="V7" s="548"/>
      <c r="W7" s="550"/>
      <c r="X7" s="548"/>
      <c r="Y7" s="548" t="s">
        <v>1158</v>
      </c>
      <c r="Z7" s="548"/>
      <c r="AA7" s="551">
        <v>80.150000000000006</v>
      </c>
      <c r="AB7" s="548"/>
      <c r="AC7" s="551"/>
      <c r="AD7" s="548"/>
      <c r="AE7" s="551">
        <v>-273.20999999999998</v>
      </c>
      <c r="AF7"/>
      <c r="AG7"/>
      <c r="AH7"/>
      <c r="AI7"/>
    </row>
    <row r="8" spans="1:35">
      <c r="A8" s="548"/>
      <c r="B8" s="548"/>
      <c r="C8" s="548"/>
      <c r="D8" s="548"/>
      <c r="E8" s="548"/>
      <c r="F8" s="548"/>
      <c r="G8" s="548"/>
      <c r="H8" s="548"/>
      <c r="I8" s="548" t="s">
        <v>1156</v>
      </c>
      <c r="J8" s="548"/>
      <c r="K8" s="549">
        <v>41757</v>
      </c>
      <c r="L8" s="548"/>
      <c r="M8" s="548" t="s">
        <v>1187</v>
      </c>
      <c r="N8" s="548"/>
      <c r="O8" s="548" t="s">
        <v>756</v>
      </c>
      <c r="P8" s="548"/>
      <c r="Q8" s="548" t="s">
        <v>1157</v>
      </c>
      <c r="R8" s="548"/>
      <c r="S8" s="548" t="s">
        <v>1155</v>
      </c>
      <c r="T8" s="548"/>
      <c r="U8" s="548" t="s">
        <v>761</v>
      </c>
      <c r="V8" s="548"/>
      <c r="W8" s="550"/>
      <c r="X8" s="548"/>
      <c r="Y8" s="548" t="s">
        <v>1158</v>
      </c>
      <c r="Z8" s="548"/>
      <c r="AA8" s="551">
        <v>88.77</v>
      </c>
      <c r="AB8" s="548"/>
      <c r="AC8" s="551"/>
      <c r="AD8" s="548"/>
      <c r="AE8" s="551">
        <v>-361.98</v>
      </c>
      <c r="AF8"/>
      <c r="AG8"/>
      <c r="AH8"/>
      <c r="AI8"/>
    </row>
    <row r="9" spans="1:35">
      <c r="A9" s="548"/>
      <c r="B9" s="548"/>
      <c r="C9" s="548"/>
      <c r="D9" s="548"/>
      <c r="E9" s="548"/>
      <c r="F9" s="548"/>
      <c r="G9" s="548"/>
      <c r="H9" s="548"/>
      <c r="I9" s="548" t="s">
        <v>1156</v>
      </c>
      <c r="J9" s="548"/>
      <c r="K9" s="549">
        <v>41787</v>
      </c>
      <c r="L9" s="548"/>
      <c r="M9" s="548" t="s">
        <v>1188</v>
      </c>
      <c r="N9" s="548"/>
      <c r="O9" s="548" t="s">
        <v>756</v>
      </c>
      <c r="P9" s="548"/>
      <c r="Q9" s="548" t="s">
        <v>1157</v>
      </c>
      <c r="R9" s="548"/>
      <c r="S9" s="548" t="s">
        <v>1155</v>
      </c>
      <c r="T9" s="548"/>
      <c r="U9" s="548" t="s">
        <v>761</v>
      </c>
      <c r="V9" s="548"/>
      <c r="W9" s="550"/>
      <c r="X9" s="548"/>
      <c r="Y9" s="548" t="s">
        <v>1158</v>
      </c>
      <c r="Z9" s="548"/>
      <c r="AA9" s="551">
        <v>86.38</v>
      </c>
      <c r="AB9" s="548"/>
      <c r="AC9" s="551"/>
      <c r="AD9" s="548"/>
      <c r="AE9" s="551">
        <v>-448.36</v>
      </c>
      <c r="AF9"/>
      <c r="AG9"/>
      <c r="AH9"/>
      <c r="AI9"/>
    </row>
    <row r="10" spans="1:35">
      <c r="A10" s="548"/>
      <c r="B10" s="548"/>
      <c r="C10" s="548"/>
      <c r="D10" s="548"/>
      <c r="E10" s="548"/>
      <c r="F10" s="548"/>
      <c r="G10" s="548"/>
      <c r="H10" s="548"/>
      <c r="I10" s="548" t="s">
        <v>1156</v>
      </c>
      <c r="J10" s="548"/>
      <c r="K10" s="549">
        <v>41815</v>
      </c>
      <c r="L10" s="548"/>
      <c r="M10" s="548" t="s">
        <v>1189</v>
      </c>
      <c r="N10" s="548"/>
      <c r="O10" s="548" t="s">
        <v>756</v>
      </c>
      <c r="P10" s="548"/>
      <c r="Q10" s="548" t="s">
        <v>1157</v>
      </c>
      <c r="R10" s="548"/>
      <c r="S10" s="548" t="s">
        <v>1155</v>
      </c>
      <c r="T10" s="548"/>
      <c r="U10" s="548" t="s">
        <v>761</v>
      </c>
      <c r="V10" s="548"/>
      <c r="W10" s="550"/>
      <c r="X10" s="548"/>
      <c r="Y10" s="548" t="s">
        <v>1158</v>
      </c>
      <c r="Z10" s="548"/>
      <c r="AA10" s="551">
        <v>97.18</v>
      </c>
      <c r="AB10" s="548"/>
      <c r="AC10" s="551"/>
      <c r="AD10" s="548"/>
      <c r="AE10" s="551">
        <v>-545.54</v>
      </c>
      <c r="AF10"/>
      <c r="AG10"/>
      <c r="AH10"/>
      <c r="AI10"/>
    </row>
    <row r="11" spans="1:35">
      <c r="A11" s="548"/>
      <c r="B11" s="548"/>
      <c r="C11" s="548"/>
      <c r="D11" s="548"/>
      <c r="E11" s="548"/>
      <c r="F11" s="548"/>
      <c r="G11" s="548"/>
      <c r="H11" s="548"/>
      <c r="I11" s="548" t="s">
        <v>1156</v>
      </c>
      <c r="J11" s="548"/>
      <c r="K11" s="549">
        <v>41849</v>
      </c>
      <c r="L11" s="548"/>
      <c r="M11" s="548" t="s">
        <v>1190</v>
      </c>
      <c r="N11" s="548"/>
      <c r="O11" s="548" t="s">
        <v>756</v>
      </c>
      <c r="P11" s="548"/>
      <c r="Q11" s="548" t="s">
        <v>1157</v>
      </c>
      <c r="R11" s="548"/>
      <c r="S11" s="548" t="s">
        <v>1155</v>
      </c>
      <c r="T11" s="548"/>
      <c r="U11" s="548" t="s">
        <v>761</v>
      </c>
      <c r="V11" s="548"/>
      <c r="W11" s="550"/>
      <c r="X11" s="548"/>
      <c r="Y11" s="548" t="s">
        <v>1158</v>
      </c>
      <c r="Z11" s="548"/>
      <c r="AA11" s="551">
        <v>54.31</v>
      </c>
      <c r="AB11" s="548"/>
      <c r="AC11" s="551"/>
      <c r="AD11" s="548"/>
      <c r="AE11" s="551">
        <v>-599.85</v>
      </c>
      <c r="AF11"/>
      <c r="AG11"/>
      <c r="AH11"/>
      <c r="AI11"/>
    </row>
    <row r="12" spans="1:35">
      <c r="A12" s="548"/>
      <c r="B12" s="548"/>
      <c r="C12" s="548"/>
      <c r="D12" s="548"/>
      <c r="E12" s="548"/>
      <c r="F12" s="548"/>
      <c r="G12" s="548"/>
      <c r="H12" s="548"/>
      <c r="I12" s="548" t="s">
        <v>1156</v>
      </c>
      <c r="J12" s="548"/>
      <c r="K12" s="549">
        <v>41873</v>
      </c>
      <c r="L12" s="548"/>
      <c r="M12" s="548" t="s">
        <v>1191</v>
      </c>
      <c r="N12" s="548"/>
      <c r="O12" s="548" t="s">
        <v>756</v>
      </c>
      <c r="P12" s="548"/>
      <c r="Q12" s="548" t="s">
        <v>1157</v>
      </c>
      <c r="R12" s="548"/>
      <c r="S12" s="548" t="s">
        <v>1155</v>
      </c>
      <c r="T12" s="548"/>
      <c r="U12" s="548" t="s">
        <v>761</v>
      </c>
      <c r="V12" s="548"/>
      <c r="W12" s="550"/>
      <c r="X12" s="548"/>
      <c r="Y12" s="548" t="s">
        <v>1158</v>
      </c>
      <c r="Z12" s="548"/>
      <c r="AA12" s="551">
        <v>55.47</v>
      </c>
      <c r="AB12" s="548"/>
      <c r="AC12" s="551"/>
      <c r="AD12" s="548"/>
      <c r="AE12" s="551">
        <v>-655.32000000000005</v>
      </c>
      <c r="AF12"/>
      <c r="AG12"/>
      <c r="AH12"/>
      <c r="AI12"/>
    </row>
    <row r="13" spans="1:35">
      <c r="A13" s="548"/>
      <c r="B13" s="548"/>
      <c r="C13" s="548"/>
      <c r="D13" s="548"/>
      <c r="E13" s="548"/>
      <c r="F13" s="548"/>
      <c r="G13" s="548"/>
      <c r="H13" s="548"/>
      <c r="I13" s="548" t="s">
        <v>1156</v>
      </c>
      <c r="J13" s="548"/>
      <c r="K13" s="549">
        <v>41907</v>
      </c>
      <c r="L13" s="548"/>
      <c r="M13" s="548" t="s">
        <v>1192</v>
      </c>
      <c r="N13" s="548"/>
      <c r="O13" s="548" t="s">
        <v>756</v>
      </c>
      <c r="P13" s="548"/>
      <c r="Q13" s="548" t="s">
        <v>1157</v>
      </c>
      <c r="R13" s="548"/>
      <c r="S13" s="548" t="s">
        <v>1155</v>
      </c>
      <c r="T13" s="548"/>
      <c r="U13" s="548" t="s">
        <v>761</v>
      </c>
      <c r="V13" s="548"/>
      <c r="W13" s="550"/>
      <c r="X13" s="548"/>
      <c r="Y13" s="548" t="s">
        <v>1158</v>
      </c>
      <c r="Z13" s="548"/>
      <c r="AA13" s="551">
        <v>56.59</v>
      </c>
      <c r="AB13" s="548"/>
      <c r="AC13" s="551"/>
      <c r="AD13" s="548"/>
      <c r="AE13" s="551">
        <v>-711.91</v>
      </c>
      <c r="AF13"/>
      <c r="AG13"/>
      <c r="AH13"/>
      <c r="AI13"/>
    </row>
    <row r="14" spans="1:35">
      <c r="A14" s="548"/>
      <c r="B14" s="548"/>
      <c r="C14" s="548"/>
      <c r="D14" s="548"/>
      <c r="E14" s="548"/>
      <c r="F14" s="548"/>
      <c r="G14" s="548"/>
      <c r="H14" s="548"/>
      <c r="I14" s="548" t="s">
        <v>1156</v>
      </c>
      <c r="J14" s="548"/>
      <c r="K14" s="549">
        <v>41936</v>
      </c>
      <c r="L14" s="548"/>
      <c r="M14" s="548" t="s">
        <v>1193</v>
      </c>
      <c r="N14" s="548"/>
      <c r="O14" s="548" t="s">
        <v>756</v>
      </c>
      <c r="P14" s="548"/>
      <c r="Q14" s="548" t="s">
        <v>1157</v>
      </c>
      <c r="R14" s="548"/>
      <c r="S14" s="548" t="s">
        <v>1155</v>
      </c>
      <c r="T14" s="548"/>
      <c r="U14" s="548" t="s">
        <v>761</v>
      </c>
      <c r="V14" s="548"/>
      <c r="W14" s="550"/>
      <c r="X14" s="548"/>
      <c r="Y14" s="548" t="s">
        <v>1158</v>
      </c>
      <c r="Z14" s="548"/>
      <c r="AA14" s="551">
        <v>52.12</v>
      </c>
      <c r="AB14" s="548"/>
      <c r="AC14" s="551"/>
      <c r="AD14" s="548"/>
      <c r="AE14" s="551">
        <v>-764.03</v>
      </c>
      <c r="AF14"/>
      <c r="AG14"/>
      <c r="AH14"/>
      <c r="AI14"/>
    </row>
    <row r="15" spans="1:35">
      <c r="A15" s="548"/>
      <c r="B15" s="548"/>
      <c r="C15" s="548"/>
      <c r="D15" s="548"/>
      <c r="E15" s="548"/>
      <c r="F15" s="548"/>
      <c r="G15" s="548"/>
      <c r="H15" s="548"/>
      <c r="I15" s="548" t="s">
        <v>1156</v>
      </c>
      <c r="J15" s="548"/>
      <c r="K15" s="549">
        <v>41969</v>
      </c>
      <c r="L15" s="548"/>
      <c r="M15" s="548" t="s">
        <v>1194</v>
      </c>
      <c r="N15" s="548"/>
      <c r="O15" s="548" t="s">
        <v>756</v>
      </c>
      <c r="P15" s="548"/>
      <c r="Q15" s="548" t="s">
        <v>1157</v>
      </c>
      <c r="R15" s="548"/>
      <c r="S15" s="548" t="s">
        <v>1155</v>
      </c>
      <c r="T15" s="548"/>
      <c r="U15" s="548" t="s">
        <v>761</v>
      </c>
      <c r="V15" s="548"/>
      <c r="W15" s="550"/>
      <c r="X15" s="548"/>
      <c r="Y15" s="548" t="s">
        <v>1158</v>
      </c>
      <c r="Z15" s="548"/>
      <c r="AA15" s="551">
        <v>53.37</v>
      </c>
      <c r="AB15" s="548"/>
      <c r="AC15" s="551"/>
      <c r="AD15" s="548"/>
      <c r="AE15" s="551">
        <v>-817.4</v>
      </c>
      <c r="AF15"/>
      <c r="AG15"/>
      <c r="AH15"/>
      <c r="AI15"/>
    </row>
    <row r="16" spans="1:35" ht="13.5" thickBot="1">
      <c r="A16" s="548"/>
      <c r="B16" s="548"/>
      <c r="C16" s="548"/>
      <c r="D16" s="548"/>
      <c r="E16" s="548"/>
      <c r="F16" s="548"/>
      <c r="G16" s="548"/>
      <c r="H16" s="548"/>
      <c r="I16" s="548" t="s">
        <v>1156</v>
      </c>
      <c r="J16" s="548"/>
      <c r="K16" s="549">
        <v>41995</v>
      </c>
      <c r="L16" s="548"/>
      <c r="M16" s="548" t="s">
        <v>1195</v>
      </c>
      <c r="N16" s="548"/>
      <c r="O16" s="548" t="s">
        <v>756</v>
      </c>
      <c r="P16" s="548"/>
      <c r="Q16" s="548" t="s">
        <v>1157</v>
      </c>
      <c r="R16" s="548"/>
      <c r="S16" s="548" t="s">
        <v>1155</v>
      </c>
      <c r="T16" s="548"/>
      <c r="U16" s="548" t="s">
        <v>761</v>
      </c>
      <c r="V16" s="548"/>
      <c r="W16" s="550"/>
      <c r="X16" s="548"/>
      <c r="Y16" s="548" t="s">
        <v>1158</v>
      </c>
      <c r="Z16" s="548"/>
      <c r="AA16" s="552">
        <v>49.34</v>
      </c>
      <c r="AB16" s="548"/>
      <c r="AC16" s="552"/>
      <c r="AD16" s="548"/>
      <c r="AE16" s="552">
        <v>-866.74</v>
      </c>
      <c r="AF16"/>
      <c r="AG16"/>
      <c r="AH16"/>
      <c r="AI16"/>
    </row>
    <row r="17" spans="1:35">
      <c r="A17" s="548"/>
      <c r="B17" s="548"/>
      <c r="C17" s="548"/>
      <c r="D17" s="548" t="s">
        <v>1159</v>
      </c>
      <c r="E17" s="548"/>
      <c r="F17" s="548"/>
      <c r="G17" s="548"/>
      <c r="H17" s="548"/>
      <c r="I17" s="548"/>
      <c r="J17" s="548"/>
      <c r="K17" s="549"/>
      <c r="L17" s="548"/>
      <c r="M17" s="548"/>
      <c r="N17" s="548"/>
      <c r="O17" s="548"/>
      <c r="P17" s="548"/>
      <c r="Q17" s="548"/>
      <c r="R17" s="548"/>
      <c r="S17" s="548"/>
      <c r="T17" s="548"/>
      <c r="U17" s="548"/>
      <c r="V17" s="548"/>
      <c r="W17" s="548"/>
      <c r="X17" s="548"/>
      <c r="Y17" s="548"/>
      <c r="Z17" s="548"/>
      <c r="AA17" s="551">
        <f>ROUND(SUM(AA4:AA16),5)</f>
        <v>866.74</v>
      </c>
      <c r="AB17" s="548"/>
      <c r="AC17" s="551">
        <f>ROUND(SUM(AC4:AC16),5)</f>
        <v>0</v>
      </c>
      <c r="AD17" s="548"/>
      <c r="AE17" s="551">
        <f>AE16</f>
        <v>-866.74</v>
      </c>
      <c r="AF17"/>
      <c r="AG17"/>
      <c r="AH17"/>
      <c r="AI17"/>
    </row>
    <row r="18" spans="1:35">
      <c r="A18" s="545"/>
      <c r="B18" s="545"/>
      <c r="C18" s="545"/>
      <c r="D18" s="545" t="s">
        <v>1160</v>
      </c>
      <c r="E18" s="545"/>
      <c r="F18" s="545"/>
      <c r="G18" s="545"/>
      <c r="H18" s="545"/>
      <c r="I18" s="545"/>
      <c r="J18" s="545"/>
      <c r="K18" s="546"/>
      <c r="L18" s="545"/>
      <c r="M18" s="545"/>
      <c r="N18" s="545"/>
      <c r="O18" s="545"/>
      <c r="P18" s="545"/>
      <c r="Q18" s="545"/>
      <c r="R18" s="545"/>
      <c r="S18" s="545"/>
      <c r="T18" s="545"/>
      <c r="U18" s="545"/>
      <c r="V18" s="545"/>
      <c r="W18" s="545"/>
      <c r="X18" s="545"/>
      <c r="Y18" s="545"/>
      <c r="Z18" s="545"/>
      <c r="AA18" s="547"/>
      <c r="AB18" s="545"/>
      <c r="AC18" s="547"/>
      <c r="AD18" s="545"/>
      <c r="AE18" s="547"/>
      <c r="AF18"/>
      <c r="AG18"/>
      <c r="AH18"/>
      <c r="AI18"/>
    </row>
    <row r="19" spans="1:35">
      <c r="A19" s="548"/>
      <c r="B19" s="548"/>
      <c r="C19" s="548"/>
      <c r="D19" s="548"/>
      <c r="E19" s="548"/>
      <c r="F19" s="548"/>
      <c r="G19" s="548"/>
      <c r="H19" s="548"/>
      <c r="I19" s="548" t="s">
        <v>1156</v>
      </c>
      <c r="J19" s="548"/>
      <c r="K19" s="549">
        <v>41666</v>
      </c>
      <c r="L19" s="548"/>
      <c r="M19" s="548" t="s">
        <v>1184</v>
      </c>
      <c r="N19" s="548"/>
      <c r="O19" s="548" t="s">
        <v>756</v>
      </c>
      <c r="P19" s="548"/>
      <c r="Q19" s="548" t="s">
        <v>1161</v>
      </c>
      <c r="R19" s="548"/>
      <c r="S19" s="548" t="s">
        <v>1160</v>
      </c>
      <c r="T19" s="548"/>
      <c r="U19" s="548" t="s">
        <v>761</v>
      </c>
      <c r="V19" s="548"/>
      <c r="W19" s="550"/>
      <c r="X19" s="548"/>
      <c r="Y19" s="548" t="s">
        <v>1158</v>
      </c>
      <c r="Z19" s="548"/>
      <c r="AA19" s="551">
        <v>19.95</v>
      </c>
      <c r="AB19" s="548"/>
      <c r="AC19" s="551"/>
      <c r="AD19" s="548"/>
      <c r="AE19" s="551">
        <v>-19.95</v>
      </c>
      <c r="AF19"/>
      <c r="AG19"/>
      <c r="AH19"/>
      <c r="AI19"/>
    </row>
    <row r="20" spans="1:35">
      <c r="A20" s="548"/>
      <c r="B20" s="548"/>
      <c r="C20" s="548"/>
      <c r="D20" s="548"/>
      <c r="E20" s="548"/>
      <c r="F20" s="548"/>
      <c r="G20" s="548"/>
      <c r="H20" s="548"/>
      <c r="I20" s="548" t="s">
        <v>1156</v>
      </c>
      <c r="J20" s="548"/>
      <c r="K20" s="549">
        <v>41697</v>
      </c>
      <c r="L20" s="548"/>
      <c r="M20" s="548" t="s">
        <v>1185</v>
      </c>
      <c r="N20" s="548"/>
      <c r="O20" s="548" t="s">
        <v>756</v>
      </c>
      <c r="P20" s="548"/>
      <c r="Q20" s="548" t="s">
        <v>1161</v>
      </c>
      <c r="R20" s="548"/>
      <c r="S20" s="548" t="s">
        <v>1160</v>
      </c>
      <c r="T20" s="548"/>
      <c r="U20" s="548" t="s">
        <v>761</v>
      </c>
      <c r="V20" s="548"/>
      <c r="W20" s="550"/>
      <c r="X20" s="548"/>
      <c r="Y20" s="548" t="s">
        <v>1158</v>
      </c>
      <c r="Z20" s="548"/>
      <c r="AA20" s="551">
        <v>17</v>
      </c>
      <c r="AB20" s="548"/>
      <c r="AC20" s="551"/>
      <c r="AD20" s="548"/>
      <c r="AE20" s="551">
        <v>-36.950000000000003</v>
      </c>
      <c r="AF20"/>
      <c r="AG20"/>
      <c r="AH20"/>
      <c r="AI20"/>
    </row>
    <row r="21" spans="1:35">
      <c r="A21" s="548"/>
      <c r="B21" s="548"/>
      <c r="C21" s="548"/>
      <c r="D21" s="548"/>
      <c r="E21" s="548"/>
      <c r="F21" s="548"/>
      <c r="G21" s="548"/>
      <c r="H21" s="548"/>
      <c r="I21" s="548" t="s">
        <v>1156</v>
      </c>
      <c r="J21" s="548"/>
      <c r="K21" s="549">
        <v>41723</v>
      </c>
      <c r="L21" s="548"/>
      <c r="M21" s="548" t="s">
        <v>1186</v>
      </c>
      <c r="N21" s="548"/>
      <c r="O21" s="548" t="s">
        <v>756</v>
      </c>
      <c r="P21" s="548"/>
      <c r="Q21" s="548" t="s">
        <v>1161</v>
      </c>
      <c r="R21" s="548"/>
      <c r="S21" s="548" t="s">
        <v>1160</v>
      </c>
      <c r="T21" s="548"/>
      <c r="U21" s="548" t="s">
        <v>761</v>
      </c>
      <c r="V21" s="548"/>
      <c r="W21" s="550"/>
      <c r="X21" s="548"/>
      <c r="Y21" s="548" t="s">
        <v>1158</v>
      </c>
      <c r="Z21" s="548"/>
      <c r="AA21" s="551">
        <v>17.47</v>
      </c>
      <c r="AB21" s="548"/>
      <c r="AC21" s="551"/>
      <c r="AD21" s="548"/>
      <c r="AE21" s="551">
        <v>-54.42</v>
      </c>
      <c r="AF21"/>
      <c r="AG21"/>
      <c r="AH21"/>
      <c r="AI21"/>
    </row>
    <row r="22" spans="1:35">
      <c r="A22" s="548"/>
      <c r="B22" s="548"/>
      <c r="C22" s="548"/>
      <c r="D22" s="548"/>
      <c r="E22" s="548"/>
      <c r="F22" s="548"/>
      <c r="G22" s="548"/>
      <c r="H22" s="548"/>
      <c r="I22" s="548" t="s">
        <v>1156</v>
      </c>
      <c r="J22" s="548"/>
      <c r="K22" s="549">
        <v>41757</v>
      </c>
      <c r="L22" s="548"/>
      <c r="M22" s="548" t="s">
        <v>1187</v>
      </c>
      <c r="N22" s="548"/>
      <c r="O22" s="548" t="s">
        <v>756</v>
      </c>
      <c r="P22" s="548"/>
      <c r="Q22" s="548" t="s">
        <v>1161</v>
      </c>
      <c r="R22" s="548"/>
      <c r="S22" s="548" t="s">
        <v>1160</v>
      </c>
      <c r="T22" s="548"/>
      <c r="U22" s="548" t="s">
        <v>761</v>
      </c>
      <c r="V22" s="548"/>
      <c r="W22" s="550"/>
      <c r="X22" s="548"/>
      <c r="Y22" s="548" t="s">
        <v>1158</v>
      </c>
      <c r="Z22" s="548"/>
      <c r="AA22" s="551">
        <v>18.37</v>
      </c>
      <c r="AB22" s="548"/>
      <c r="AC22" s="551"/>
      <c r="AD22" s="548"/>
      <c r="AE22" s="551">
        <v>-72.790000000000006</v>
      </c>
      <c r="AF22"/>
      <c r="AG22"/>
      <c r="AH22"/>
      <c r="AI22"/>
    </row>
    <row r="23" spans="1:35">
      <c r="A23" s="548"/>
      <c r="B23" s="548"/>
      <c r="C23" s="548"/>
      <c r="D23" s="548"/>
      <c r="E23" s="548"/>
      <c r="F23" s="548"/>
      <c r="G23" s="548"/>
      <c r="H23" s="548"/>
      <c r="I23" s="548" t="s">
        <v>1156</v>
      </c>
      <c r="J23" s="548"/>
      <c r="K23" s="549">
        <v>41787</v>
      </c>
      <c r="L23" s="548"/>
      <c r="M23" s="548" t="s">
        <v>1188</v>
      </c>
      <c r="N23" s="548"/>
      <c r="O23" s="548" t="s">
        <v>756</v>
      </c>
      <c r="P23" s="548"/>
      <c r="Q23" s="548" t="s">
        <v>1161</v>
      </c>
      <c r="R23" s="548"/>
      <c r="S23" s="548" t="s">
        <v>1160</v>
      </c>
      <c r="T23" s="548"/>
      <c r="U23" s="548" t="s">
        <v>761</v>
      </c>
      <c r="V23" s="548"/>
      <c r="W23" s="550"/>
      <c r="X23" s="548"/>
      <c r="Y23" s="548" t="s">
        <v>1158</v>
      </c>
      <c r="Z23" s="548"/>
      <c r="AA23" s="551">
        <v>6.06</v>
      </c>
      <c r="AB23" s="548"/>
      <c r="AC23" s="551"/>
      <c r="AD23" s="548"/>
      <c r="AE23" s="551">
        <v>-78.849999999999994</v>
      </c>
      <c r="AF23"/>
      <c r="AG23"/>
      <c r="AH23"/>
      <c r="AI23"/>
    </row>
    <row r="24" spans="1:35">
      <c r="A24" s="548"/>
      <c r="B24" s="548"/>
      <c r="C24" s="548"/>
      <c r="D24" s="548"/>
      <c r="E24" s="548"/>
      <c r="F24" s="548"/>
      <c r="G24" s="548"/>
      <c r="H24" s="548"/>
      <c r="I24" s="548" t="s">
        <v>1156</v>
      </c>
      <c r="J24" s="548"/>
      <c r="K24" s="549">
        <v>41815</v>
      </c>
      <c r="L24" s="548"/>
      <c r="M24" s="548" t="s">
        <v>1189</v>
      </c>
      <c r="N24" s="548"/>
      <c r="O24" s="548" t="s">
        <v>756</v>
      </c>
      <c r="P24" s="548"/>
      <c r="Q24" s="548" t="s">
        <v>1161</v>
      </c>
      <c r="R24" s="548"/>
      <c r="S24" s="548" t="s">
        <v>1160</v>
      </c>
      <c r="T24" s="548"/>
      <c r="U24" s="548" t="s">
        <v>761</v>
      </c>
      <c r="V24" s="548"/>
      <c r="W24" s="550"/>
      <c r="X24" s="548"/>
      <c r="Y24" s="548" t="s">
        <v>1158</v>
      </c>
      <c r="Z24" s="548"/>
      <c r="AA24" s="551">
        <v>6.02</v>
      </c>
      <c r="AB24" s="548"/>
      <c r="AC24" s="551"/>
      <c r="AD24" s="548"/>
      <c r="AE24" s="551">
        <v>-84.87</v>
      </c>
      <c r="AF24"/>
      <c r="AG24"/>
      <c r="AH24"/>
      <c r="AI24"/>
    </row>
    <row r="25" spans="1:35">
      <c r="A25" s="548"/>
      <c r="B25" s="548"/>
      <c r="C25" s="548"/>
      <c r="D25" s="548"/>
      <c r="E25" s="548"/>
      <c r="F25" s="548"/>
      <c r="G25" s="548"/>
      <c r="H25" s="548"/>
      <c r="I25" s="548" t="s">
        <v>1156</v>
      </c>
      <c r="J25" s="548"/>
      <c r="K25" s="549">
        <v>41849</v>
      </c>
      <c r="L25" s="548"/>
      <c r="M25" s="548" t="s">
        <v>1190</v>
      </c>
      <c r="N25" s="548"/>
      <c r="O25" s="548" t="s">
        <v>756</v>
      </c>
      <c r="P25" s="548"/>
      <c r="Q25" s="548" t="s">
        <v>1161</v>
      </c>
      <c r="R25" s="548"/>
      <c r="S25" s="548" t="s">
        <v>1160</v>
      </c>
      <c r="T25" s="548"/>
      <c r="U25" s="548" t="s">
        <v>761</v>
      </c>
      <c r="V25" s="548"/>
      <c r="W25" s="550"/>
      <c r="X25" s="548"/>
      <c r="Y25" s="548" t="s">
        <v>1158</v>
      </c>
      <c r="Z25" s="548"/>
      <c r="AA25" s="551">
        <v>1.76</v>
      </c>
      <c r="AB25" s="548"/>
      <c r="AC25" s="551"/>
      <c r="AD25" s="548"/>
      <c r="AE25" s="551">
        <v>-86.63</v>
      </c>
      <c r="AF25"/>
      <c r="AG25"/>
      <c r="AH25"/>
      <c r="AI25"/>
    </row>
    <row r="26" spans="1:35">
      <c r="A26" s="548"/>
      <c r="B26" s="548"/>
      <c r="C26" s="548"/>
      <c r="D26" s="548"/>
      <c r="E26" s="548"/>
      <c r="F26" s="548"/>
      <c r="G26" s="548"/>
      <c r="H26" s="548"/>
      <c r="I26" s="548" t="s">
        <v>1156</v>
      </c>
      <c r="J26" s="548"/>
      <c r="K26" s="549">
        <v>41873</v>
      </c>
      <c r="L26" s="548"/>
      <c r="M26" s="548" t="s">
        <v>1191</v>
      </c>
      <c r="N26" s="548"/>
      <c r="O26" s="548" t="s">
        <v>756</v>
      </c>
      <c r="P26" s="548"/>
      <c r="Q26" s="548" t="s">
        <v>1161</v>
      </c>
      <c r="R26" s="548"/>
      <c r="S26" s="548" t="s">
        <v>1160</v>
      </c>
      <c r="T26" s="548"/>
      <c r="U26" s="548" t="s">
        <v>761</v>
      </c>
      <c r="V26" s="548"/>
      <c r="W26" s="550"/>
      <c r="X26" s="548"/>
      <c r="Y26" s="548" t="s">
        <v>1158</v>
      </c>
      <c r="Z26" s="548"/>
      <c r="AA26" s="551">
        <v>2.67</v>
      </c>
      <c r="AB26" s="548"/>
      <c r="AC26" s="551"/>
      <c r="AD26" s="548"/>
      <c r="AE26" s="551">
        <v>-89.3</v>
      </c>
      <c r="AF26"/>
      <c r="AG26"/>
      <c r="AH26"/>
      <c r="AI26"/>
    </row>
    <row r="27" spans="1:35">
      <c r="A27" s="548"/>
      <c r="B27" s="548"/>
      <c r="C27" s="548"/>
      <c r="D27" s="548"/>
      <c r="E27" s="548"/>
      <c r="F27" s="548"/>
      <c r="G27" s="548"/>
      <c r="H27" s="548"/>
      <c r="I27" s="548" t="s">
        <v>1156</v>
      </c>
      <c r="J27" s="548"/>
      <c r="K27" s="549">
        <v>41907</v>
      </c>
      <c r="L27" s="548"/>
      <c r="M27" s="548" t="s">
        <v>1192</v>
      </c>
      <c r="N27" s="548"/>
      <c r="O27" s="548" t="s">
        <v>756</v>
      </c>
      <c r="P27" s="548"/>
      <c r="Q27" s="548" t="s">
        <v>1161</v>
      </c>
      <c r="R27" s="548"/>
      <c r="S27" s="548" t="s">
        <v>1160</v>
      </c>
      <c r="T27" s="548"/>
      <c r="U27" s="548" t="s">
        <v>761</v>
      </c>
      <c r="V27" s="548"/>
      <c r="W27" s="550"/>
      <c r="X27" s="548"/>
      <c r="Y27" s="548" t="s">
        <v>1158</v>
      </c>
      <c r="Z27" s="548"/>
      <c r="AA27" s="551">
        <v>3.32</v>
      </c>
      <c r="AB27" s="548"/>
      <c r="AC27" s="551"/>
      <c r="AD27" s="548"/>
      <c r="AE27" s="551">
        <v>-92.62</v>
      </c>
      <c r="AF27"/>
      <c r="AG27"/>
      <c r="AH27"/>
      <c r="AI27"/>
    </row>
    <row r="28" spans="1:35">
      <c r="A28" s="548"/>
      <c r="B28" s="548"/>
      <c r="C28" s="548"/>
      <c r="D28" s="548"/>
      <c r="E28" s="548"/>
      <c r="F28" s="548"/>
      <c r="G28" s="548"/>
      <c r="H28" s="548"/>
      <c r="I28" s="548" t="s">
        <v>1156</v>
      </c>
      <c r="J28" s="548"/>
      <c r="K28" s="549">
        <v>41936</v>
      </c>
      <c r="L28" s="548"/>
      <c r="M28" s="548" t="s">
        <v>1193</v>
      </c>
      <c r="N28" s="548"/>
      <c r="O28" s="548" t="s">
        <v>756</v>
      </c>
      <c r="P28" s="548"/>
      <c r="Q28" s="548" t="s">
        <v>1161</v>
      </c>
      <c r="R28" s="548"/>
      <c r="S28" s="548" t="s">
        <v>1160</v>
      </c>
      <c r="T28" s="548"/>
      <c r="U28" s="548" t="s">
        <v>761</v>
      </c>
      <c r="V28" s="548"/>
      <c r="W28" s="550"/>
      <c r="X28" s="548"/>
      <c r="Y28" s="548" t="s">
        <v>1158</v>
      </c>
      <c r="Z28" s="548"/>
      <c r="AA28" s="551">
        <v>2.58</v>
      </c>
      <c r="AB28" s="548"/>
      <c r="AC28" s="551"/>
      <c r="AD28" s="548"/>
      <c r="AE28" s="551">
        <v>-95.2</v>
      </c>
      <c r="AF28"/>
      <c r="AG28"/>
      <c r="AH28"/>
      <c r="AI28"/>
    </row>
    <row r="29" spans="1:35">
      <c r="A29" s="548"/>
      <c r="B29" s="548"/>
      <c r="C29" s="548"/>
      <c r="D29" s="548"/>
      <c r="E29" s="548"/>
      <c r="F29" s="548"/>
      <c r="G29" s="548"/>
      <c r="H29" s="548"/>
      <c r="I29" s="548" t="s">
        <v>1156</v>
      </c>
      <c r="J29" s="548"/>
      <c r="K29" s="549">
        <v>41969</v>
      </c>
      <c r="L29" s="548"/>
      <c r="M29" s="548" t="s">
        <v>1194</v>
      </c>
      <c r="N29" s="548"/>
      <c r="O29" s="548" t="s">
        <v>756</v>
      </c>
      <c r="P29" s="548"/>
      <c r="Q29" s="548" t="s">
        <v>1161</v>
      </c>
      <c r="R29" s="548"/>
      <c r="S29" s="548" t="s">
        <v>1160</v>
      </c>
      <c r="T29" s="548"/>
      <c r="U29" s="548" t="s">
        <v>761</v>
      </c>
      <c r="V29" s="548"/>
      <c r="W29" s="550"/>
      <c r="X29" s="548"/>
      <c r="Y29" s="548" t="s">
        <v>1158</v>
      </c>
      <c r="Z29" s="548"/>
      <c r="AA29" s="551">
        <v>2.93</v>
      </c>
      <c r="AB29" s="548"/>
      <c r="AC29" s="551"/>
      <c r="AD29" s="548"/>
      <c r="AE29" s="551">
        <v>-98.13</v>
      </c>
      <c r="AF29"/>
      <c r="AG29"/>
      <c r="AH29"/>
      <c r="AI29"/>
    </row>
    <row r="30" spans="1:35" ht="13.5" thickBot="1">
      <c r="A30" s="548"/>
      <c r="B30" s="548"/>
      <c r="C30" s="548"/>
      <c r="D30" s="548"/>
      <c r="E30" s="548"/>
      <c r="F30" s="548"/>
      <c r="G30" s="548"/>
      <c r="H30" s="548"/>
      <c r="I30" s="548" t="s">
        <v>1156</v>
      </c>
      <c r="J30" s="548"/>
      <c r="K30" s="549">
        <v>41995</v>
      </c>
      <c r="L30" s="548"/>
      <c r="M30" s="548" t="s">
        <v>1195</v>
      </c>
      <c r="N30" s="548"/>
      <c r="O30" s="548" t="s">
        <v>756</v>
      </c>
      <c r="P30" s="548"/>
      <c r="Q30" s="548" t="s">
        <v>1161</v>
      </c>
      <c r="R30" s="548"/>
      <c r="S30" s="548" t="s">
        <v>1160</v>
      </c>
      <c r="T30" s="548"/>
      <c r="U30" s="548" t="s">
        <v>761</v>
      </c>
      <c r="V30" s="548"/>
      <c r="W30" s="550"/>
      <c r="X30" s="548"/>
      <c r="Y30" s="548" t="s">
        <v>1158</v>
      </c>
      <c r="Z30" s="548"/>
      <c r="AA30" s="552">
        <v>7.64</v>
      </c>
      <c r="AB30" s="548"/>
      <c r="AC30" s="552"/>
      <c r="AD30" s="548"/>
      <c r="AE30" s="552">
        <v>-105.77</v>
      </c>
      <c r="AF30"/>
      <c r="AG30"/>
      <c r="AH30"/>
      <c r="AI30"/>
    </row>
    <row r="31" spans="1:35">
      <c r="A31" s="548"/>
      <c r="B31" s="548"/>
      <c r="C31" s="548"/>
      <c r="D31" s="548" t="s">
        <v>1162</v>
      </c>
      <c r="E31" s="548"/>
      <c r="F31" s="548"/>
      <c r="G31" s="548"/>
      <c r="H31" s="548"/>
      <c r="I31" s="548"/>
      <c r="J31" s="548"/>
      <c r="K31" s="549"/>
      <c r="L31" s="548"/>
      <c r="M31" s="548"/>
      <c r="N31" s="548"/>
      <c r="O31" s="548"/>
      <c r="P31" s="548"/>
      <c r="Q31" s="548"/>
      <c r="R31" s="548"/>
      <c r="S31" s="548"/>
      <c r="T31" s="548"/>
      <c r="U31" s="548"/>
      <c r="V31" s="548"/>
      <c r="W31" s="548"/>
      <c r="X31" s="548"/>
      <c r="Y31" s="548"/>
      <c r="Z31" s="548"/>
      <c r="AA31" s="551">
        <f>ROUND(SUM(AA18:AA30),5)</f>
        <v>105.77</v>
      </c>
      <c r="AB31" s="548"/>
      <c r="AC31" s="551">
        <f>ROUND(SUM(AC18:AC30),5)</f>
        <v>0</v>
      </c>
      <c r="AD31" s="548"/>
      <c r="AE31" s="551">
        <f>AE30</f>
        <v>-105.77</v>
      </c>
      <c r="AF31"/>
      <c r="AG31"/>
      <c r="AH31"/>
      <c r="AI31"/>
    </row>
    <row r="32" spans="1:35">
      <c r="A32" s="545"/>
      <c r="B32" s="545"/>
      <c r="C32" s="545"/>
      <c r="D32" s="545" t="s">
        <v>1163</v>
      </c>
      <c r="E32" s="545"/>
      <c r="F32" s="545"/>
      <c r="G32" s="545"/>
      <c r="H32" s="545"/>
      <c r="I32" s="545"/>
      <c r="J32" s="545"/>
      <c r="K32" s="546"/>
      <c r="L32" s="545"/>
      <c r="M32" s="545"/>
      <c r="N32" s="545"/>
      <c r="O32" s="545"/>
      <c r="P32" s="545"/>
      <c r="Q32" s="545"/>
      <c r="R32" s="545"/>
      <c r="S32" s="545"/>
      <c r="T32" s="545"/>
      <c r="U32" s="545"/>
      <c r="V32" s="545"/>
      <c r="W32" s="545"/>
      <c r="X32" s="545"/>
      <c r="Y32" s="545"/>
      <c r="Z32" s="545"/>
      <c r="AA32" s="547"/>
      <c r="AB32" s="545"/>
      <c r="AC32" s="547"/>
      <c r="AD32" s="545"/>
      <c r="AE32" s="547"/>
      <c r="AF32"/>
      <c r="AG32"/>
      <c r="AH32"/>
      <c r="AI32"/>
    </row>
    <row r="33" spans="1:35">
      <c r="A33" s="548"/>
      <c r="B33" s="548"/>
      <c r="C33" s="548"/>
      <c r="D33" s="548"/>
      <c r="E33" s="548"/>
      <c r="F33" s="548"/>
      <c r="G33" s="548"/>
      <c r="H33" s="548"/>
      <c r="I33" s="548" t="s">
        <v>1156</v>
      </c>
      <c r="J33" s="548"/>
      <c r="K33" s="549">
        <v>41666</v>
      </c>
      <c r="L33" s="548"/>
      <c r="M33" s="548" t="s">
        <v>1184</v>
      </c>
      <c r="N33" s="548"/>
      <c r="O33" s="548" t="s">
        <v>756</v>
      </c>
      <c r="P33" s="548"/>
      <c r="Q33" s="548" t="s">
        <v>1164</v>
      </c>
      <c r="R33" s="548"/>
      <c r="S33" s="548" t="s">
        <v>1163</v>
      </c>
      <c r="T33" s="548"/>
      <c r="U33" s="548" t="s">
        <v>761</v>
      </c>
      <c r="V33" s="548"/>
      <c r="W33" s="550"/>
      <c r="X33" s="548"/>
      <c r="Y33" s="548" t="s">
        <v>1158</v>
      </c>
      <c r="Z33" s="548"/>
      <c r="AA33" s="551">
        <v>5557.22</v>
      </c>
      <c r="AB33" s="548"/>
      <c r="AC33" s="551"/>
      <c r="AD33" s="548"/>
      <c r="AE33" s="551">
        <v>-5557.22</v>
      </c>
      <c r="AF33"/>
      <c r="AG33"/>
      <c r="AH33"/>
      <c r="AI33"/>
    </row>
    <row r="34" spans="1:35">
      <c r="A34" s="548"/>
      <c r="B34" s="548"/>
      <c r="C34" s="548"/>
      <c r="D34" s="548"/>
      <c r="E34" s="548"/>
      <c r="F34" s="548"/>
      <c r="G34" s="548"/>
      <c r="H34" s="548"/>
      <c r="I34" s="548" t="s">
        <v>1156</v>
      </c>
      <c r="J34" s="548"/>
      <c r="K34" s="549">
        <v>41697</v>
      </c>
      <c r="L34" s="548"/>
      <c r="M34" s="548" t="s">
        <v>1185</v>
      </c>
      <c r="N34" s="548"/>
      <c r="O34" s="548" t="s">
        <v>756</v>
      </c>
      <c r="P34" s="548"/>
      <c r="Q34" s="548" t="s">
        <v>1164</v>
      </c>
      <c r="R34" s="548"/>
      <c r="S34" s="548" t="s">
        <v>1163</v>
      </c>
      <c r="T34" s="548"/>
      <c r="U34" s="548" t="s">
        <v>761</v>
      </c>
      <c r="V34" s="548"/>
      <c r="W34" s="550"/>
      <c r="X34" s="548"/>
      <c r="Y34" s="548" t="s">
        <v>1158</v>
      </c>
      <c r="Z34" s="548"/>
      <c r="AA34" s="551">
        <v>5746.82</v>
      </c>
      <c r="AB34" s="548"/>
      <c r="AC34" s="551"/>
      <c r="AD34" s="548"/>
      <c r="AE34" s="551">
        <v>-11304.04</v>
      </c>
      <c r="AF34"/>
      <c r="AG34"/>
      <c r="AH34"/>
      <c r="AI34"/>
    </row>
    <row r="35" spans="1:35">
      <c r="A35" s="548"/>
      <c r="B35" s="548"/>
      <c r="C35" s="548"/>
      <c r="D35" s="548"/>
      <c r="E35" s="548"/>
      <c r="F35" s="548"/>
      <c r="G35" s="548"/>
      <c r="H35" s="548"/>
      <c r="I35" s="548" t="s">
        <v>1156</v>
      </c>
      <c r="J35" s="548"/>
      <c r="K35" s="549">
        <v>41723</v>
      </c>
      <c r="L35" s="548"/>
      <c r="M35" s="548" t="s">
        <v>1186</v>
      </c>
      <c r="N35" s="548"/>
      <c r="O35" s="548" t="s">
        <v>756</v>
      </c>
      <c r="P35" s="548"/>
      <c r="Q35" s="548" t="s">
        <v>1164</v>
      </c>
      <c r="R35" s="548"/>
      <c r="S35" s="548" t="s">
        <v>1163</v>
      </c>
      <c r="T35" s="548"/>
      <c r="U35" s="548" t="s">
        <v>761</v>
      </c>
      <c r="V35" s="548"/>
      <c r="W35" s="550"/>
      <c r="X35" s="548"/>
      <c r="Y35" s="548" t="s">
        <v>1158</v>
      </c>
      <c r="Z35" s="548"/>
      <c r="AA35" s="551">
        <v>4867.51</v>
      </c>
      <c r="AB35" s="548"/>
      <c r="AC35" s="551"/>
      <c r="AD35" s="548"/>
      <c r="AE35" s="551">
        <v>-16171.55</v>
      </c>
      <c r="AF35"/>
      <c r="AG35"/>
      <c r="AH35"/>
      <c r="AI35"/>
    </row>
    <row r="36" spans="1:35">
      <c r="A36" s="548"/>
      <c r="B36" s="548"/>
      <c r="C36" s="548"/>
      <c r="D36" s="548"/>
      <c r="E36" s="548"/>
      <c r="F36" s="548"/>
      <c r="G36" s="548"/>
      <c r="H36" s="548"/>
      <c r="I36" s="548" t="s">
        <v>1156</v>
      </c>
      <c r="J36" s="548"/>
      <c r="K36" s="549">
        <v>41757</v>
      </c>
      <c r="L36" s="548"/>
      <c r="M36" s="548" t="s">
        <v>1187</v>
      </c>
      <c r="N36" s="548"/>
      <c r="O36" s="548" t="s">
        <v>756</v>
      </c>
      <c r="P36" s="548"/>
      <c r="Q36" s="548" t="s">
        <v>1164</v>
      </c>
      <c r="R36" s="548"/>
      <c r="S36" s="548" t="s">
        <v>1163</v>
      </c>
      <c r="T36" s="548"/>
      <c r="U36" s="548" t="s">
        <v>761</v>
      </c>
      <c r="V36" s="548"/>
      <c r="W36" s="550"/>
      <c r="X36" s="548"/>
      <c r="Y36" s="548" t="s">
        <v>1158</v>
      </c>
      <c r="Z36" s="548"/>
      <c r="AA36" s="551">
        <v>5299.69</v>
      </c>
      <c r="AB36" s="548"/>
      <c r="AC36" s="551"/>
      <c r="AD36" s="548"/>
      <c r="AE36" s="551">
        <v>-21471.24</v>
      </c>
      <c r="AF36"/>
      <c r="AG36"/>
      <c r="AH36"/>
      <c r="AI36"/>
    </row>
    <row r="37" spans="1:35">
      <c r="A37" s="548"/>
      <c r="B37" s="548"/>
      <c r="C37" s="548"/>
      <c r="D37" s="548"/>
      <c r="E37" s="548"/>
      <c r="F37" s="548"/>
      <c r="G37" s="548"/>
      <c r="H37" s="548"/>
      <c r="I37" s="548" t="s">
        <v>1156</v>
      </c>
      <c r="J37" s="548"/>
      <c r="K37" s="549">
        <v>41787</v>
      </c>
      <c r="L37" s="548"/>
      <c r="M37" s="548" t="s">
        <v>1188</v>
      </c>
      <c r="N37" s="548"/>
      <c r="O37" s="548" t="s">
        <v>756</v>
      </c>
      <c r="P37" s="548"/>
      <c r="Q37" s="548" t="s">
        <v>1164</v>
      </c>
      <c r="R37" s="548"/>
      <c r="S37" s="548" t="s">
        <v>1163</v>
      </c>
      <c r="T37" s="548"/>
      <c r="U37" s="548" t="s">
        <v>761</v>
      </c>
      <c r="V37" s="548"/>
      <c r="W37" s="550"/>
      <c r="X37" s="548"/>
      <c r="Y37" s="548" t="s">
        <v>1158</v>
      </c>
      <c r="Z37" s="548"/>
      <c r="AA37" s="551">
        <v>4508.3999999999996</v>
      </c>
      <c r="AB37" s="548"/>
      <c r="AC37" s="551"/>
      <c r="AD37" s="548"/>
      <c r="AE37" s="551">
        <v>-25979.64</v>
      </c>
      <c r="AF37"/>
      <c r="AG37"/>
      <c r="AH37"/>
      <c r="AI37"/>
    </row>
    <row r="38" spans="1:35">
      <c r="A38" s="548"/>
      <c r="B38" s="548"/>
      <c r="C38" s="548"/>
      <c r="D38" s="548"/>
      <c r="E38" s="548"/>
      <c r="F38" s="548"/>
      <c r="G38" s="548"/>
      <c r="H38" s="548"/>
      <c r="I38" s="548" t="s">
        <v>1156</v>
      </c>
      <c r="J38" s="548"/>
      <c r="K38" s="549">
        <v>41815</v>
      </c>
      <c r="L38" s="548"/>
      <c r="M38" s="548" t="s">
        <v>1189</v>
      </c>
      <c r="N38" s="548"/>
      <c r="O38" s="548" t="s">
        <v>756</v>
      </c>
      <c r="P38" s="548"/>
      <c r="Q38" s="548" t="s">
        <v>1164</v>
      </c>
      <c r="R38" s="548"/>
      <c r="S38" s="548" t="s">
        <v>1163</v>
      </c>
      <c r="T38" s="548"/>
      <c r="U38" s="548" t="s">
        <v>761</v>
      </c>
      <c r="V38" s="548"/>
      <c r="W38" s="550"/>
      <c r="X38" s="548"/>
      <c r="Y38" s="548" t="s">
        <v>1158</v>
      </c>
      <c r="Z38" s="548"/>
      <c r="AA38" s="551">
        <v>5405.01</v>
      </c>
      <c r="AB38" s="548"/>
      <c r="AC38" s="551"/>
      <c r="AD38" s="548"/>
      <c r="AE38" s="551">
        <v>-31384.65</v>
      </c>
      <c r="AF38"/>
      <c r="AG38"/>
      <c r="AH38"/>
      <c r="AI38"/>
    </row>
    <row r="39" spans="1:35">
      <c r="A39" s="548"/>
      <c r="B39" s="548"/>
      <c r="C39" s="548"/>
      <c r="D39" s="548"/>
      <c r="E39" s="548"/>
      <c r="F39" s="548"/>
      <c r="G39" s="548"/>
      <c r="H39" s="548"/>
      <c r="I39" s="548" t="s">
        <v>1156</v>
      </c>
      <c r="J39" s="548"/>
      <c r="K39" s="549">
        <v>41849</v>
      </c>
      <c r="L39" s="548"/>
      <c r="M39" s="548" t="s">
        <v>1190</v>
      </c>
      <c r="N39" s="548"/>
      <c r="O39" s="548" t="s">
        <v>756</v>
      </c>
      <c r="P39" s="548"/>
      <c r="Q39" s="548" t="s">
        <v>1164</v>
      </c>
      <c r="R39" s="548"/>
      <c r="S39" s="548" t="s">
        <v>1163</v>
      </c>
      <c r="T39" s="548"/>
      <c r="U39" s="548" t="s">
        <v>761</v>
      </c>
      <c r="V39" s="548"/>
      <c r="W39" s="550"/>
      <c r="X39" s="548"/>
      <c r="Y39" s="548" t="s">
        <v>1158</v>
      </c>
      <c r="Z39" s="548"/>
      <c r="AA39" s="551">
        <v>3414.85</v>
      </c>
      <c r="AB39" s="548"/>
      <c r="AC39" s="551"/>
      <c r="AD39" s="548"/>
      <c r="AE39" s="551">
        <v>-34799.5</v>
      </c>
      <c r="AF39"/>
      <c r="AG39"/>
      <c r="AH39"/>
      <c r="AI39"/>
    </row>
    <row r="40" spans="1:35">
      <c r="A40" s="548"/>
      <c r="B40" s="548"/>
      <c r="C40" s="548"/>
      <c r="D40" s="548"/>
      <c r="E40" s="548"/>
      <c r="F40" s="548"/>
      <c r="G40" s="548"/>
      <c r="H40" s="548"/>
      <c r="I40" s="548" t="s">
        <v>1156</v>
      </c>
      <c r="J40" s="548"/>
      <c r="K40" s="549">
        <v>41873</v>
      </c>
      <c r="L40" s="548"/>
      <c r="M40" s="548" t="s">
        <v>1191</v>
      </c>
      <c r="N40" s="548"/>
      <c r="O40" s="548" t="s">
        <v>756</v>
      </c>
      <c r="P40" s="548"/>
      <c r="Q40" s="548" t="s">
        <v>1164</v>
      </c>
      <c r="R40" s="548"/>
      <c r="S40" s="548" t="s">
        <v>1163</v>
      </c>
      <c r="T40" s="548"/>
      <c r="U40" s="548" t="s">
        <v>761</v>
      </c>
      <c r="V40" s="548"/>
      <c r="W40" s="550"/>
      <c r="X40" s="548"/>
      <c r="Y40" s="548" t="s">
        <v>1158</v>
      </c>
      <c r="Z40" s="548"/>
      <c r="AA40" s="551">
        <v>3839.36</v>
      </c>
      <c r="AB40" s="548"/>
      <c r="AC40" s="551"/>
      <c r="AD40" s="548"/>
      <c r="AE40" s="551">
        <v>-38638.86</v>
      </c>
      <c r="AF40"/>
      <c r="AG40"/>
      <c r="AH40"/>
      <c r="AI40"/>
    </row>
    <row r="41" spans="1:35">
      <c r="A41" s="548"/>
      <c r="B41" s="548"/>
      <c r="C41" s="548"/>
      <c r="D41" s="548"/>
      <c r="E41" s="548"/>
      <c r="F41" s="548"/>
      <c r="G41" s="548"/>
      <c r="H41" s="548"/>
      <c r="I41" s="548" t="s">
        <v>1156</v>
      </c>
      <c r="J41" s="548"/>
      <c r="K41" s="549">
        <v>41907</v>
      </c>
      <c r="L41" s="548"/>
      <c r="M41" s="548" t="s">
        <v>1192</v>
      </c>
      <c r="N41" s="548"/>
      <c r="O41" s="548" t="s">
        <v>756</v>
      </c>
      <c r="P41" s="548"/>
      <c r="Q41" s="548" t="s">
        <v>1164</v>
      </c>
      <c r="R41" s="548"/>
      <c r="S41" s="548" t="s">
        <v>1163</v>
      </c>
      <c r="T41" s="548"/>
      <c r="U41" s="548" t="s">
        <v>761</v>
      </c>
      <c r="V41" s="548"/>
      <c r="W41" s="550"/>
      <c r="X41" s="548"/>
      <c r="Y41" s="548" t="s">
        <v>1158</v>
      </c>
      <c r="Z41" s="548"/>
      <c r="AA41" s="551">
        <v>3782.27</v>
      </c>
      <c r="AB41" s="548"/>
      <c r="AC41" s="551"/>
      <c r="AD41" s="548"/>
      <c r="AE41" s="551">
        <v>-42421.13</v>
      </c>
      <c r="AF41"/>
      <c r="AG41"/>
      <c r="AH41"/>
      <c r="AI41"/>
    </row>
    <row r="42" spans="1:35">
      <c r="A42" s="548"/>
      <c r="B42" s="548"/>
      <c r="C42" s="548"/>
      <c r="D42" s="548"/>
      <c r="E42" s="548"/>
      <c r="F42" s="548"/>
      <c r="G42" s="548"/>
      <c r="H42" s="548"/>
      <c r="I42" s="548" t="s">
        <v>1156</v>
      </c>
      <c r="J42" s="548"/>
      <c r="K42" s="549">
        <v>41936</v>
      </c>
      <c r="L42" s="548"/>
      <c r="M42" s="548" t="s">
        <v>1193</v>
      </c>
      <c r="N42" s="548"/>
      <c r="O42" s="548" t="s">
        <v>756</v>
      </c>
      <c r="P42" s="548"/>
      <c r="Q42" s="548" t="s">
        <v>1164</v>
      </c>
      <c r="R42" s="548"/>
      <c r="S42" s="548" t="s">
        <v>1163</v>
      </c>
      <c r="T42" s="548"/>
      <c r="U42" s="548" t="s">
        <v>761</v>
      </c>
      <c r="V42" s="548"/>
      <c r="W42" s="550"/>
      <c r="X42" s="548"/>
      <c r="Y42" s="548" t="s">
        <v>1158</v>
      </c>
      <c r="Z42" s="548"/>
      <c r="AA42" s="551">
        <v>3642.56</v>
      </c>
      <c r="AB42" s="548"/>
      <c r="AC42" s="551"/>
      <c r="AD42" s="548"/>
      <c r="AE42" s="551">
        <v>-46063.69</v>
      </c>
      <c r="AF42"/>
      <c r="AG42"/>
      <c r="AH42"/>
      <c r="AI42"/>
    </row>
    <row r="43" spans="1:35">
      <c r="A43" s="548"/>
      <c r="B43" s="548"/>
      <c r="C43" s="548"/>
      <c r="D43" s="548"/>
      <c r="E43" s="548"/>
      <c r="F43" s="548"/>
      <c r="G43" s="548"/>
      <c r="H43" s="548"/>
      <c r="I43" s="548" t="s">
        <v>1156</v>
      </c>
      <c r="J43" s="548"/>
      <c r="K43" s="549">
        <v>41969</v>
      </c>
      <c r="L43" s="548"/>
      <c r="M43" s="548" t="s">
        <v>1194</v>
      </c>
      <c r="N43" s="548"/>
      <c r="O43" s="548" t="s">
        <v>756</v>
      </c>
      <c r="P43" s="548"/>
      <c r="Q43" s="548" t="s">
        <v>1164</v>
      </c>
      <c r="R43" s="548"/>
      <c r="S43" s="548" t="s">
        <v>1163</v>
      </c>
      <c r="T43" s="548"/>
      <c r="U43" s="548" t="s">
        <v>761</v>
      </c>
      <c r="V43" s="548"/>
      <c r="W43" s="550"/>
      <c r="X43" s="548"/>
      <c r="Y43" s="548" t="s">
        <v>1158</v>
      </c>
      <c r="Z43" s="548"/>
      <c r="AA43" s="551">
        <v>2956.51</v>
      </c>
      <c r="AB43" s="548"/>
      <c r="AC43" s="551"/>
      <c r="AD43" s="548"/>
      <c r="AE43" s="551">
        <v>-49020.2</v>
      </c>
      <c r="AF43"/>
      <c r="AG43"/>
      <c r="AH43"/>
      <c r="AI43"/>
    </row>
    <row r="44" spans="1:35" ht="13.5" thickBot="1">
      <c r="A44" s="548"/>
      <c r="B44" s="548"/>
      <c r="C44" s="548"/>
      <c r="D44" s="548"/>
      <c r="E44" s="548"/>
      <c r="F44" s="548"/>
      <c r="G44" s="548"/>
      <c r="H44" s="548"/>
      <c r="I44" s="548" t="s">
        <v>1156</v>
      </c>
      <c r="J44" s="548"/>
      <c r="K44" s="549">
        <v>41995</v>
      </c>
      <c r="L44" s="548"/>
      <c r="M44" s="548" t="s">
        <v>1195</v>
      </c>
      <c r="N44" s="548"/>
      <c r="O44" s="548" t="s">
        <v>756</v>
      </c>
      <c r="P44" s="548"/>
      <c r="Q44" s="548" t="s">
        <v>1164</v>
      </c>
      <c r="R44" s="548"/>
      <c r="S44" s="548" t="s">
        <v>1163</v>
      </c>
      <c r="T44" s="548"/>
      <c r="U44" s="548" t="s">
        <v>761</v>
      </c>
      <c r="V44" s="548"/>
      <c r="W44" s="550"/>
      <c r="X44" s="548"/>
      <c r="Y44" s="548" t="s">
        <v>1158</v>
      </c>
      <c r="Z44" s="548"/>
      <c r="AA44" s="553">
        <v>3399.09</v>
      </c>
      <c r="AB44" s="548"/>
      <c r="AC44" s="553"/>
      <c r="AD44" s="548"/>
      <c r="AE44" s="553">
        <v>-52419.29</v>
      </c>
      <c r="AF44"/>
      <c r="AG44"/>
      <c r="AH44"/>
      <c r="AI44"/>
    </row>
    <row r="45" spans="1:35" ht="13.5" thickBot="1">
      <c r="A45" s="548"/>
      <c r="B45" s="548"/>
      <c r="C45" s="548"/>
      <c r="D45" s="548" t="s">
        <v>1165</v>
      </c>
      <c r="E45" s="548"/>
      <c r="F45" s="548"/>
      <c r="G45" s="548"/>
      <c r="H45" s="548"/>
      <c r="I45" s="548"/>
      <c r="J45" s="548"/>
      <c r="K45" s="549"/>
      <c r="L45" s="548"/>
      <c r="M45" s="548"/>
      <c r="N45" s="548"/>
      <c r="O45" s="548"/>
      <c r="P45" s="548"/>
      <c r="Q45" s="548"/>
      <c r="R45" s="548"/>
      <c r="S45" s="548"/>
      <c r="T45" s="548"/>
      <c r="U45" s="548"/>
      <c r="V45" s="548"/>
      <c r="W45" s="548"/>
      <c r="X45" s="548"/>
      <c r="Y45" s="548"/>
      <c r="Z45" s="548"/>
      <c r="AA45" s="554">
        <f>ROUND(SUM(AA32:AA44),5)</f>
        <v>52419.29</v>
      </c>
      <c r="AB45" s="548"/>
      <c r="AC45" s="554">
        <f>ROUND(SUM(AC32:AC44),5)</f>
        <v>0</v>
      </c>
      <c r="AD45" s="548"/>
      <c r="AE45" s="554">
        <f>AE44</f>
        <v>-52419.29</v>
      </c>
      <c r="AF45"/>
      <c r="AG45"/>
      <c r="AH45"/>
      <c r="AI45"/>
    </row>
    <row r="46" spans="1:35" ht="13.5" thickBot="1">
      <c r="A46" s="548"/>
      <c r="B46" s="548"/>
      <c r="C46" s="548" t="s">
        <v>1166</v>
      </c>
      <c r="D46" s="548"/>
      <c r="E46" s="548"/>
      <c r="F46" s="548"/>
      <c r="G46" s="548"/>
      <c r="H46" s="548"/>
      <c r="I46" s="548"/>
      <c r="J46" s="548"/>
      <c r="K46" s="549"/>
      <c r="L46" s="548"/>
      <c r="M46" s="548"/>
      <c r="N46" s="548"/>
      <c r="O46" s="548"/>
      <c r="P46" s="548"/>
      <c r="Q46" s="548"/>
      <c r="R46" s="548"/>
      <c r="S46" s="548"/>
      <c r="T46" s="548"/>
      <c r="U46" s="548"/>
      <c r="V46" s="548"/>
      <c r="W46" s="548"/>
      <c r="X46" s="548"/>
      <c r="Y46" s="548"/>
      <c r="Z46" s="548"/>
      <c r="AA46" s="555">
        <f>ROUND(AA17+AA31+AA45,5)</f>
        <v>53391.8</v>
      </c>
      <c r="AB46" s="548"/>
      <c r="AC46" s="555">
        <f>ROUND(AC17+AC31+AC45,5)</f>
        <v>0</v>
      </c>
      <c r="AD46" s="548"/>
      <c r="AE46" s="555">
        <f>ROUND(AE17+AE31+AE45,5)</f>
        <v>-53391.8</v>
      </c>
      <c r="AF46"/>
      <c r="AG46"/>
      <c r="AH46"/>
      <c r="AI46"/>
    </row>
    <row r="47" spans="1:35">
      <c r="A47" s="548"/>
      <c r="B47" s="548" t="s">
        <v>1167</v>
      </c>
      <c r="C47" s="548"/>
      <c r="D47" s="548"/>
      <c r="E47" s="548"/>
      <c r="F47" s="548"/>
      <c r="G47" s="548"/>
      <c r="H47" s="548"/>
      <c r="I47" s="548"/>
      <c r="J47" s="548"/>
      <c r="K47" s="549"/>
      <c r="L47" s="548"/>
      <c r="M47" s="548"/>
      <c r="N47" s="548"/>
      <c r="O47" s="548"/>
      <c r="P47" s="548"/>
      <c r="Q47" s="548"/>
      <c r="R47" s="548"/>
      <c r="S47" s="548"/>
      <c r="T47" s="548"/>
      <c r="U47" s="548"/>
      <c r="V47" s="548"/>
      <c r="W47" s="548"/>
      <c r="X47" s="548"/>
      <c r="Y47" s="548"/>
      <c r="Z47" s="548"/>
      <c r="AA47" s="551">
        <f>AA46</f>
        <v>53391.8</v>
      </c>
      <c r="AB47" s="548"/>
      <c r="AC47" s="551">
        <f>AC46</f>
        <v>0</v>
      </c>
      <c r="AD47" s="548"/>
      <c r="AE47" s="551">
        <f>AE46</f>
        <v>-53391.8</v>
      </c>
      <c r="AF47"/>
      <c r="AG47"/>
      <c r="AH47"/>
      <c r="AI47"/>
    </row>
    <row r="48" spans="1:35">
      <c r="A48" s="545"/>
      <c r="B48" s="545" t="s">
        <v>1168</v>
      </c>
      <c r="C48" s="545"/>
      <c r="D48" s="545"/>
      <c r="E48" s="545"/>
      <c r="F48" s="545"/>
      <c r="G48" s="545"/>
      <c r="H48" s="545"/>
      <c r="I48" s="545"/>
      <c r="J48" s="545"/>
      <c r="K48" s="546"/>
      <c r="L48" s="545"/>
      <c r="M48" s="545"/>
      <c r="N48" s="545"/>
      <c r="O48" s="545"/>
      <c r="P48" s="545"/>
      <c r="Q48" s="545"/>
      <c r="R48" s="545"/>
      <c r="S48" s="545"/>
      <c r="T48" s="545"/>
      <c r="U48" s="545"/>
      <c r="V48" s="545"/>
      <c r="W48" s="545"/>
      <c r="X48" s="545"/>
      <c r="Y48" s="545"/>
      <c r="Z48" s="545"/>
      <c r="AA48" s="547"/>
      <c r="AB48" s="545"/>
      <c r="AC48" s="547"/>
      <c r="AD48" s="545"/>
      <c r="AE48" s="547"/>
      <c r="AF48"/>
      <c r="AG48"/>
      <c r="AH48"/>
      <c r="AI48"/>
    </row>
    <row r="49" spans="1:35">
      <c r="A49" s="545"/>
      <c r="B49" s="545"/>
      <c r="C49" s="545" t="s">
        <v>1169</v>
      </c>
      <c r="D49" s="545"/>
      <c r="E49" s="545"/>
      <c r="F49" s="545"/>
      <c r="G49" s="545"/>
      <c r="H49" s="545"/>
      <c r="I49" s="545"/>
      <c r="J49" s="545"/>
      <c r="K49" s="546"/>
      <c r="L49" s="545"/>
      <c r="M49" s="545"/>
      <c r="N49" s="545"/>
      <c r="O49" s="545"/>
      <c r="P49" s="545"/>
      <c r="Q49" s="545"/>
      <c r="R49" s="545"/>
      <c r="S49" s="545"/>
      <c r="T49" s="545"/>
      <c r="U49" s="545"/>
      <c r="V49" s="545"/>
      <c r="W49" s="545"/>
      <c r="X49" s="545"/>
      <c r="Y49" s="545"/>
      <c r="Z49" s="545"/>
      <c r="AA49" s="547"/>
      <c r="AB49" s="545"/>
      <c r="AC49" s="547"/>
      <c r="AD49" s="545"/>
      <c r="AE49" s="547"/>
      <c r="AF49"/>
      <c r="AG49"/>
      <c r="AH49"/>
      <c r="AI49"/>
    </row>
    <row r="50" spans="1:35">
      <c r="A50" s="545"/>
      <c r="B50" s="545"/>
      <c r="C50" s="545"/>
      <c r="D50" s="545" t="s">
        <v>1170</v>
      </c>
      <c r="E50" s="545"/>
      <c r="F50" s="545"/>
      <c r="G50" s="545"/>
      <c r="H50" s="545"/>
      <c r="I50" s="545"/>
      <c r="J50" s="545"/>
      <c r="K50" s="546"/>
      <c r="L50" s="545"/>
      <c r="M50" s="545"/>
      <c r="N50" s="545"/>
      <c r="O50" s="545"/>
      <c r="P50" s="545"/>
      <c r="Q50" s="545"/>
      <c r="R50" s="545"/>
      <c r="S50" s="545"/>
      <c r="T50" s="545"/>
      <c r="U50" s="545"/>
      <c r="V50" s="545"/>
      <c r="W50" s="545"/>
      <c r="X50" s="545"/>
      <c r="Y50" s="545"/>
      <c r="Z50" s="545"/>
      <c r="AA50" s="547"/>
      <c r="AB50" s="545"/>
      <c r="AC50" s="547"/>
      <c r="AD50" s="545"/>
      <c r="AE50" s="547"/>
      <c r="AF50"/>
      <c r="AG50"/>
      <c r="AH50"/>
      <c r="AI50"/>
    </row>
    <row r="51" spans="1:35">
      <c r="A51" s="545"/>
      <c r="B51" s="545"/>
      <c r="C51" s="545"/>
      <c r="D51" s="545"/>
      <c r="E51" s="545" t="s">
        <v>1171</v>
      </c>
      <c r="F51" s="545"/>
      <c r="G51" s="545"/>
      <c r="H51" s="545"/>
      <c r="I51" s="545"/>
      <c r="J51" s="545"/>
      <c r="K51" s="546"/>
      <c r="L51" s="545"/>
      <c r="M51" s="545"/>
      <c r="N51" s="545"/>
      <c r="O51" s="545"/>
      <c r="P51" s="545"/>
      <c r="Q51" s="545"/>
      <c r="R51" s="545"/>
      <c r="S51" s="545"/>
      <c r="T51" s="545"/>
      <c r="U51" s="545"/>
      <c r="V51" s="545"/>
      <c r="W51" s="545"/>
      <c r="X51" s="545"/>
      <c r="Y51" s="545"/>
      <c r="Z51" s="545"/>
      <c r="AA51" s="547"/>
      <c r="AB51" s="545"/>
      <c r="AC51" s="547"/>
      <c r="AD51" s="545"/>
      <c r="AE51" s="547"/>
      <c r="AF51"/>
      <c r="AG51"/>
      <c r="AH51"/>
      <c r="AI51"/>
    </row>
    <row r="52" spans="1:35">
      <c r="A52" s="545"/>
      <c r="B52" s="545"/>
      <c r="C52" s="545"/>
      <c r="D52" s="545"/>
      <c r="E52" s="545"/>
      <c r="F52" s="545" t="s">
        <v>1172</v>
      </c>
      <c r="G52" s="545"/>
      <c r="H52" s="545"/>
      <c r="I52" s="545"/>
      <c r="J52" s="545"/>
      <c r="K52" s="546"/>
      <c r="L52" s="545"/>
      <c r="M52" s="545"/>
      <c r="N52" s="545"/>
      <c r="O52" s="545"/>
      <c r="P52" s="545"/>
      <c r="Q52" s="545"/>
      <c r="R52" s="545"/>
      <c r="S52" s="545"/>
      <c r="T52" s="545"/>
      <c r="U52" s="545"/>
      <c r="V52" s="545"/>
      <c r="W52" s="545"/>
      <c r="X52" s="545"/>
      <c r="Y52" s="545"/>
      <c r="Z52" s="545"/>
      <c r="AA52" s="547"/>
      <c r="AB52" s="545"/>
      <c r="AC52" s="547"/>
      <c r="AD52" s="545"/>
      <c r="AE52" s="547"/>
      <c r="AF52"/>
      <c r="AG52"/>
      <c r="AH52"/>
      <c r="AI52"/>
    </row>
    <row r="53" spans="1:35">
      <c r="A53" s="548"/>
      <c r="B53" s="548"/>
      <c r="C53" s="548"/>
      <c r="D53" s="548"/>
      <c r="E53" s="548"/>
      <c r="F53" s="548"/>
      <c r="G53" s="548"/>
      <c r="H53" s="548"/>
      <c r="I53" s="548" t="s">
        <v>1156</v>
      </c>
      <c r="J53" s="548"/>
      <c r="K53" s="549">
        <v>41666</v>
      </c>
      <c r="L53" s="548"/>
      <c r="M53" s="548" t="s">
        <v>1184</v>
      </c>
      <c r="N53" s="548"/>
      <c r="O53" s="548" t="s">
        <v>756</v>
      </c>
      <c r="P53" s="548"/>
      <c r="Q53" s="548" t="s">
        <v>1173</v>
      </c>
      <c r="R53" s="548"/>
      <c r="S53" s="548" t="s">
        <v>1172</v>
      </c>
      <c r="T53" s="548"/>
      <c r="U53" s="548" t="s">
        <v>761</v>
      </c>
      <c r="V53" s="548"/>
      <c r="W53" s="550"/>
      <c r="X53" s="548"/>
      <c r="Y53" s="548" t="s">
        <v>1158</v>
      </c>
      <c r="Z53" s="548"/>
      <c r="AA53" s="551"/>
      <c r="AB53" s="548"/>
      <c r="AC53" s="551">
        <v>170.38</v>
      </c>
      <c r="AD53" s="548"/>
      <c r="AE53" s="551">
        <v>170.38</v>
      </c>
      <c r="AF53" s="384" t="s">
        <v>895</v>
      </c>
      <c r="AH53"/>
      <c r="AI53"/>
    </row>
    <row r="54" spans="1:35">
      <c r="A54" s="548"/>
      <c r="B54" s="548"/>
      <c r="C54" s="548"/>
      <c r="D54" s="548"/>
      <c r="E54" s="548"/>
      <c r="F54" s="548"/>
      <c r="G54" s="548"/>
      <c r="H54" s="548"/>
      <c r="I54" s="548" t="s">
        <v>1156</v>
      </c>
      <c r="J54" s="548"/>
      <c r="K54" s="549">
        <v>41697</v>
      </c>
      <c r="L54" s="548"/>
      <c r="M54" s="548" t="s">
        <v>1185</v>
      </c>
      <c r="N54" s="548"/>
      <c r="O54" s="548" t="s">
        <v>756</v>
      </c>
      <c r="P54" s="548"/>
      <c r="Q54" s="548" t="s">
        <v>1173</v>
      </c>
      <c r="R54" s="548"/>
      <c r="S54" s="548" t="s">
        <v>1172</v>
      </c>
      <c r="T54" s="548"/>
      <c r="U54" s="548" t="s">
        <v>761</v>
      </c>
      <c r="V54" s="548"/>
      <c r="W54" s="550"/>
      <c r="X54" s="548"/>
      <c r="Y54" s="548" t="s">
        <v>1158</v>
      </c>
      <c r="Z54" s="548"/>
      <c r="AA54" s="551"/>
      <c r="AB54" s="548"/>
      <c r="AC54" s="551">
        <v>175.65</v>
      </c>
      <c r="AD54" s="548"/>
      <c r="AE54" s="551">
        <v>346.03</v>
      </c>
      <c r="AF54" s="384" t="s">
        <v>895</v>
      </c>
      <c r="AH54"/>
      <c r="AI54"/>
    </row>
    <row r="55" spans="1:35">
      <c r="A55" s="548"/>
      <c r="B55" s="548"/>
      <c r="C55" s="548"/>
      <c r="D55" s="548"/>
      <c r="E55" s="548"/>
      <c r="F55" s="548"/>
      <c r="G55" s="548"/>
      <c r="H55" s="548"/>
      <c r="I55" s="548" t="s">
        <v>1156</v>
      </c>
      <c r="J55" s="548"/>
      <c r="K55" s="549">
        <v>41723</v>
      </c>
      <c r="L55" s="548"/>
      <c r="M55" s="548" t="s">
        <v>1186</v>
      </c>
      <c r="N55" s="548"/>
      <c r="O55" s="548" t="s">
        <v>756</v>
      </c>
      <c r="P55" s="548"/>
      <c r="Q55" s="548" t="s">
        <v>1173</v>
      </c>
      <c r="R55" s="548"/>
      <c r="S55" s="548" t="s">
        <v>1172</v>
      </c>
      <c r="T55" s="548"/>
      <c r="U55" s="548" t="s">
        <v>761</v>
      </c>
      <c r="V55" s="548"/>
      <c r="W55" s="550"/>
      <c r="X55" s="548"/>
      <c r="Y55" s="548" t="s">
        <v>1158</v>
      </c>
      <c r="Z55" s="548"/>
      <c r="AA55" s="551"/>
      <c r="AB55" s="548"/>
      <c r="AC55" s="551">
        <v>148.94999999999999</v>
      </c>
      <c r="AD55" s="548"/>
      <c r="AE55" s="551">
        <v>494.98</v>
      </c>
      <c r="AF55" s="384" t="s">
        <v>895</v>
      </c>
      <c r="AH55"/>
      <c r="AI55"/>
    </row>
    <row r="56" spans="1:35">
      <c r="A56" s="548"/>
      <c r="B56" s="548"/>
      <c r="C56" s="548"/>
      <c r="D56" s="548"/>
      <c r="E56" s="548"/>
      <c r="F56" s="548"/>
      <c r="G56" s="548"/>
      <c r="H56" s="548"/>
      <c r="I56" s="548" t="s">
        <v>1156</v>
      </c>
      <c r="J56" s="548"/>
      <c r="K56" s="549">
        <v>41757</v>
      </c>
      <c r="L56" s="548"/>
      <c r="M56" s="548" t="s">
        <v>1187</v>
      </c>
      <c r="N56" s="548"/>
      <c r="O56" s="548" t="s">
        <v>756</v>
      </c>
      <c r="P56" s="548"/>
      <c r="Q56" s="548" t="s">
        <v>1173</v>
      </c>
      <c r="R56" s="548"/>
      <c r="S56" s="548" t="s">
        <v>1172</v>
      </c>
      <c r="T56" s="548"/>
      <c r="U56" s="548" t="s">
        <v>761</v>
      </c>
      <c r="V56" s="548"/>
      <c r="W56" s="550"/>
      <c r="X56" s="548"/>
      <c r="Y56" s="548" t="s">
        <v>1158</v>
      </c>
      <c r="Z56" s="548"/>
      <c r="AA56" s="551"/>
      <c r="AB56" s="548"/>
      <c r="AC56" s="551">
        <v>162.19999999999999</v>
      </c>
      <c r="AD56" s="548"/>
      <c r="AE56" s="551">
        <v>657.18</v>
      </c>
      <c r="AF56" s="384" t="s">
        <v>895</v>
      </c>
      <c r="AH56"/>
      <c r="AI56"/>
    </row>
    <row r="57" spans="1:35">
      <c r="A57" s="548"/>
      <c r="B57" s="548"/>
      <c r="C57" s="548"/>
      <c r="D57" s="548"/>
      <c r="E57" s="548"/>
      <c r="F57" s="548"/>
      <c r="G57" s="548"/>
      <c r="H57" s="548"/>
      <c r="I57" s="548" t="s">
        <v>1156</v>
      </c>
      <c r="J57" s="548"/>
      <c r="K57" s="549">
        <v>41787</v>
      </c>
      <c r="L57" s="548"/>
      <c r="M57" s="548" t="s">
        <v>1188</v>
      </c>
      <c r="N57" s="548"/>
      <c r="O57" s="548" t="s">
        <v>756</v>
      </c>
      <c r="P57" s="548"/>
      <c r="Q57" s="548" t="s">
        <v>1173</v>
      </c>
      <c r="R57" s="548"/>
      <c r="S57" s="548" t="s">
        <v>1172</v>
      </c>
      <c r="T57" s="548"/>
      <c r="U57" s="548" t="s">
        <v>761</v>
      </c>
      <c r="V57" s="548"/>
      <c r="W57" s="550"/>
      <c r="X57" s="548"/>
      <c r="Y57" s="548" t="s">
        <v>1158</v>
      </c>
      <c r="Z57" s="548"/>
      <c r="AA57" s="551"/>
      <c r="AB57" s="548"/>
      <c r="AC57" s="551">
        <v>138.03</v>
      </c>
      <c r="AD57" s="548"/>
      <c r="AE57" s="551">
        <v>795.21</v>
      </c>
      <c r="AF57" s="384" t="s">
        <v>895</v>
      </c>
      <c r="AH57"/>
      <c r="AI57"/>
    </row>
    <row r="58" spans="1:35">
      <c r="A58" s="548"/>
      <c r="B58" s="548"/>
      <c r="C58" s="548"/>
      <c r="D58" s="548"/>
      <c r="E58" s="548"/>
      <c r="F58" s="548"/>
      <c r="G58" s="548"/>
      <c r="H58" s="548"/>
      <c r="I58" s="548" t="s">
        <v>1156</v>
      </c>
      <c r="J58" s="548"/>
      <c r="K58" s="549">
        <v>41815</v>
      </c>
      <c r="L58" s="548"/>
      <c r="M58" s="548" t="s">
        <v>1189</v>
      </c>
      <c r="N58" s="548"/>
      <c r="O58" s="548" t="s">
        <v>756</v>
      </c>
      <c r="P58" s="548"/>
      <c r="Q58" s="548" t="s">
        <v>1173</v>
      </c>
      <c r="R58" s="548"/>
      <c r="S58" s="548" t="s">
        <v>1172</v>
      </c>
      <c r="T58" s="548"/>
      <c r="U58" s="548" t="s">
        <v>761</v>
      </c>
      <c r="V58" s="548"/>
      <c r="W58" s="550"/>
      <c r="X58" s="548"/>
      <c r="Y58" s="548" t="s">
        <v>1158</v>
      </c>
      <c r="Z58" s="548"/>
      <c r="AA58" s="551"/>
      <c r="AB58" s="548"/>
      <c r="AC58" s="551">
        <v>165.25</v>
      </c>
      <c r="AD58" s="548"/>
      <c r="AE58" s="551">
        <v>960.46</v>
      </c>
      <c r="AF58" s="384" t="s">
        <v>895</v>
      </c>
      <c r="AH58"/>
      <c r="AI58"/>
    </row>
    <row r="59" spans="1:35">
      <c r="A59" s="548"/>
      <c r="B59" s="548"/>
      <c r="C59" s="548"/>
      <c r="D59" s="548"/>
      <c r="E59" s="548"/>
      <c r="F59" s="548"/>
      <c r="G59" s="548"/>
      <c r="H59" s="548"/>
      <c r="I59" s="548" t="s">
        <v>1156</v>
      </c>
      <c r="J59" s="548"/>
      <c r="K59" s="549">
        <v>41849</v>
      </c>
      <c r="L59" s="548"/>
      <c r="M59" s="548" t="s">
        <v>1190</v>
      </c>
      <c r="N59" s="548"/>
      <c r="O59" s="548" t="s">
        <v>756</v>
      </c>
      <c r="P59" s="548"/>
      <c r="Q59" s="548" t="s">
        <v>1173</v>
      </c>
      <c r="R59" s="548"/>
      <c r="S59" s="548" t="s">
        <v>1172</v>
      </c>
      <c r="T59" s="548"/>
      <c r="U59" s="548" t="s">
        <v>761</v>
      </c>
      <c r="V59" s="548"/>
      <c r="W59" s="550"/>
      <c r="X59" s="548"/>
      <c r="Y59" s="548" t="s">
        <v>1158</v>
      </c>
      <c r="Z59" s="548"/>
      <c r="AA59" s="551"/>
      <c r="AB59" s="548"/>
      <c r="AC59" s="551">
        <v>104.13</v>
      </c>
      <c r="AD59" s="548"/>
      <c r="AE59" s="551">
        <v>1064.5899999999999</v>
      </c>
      <c r="AF59" s="384" t="s">
        <v>1791</v>
      </c>
      <c r="AH59" t="s">
        <v>1829</v>
      </c>
      <c r="AI59"/>
    </row>
    <row r="60" spans="1:35">
      <c r="A60" s="548"/>
      <c r="B60" s="548"/>
      <c r="C60" s="548"/>
      <c r="D60" s="548"/>
      <c r="E60" s="548"/>
      <c r="F60" s="548"/>
      <c r="G60" s="548"/>
      <c r="H60" s="548"/>
      <c r="I60" s="548" t="s">
        <v>1156</v>
      </c>
      <c r="J60" s="548"/>
      <c r="K60" s="549">
        <v>41873</v>
      </c>
      <c r="L60" s="548"/>
      <c r="M60" s="548" t="s">
        <v>1191</v>
      </c>
      <c r="N60" s="548"/>
      <c r="O60" s="548" t="s">
        <v>756</v>
      </c>
      <c r="P60" s="548"/>
      <c r="Q60" s="548" t="s">
        <v>1173</v>
      </c>
      <c r="R60" s="548"/>
      <c r="S60" s="548" t="s">
        <v>1172</v>
      </c>
      <c r="T60" s="548"/>
      <c r="U60" s="548" t="s">
        <v>761</v>
      </c>
      <c r="V60" s="548"/>
      <c r="W60" s="550"/>
      <c r="X60" s="548"/>
      <c r="Y60" s="548" t="s">
        <v>1158</v>
      </c>
      <c r="Z60" s="548"/>
      <c r="AA60" s="551"/>
      <c r="AB60" s="548"/>
      <c r="AC60" s="551">
        <v>116.92</v>
      </c>
      <c r="AD60" s="548"/>
      <c r="AE60" s="551">
        <v>1181.51</v>
      </c>
      <c r="AF60" s="384" t="s">
        <v>1791</v>
      </c>
      <c r="AH60" s="647" t="s">
        <v>1829</v>
      </c>
      <c r="AI60"/>
    </row>
    <row r="61" spans="1:35">
      <c r="A61" s="548"/>
      <c r="B61" s="548"/>
      <c r="C61" s="548"/>
      <c r="D61" s="548"/>
      <c r="E61" s="548"/>
      <c r="F61" s="548"/>
      <c r="G61" s="548"/>
      <c r="H61" s="548"/>
      <c r="I61" s="548" t="s">
        <v>1156</v>
      </c>
      <c r="J61" s="548"/>
      <c r="K61" s="549">
        <v>41907</v>
      </c>
      <c r="L61" s="548"/>
      <c r="M61" s="548" t="s">
        <v>1192</v>
      </c>
      <c r="N61" s="548"/>
      <c r="O61" s="548" t="s">
        <v>756</v>
      </c>
      <c r="P61" s="548"/>
      <c r="Q61" s="548" t="s">
        <v>1173</v>
      </c>
      <c r="R61" s="548"/>
      <c r="S61" s="548" t="s">
        <v>1172</v>
      </c>
      <c r="T61" s="548"/>
      <c r="U61" s="548" t="s">
        <v>761</v>
      </c>
      <c r="V61" s="548"/>
      <c r="W61" s="550"/>
      <c r="X61" s="548"/>
      <c r="Y61" s="548" t="s">
        <v>1158</v>
      </c>
      <c r="Z61" s="548"/>
      <c r="AA61" s="551"/>
      <c r="AB61" s="548"/>
      <c r="AC61" s="551">
        <v>115.27</v>
      </c>
      <c r="AD61" s="548"/>
      <c r="AE61" s="551">
        <v>1296.78</v>
      </c>
      <c r="AF61" s="384" t="s">
        <v>895</v>
      </c>
      <c r="AH61"/>
      <c r="AI61"/>
    </row>
    <row r="62" spans="1:35">
      <c r="A62" s="548"/>
      <c r="B62" s="548"/>
      <c r="C62" s="548"/>
      <c r="D62" s="548"/>
      <c r="E62" s="548"/>
      <c r="F62" s="548"/>
      <c r="G62" s="548"/>
      <c r="H62" s="548"/>
      <c r="I62" s="548" t="s">
        <v>1156</v>
      </c>
      <c r="J62" s="548"/>
      <c r="K62" s="549">
        <v>41936</v>
      </c>
      <c r="L62" s="548"/>
      <c r="M62" s="548" t="s">
        <v>1193</v>
      </c>
      <c r="N62" s="548"/>
      <c r="O62" s="548" t="s">
        <v>756</v>
      </c>
      <c r="P62" s="548"/>
      <c r="Q62" s="548" t="s">
        <v>1173</v>
      </c>
      <c r="R62" s="548"/>
      <c r="S62" s="548" t="s">
        <v>1172</v>
      </c>
      <c r="T62" s="548"/>
      <c r="U62" s="548" t="s">
        <v>761</v>
      </c>
      <c r="V62" s="548"/>
      <c r="W62" s="550"/>
      <c r="X62" s="548"/>
      <c r="Y62" s="548" t="s">
        <v>1158</v>
      </c>
      <c r="Z62" s="548"/>
      <c r="AA62" s="551"/>
      <c r="AB62" s="548"/>
      <c r="AC62" s="551">
        <v>110.92</v>
      </c>
      <c r="AD62" s="548"/>
      <c r="AE62" s="551">
        <v>1407.7</v>
      </c>
      <c r="AF62" s="384" t="s">
        <v>1791</v>
      </c>
      <c r="AH62" s="647" t="s">
        <v>1829</v>
      </c>
      <c r="AI62"/>
    </row>
    <row r="63" spans="1:35">
      <c r="A63" s="548"/>
      <c r="B63" s="548"/>
      <c r="C63" s="548"/>
      <c r="D63" s="548"/>
      <c r="E63" s="548"/>
      <c r="F63" s="548"/>
      <c r="G63" s="548"/>
      <c r="H63" s="548"/>
      <c r="I63" s="548" t="s">
        <v>1156</v>
      </c>
      <c r="J63" s="548"/>
      <c r="K63" s="549">
        <v>41969</v>
      </c>
      <c r="L63" s="548"/>
      <c r="M63" s="548" t="s">
        <v>1194</v>
      </c>
      <c r="N63" s="548"/>
      <c r="O63" s="548" t="s">
        <v>756</v>
      </c>
      <c r="P63" s="548"/>
      <c r="Q63" s="548" t="s">
        <v>1173</v>
      </c>
      <c r="R63" s="548"/>
      <c r="S63" s="548" t="s">
        <v>1172</v>
      </c>
      <c r="T63" s="548"/>
      <c r="U63" s="548" t="s">
        <v>761</v>
      </c>
      <c r="V63" s="548"/>
      <c r="W63" s="550"/>
      <c r="X63" s="548"/>
      <c r="Y63" s="548" t="s">
        <v>1158</v>
      </c>
      <c r="Z63" s="548"/>
      <c r="AA63" s="551"/>
      <c r="AB63" s="548"/>
      <c r="AC63" s="551">
        <v>90.38</v>
      </c>
      <c r="AD63" s="548"/>
      <c r="AE63" s="551">
        <v>1498.08</v>
      </c>
      <c r="AF63" s="384" t="s">
        <v>895</v>
      </c>
      <c r="AH63"/>
      <c r="AI63"/>
    </row>
    <row r="64" spans="1:35" ht="13.5" thickBot="1">
      <c r="A64" s="548"/>
      <c r="B64" s="548"/>
      <c r="C64" s="548"/>
      <c r="D64" s="548"/>
      <c r="E64" s="548"/>
      <c r="F64" s="548"/>
      <c r="G64" s="548"/>
      <c r="H64" s="548"/>
      <c r="I64" s="548" t="s">
        <v>1156</v>
      </c>
      <c r="J64" s="548"/>
      <c r="K64" s="549">
        <v>41995</v>
      </c>
      <c r="L64" s="548"/>
      <c r="M64" s="548" t="s">
        <v>1195</v>
      </c>
      <c r="N64" s="548"/>
      <c r="O64" s="548" t="s">
        <v>756</v>
      </c>
      <c r="P64" s="548"/>
      <c r="Q64" s="548" t="s">
        <v>1173</v>
      </c>
      <c r="R64" s="548"/>
      <c r="S64" s="548" t="s">
        <v>1172</v>
      </c>
      <c r="T64" s="548"/>
      <c r="U64" s="548" t="s">
        <v>761</v>
      </c>
      <c r="V64" s="548"/>
      <c r="W64" s="550"/>
      <c r="X64" s="548"/>
      <c r="Y64" s="548" t="s">
        <v>1158</v>
      </c>
      <c r="Z64" s="548"/>
      <c r="AA64" s="553"/>
      <c r="AB64" s="548"/>
      <c r="AC64" s="553">
        <v>103.68</v>
      </c>
      <c r="AD64" s="548"/>
      <c r="AE64" s="553">
        <v>1601.76</v>
      </c>
      <c r="AF64" s="384" t="s">
        <v>895</v>
      </c>
      <c r="AH64"/>
      <c r="AI64"/>
    </row>
    <row r="65" spans="1:35" ht="13.5" thickBot="1">
      <c r="A65" s="548"/>
      <c r="B65" s="548"/>
      <c r="C65" s="548"/>
      <c r="D65" s="548"/>
      <c r="E65" s="548"/>
      <c r="F65" s="548" t="s">
        <v>1174</v>
      </c>
      <c r="G65" s="548"/>
      <c r="H65" s="548"/>
      <c r="I65" s="548"/>
      <c r="J65" s="548"/>
      <c r="K65" s="549"/>
      <c r="L65" s="548"/>
      <c r="M65" s="548"/>
      <c r="N65" s="548"/>
      <c r="O65" s="548"/>
      <c r="P65" s="548"/>
      <c r="Q65" s="548"/>
      <c r="R65" s="548"/>
      <c r="S65" s="548"/>
      <c r="T65" s="548"/>
      <c r="U65" s="548"/>
      <c r="V65" s="548"/>
      <c r="W65" s="548"/>
      <c r="X65" s="548"/>
      <c r="Y65" s="548"/>
      <c r="Z65" s="548"/>
      <c r="AA65" s="554">
        <f>ROUND(SUM(AA52:AA64),5)</f>
        <v>0</v>
      </c>
      <c r="AB65" s="548"/>
      <c r="AC65" s="554">
        <f>ROUND(SUM(AC52:AC64),5)</f>
        <v>1601.76</v>
      </c>
      <c r="AD65" s="548"/>
      <c r="AE65" s="554">
        <f>AE64</f>
        <v>1601.76</v>
      </c>
      <c r="AF65"/>
      <c r="AG65"/>
      <c r="AH65"/>
      <c r="AI65"/>
    </row>
    <row r="66" spans="1:35" ht="13.5" thickBot="1">
      <c r="A66" s="548"/>
      <c r="B66" s="548"/>
      <c r="C66" s="548"/>
      <c r="D66" s="548"/>
      <c r="E66" s="548" t="s">
        <v>1175</v>
      </c>
      <c r="F66" s="548"/>
      <c r="G66" s="548"/>
      <c r="H66" s="548"/>
      <c r="I66" s="548"/>
      <c r="J66" s="548"/>
      <c r="K66" s="549"/>
      <c r="L66" s="548"/>
      <c r="M66" s="548"/>
      <c r="N66" s="548"/>
      <c r="O66" s="548"/>
      <c r="P66" s="548"/>
      <c r="Q66" s="548"/>
      <c r="R66" s="548"/>
      <c r="S66" s="548"/>
      <c r="T66" s="548"/>
      <c r="U66" s="548"/>
      <c r="V66" s="548"/>
      <c r="W66" s="548"/>
      <c r="X66" s="548"/>
      <c r="Y66" s="548"/>
      <c r="Z66" s="548"/>
      <c r="AA66" s="554">
        <f>AA65</f>
        <v>0</v>
      </c>
      <c r="AB66" s="548"/>
      <c r="AC66" s="554">
        <f>AC65</f>
        <v>1601.76</v>
      </c>
      <c r="AD66" s="548"/>
      <c r="AE66" s="554">
        <f>AE65</f>
        <v>1601.76</v>
      </c>
      <c r="AF66"/>
      <c r="AG66"/>
      <c r="AH66"/>
      <c r="AI66"/>
    </row>
    <row r="67" spans="1:35" ht="13.5" thickBot="1">
      <c r="A67" s="548"/>
      <c r="B67" s="548"/>
      <c r="C67" s="548"/>
      <c r="D67" s="548" t="s">
        <v>1176</v>
      </c>
      <c r="E67" s="548"/>
      <c r="F67" s="548"/>
      <c r="G67" s="548"/>
      <c r="H67" s="548"/>
      <c r="I67" s="548"/>
      <c r="J67" s="548"/>
      <c r="K67" s="549"/>
      <c r="L67" s="548"/>
      <c r="M67" s="548"/>
      <c r="N67" s="548"/>
      <c r="O67" s="548"/>
      <c r="P67" s="548"/>
      <c r="Q67" s="548"/>
      <c r="R67" s="548"/>
      <c r="S67" s="548"/>
      <c r="T67" s="548"/>
      <c r="U67" s="548"/>
      <c r="V67" s="548"/>
      <c r="W67" s="548"/>
      <c r="X67" s="548"/>
      <c r="Y67" s="548"/>
      <c r="Z67" s="548"/>
      <c r="AA67" s="554">
        <f>AA66</f>
        <v>0</v>
      </c>
      <c r="AB67" s="548"/>
      <c r="AC67" s="554">
        <f>AC66</f>
        <v>1601.76</v>
      </c>
      <c r="AD67" s="548"/>
      <c r="AE67" s="554">
        <f>AE66</f>
        <v>1601.76</v>
      </c>
      <c r="AF67"/>
      <c r="AG67"/>
      <c r="AH67"/>
      <c r="AI67"/>
    </row>
    <row r="68" spans="1:35" ht="13.5" thickBot="1">
      <c r="A68" s="548"/>
      <c r="B68" s="548"/>
      <c r="C68" s="548" t="s">
        <v>1177</v>
      </c>
      <c r="D68" s="548"/>
      <c r="E68" s="548"/>
      <c r="F68" s="548"/>
      <c r="G68" s="548"/>
      <c r="H68" s="548"/>
      <c r="I68" s="548"/>
      <c r="J68" s="548"/>
      <c r="K68" s="549"/>
      <c r="L68" s="548"/>
      <c r="M68" s="548"/>
      <c r="N68" s="548"/>
      <c r="O68" s="548"/>
      <c r="P68" s="548"/>
      <c r="Q68" s="548"/>
      <c r="R68" s="548"/>
      <c r="S68" s="548"/>
      <c r="T68" s="548"/>
      <c r="U68" s="548"/>
      <c r="V68" s="548"/>
      <c r="W68" s="548"/>
      <c r="X68" s="548"/>
      <c r="Y68" s="548"/>
      <c r="Z68" s="548"/>
      <c r="AA68" s="554">
        <f>AA67</f>
        <v>0</v>
      </c>
      <c r="AB68" s="548"/>
      <c r="AC68" s="554">
        <f>AC67</f>
        <v>1601.76</v>
      </c>
      <c r="AD68" s="548"/>
      <c r="AE68" s="554">
        <f>AE67</f>
        <v>1601.76</v>
      </c>
      <c r="AF68"/>
      <c r="AG68"/>
      <c r="AH68"/>
      <c r="AI68"/>
    </row>
    <row r="69" spans="1:35" ht="13.5" thickBot="1">
      <c r="A69" s="548"/>
      <c r="B69" s="548" t="s">
        <v>1178</v>
      </c>
      <c r="C69" s="548"/>
      <c r="D69" s="548"/>
      <c r="E69" s="548"/>
      <c r="F69" s="548"/>
      <c r="G69" s="548"/>
      <c r="H69" s="548"/>
      <c r="I69" s="548"/>
      <c r="J69" s="548"/>
      <c r="K69" s="549"/>
      <c r="L69" s="548"/>
      <c r="M69" s="548"/>
      <c r="N69" s="548"/>
      <c r="O69" s="548"/>
      <c r="P69" s="548"/>
      <c r="Q69" s="548"/>
      <c r="R69" s="548"/>
      <c r="S69" s="548"/>
      <c r="T69" s="548"/>
      <c r="U69" s="548"/>
      <c r="V69" s="548"/>
      <c r="W69" s="548"/>
      <c r="X69" s="548"/>
      <c r="Y69" s="548"/>
      <c r="Z69" s="548"/>
      <c r="AA69" s="554">
        <f>AA68</f>
        <v>0</v>
      </c>
      <c r="AB69" s="548"/>
      <c r="AC69" s="554">
        <f>AC68</f>
        <v>1601.76</v>
      </c>
      <c r="AD69" s="548"/>
      <c r="AE69" s="554">
        <f>AE68</f>
        <v>1601.76</v>
      </c>
      <c r="AF69"/>
      <c r="AG69"/>
      <c r="AH69"/>
      <c r="AI69"/>
    </row>
    <row r="70" spans="1:35" s="557" customFormat="1" ht="12" thickBot="1">
      <c r="A70" s="545" t="s">
        <v>702</v>
      </c>
      <c r="B70" s="545"/>
      <c r="C70" s="545"/>
      <c r="D70" s="545"/>
      <c r="E70" s="545"/>
      <c r="F70" s="545"/>
      <c r="G70" s="545"/>
      <c r="H70" s="545"/>
      <c r="I70" s="545"/>
      <c r="J70" s="545"/>
      <c r="K70" s="546"/>
      <c r="L70" s="545"/>
      <c r="M70" s="545"/>
      <c r="N70" s="545"/>
      <c r="O70" s="545"/>
      <c r="P70" s="545"/>
      <c r="Q70" s="545"/>
      <c r="R70" s="545"/>
      <c r="S70" s="545"/>
      <c r="T70" s="545"/>
      <c r="U70" s="545"/>
      <c r="V70" s="545"/>
      <c r="W70" s="545"/>
      <c r="X70" s="545"/>
      <c r="Y70" s="545"/>
      <c r="Z70" s="545"/>
      <c r="AA70" s="556">
        <f>ROUND(AA47+AA69,5)</f>
        <v>53391.8</v>
      </c>
      <c r="AB70" s="545"/>
      <c r="AC70" s="556">
        <f>ROUND(AC47+AC69,5)</f>
        <v>1601.76</v>
      </c>
      <c r="AD70" s="545"/>
      <c r="AE70" s="556">
        <f>ROUND(AE47+AE69,5)</f>
        <v>-51790.04</v>
      </c>
    </row>
    <row r="71" spans="1:35" ht="13.5" thickTop="1">
      <c r="AF71"/>
      <c r="AG71"/>
      <c r="AH71"/>
      <c r="AI71"/>
    </row>
    <row r="73" spans="1:35">
      <c r="Y73"/>
      <c r="Z73"/>
      <c r="AA73"/>
      <c r="AB73"/>
      <c r="AC73"/>
      <c r="AD73"/>
      <c r="AE73"/>
      <c r="AF73"/>
      <c r="AG73"/>
      <c r="AH73"/>
      <c r="AI73"/>
    </row>
    <row r="74" spans="1:35">
      <c r="Y74"/>
      <c r="Z74"/>
      <c r="AA74"/>
      <c r="AB74"/>
      <c r="AC74"/>
      <c r="AD74"/>
      <c r="AE74"/>
      <c r="AF74"/>
      <c r="AG74"/>
      <c r="AH74"/>
      <c r="AI74"/>
    </row>
    <row r="75" spans="1:35">
      <c r="Y75"/>
      <c r="Z75"/>
      <c r="AA75"/>
      <c r="AB75"/>
      <c r="AC75"/>
      <c r="AD75"/>
      <c r="AE75"/>
      <c r="AF75"/>
      <c r="AG75"/>
      <c r="AH75"/>
      <c r="AI75"/>
    </row>
    <row r="76" spans="1:35">
      <c r="Y76"/>
      <c r="Z76"/>
      <c r="AA76"/>
      <c r="AB76"/>
      <c r="AC76"/>
      <c r="AD76"/>
      <c r="AE76"/>
      <c r="AF76"/>
      <c r="AG76"/>
      <c r="AH76"/>
      <c r="AI76"/>
    </row>
    <row r="77" spans="1:35">
      <c r="Y77"/>
      <c r="Z77"/>
      <c r="AA77"/>
      <c r="AB77"/>
      <c r="AC77"/>
      <c r="AD77"/>
      <c r="AE77"/>
      <c r="AF77"/>
      <c r="AG77"/>
      <c r="AH77"/>
      <c r="AI77"/>
    </row>
    <row r="78" spans="1:35">
      <c r="Y78"/>
      <c r="Z78"/>
      <c r="AA78"/>
      <c r="AB78"/>
      <c r="AC78"/>
      <c r="AD78"/>
      <c r="AE78"/>
      <c r="AF78"/>
      <c r="AG78"/>
      <c r="AH78"/>
      <c r="AI78"/>
    </row>
    <row r="79" spans="1:35">
      <c r="Y79"/>
      <c r="Z79"/>
      <c r="AA79"/>
      <c r="AB79"/>
      <c r="AC79"/>
      <c r="AD79"/>
      <c r="AE79"/>
      <c r="AF79"/>
      <c r="AG79"/>
      <c r="AH79"/>
      <c r="AI79"/>
    </row>
  </sheetData>
  <pageMargins left="0.7" right="0.7" top="0.75" bottom="0.75" header="0.1" footer="0.3"/>
  <pageSetup orientation="portrait" r:id="rId1"/>
  <headerFooter>
    <oddHeader>&amp;L&amp;"Arial,Bold"&amp;8 12:03 PM
&amp;"Arial,Bold"&amp;8 02/11/16
&amp;"Arial,Bold"&amp;8 Accrual Basis&amp;C&amp;"Arial,Bold"&amp;12 CENTRAL MUNICIPAL POWER AGENCY AND SERVICES
&amp;"Arial,Bold"&amp;14 Custom Transaction Detail Report
&amp;"Arial,Bold"&amp;10 January through December 2014</oddHeader>
    <oddFooter>&amp;R&amp;"Arial,Bold"&amp;8 Page &amp;P of &amp;N</oddFooter>
  </headerFooter>
  <drawing r:id="rId2"/>
  <legacyDrawing r:id="rId3"/>
  <controls>
    <mc:AlternateContent xmlns:mc="http://schemas.openxmlformats.org/markup-compatibility/2006">
      <mc:Choice Requires="x14">
        <control shapeId="3073" r:id="rId4" name="FILTER">
          <controlPr defaultSize="0" autoLine="0" r:id="rId5">
            <anchor moveWithCells="1">
              <from>
                <xdr:col>0</xdr:col>
                <xdr:colOff>0</xdr:colOff>
                <xdr:row>0</xdr:row>
                <xdr:rowOff>0</xdr:rowOff>
              </from>
              <to>
                <xdr:col>4</xdr:col>
                <xdr:colOff>114300</xdr:colOff>
                <xdr:row>1</xdr:row>
                <xdr:rowOff>57150</xdr:rowOff>
              </to>
            </anchor>
          </controlPr>
        </control>
      </mc:Choice>
      <mc:Fallback>
        <control shapeId="3073" r:id="rId4" name="FILTER"/>
      </mc:Fallback>
    </mc:AlternateContent>
    <mc:AlternateContent xmlns:mc="http://schemas.openxmlformats.org/markup-compatibility/2006">
      <mc:Choice Requires="x14">
        <control shapeId="3074" r:id="rId6" name="HEADER">
          <controlPr defaultSize="0" autoLine="0" r:id="rId7">
            <anchor moveWithCells="1">
              <from>
                <xdr:col>0</xdr:col>
                <xdr:colOff>0</xdr:colOff>
                <xdr:row>0</xdr:row>
                <xdr:rowOff>0</xdr:rowOff>
              </from>
              <to>
                <xdr:col>4</xdr:col>
                <xdr:colOff>114300</xdr:colOff>
                <xdr:row>1</xdr:row>
                <xdr:rowOff>57150</xdr:rowOff>
              </to>
            </anchor>
          </controlPr>
        </control>
      </mc:Choice>
      <mc:Fallback>
        <control shapeId="3074" r:id="rId6" name="HEADER"/>
      </mc:Fallback>
    </mc:AlternateContent>
  </control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8"/>
  <sheetViews>
    <sheetView workbookViewId="0">
      <pane xSplit="3" ySplit="1" topLeftCell="D2" activePane="bottomRight" state="frozenSplit"/>
      <selection pane="topRight" activeCell="D1" sqref="D1"/>
      <selection pane="bottomLeft" activeCell="A2" sqref="A2"/>
      <selection pane="bottomRight" activeCell="T19" sqref="T19"/>
    </sheetView>
  </sheetViews>
  <sheetFormatPr defaultRowHeight="12.75"/>
  <cols>
    <col min="1" max="2" width="3" customWidth="1"/>
    <col min="3" max="3" width="21" customWidth="1"/>
    <col min="4" max="5" width="2.28515625" customWidth="1"/>
    <col min="6" max="6" width="6.140625" bestFit="1" customWidth="1"/>
    <col min="7" max="7" width="2.28515625" customWidth="1"/>
    <col min="8" max="8" width="8.7109375" bestFit="1" customWidth="1"/>
    <col min="9" max="9" width="2.28515625" customWidth="1"/>
    <col min="10" max="10" width="4.5703125" bestFit="1" customWidth="1"/>
    <col min="11" max="11" width="2.28515625" customWidth="1"/>
    <col min="12" max="12" width="11" bestFit="1" customWidth="1"/>
    <col min="13" max="13" width="2.28515625" customWidth="1"/>
    <col min="14" max="14" width="6.140625" bestFit="1" customWidth="1"/>
    <col min="15" max="15" width="2.28515625" customWidth="1"/>
    <col min="16" max="16" width="5.42578125" bestFit="1" customWidth="1"/>
    <col min="17" max="17" width="2.28515625" customWidth="1"/>
    <col min="18" max="18" width="3.28515625" bestFit="1" customWidth="1"/>
    <col min="19" max="19" width="2.28515625" customWidth="1"/>
    <col min="20" max="20" width="27.140625" bestFit="1" customWidth="1"/>
    <col min="21" max="21" width="2.28515625" customWidth="1"/>
    <col min="22" max="22" width="5" bestFit="1" customWidth="1"/>
    <col min="23" max="23" width="2.28515625" customWidth="1"/>
    <col min="24" max="24" width="7.85546875" bestFit="1" customWidth="1"/>
    <col min="25" max="25" width="2.28515625" customWidth="1"/>
    <col min="26" max="26" width="7.85546875" bestFit="1" customWidth="1"/>
    <col min="27" max="27" width="8.42578125" bestFit="1" customWidth="1"/>
  </cols>
  <sheetData>
    <row r="7" ht="25.5" customHeight="1"/>
    <row r="8" ht="25.5" customHeight="1"/>
  </sheetData>
  <pageMargins left="0.7" right="0.7" top="0.75" bottom="0.75" header="0.25" footer="0.3"/>
  <pageSetup orientation="portrait" r:id="rId1"/>
  <headerFooter>
    <oddHeader>&amp;L&amp;"Arial,Bold"&amp;8 5:11 PM
&amp;"Arial,Bold"&amp;8 04/26/12
&amp;"Arial,Bold"&amp;8 Accrual Basis&amp;C&amp;"Arial,Bold"&amp;12 UTILITIES PLUS
&amp;"Arial,Bold"&amp;14 Transaction Detail By Account
&amp;"Arial,Bold"&amp;10 January through December 2010</oddHeader>
    <oddFooter>&amp;R&amp;"Arial,Bold"&amp;8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107"/>
  <sheetViews>
    <sheetView topLeftCell="B1" zoomScaleNormal="100" workbookViewId="0">
      <pane ySplit="7" topLeftCell="A47" activePane="bottomLeft" state="frozen"/>
      <selection pane="bottomLeft" activeCell="F60" sqref="F60"/>
    </sheetView>
  </sheetViews>
  <sheetFormatPr defaultRowHeight="12.75"/>
  <cols>
    <col min="1" max="1" width="6.7109375" customWidth="1"/>
    <col min="2" max="2" width="40.85546875" customWidth="1"/>
    <col min="3" max="3" width="16.7109375" customWidth="1"/>
    <col min="4" max="4" width="6.7109375" customWidth="1"/>
    <col min="5" max="5" width="42.28515625" customWidth="1"/>
    <col min="6" max="6" width="16.7109375" customWidth="1"/>
    <col min="7" max="7" width="9.7109375" bestFit="1" customWidth="1"/>
  </cols>
  <sheetData>
    <row r="1" spans="1:6" ht="15">
      <c r="A1" s="657" t="s">
        <v>249</v>
      </c>
      <c r="B1" s="657"/>
      <c r="C1" s="657"/>
      <c r="D1" s="657"/>
      <c r="E1" s="657"/>
      <c r="F1" s="657"/>
    </row>
    <row r="2" spans="1:6" ht="15">
      <c r="A2" s="658" t="s">
        <v>2</v>
      </c>
      <c r="B2" s="658"/>
      <c r="C2" s="658"/>
      <c r="D2" s="658"/>
      <c r="E2" s="658"/>
      <c r="F2" s="658"/>
    </row>
    <row r="3" spans="1:6" ht="15">
      <c r="A3" s="659">
        <v>42004</v>
      </c>
      <c r="B3" s="659"/>
      <c r="C3" s="659"/>
      <c r="D3" s="659"/>
      <c r="E3" s="659"/>
      <c r="F3" s="659"/>
    </row>
    <row r="5" spans="1:6" ht="15">
      <c r="A5" s="660" t="s">
        <v>187</v>
      </c>
      <c r="B5" s="660"/>
      <c r="C5" s="660"/>
      <c r="D5" s="660"/>
      <c r="E5" s="660"/>
      <c r="F5" s="660"/>
    </row>
    <row r="6" spans="1:6">
      <c r="A6" s="34" t="s">
        <v>3</v>
      </c>
      <c r="B6" s="36"/>
      <c r="C6" s="34" t="s">
        <v>6</v>
      </c>
      <c r="D6" s="34" t="s">
        <v>3</v>
      </c>
      <c r="E6" s="36"/>
      <c r="F6" s="34" t="s">
        <v>6</v>
      </c>
    </row>
    <row r="7" spans="1:6" ht="13.5" thickBot="1">
      <c r="A7" s="35" t="s">
        <v>4</v>
      </c>
      <c r="B7" s="34" t="s">
        <v>5</v>
      </c>
      <c r="C7" s="35" t="s">
        <v>9</v>
      </c>
      <c r="D7" s="35" t="s">
        <v>7</v>
      </c>
      <c r="E7" s="34" t="s">
        <v>8</v>
      </c>
      <c r="F7" s="35" t="s">
        <v>9</v>
      </c>
    </row>
    <row r="8" spans="1:6" ht="14.25" thickTop="1" thickBot="1">
      <c r="A8" s="1"/>
      <c r="B8" s="99" t="s">
        <v>21</v>
      </c>
      <c r="C8" s="20"/>
      <c r="D8" s="38"/>
      <c r="E8" s="99" t="s">
        <v>222</v>
      </c>
      <c r="F8" s="20"/>
    </row>
    <row r="9" spans="1:6" ht="13.5" thickTop="1">
      <c r="A9" s="1">
        <v>1</v>
      </c>
      <c r="B9" s="6" t="s">
        <v>10</v>
      </c>
      <c r="C9" s="21"/>
      <c r="D9" s="39"/>
      <c r="E9" s="6"/>
      <c r="F9" s="21"/>
    </row>
    <row r="10" spans="1:6">
      <c r="A10" s="2"/>
      <c r="B10" s="7" t="s">
        <v>11</v>
      </c>
      <c r="C10" s="144">
        <f>'EIA412 Electric Plant'!G28</f>
        <v>11419350.240000002</v>
      </c>
      <c r="D10" s="40">
        <v>29</v>
      </c>
      <c r="E10" s="7" t="s">
        <v>46</v>
      </c>
      <c r="F10" s="89">
        <v>0</v>
      </c>
    </row>
    <row r="11" spans="1:6">
      <c r="A11" s="10">
        <v>2</v>
      </c>
      <c r="B11" s="8" t="s">
        <v>12</v>
      </c>
      <c r="C11" s="23">
        <v>0</v>
      </c>
      <c r="D11" s="41">
        <v>30</v>
      </c>
      <c r="E11" s="9" t="s">
        <v>47</v>
      </c>
      <c r="F11" s="90">
        <f>9848984+2</f>
        <v>9848986</v>
      </c>
    </row>
    <row r="12" spans="1:6">
      <c r="A12" s="1">
        <v>3</v>
      </c>
      <c r="B12" s="6" t="s">
        <v>13</v>
      </c>
      <c r="C12" s="21"/>
      <c r="D12" s="39"/>
      <c r="E12" s="6"/>
      <c r="F12" s="21"/>
    </row>
    <row r="13" spans="1:6">
      <c r="A13" s="1"/>
      <c r="B13" s="6" t="s">
        <v>14</v>
      </c>
      <c r="C13" s="21"/>
      <c r="D13" s="39">
        <v>31</v>
      </c>
      <c r="E13" s="6" t="s">
        <v>48</v>
      </c>
      <c r="F13" s="21"/>
    </row>
    <row r="14" spans="1:6">
      <c r="A14" s="2"/>
      <c r="B14" s="7" t="s">
        <v>15</v>
      </c>
      <c r="C14" s="144">
        <f>-'EIA412 Electric Plant'!I20</f>
        <v>-7799361.3599999975</v>
      </c>
      <c r="D14" s="40"/>
      <c r="E14" s="7" t="s">
        <v>49</v>
      </c>
      <c r="F14" s="89">
        <v>0</v>
      </c>
    </row>
    <row r="15" spans="1:6" ht="26.25" thickBot="1">
      <c r="A15" s="10">
        <v>4</v>
      </c>
      <c r="B15" s="17" t="s">
        <v>155</v>
      </c>
      <c r="C15" s="24">
        <f>+C10+C11+C14</f>
        <v>3619988.8800000045</v>
      </c>
      <c r="D15" s="42">
        <v>32</v>
      </c>
      <c r="E15" s="100" t="s">
        <v>173</v>
      </c>
      <c r="F15" s="145">
        <f>+F14+F11+F10-1</f>
        <v>9848985</v>
      </c>
    </row>
    <row r="16" spans="1:6" ht="14.25" thickTop="1" thickBot="1">
      <c r="A16" s="12">
        <v>5</v>
      </c>
      <c r="B16" s="9" t="s">
        <v>16</v>
      </c>
      <c r="C16" s="90"/>
      <c r="D16" s="39"/>
      <c r="E16" s="101" t="s">
        <v>50</v>
      </c>
      <c r="F16" s="21"/>
    </row>
    <row r="17" spans="1:8" ht="13.5" thickTop="1">
      <c r="A17" s="11">
        <v>6</v>
      </c>
      <c r="B17" s="6" t="s">
        <v>13</v>
      </c>
      <c r="C17" s="21"/>
      <c r="D17" s="39"/>
      <c r="E17" s="6"/>
      <c r="F17" s="21"/>
    </row>
    <row r="18" spans="1:8">
      <c r="A18" s="1"/>
      <c r="B18" s="6" t="s">
        <v>17</v>
      </c>
      <c r="C18" s="21"/>
      <c r="D18" s="39"/>
      <c r="E18" s="6" t="s">
        <v>182</v>
      </c>
      <c r="F18" s="21"/>
    </row>
    <row r="19" spans="1:8">
      <c r="A19" s="2"/>
      <c r="B19" s="7" t="s">
        <v>18</v>
      </c>
      <c r="C19" s="89">
        <v>0</v>
      </c>
      <c r="D19" s="40">
        <v>33</v>
      </c>
      <c r="E19" s="7" t="s">
        <v>183</v>
      </c>
      <c r="F19" s="102">
        <f>+F20+F21+F22+F23</f>
        <v>0</v>
      </c>
    </row>
    <row r="20" spans="1:8">
      <c r="A20" s="1">
        <v>7</v>
      </c>
      <c r="B20" s="15" t="s">
        <v>19</v>
      </c>
      <c r="C20" s="21"/>
      <c r="D20" s="103" t="s">
        <v>174</v>
      </c>
      <c r="E20" s="9" t="s">
        <v>181</v>
      </c>
      <c r="F20" s="89">
        <v>0</v>
      </c>
    </row>
    <row r="21" spans="1:8" ht="13.5" thickBot="1">
      <c r="A21" s="2"/>
      <c r="B21" s="15" t="s">
        <v>156</v>
      </c>
      <c r="C21" s="25">
        <f>+C15+C16+C19</f>
        <v>3619988.8800000045</v>
      </c>
      <c r="D21" s="41" t="s">
        <v>175</v>
      </c>
      <c r="E21" s="8" t="s">
        <v>180</v>
      </c>
      <c r="F21" s="89">
        <v>0</v>
      </c>
      <c r="H21" t="s">
        <v>154</v>
      </c>
    </row>
    <row r="22" spans="1:8" ht="14.25" thickTop="1" thickBot="1">
      <c r="A22" s="1"/>
      <c r="B22" s="99" t="s">
        <v>20</v>
      </c>
      <c r="C22" s="21"/>
      <c r="D22" s="41" t="s">
        <v>176</v>
      </c>
      <c r="E22" s="8" t="s">
        <v>179</v>
      </c>
      <c r="F22" s="89">
        <v>0</v>
      </c>
    </row>
    <row r="23" spans="1:8" ht="13.5" thickTop="1">
      <c r="A23" s="2">
        <v>8</v>
      </c>
      <c r="B23" s="7" t="s">
        <v>22</v>
      </c>
      <c r="C23" s="89">
        <v>0</v>
      </c>
      <c r="D23" s="41" t="s">
        <v>177</v>
      </c>
      <c r="E23" s="8" t="s">
        <v>178</v>
      </c>
      <c r="F23" s="89">
        <v>0</v>
      </c>
    </row>
    <row r="24" spans="1:8">
      <c r="A24" s="1">
        <v>9</v>
      </c>
      <c r="B24" s="6" t="s">
        <v>13</v>
      </c>
      <c r="C24" s="21"/>
      <c r="D24" s="41"/>
      <c r="E24" s="8"/>
      <c r="F24" s="8"/>
    </row>
    <row r="25" spans="1:8">
      <c r="A25" s="2"/>
      <c r="B25" s="7" t="s">
        <v>23</v>
      </c>
      <c r="C25" s="89">
        <v>0</v>
      </c>
      <c r="D25" s="41"/>
      <c r="E25" s="8"/>
      <c r="F25" s="8"/>
    </row>
    <row r="26" spans="1:8">
      <c r="A26" s="1">
        <v>10</v>
      </c>
      <c r="B26" s="6" t="s">
        <v>24</v>
      </c>
      <c r="C26" s="21"/>
      <c r="D26" s="38">
        <v>34</v>
      </c>
      <c r="E26" s="97" t="s">
        <v>51</v>
      </c>
      <c r="F26" s="98"/>
    </row>
    <row r="27" spans="1:8">
      <c r="A27" s="2"/>
      <c r="B27" s="7" t="s">
        <v>25</v>
      </c>
      <c r="C27" s="89">
        <v>0</v>
      </c>
      <c r="D27" s="40"/>
      <c r="E27" s="7" t="s">
        <v>52</v>
      </c>
      <c r="F27" s="89">
        <v>0</v>
      </c>
    </row>
    <row r="28" spans="1:8" ht="25.5">
      <c r="A28" s="10">
        <v>11</v>
      </c>
      <c r="B28" s="92" t="s">
        <v>161</v>
      </c>
      <c r="C28" s="93">
        <f>+C29+C30+C31+C32</f>
        <v>0</v>
      </c>
      <c r="D28" s="38">
        <v>35</v>
      </c>
      <c r="E28" s="97" t="s">
        <v>53</v>
      </c>
      <c r="F28" s="21"/>
    </row>
    <row r="29" spans="1:8">
      <c r="A29" s="91" t="s">
        <v>157</v>
      </c>
      <c r="B29" s="8" t="s">
        <v>221</v>
      </c>
      <c r="C29" s="90">
        <v>0</v>
      </c>
      <c r="D29" s="40"/>
      <c r="E29" s="32" t="s">
        <v>54</v>
      </c>
      <c r="F29" s="89">
        <v>0</v>
      </c>
    </row>
    <row r="30" spans="1:8">
      <c r="A30" s="10" t="s">
        <v>158</v>
      </c>
      <c r="B30" s="8" t="s">
        <v>162</v>
      </c>
      <c r="C30" s="90">
        <v>0</v>
      </c>
      <c r="D30" s="39">
        <v>36</v>
      </c>
      <c r="E30" s="31" t="s">
        <v>55</v>
      </c>
      <c r="F30" s="21"/>
    </row>
    <row r="31" spans="1:8">
      <c r="A31" s="10" t="s">
        <v>159</v>
      </c>
      <c r="B31" s="8" t="s">
        <v>163</v>
      </c>
      <c r="C31" s="90">
        <v>0</v>
      </c>
      <c r="D31" s="40"/>
      <c r="E31" s="7" t="s">
        <v>56</v>
      </c>
      <c r="F31" s="89">
        <v>0</v>
      </c>
    </row>
    <row r="32" spans="1:8" ht="13.5" thickBot="1">
      <c r="A32" s="10" t="s">
        <v>160</v>
      </c>
      <c r="B32" s="8" t="s">
        <v>164</v>
      </c>
      <c r="C32" s="90">
        <v>0</v>
      </c>
      <c r="D32" s="40">
        <v>37</v>
      </c>
      <c r="E32" s="104" t="s">
        <v>184</v>
      </c>
      <c r="F32" s="142">
        <f>+F19+F27+F29+F31</f>
        <v>0</v>
      </c>
    </row>
    <row r="33" spans="1:7" ht="27" thickTop="1" thickBot="1">
      <c r="A33" s="10">
        <v>12</v>
      </c>
      <c r="B33" s="105" t="s">
        <v>169</v>
      </c>
      <c r="C33" s="24">
        <f>+C23+C25+C27+C28</f>
        <v>0</v>
      </c>
      <c r="D33" s="40"/>
      <c r="E33" s="99" t="s">
        <v>57</v>
      </c>
      <c r="F33" s="22"/>
    </row>
    <row r="34" spans="1:7" ht="14.25" thickTop="1" thickBot="1">
      <c r="A34" s="1"/>
      <c r="B34" s="99" t="s">
        <v>26</v>
      </c>
      <c r="C34" s="21"/>
      <c r="D34" s="41">
        <v>38</v>
      </c>
      <c r="E34" s="32" t="s">
        <v>58</v>
      </c>
      <c r="F34" s="90">
        <v>0</v>
      </c>
    </row>
    <row r="35" spans="1:7" ht="13.5" thickTop="1">
      <c r="A35" s="1">
        <v>13</v>
      </c>
      <c r="B35" s="6" t="s">
        <v>27</v>
      </c>
      <c r="C35" s="21"/>
      <c r="D35" s="41">
        <v>39</v>
      </c>
      <c r="E35" s="9" t="s">
        <v>59</v>
      </c>
      <c r="F35" s="90">
        <v>0</v>
      </c>
    </row>
    <row r="36" spans="1:7">
      <c r="A36" s="2"/>
      <c r="B36" s="7" t="s">
        <v>28</v>
      </c>
      <c r="C36" s="89">
        <f>4126535</f>
        <v>4126535</v>
      </c>
      <c r="D36" s="40">
        <v>40</v>
      </c>
      <c r="E36" s="18" t="s">
        <v>185</v>
      </c>
      <c r="F36" s="25">
        <f>+F35+F34</f>
        <v>0</v>
      </c>
    </row>
    <row r="37" spans="1:7" ht="13.5" thickBot="1">
      <c r="A37" s="1">
        <v>14</v>
      </c>
      <c r="B37" s="6" t="s">
        <v>29</v>
      </c>
      <c r="C37" s="21" t="s">
        <v>154</v>
      </c>
      <c r="D37" s="39"/>
      <c r="E37" s="6"/>
      <c r="F37" s="21"/>
    </row>
    <row r="38" spans="1:7" ht="14.25" thickTop="1" thickBot="1">
      <c r="A38" s="2"/>
      <c r="B38" s="7" t="s">
        <v>30</v>
      </c>
      <c r="C38" s="21">
        <f>21708+1517328</f>
        <v>1539036</v>
      </c>
      <c r="D38" s="40"/>
      <c r="E38" s="99" t="s">
        <v>60</v>
      </c>
      <c r="F38" s="22"/>
    </row>
    <row r="39" spans="1:7" ht="13.5" thickTop="1">
      <c r="A39" s="10">
        <v>15</v>
      </c>
      <c r="B39" s="8" t="s">
        <v>248</v>
      </c>
      <c r="C39" s="90">
        <f>644659</f>
        <v>644659</v>
      </c>
      <c r="D39" s="40">
        <v>41</v>
      </c>
      <c r="E39" s="7" t="s">
        <v>61</v>
      </c>
      <c r="F39" s="22">
        <v>0</v>
      </c>
      <c r="G39" s="13" t="s">
        <v>154</v>
      </c>
    </row>
    <row r="40" spans="1:7">
      <c r="A40" s="1">
        <v>16</v>
      </c>
      <c r="B40" s="6" t="s">
        <v>13</v>
      </c>
      <c r="C40" s="21"/>
      <c r="D40" s="39"/>
      <c r="E40" s="6"/>
      <c r="F40" s="21"/>
    </row>
    <row r="41" spans="1:7">
      <c r="A41" s="2"/>
      <c r="B41" s="7" t="s">
        <v>31</v>
      </c>
      <c r="C41" s="89">
        <v>0</v>
      </c>
      <c r="D41" s="40">
        <v>42</v>
      </c>
      <c r="E41" s="7" t="s">
        <v>62</v>
      </c>
      <c r="F41" s="89">
        <f>392243</f>
        <v>392243</v>
      </c>
    </row>
    <row r="42" spans="1:7">
      <c r="A42" s="1">
        <v>17</v>
      </c>
      <c r="B42" s="6" t="s">
        <v>32</v>
      </c>
      <c r="C42" s="21"/>
      <c r="D42" s="39">
        <v>43</v>
      </c>
      <c r="E42" s="31" t="s">
        <v>64</v>
      </c>
      <c r="F42" s="21"/>
    </row>
    <row r="43" spans="1:7">
      <c r="A43" s="2"/>
      <c r="B43" s="7" t="s">
        <v>33</v>
      </c>
      <c r="C43" s="89">
        <v>0</v>
      </c>
      <c r="D43" s="40"/>
      <c r="E43" s="7" t="s">
        <v>63</v>
      </c>
      <c r="F43" s="89">
        <v>0</v>
      </c>
    </row>
    <row r="44" spans="1:7">
      <c r="A44" s="10">
        <v>18</v>
      </c>
      <c r="B44" s="8" t="s">
        <v>34</v>
      </c>
      <c r="C44" s="90">
        <f>523134</f>
        <v>523134</v>
      </c>
      <c r="D44" s="40">
        <v>44</v>
      </c>
      <c r="E44" s="7" t="s">
        <v>65</v>
      </c>
      <c r="F44" s="89">
        <v>0</v>
      </c>
    </row>
    <row r="45" spans="1:7">
      <c r="A45" s="10">
        <v>19</v>
      </c>
      <c r="B45" s="8" t="s">
        <v>35</v>
      </c>
      <c r="C45" s="90">
        <v>0</v>
      </c>
      <c r="D45" s="40">
        <v>45</v>
      </c>
      <c r="E45" s="7" t="s">
        <v>66</v>
      </c>
      <c r="F45" s="89">
        <v>0</v>
      </c>
    </row>
    <row r="46" spans="1:7">
      <c r="A46" s="10">
        <v>20</v>
      </c>
      <c r="B46" s="8" t="s">
        <v>36</v>
      </c>
      <c r="C46" s="143">
        <v>0</v>
      </c>
      <c r="D46" s="40">
        <v>46</v>
      </c>
      <c r="E46" s="7" t="s">
        <v>67</v>
      </c>
      <c r="F46" s="89">
        <v>0</v>
      </c>
    </row>
    <row r="47" spans="1:7">
      <c r="A47" s="12">
        <v>21</v>
      </c>
      <c r="B47" s="8" t="s">
        <v>37</v>
      </c>
      <c r="C47" s="90">
        <v>0</v>
      </c>
      <c r="D47" s="40">
        <v>47</v>
      </c>
      <c r="E47" s="7" t="s">
        <v>68</v>
      </c>
      <c r="F47" s="89">
        <f>15409+105760</f>
        <v>121169</v>
      </c>
    </row>
    <row r="48" spans="1:7" ht="26.25" thickBot="1">
      <c r="A48" s="12">
        <v>22</v>
      </c>
      <c r="B48" s="8" t="s">
        <v>38</v>
      </c>
      <c r="C48" s="90">
        <v>0</v>
      </c>
      <c r="D48" s="40">
        <v>48</v>
      </c>
      <c r="E48" s="106" t="s">
        <v>186</v>
      </c>
      <c r="F48" s="25">
        <f>+F47+F46+F45+F44+F43+F41+F39</f>
        <v>513412</v>
      </c>
    </row>
    <row r="49" spans="1:6" ht="27" thickTop="1" thickBot="1">
      <c r="A49" s="12">
        <v>23</v>
      </c>
      <c r="B49" s="105" t="s">
        <v>170</v>
      </c>
      <c r="C49" s="24">
        <f>+C36+C38+C39+C41+C43+C44+C45+C46+C47+C48</f>
        <v>6833364</v>
      </c>
      <c r="D49" s="40"/>
      <c r="E49" s="99" t="s">
        <v>72</v>
      </c>
      <c r="F49" s="22"/>
    </row>
    <row r="50" spans="1:6" ht="14.25" thickTop="1" thickBot="1">
      <c r="B50" s="99" t="s">
        <v>45</v>
      </c>
      <c r="C50" s="21"/>
      <c r="D50" s="43">
        <v>49</v>
      </c>
      <c r="E50" s="31" t="s">
        <v>73</v>
      </c>
      <c r="F50" s="21"/>
    </row>
    <row r="51" spans="1:6" ht="13.5" thickTop="1">
      <c r="A51" s="16">
        <v>24</v>
      </c>
      <c r="B51" s="7" t="s">
        <v>39</v>
      </c>
      <c r="C51" s="89">
        <v>0</v>
      </c>
      <c r="D51" s="40"/>
      <c r="E51" s="33" t="s">
        <v>74</v>
      </c>
      <c r="F51" s="89">
        <v>0</v>
      </c>
    </row>
    <row r="52" spans="1:6">
      <c r="A52" s="11">
        <v>25</v>
      </c>
      <c r="B52" s="6" t="s">
        <v>40</v>
      </c>
      <c r="C52" s="21"/>
      <c r="D52" s="43">
        <v>50</v>
      </c>
      <c r="E52" s="6" t="s">
        <v>75</v>
      </c>
      <c r="F52" s="21"/>
    </row>
    <row r="53" spans="1:6">
      <c r="A53" s="3"/>
      <c r="B53" s="7" t="s">
        <v>41</v>
      </c>
      <c r="C53" s="89">
        <v>0</v>
      </c>
      <c r="D53" s="40"/>
      <c r="E53" s="7" t="s">
        <v>76</v>
      </c>
      <c r="F53" s="89">
        <v>90956</v>
      </c>
    </row>
    <row r="54" spans="1:6">
      <c r="A54" s="11">
        <v>26</v>
      </c>
      <c r="B54" s="6" t="s">
        <v>42</v>
      </c>
      <c r="C54" s="21"/>
      <c r="D54" s="39"/>
      <c r="E54" s="6"/>
      <c r="F54" s="21"/>
    </row>
    <row r="55" spans="1:6">
      <c r="A55" s="1"/>
      <c r="B55" s="6" t="s">
        <v>43</v>
      </c>
      <c r="C55" s="21"/>
      <c r="D55" s="39">
        <v>51</v>
      </c>
      <c r="E55" s="6" t="s">
        <v>71</v>
      </c>
      <c r="F55" s="21"/>
    </row>
    <row r="56" spans="1:6">
      <c r="A56" s="2"/>
      <c r="B56" s="7" t="s">
        <v>44</v>
      </c>
      <c r="C56" s="89">
        <v>0</v>
      </c>
      <c r="D56" s="40"/>
      <c r="E56" s="33" t="s">
        <v>77</v>
      </c>
      <c r="F56" s="22">
        <v>0</v>
      </c>
    </row>
    <row r="57" spans="1:6">
      <c r="A57" s="10">
        <v>27</v>
      </c>
      <c r="B57" s="19" t="s">
        <v>172</v>
      </c>
      <c r="C57" s="24">
        <f>+C51+C53+C56</f>
        <v>0</v>
      </c>
      <c r="D57" s="40">
        <v>52</v>
      </c>
      <c r="E57" s="18" t="s">
        <v>70</v>
      </c>
      <c r="F57" s="25">
        <f>+F56+F53+F51</f>
        <v>90956</v>
      </c>
    </row>
    <row r="58" spans="1:6" ht="26.25" thickBot="1">
      <c r="A58" s="45">
        <v>28</v>
      </c>
      <c r="B58" s="96" t="s">
        <v>171</v>
      </c>
      <c r="C58" s="27">
        <f>+C57+C49+C21+C33</f>
        <v>10453352.880000005</v>
      </c>
      <c r="D58" s="44">
        <v>53</v>
      </c>
      <c r="E58" s="26" t="s">
        <v>69</v>
      </c>
      <c r="F58" s="27">
        <f>+F57+F48+F36+F32+F15</f>
        <v>10453353</v>
      </c>
    </row>
    <row r="59" spans="1:6">
      <c r="A59" s="4"/>
      <c r="B59" s="4"/>
      <c r="C59" s="28"/>
      <c r="D59" s="4"/>
      <c r="E59" s="4"/>
      <c r="F59" s="29" t="s">
        <v>154</v>
      </c>
    </row>
    <row r="60" spans="1:6">
      <c r="A60" s="4"/>
      <c r="B60" s="94" t="s">
        <v>165</v>
      </c>
      <c r="C60" s="28"/>
      <c r="D60" s="4"/>
      <c r="E60" s="4"/>
      <c r="F60" s="542">
        <f>C58-F58</f>
        <v>-0.11999999545514584</v>
      </c>
    </row>
    <row r="61" spans="1:6">
      <c r="A61" s="4"/>
      <c r="B61" s="94" t="s">
        <v>166</v>
      </c>
      <c r="C61" s="30"/>
      <c r="D61" s="4"/>
      <c r="E61" s="4"/>
      <c r="F61" s="29"/>
    </row>
    <row r="62" spans="1:6">
      <c r="A62" s="4"/>
      <c r="B62" s="94" t="s">
        <v>167</v>
      </c>
      <c r="C62" s="30"/>
      <c r="D62" s="4"/>
      <c r="E62" s="4"/>
      <c r="F62" s="29"/>
    </row>
    <row r="63" spans="1:6">
      <c r="A63" s="4"/>
      <c r="B63" s="94" t="s">
        <v>168</v>
      </c>
      <c r="C63" s="30"/>
      <c r="D63" s="4"/>
      <c r="E63" s="4"/>
      <c r="F63" s="29"/>
    </row>
    <row r="64" spans="1:6">
      <c r="A64" s="4"/>
      <c r="B64" s="4"/>
      <c r="C64" s="30"/>
      <c r="D64" s="4"/>
      <c r="E64" s="4"/>
      <c r="F64" s="29"/>
    </row>
    <row r="65" spans="1:6">
      <c r="A65" s="4"/>
      <c r="B65" s="4"/>
      <c r="C65" s="30"/>
      <c r="D65" s="4"/>
      <c r="E65" s="4"/>
      <c r="F65" s="29"/>
    </row>
    <row r="66" spans="1:6">
      <c r="A66" s="4"/>
      <c r="B66" s="4"/>
      <c r="C66" s="30"/>
      <c r="D66" s="4"/>
      <c r="E66" s="4"/>
      <c r="F66" s="4"/>
    </row>
    <row r="67" spans="1:6">
      <c r="A67" s="4"/>
      <c r="B67" s="4"/>
      <c r="C67" s="30"/>
      <c r="D67" s="4"/>
      <c r="E67" s="4"/>
      <c r="F67" s="4"/>
    </row>
    <row r="68" spans="1:6">
      <c r="A68" s="4"/>
      <c r="B68" s="4"/>
      <c r="C68" s="30"/>
      <c r="D68" s="4"/>
      <c r="E68" s="4"/>
      <c r="F68" s="4"/>
    </row>
    <row r="69" spans="1:6">
      <c r="A69" s="4"/>
      <c r="B69" s="4"/>
      <c r="C69" s="30"/>
      <c r="D69" s="4"/>
      <c r="E69" s="4"/>
      <c r="F69" s="4"/>
    </row>
    <row r="70" spans="1:6">
      <c r="A70" s="4"/>
      <c r="B70" s="4"/>
      <c r="C70" s="30"/>
      <c r="D70" s="4"/>
      <c r="E70" s="4"/>
      <c r="F70" s="4"/>
    </row>
    <row r="71" spans="1:6">
      <c r="A71" s="4"/>
      <c r="B71" s="4"/>
      <c r="C71" s="4"/>
      <c r="D71" s="4"/>
      <c r="E71" s="4"/>
      <c r="F71" s="4"/>
    </row>
    <row r="72" spans="1:6">
      <c r="A72" s="4"/>
      <c r="B72" s="4"/>
      <c r="C72" s="4"/>
      <c r="D72" s="4"/>
      <c r="E72" s="4"/>
      <c r="F72" s="4"/>
    </row>
    <row r="73" spans="1:6">
      <c r="A73" s="4"/>
      <c r="B73" s="4"/>
      <c r="C73" s="4"/>
      <c r="D73" s="4"/>
      <c r="E73" s="4"/>
      <c r="F73" s="4"/>
    </row>
    <row r="74" spans="1:6">
      <c r="A74" s="4"/>
      <c r="B74" s="4"/>
      <c r="C74" s="4"/>
      <c r="D74" s="4"/>
      <c r="E74" s="4"/>
      <c r="F74" s="4"/>
    </row>
    <row r="75" spans="1:6">
      <c r="A75" s="4"/>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106" spans="5:5">
      <c r="E106" s="13">
        <v>0</v>
      </c>
    </row>
    <row r="107" spans="5:5">
      <c r="E107" s="13">
        <f>'EIA412 Balance sheet'!C46</f>
        <v>0</v>
      </c>
    </row>
  </sheetData>
  <mergeCells count="4">
    <mergeCell ref="A1:F1"/>
    <mergeCell ref="A2:F2"/>
    <mergeCell ref="A3:F3"/>
    <mergeCell ref="A5:F5"/>
  </mergeCells>
  <phoneticPr fontId="0" type="noConversion"/>
  <pageMargins left="0.5" right="0.45" top="1" bottom="0.5" header="0.5" footer="0.5"/>
  <pageSetup scale="70" orientation="portrait" r:id="rId1"/>
  <headerFooter alignWithMargins="0">
    <oddFooter>&amp;L&amp;Z&amp;F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07"/>
  <sheetViews>
    <sheetView topLeftCell="A10" zoomScaleNormal="90" workbookViewId="0">
      <selection activeCell="E30" sqref="E30"/>
    </sheetView>
  </sheetViews>
  <sheetFormatPr defaultRowHeight="12.75"/>
  <cols>
    <col min="1" max="1" width="6.7109375" customWidth="1"/>
    <col min="2" max="2" width="77.140625" customWidth="1"/>
    <col min="3" max="3" width="16.7109375" style="83" customWidth="1"/>
    <col min="4" max="4" width="9.7109375" bestFit="1" customWidth="1"/>
    <col min="5" max="5" width="10.28515625" bestFit="1" customWidth="1"/>
  </cols>
  <sheetData>
    <row r="1" spans="1:6" ht="15">
      <c r="A1" s="661" t="str">
        <f>+'EIA412 Balance sheet'!A1:F1</f>
        <v>Windom</v>
      </c>
      <c r="B1" s="661"/>
      <c r="C1" s="661"/>
      <c r="D1" s="47"/>
      <c r="E1" s="47"/>
      <c r="F1" s="47"/>
    </row>
    <row r="2" spans="1:6" ht="15">
      <c r="A2" s="658" t="s">
        <v>2</v>
      </c>
      <c r="B2" s="658"/>
      <c r="C2" s="658"/>
      <c r="D2" s="47"/>
      <c r="E2" s="47"/>
      <c r="F2" s="47"/>
    </row>
    <row r="3" spans="1:6" ht="15">
      <c r="A3" s="661">
        <f>+'EIA412 Balance sheet'!A3:F3</f>
        <v>42004</v>
      </c>
      <c r="B3" s="661"/>
      <c r="C3" s="661"/>
      <c r="D3" s="48"/>
      <c r="E3" s="48"/>
      <c r="F3" s="48"/>
    </row>
    <row r="4" spans="1:6">
      <c r="A4" s="46"/>
      <c r="B4" s="46"/>
      <c r="C4" s="78"/>
      <c r="D4" s="46"/>
      <c r="E4" s="46"/>
      <c r="F4" s="46"/>
    </row>
    <row r="5" spans="1:6" ht="15">
      <c r="A5" s="660" t="s">
        <v>188</v>
      </c>
      <c r="B5" s="660"/>
      <c r="C5" s="660"/>
      <c r="D5" s="49"/>
      <c r="E5" s="49"/>
      <c r="F5" s="49"/>
    </row>
    <row r="6" spans="1:6">
      <c r="A6" s="51" t="s">
        <v>3</v>
      </c>
      <c r="B6" s="51"/>
      <c r="C6" s="79" t="s">
        <v>79</v>
      </c>
    </row>
    <row r="7" spans="1:6">
      <c r="A7" s="52" t="s">
        <v>4</v>
      </c>
      <c r="B7" s="52"/>
      <c r="C7" s="80" t="s">
        <v>9</v>
      </c>
    </row>
    <row r="8" spans="1:6">
      <c r="A8" s="35">
        <v>1</v>
      </c>
      <c r="B8" s="52" t="s">
        <v>78</v>
      </c>
      <c r="C8" s="559">
        <f>5814821+'EXPENSE DETAILS'!H127</f>
        <v>5815152.9699999997</v>
      </c>
      <c r="D8" t="s">
        <v>154</v>
      </c>
    </row>
    <row r="9" spans="1:6">
      <c r="A9" s="35">
        <v>2</v>
      </c>
      <c r="B9" s="52" t="s">
        <v>80</v>
      </c>
      <c r="C9" s="81">
        <f>'EIA412 Op &amp; Maint'!C31+'EIA412 Op &amp; Maint'!D31</f>
        <v>4836163.75</v>
      </c>
    </row>
    <row r="10" spans="1:6">
      <c r="A10" s="35">
        <v>3</v>
      </c>
      <c r="B10" s="52" t="s">
        <v>81</v>
      </c>
      <c r="C10" s="81">
        <f>+'EIA412 Op &amp; Maint'!E31</f>
        <v>140238.65</v>
      </c>
    </row>
    <row r="11" spans="1:6">
      <c r="A11" s="60">
        <v>4</v>
      </c>
      <c r="B11" s="56" t="s">
        <v>82</v>
      </c>
      <c r="C11" s="85">
        <f>'EIA412 Electric Plant'!J20</f>
        <v>470609.75000000006</v>
      </c>
      <c r="D11" s="13" t="s">
        <v>154</v>
      </c>
      <c r="E11" s="13" t="s">
        <v>154</v>
      </c>
    </row>
    <row r="12" spans="1:6">
      <c r="A12" s="35">
        <v>5</v>
      </c>
      <c r="B12" s="52" t="s">
        <v>83</v>
      </c>
      <c r="C12" s="84">
        <v>0</v>
      </c>
      <c r="D12" s="13"/>
      <c r="E12" s="13"/>
    </row>
    <row r="13" spans="1:6">
      <c r="A13" s="35">
        <v>6</v>
      </c>
      <c r="B13" s="52" t="s">
        <v>84</v>
      </c>
      <c r="C13" s="81">
        <f>'EIA412 Taxes'!C12</f>
        <v>208827.68</v>
      </c>
    </row>
    <row r="14" spans="1:6">
      <c r="A14" s="35">
        <v>7</v>
      </c>
      <c r="B14" s="52" t="s">
        <v>202</v>
      </c>
      <c r="C14" s="81">
        <f>SUM(C9:C13)</f>
        <v>5655839.8300000001</v>
      </c>
      <c r="E14" s="13" t="s">
        <v>154</v>
      </c>
    </row>
    <row r="15" spans="1:6">
      <c r="A15" s="60">
        <v>8</v>
      </c>
      <c r="B15" s="57" t="s">
        <v>203</v>
      </c>
      <c r="C15" s="77">
        <f>+C8-C14</f>
        <v>159313.13999999966</v>
      </c>
    </row>
    <row r="16" spans="1:6">
      <c r="A16" s="35">
        <v>9</v>
      </c>
      <c r="B16" s="52" t="s">
        <v>85</v>
      </c>
      <c r="C16" s="129">
        <v>0</v>
      </c>
    </row>
    <row r="17" spans="1:7">
      <c r="A17" s="35">
        <v>10</v>
      </c>
      <c r="B17" s="52" t="s">
        <v>204</v>
      </c>
      <c r="C17" s="81">
        <f>+C16+C15</f>
        <v>159313.13999999966</v>
      </c>
      <c r="E17" t="s">
        <v>154</v>
      </c>
    </row>
    <row r="18" spans="1:7" ht="25.5">
      <c r="A18" s="35">
        <v>11</v>
      </c>
      <c r="B18" s="130" t="s">
        <v>205</v>
      </c>
      <c r="C18" s="84">
        <f>39807+1900</f>
        <v>41707</v>
      </c>
    </row>
    <row r="19" spans="1:7">
      <c r="A19" s="35">
        <v>12</v>
      </c>
      <c r="B19" s="52" t="s">
        <v>206</v>
      </c>
      <c r="C19" s="129">
        <f>12225</f>
        <v>12225</v>
      </c>
    </row>
    <row r="20" spans="1:7">
      <c r="A20" s="35">
        <v>13</v>
      </c>
      <c r="B20" s="52" t="s">
        <v>86</v>
      </c>
      <c r="C20" s="129">
        <v>0</v>
      </c>
    </row>
    <row r="21" spans="1:7">
      <c r="A21" s="35">
        <v>14</v>
      </c>
      <c r="B21" s="52" t="s">
        <v>87</v>
      </c>
      <c r="C21" s="129">
        <v>0</v>
      </c>
    </row>
    <row r="22" spans="1:7">
      <c r="A22" s="35">
        <v>15</v>
      </c>
      <c r="B22" s="59" t="s">
        <v>209</v>
      </c>
      <c r="C22" s="81">
        <f>+C17+C18-C19+C20-C21</f>
        <v>188795.13999999966</v>
      </c>
      <c r="E22" s="13" t="s">
        <v>154</v>
      </c>
    </row>
    <row r="23" spans="1:7">
      <c r="A23" s="35">
        <v>16</v>
      </c>
      <c r="B23" s="52" t="s">
        <v>88</v>
      </c>
      <c r="C23" s="84">
        <v>0</v>
      </c>
    </row>
    <row r="24" spans="1:7">
      <c r="A24" s="35">
        <v>17</v>
      </c>
      <c r="B24" s="52" t="s">
        <v>207</v>
      </c>
      <c r="C24" s="84">
        <v>0</v>
      </c>
    </row>
    <row r="25" spans="1:7">
      <c r="A25" s="35">
        <v>18</v>
      </c>
      <c r="B25" s="52" t="s">
        <v>224</v>
      </c>
      <c r="C25" s="129">
        <v>0</v>
      </c>
    </row>
    <row r="26" spans="1:7">
      <c r="A26" s="35">
        <v>19</v>
      </c>
      <c r="B26" s="59" t="s">
        <v>208</v>
      </c>
      <c r="C26" s="81">
        <f>SUM(C23:C25)</f>
        <v>0</v>
      </c>
      <c r="D26" t="s">
        <v>154</v>
      </c>
    </row>
    <row r="27" spans="1:7">
      <c r="A27" s="35">
        <v>20</v>
      </c>
      <c r="B27" s="59" t="s">
        <v>210</v>
      </c>
      <c r="C27" s="81">
        <f>+C22-C26</f>
        <v>188795.13999999966</v>
      </c>
      <c r="E27" s="13" t="s">
        <v>154</v>
      </c>
    </row>
    <row r="28" spans="1:7">
      <c r="A28" s="35">
        <v>21</v>
      </c>
      <c r="B28" s="52" t="s">
        <v>89</v>
      </c>
      <c r="C28" s="129">
        <v>0</v>
      </c>
      <c r="E28" s="1"/>
      <c r="F28" s="1"/>
      <c r="G28" s="1"/>
    </row>
    <row r="29" spans="1:7">
      <c r="A29" s="35">
        <v>22</v>
      </c>
      <c r="B29" s="52" t="s">
        <v>90</v>
      </c>
      <c r="C29" s="129">
        <v>0</v>
      </c>
      <c r="E29" s="1" t="s">
        <v>154</v>
      </c>
      <c r="F29" s="1"/>
      <c r="G29" s="1"/>
    </row>
    <row r="30" spans="1:7">
      <c r="A30" s="35">
        <v>23</v>
      </c>
      <c r="B30" s="59" t="s">
        <v>211</v>
      </c>
      <c r="C30" s="87">
        <f>+C27+C28-C29</f>
        <v>188795.13999999966</v>
      </c>
      <c r="E30" s="13">
        <f>C30-188795</f>
        <v>0.13999999966472387</v>
      </c>
      <c r="F30" s="13" t="s">
        <v>154</v>
      </c>
      <c r="G30" s="13"/>
    </row>
    <row r="31" spans="1:7">
      <c r="A31" s="35">
        <v>24</v>
      </c>
      <c r="B31" s="52" t="s">
        <v>213</v>
      </c>
      <c r="C31" s="129">
        <v>0</v>
      </c>
      <c r="E31" s="13" t="s">
        <v>154</v>
      </c>
      <c r="G31" s="13"/>
    </row>
    <row r="32" spans="1:7">
      <c r="A32" s="35">
        <v>25</v>
      </c>
      <c r="B32" s="52" t="s">
        <v>214</v>
      </c>
      <c r="C32" s="129">
        <v>0</v>
      </c>
    </row>
    <row r="33" spans="1:4">
      <c r="A33" s="35">
        <v>26</v>
      </c>
      <c r="B33" s="52" t="s">
        <v>215</v>
      </c>
      <c r="C33" s="129">
        <v>0</v>
      </c>
    </row>
    <row r="34" spans="1:4">
      <c r="A34" s="35">
        <v>27</v>
      </c>
      <c r="B34" s="52" t="s">
        <v>216</v>
      </c>
      <c r="C34" s="129">
        <v>0</v>
      </c>
    </row>
    <row r="35" spans="1:4">
      <c r="A35" s="35">
        <v>28</v>
      </c>
      <c r="B35" s="52" t="s">
        <v>220</v>
      </c>
      <c r="C35" s="149">
        <v>0</v>
      </c>
    </row>
    <row r="36" spans="1:4">
      <c r="A36" s="35">
        <v>29</v>
      </c>
      <c r="B36" s="52" t="s">
        <v>212</v>
      </c>
      <c r="C36" s="129">
        <v>0</v>
      </c>
    </row>
    <row r="37" spans="1:4">
      <c r="C37"/>
    </row>
    <row r="38" spans="1:4">
      <c r="A38" t="s">
        <v>217</v>
      </c>
      <c r="C38"/>
    </row>
    <row r="39" spans="1:4">
      <c r="A39" t="s">
        <v>218</v>
      </c>
      <c r="C39"/>
    </row>
    <row r="40" spans="1:4">
      <c r="C40"/>
    </row>
    <row r="41" spans="1:4">
      <c r="A41" t="s">
        <v>1</v>
      </c>
      <c r="C41"/>
    </row>
    <row r="42" spans="1:4">
      <c r="B42" s="541" t="s">
        <v>1789</v>
      </c>
      <c r="C42"/>
    </row>
    <row r="43" spans="1:4">
      <c r="B43" s="540" t="s">
        <v>1788</v>
      </c>
      <c r="C43" s="82"/>
    </row>
    <row r="44" spans="1:4">
      <c r="B44" s="541" t="s">
        <v>154</v>
      </c>
      <c r="C44" s="82"/>
    </row>
    <row r="45" spans="1:4">
      <c r="B45" s="541" t="s">
        <v>154</v>
      </c>
      <c r="C45" s="82"/>
    </row>
    <row r="46" spans="1:4">
      <c r="C46"/>
      <c r="D46" s="369" t="s">
        <v>154</v>
      </c>
    </row>
    <row r="47" spans="1:4">
      <c r="C47"/>
    </row>
    <row r="48" spans="1:4">
      <c r="C48"/>
    </row>
    <row r="49" spans="3:3">
      <c r="C49"/>
    </row>
    <row r="50" spans="3:3">
      <c r="C50" s="82"/>
    </row>
    <row r="51" spans="3:3">
      <c r="C51" s="82"/>
    </row>
    <row r="52" spans="3:3">
      <c r="C52" s="82"/>
    </row>
    <row r="106" spans="5:5">
      <c r="E106" s="13">
        <v>0</v>
      </c>
    </row>
    <row r="107" spans="5:5">
      <c r="E107" s="13">
        <f>'EIA412 Balance sheet'!C46</f>
        <v>0</v>
      </c>
    </row>
  </sheetData>
  <mergeCells count="4">
    <mergeCell ref="A1:C1"/>
    <mergeCell ref="A2:C2"/>
    <mergeCell ref="A3:C3"/>
    <mergeCell ref="A5:C5"/>
  </mergeCells>
  <phoneticPr fontId="0" type="noConversion"/>
  <pageMargins left="0.5" right="0.52" top="0.84" bottom="1" header="0.5" footer="0.5"/>
  <pageSetup scale="96" orientation="portrait" r:id="rId1"/>
  <headerFooter alignWithMargins="0">
    <oddFooter>&amp;L&amp;Z&amp;F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110"/>
  <sheetViews>
    <sheetView topLeftCell="A13" zoomScaleNormal="90" workbookViewId="0">
      <selection activeCell="G29" sqref="G29"/>
    </sheetView>
  </sheetViews>
  <sheetFormatPr defaultRowHeight="12.75"/>
  <cols>
    <col min="1" max="1" width="6.7109375" customWidth="1"/>
    <col min="2" max="2" width="38.5703125" customWidth="1"/>
    <col min="3" max="3" width="18.28515625" customWidth="1"/>
    <col min="4" max="6" width="15.7109375" customWidth="1"/>
    <col min="7" max="7" width="18.28515625" customWidth="1"/>
    <col min="8" max="8" width="10.7109375" bestFit="1" customWidth="1"/>
    <col min="9" max="9" width="13.5703125" bestFit="1" customWidth="1"/>
    <col min="10" max="10" width="11.28515625" bestFit="1" customWidth="1"/>
  </cols>
  <sheetData>
    <row r="1" spans="1:10" ht="15">
      <c r="A1" s="661" t="str">
        <f>+'EIA412 Balance sheet'!A1:F1</f>
        <v>Windom</v>
      </c>
      <c r="B1" s="661"/>
      <c r="C1" s="661"/>
      <c r="D1" s="661"/>
      <c r="E1" s="661"/>
      <c r="F1" s="661"/>
      <c r="G1" s="661"/>
    </row>
    <row r="2" spans="1:10" ht="15">
      <c r="A2" s="658" t="s">
        <v>2</v>
      </c>
      <c r="B2" s="658"/>
      <c r="C2" s="658"/>
      <c r="D2" s="658"/>
      <c r="E2" s="658"/>
      <c r="F2" s="658"/>
      <c r="G2" s="658"/>
    </row>
    <row r="3" spans="1:10" s="647" customFormat="1" ht="15">
      <c r="A3" s="658" t="s">
        <v>1827</v>
      </c>
      <c r="B3" s="658"/>
      <c r="C3" s="658"/>
      <c r="D3" s="658"/>
      <c r="E3" s="658"/>
      <c r="F3" s="658"/>
      <c r="G3" s="658"/>
    </row>
    <row r="4" spans="1:10" ht="15">
      <c r="A4" s="661">
        <f>+'EIA412 Balance sheet'!A3:F3</f>
        <v>42004</v>
      </c>
      <c r="B4" s="661"/>
      <c r="C4" s="661"/>
      <c r="D4" s="661"/>
      <c r="E4" s="661"/>
      <c r="F4" s="661"/>
      <c r="G4" s="661"/>
    </row>
    <row r="5" spans="1:10">
      <c r="A5" s="46"/>
      <c r="B5" s="46"/>
      <c r="C5" s="46"/>
    </row>
    <row r="6" spans="1:10" ht="15">
      <c r="A6" s="660" t="s">
        <v>21</v>
      </c>
      <c r="B6" s="660"/>
      <c r="C6" s="660"/>
      <c r="D6" s="660"/>
      <c r="E6" s="660"/>
      <c r="F6" s="660"/>
      <c r="G6" s="660"/>
    </row>
    <row r="7" spans="1:10">
      <c r="A7" s="53" t="s">
        <v>3</v>
      </c>
      <c r="B7" s="53"/>
      <c r="C7" s="53" t="s">
        <v>91</v>
      </c>
      <c r="D7" s="53"/>
      <c r="E7" s="53"/>
      <c r="F7" s="53"/>
      <c r="G7" s="53" t="s">
        <v>96</v>
      </c>
    </row>
    <row r="8" spans="1:10">
      <c r="A8" s="35" t="s">
        <v>4</v>
      </c>
      <c r="B8" s="35"/>
      <c r="C8" s="35" t="s">
        <v>92</v>
      </c>
      <c r="D8" s="35" t="s">
        <v>93</v>
      </c>
      <c r="E8" s="35" t="s">
        <v>94</v>
      </c>
      <c r="F8" s="35" t="s">
        <v>95</v>
      </c>
      <c r="G8" s="35" t="s">
        <v>92</v>
      </c>
    </row>
    <row r="9" spans="1:10" ht="20.100000000000001" customHeight="1">
      <c r="A9" s="41">
        <v>1</v>
      </c>
      <c r="B9" s="8" t="s">
        <v>97</v>
      </c>
      <c r="C9" s="128">
        <v>0</v>
      </c>
      <c r="D9" s="124">
        <v>0</v>
      </c>
      <c r="E9" s="124">
        <v>0</v>
      </c>
      <c r="F9" s="124">
        <v>0</v>
      </c>
      <c r="G9" s="62">
        <f>+C9+D9+E9+F9</f>
        <v>0</v>
      </c>
    </row>
    <row r="10" spans="1:10" ht="9" customHeight="1">
      <c r="A10" s="41"/>
      <c r="B10" s="19" t="s">
        <v>154</v>
      </c>
      <c r="C10" s="124"/>
      <c r="D10" s="124"/>
      <c r="E10" s="124"/>
      <c r="F10" s="124"/>
      <c r="G10" s="61"/>
    </row>
    <row r="11" spans="1:10" ht="20.100000000000001" customHeight="1">
      <c r="A11" s="41">
        <v>2</v>
      </c>
      <c r="B11" s="8" t="s">
        <v>98</v>
      </c>
      <c r="C11" s="126">
        <v>0</v>
      </c>
      <c r="D11" s="124">
        <v>0</v>
      </c>
      <c r="E11" s="124">
        <v>0</v>
      </c>
      <c r="F11" s="124">
        <v>0</v>
      </c>
      <c r="G11" s="62">
        <f>+C11+D11+E11+F11</f>
        <v>0</v>
      </c>
      <c r="I11" s="329" t="s">
        <v>154</v>
      </c>
    </row>
    <row r="12" spans="1:10" ht="20.100000000000001" customHeight="1">
      <c r="A12" s="41">
        <v>3</v>
      </c>
      <c r="B12" s="8" t="s">
        <v>99</v>
      </c>
      <c r="C12" s="128">
        <v>0</v>
      </c>
      <c r="D12" s="124">
        <v>0</v>
      </c>
      <c r="E12" s="124">
        <v>0</v>
      </c>
      <c r="F12" s="124">
        <v>0</v>
      </c>
      <c r="G12" s="62">
        <f t="shared" ref="G12:G24" si="0">+C12+D12+E12+F12</f>
        <v>0</v>
      </c>
    </row>
    <row r="13" spans="1:10" ht="20.100000000000001" customHeight="1">
      <c r="A13" s="41">
        <v>4</v>
      </c>
      <c r="B13" s="8" t="s">
        <v>100</v>
      </c>
      <c r="C13" s="128">
        <v>0</v>
      </c>
      <c r="D13" s="124">
        <v>0</v>
      </c>
      <c r="E13" s="124">
        <v>0</v>
      </c>
      <c r="F13" s="124">
        <v>0</v>
      </c>
      <c r="G13" s="62">
        <f t="shared" si="0"/>
        <v>0</v>
      </c>
      <c r="I13" s="86" t="s">
        <v>223</v>
      </c>
      <c r="J13" s="1" t="s">
        <v>631</v>
      </c>
    </row>
    <row r="14" spans="1:10">
      <c r="A14" s="41">
        <v>5</v>
      </c>
      <c r="B14" s="92" t="s">
        <v>1828</v>
      </c>
      <c r="C14" s="147">
        <v>3055348.64</v>
      </c>
      <c r="D14" s="560">
        <f>'ELECTRIC PLANT SUMMARY'!H324</f>
        <v>8871.09</v>
      </c>
      <c r="E14" s="560">
        <f>-'ELECTRIC PLANT SUMMARY'!H331</f>
        <v>0</v>
      </c>
      <c r="F14" s="560">
        <v>0</v>
      </c>
      <c r="G14" s="62">
        <f>C14+D14+E14+F14</f>
        <v>3064219.73</v>
      </c>
      <c r="I14" s="131" t="s">
        <v>154</v>
      </c>
    </row>
    <row r="15" spans="1:10" ht="20.100000000000001" customHeight="1">
      <c r="A15" s="41">
        <v>6</v>
      </c>
      <c r="B15" s="19" t="s">
        <v>194</v>
      </c>
      <c r="C15" s="127">
        <v>3055348.64</v>
      </c>
      <c r="D15" s="561">
        <f>SUM(D11:D14)</f>
        <v>8871.09</v>
      </c>
      <c r="E15" s="561">
        <f>SUM(E11:E14)</f>
        <v>0</v>
      </c>
      <c r="F15" s="561">
        <f>SUM(F11:F14)</f>
        <v>0</v>
      </c>
      <c r="G15" s="146">
        <f>SUM(G11:G14)</f>
        <v>3064219.73</v>
      </c>
      <c r="H15" s="302" t="s">
        <v>154</v>
      </c>
      <c r="I15" s="147">
        <f>'ELECTRIC PLANT SUMMARY'!L340</f>
        <v>1707005.2000000004</v>
      </c>
      <c r="J15" s="147">
        <f>'ELECTRIC PLANT SUMMARY'!K340</f>
        <v>126762.43000000001</v>
      </c>
    </row>
    <row r="16" spans="1:10" s="647" customFormat="1" ht="8.25" customHeight="1">
      <c r="A16" s="649"/>
      <c r="B16" s="648"/>
      <c r="C16" s="127"/>
      <c r="D16" s="561"/>
      <c r="E16" s="561"/>
      <c r="F16" s="561"/>
      <c r="G16" s="146"/>
      <c r="H16" s="646"/>
      <c r="I16" s="612"/>
      <c r="J16" s="612"/>
    </row>
    <row r="17" spans="1:10" ht="20.100000000000001" customHeight="1">
      <c r="A17" s="41">
        <v>7</v>
      </c>
      <c r="B17" s="8" t="s">
        <v>101</v>
      </c>
      <c r="C17" s="147">
        <v>351712</v>
      </c>
      <c r="D17" s="560">
        <f>'ELECTRIC PLANT SUMMARY'!H332</f>
        <v>0</v>
      </c>
      <c r="E17" s="560">
        <f>-'ELECTRIC PLANT SUMMARY'!H332</f>
        <v>0</v>
      </c>
      <c r="F17" s="560">
        <v>0</v>
      </c>
      <c r="G17" s="62">
        <f>C17+D17+E17+F17</f>
        <v>351712</v>
      </c>
      <c r="H17" t="s">
        <v>398</v>
      </c>
      <c r="I17" s="147">
        <f>'ELECTRIC PLANT SUMMARY'!L341</f>
        <v>346921.88</v>
      </c>
      <c r="J17" s="147">
        <f>'ELECTRIC PLANT SUMMARY'!K341</f>
        <v>305.77</v>
      </c>
    </row>
    <row r="18" spans="1:10" ht="20.100000000000001" customHeight="1">
      <c r="A18" s="41">
        <v>8</v>
      </c>
      <c r="B18" s="8" t="s">
        <v>102</v>
      </c>
      <c r="C18" s="147">
        <v>6259015.4299999997</v>
      </c>
      <c r="D18" s="560">
        <f>'ELECTRIC PLANT SUMMARY'!H323</f>
        <v>319488.42000000004</v>
      </c>
      <c r="E18" s="587">
        <f>-'ELECTRIC PLANT SUMMARY'!H330</f>
        <v>-37537.850000000006</v>
      </c>
      <c r="F18" s="560">
        <v>0</v>
      </c>
      <c r="G18" s="62">
        <f>C18+D18+E18+F18</f>
        <v>6540966</v>
      </c>
      <c r="H18" t="s">
        <v>154</v>
      </c>
      <c r="I18" s="147">
        <f>'ELECTRIC PLANT SUMMARY'!L339</f>
        <v>4646102.8499999978</v>
      </c>
      <c r="J18" s="147">
        <f>'ELECTRIC PLANT SUMMARY'!K339</f>
        <v>274353.31000000006</v>
      </c>
    </row>
    <row r="19" spans="1:10" ht="20.100000000000001" customHeight="1">
      <c r="A19" s="41">
        <v>9</v>
      </c>
      <c r="B19" s="8" t="s">
        <v>103</v>
      </c>
      <c r="C19" s="147">
        <v>1514660.23</v>
      </c>
      <c r="D19" s="560">
        <f>'ELECTRIC PLANT SUMMARY'!H322</f>
        <v>18788.63</v>
      </c>
      <c r="E19" s="560">
        <f>-'ELECTRIC PLANT SUMMARY'!H329</f>
        <v>-70996.349999999991</v>
      </c>
      <c r="F19" s="560">
        <v>0</v>
      </c>
      <c r="G19" s="62">
        <f>C19+D19+E19+F19</f>
        <v>1462452.5099999998</v>
      </c>
      <c r="H19" t="s">
        <v>154</v>
      </c>
      <c r="I19" s="147">
        <f>'ELECTRIC PLANT SUMMARY'!L338</f>
        <v>1099331.4299999995</v>
      </c>
      <c r="J19" s="328">
        <f>'ELECTRIC PLANT SUMMARY'!K338</f>
        <v>69188.239999999991</v>
      </c>
    </row>
    <row r="20" spans="1:10" ht="25.5">
      <c r="A20" s="41">
        <v>10</v>
      </c>
      <c r="B20" s="95" t="s">
        <v>198</v>
      </c>
      <c r="C20" s="127">
        <v>11180736.300000001</v>
      </c>
      <c r="D20" s="561">
        <f>SUM(D15:D19)</f>
        <v>347148.14000000007</v>
      </c>
      <c r="E20" s="561">
        <f>SUM(E15:E19)</f>
        <v>-108534.2</v>
      </c>
      <c r="F20" s="561">
        <f>SUM(F15:F19)</f>
        <v>0</v>
      </c>
      <c r="G20" s="62">
        <f>C20+D20+E20+F20</f>
        <v>11419350.240000002</v>
      </c>
      <c r="H20" s="330" t="s">
        <v>154</v>
      </c>
      <c r="I20" s="131">
        <f>SUM(I15:I19)</f>
        <v>7799361.3599999975</v>
      </c>
      <c r="J20" s="131">
        <f>SUM(J15:J19)</f>
        <v>470609.75000000006</v>
      </c>
    </row>
    <row r="21" spans="1:10" s="647" customFormat="1" ht="7.5" customHeight="1">
      <c r="A21" s="649"/>
      <c r="B21" s="95"/>
      <c r="C21" s="127"/>
      <c r="D21" s="561"/>
      <c r="E21" s="561"/>
      <c r="F21" s="561"/>
      <c r="G21" s="62"/>
      <c r="H21" s="330"/>
      <c r="I21" s="131"/>
      <c r="J21" s="131"/>
    </row>
    <row r="22" spans="1:10" ht="20.100000000000001" customHeight="1">
      <c r="A22" s="41">
        <v>11</v>
      </c>
      <c r="B22" s="8" t="s">
        <v>199</v>
      </c>
      <c r="C22" s="128">
        <v>0</v>
      </c>
      <c r="D22" s="560">
        <v>0</v>
      </c>
      <c r="E22" s="560">
        <v>0</v>
      </c>
      <c r="F22" s="560">
        <v>0</v>
      </c>
      <c r="G22" s="62">
        <f t="shared" si="0"/>
        <v>0</v>
      </c>
      <c r="I22" s="13" t="s">
        <v>154</v>
      </c>
    </row>
    <row r="23" spans="1:10" ht="20.100000000000001" customHeight="1">
      <c r="A23" s="41">
        <v>12</v>
      </c>
      <c r="B23" s="8" t="s">
        <v>200</v>
      </c>
      <c r="C23" s="128">
        <v>0</v>
      </c>
      <c r="D23" s="560">
        <v>0</v>
      </c>
      <c r="E23" s="560">
        <v>0</v>
      </c>
      <c r="F23" s="560">
        <v>0</v>
      </c>
      <c r="G23" s="146">
        <f t="shared" si="0"/>
        <v>0</v>
      </c>
      <c r="I23" s="327" t="s">
        <v>154</v>
      </c>
    </row>
    <row r="24" spans="1:10" ht="25.5">
      <c r="A24" s="41">
        <v>13</v>
      </c>
      <c r="B24" s="92" t="s">
        <v>201</v>
      </c>
      <c r="C24" s="128">
        <v>0</v>
      </c>
      <c r="D24" s="560">
        <v>0</v>
      </c>
      <c r="E24" s="560">
        <v>0</v>
      </c>
      <c r="F24" s="560">
        <v>0</v>
      </c>
      <c r="G24" s="62">
        <f t="shared" si="0"/>
        <v>0</v>
      </c>
    </row>
    <row r="25" spans="1:10" ht="25.5">
      <c r="A25" s="41">
        <v>14</v>
      </c>
      <c r="B25" s="95" t="s">
        <v>197</v>
      </c>
      <c r="C25" s="126">
        <v>11180736.300000001</v>
      </c>
      <c r="D25" s="563">
        <f>SUM(D20:D24)</f>
        <v>347148.14000000007</v>
      </c>
      <c r="E25" s="563">
        <f>SUM(E20:E24)</f>
        <v>-108534.2</v>
      </c>
      <c r="F25" s="563">
        <f>SUM(F20:F24)</f>
        <v>0</v>
      </c>
      <c r="G25" s="62">
        <f>+C25+D25+E25+F25</f>
        <v>11419350.240000002</v>
      </c>
    </row>
    <row r="26" spans="1:10" s="647" customFormat="1" ht="10.5" customHeight="1">
      <c r="A26" s="649"/>
      <c r="B26" s="95"/>
      <c r="C26" s="126"/>
      <c r="D26" s="563"/>
      <c r="E26" s="563"/>
      <c r="F26" s="563"/>
      <c r="G26" s="62"/>
    </row>
    <row r="27" spans="1:10" ht="20.100000000000001" customHeight="1">
      <c r="A27" s="41">
        <v>15</v>
      </c>
      <c r="B27" s="8" t="s">
        <v>195</v>
      </c>
      <c r="C27" s="124">
        <v>0</v>
      </c>
      <c r="D27" s="560">
        <v>0</v>
      </c>
      <c r="E27" s="560">
        <v>0</v>
      </c>
      <c r="F27" s="560">
        <v>0</v>
      </c>
      <c r="G27" s="62">
        <f>+C27+D27-E27+F27</f>
        <v>0</v>
      </c>
    </row>
    <row r="28" spans="1:10" ht="25.5">
      <c r="A28" s="41">
        <v>16</v>
      </c>
      <c r="B28" s="95" t="s">
        <v>196</v>
      </c>
      <c r="C28" s="62">
        <v>11180736.300000001</v>
      </c>
      <c r="D28" s="564">
        <f>SUM(D25:D27)</f>
        <v>347148.14000000007</v>
      </c>
      <c r="E28" s="564">
        <f>SUM(E25:E27)</f>
        <v>-108534.2</v>
      </c>
      <c r="F28" s="564">
        <f>SUM(F25:F27)</f>
        <v>0</v>
      </c>
      <c r="G28" s="62">
        <f>+C28+D28+E28+F28</f>
        <v>11419350.240000002</v>
      </c>
      <c r="I28" s="327">
        <f>G28-I20</f>
        <v>3619988.8800000045</v>
      </c>
    </row>
    <row r="29" spans="1:10" ht="20.100000000000001" customHeight="1">
      <c r="B29" s="647" t="s">
        <v>1826</v>
      </c>
      <c r="C29" s="369" t="s">
        <v>154</v>
      </c>
      <c r="G29" s="13">
        <f>+'EIA412 Balance sheet'!C10-'EIA412 Electric Plant'!G28</f>
        <v>0</v>
      </c>
      <c r="I29" t="s">
        <v>154</v>
      </c>
    </row>
    <row r="30" spans="1:10">
      <c r="G30" s="13"/>
      <c r="I30" s="327" t="s">
        <v>154</v>
      </c>
    </row>
    <row r="109" spans="5:5">
      <c r="E109" s="13">
        <v>0</v>
      </c>
    </row>
    <row r="110" spans="5:5">
      <c r="E110" s="13">
        <f>'EIA412 Balance sheet'!C46</f>
        <v>0</v>
      </c>
    </row>
  </sheetData>
  <mergeCells count="5">
    <mergeCell ref="A1:G1"/>
    <mergeCell ref="A2:G2"/>
    <mergeCell ref="A4:G4"/>
    <mergeCell ref="A6:G6"/>
    <mergeCell ref="A3:G3"/>
  </mergeCells>
  <phoneticPr fontId="0" type="noConversion"/>
  <pageMargins left="0.44" right="0.49" top="1" bottom="1" header="0.5" footer="0.5"/>
  <pageSetup scale="65" orientation="portrait" r:id="rId1"/>
  <headerFooter alignWithMargins="0">
    <oddFooter>&amp;L&amp;Z&amp;F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07"/>
  <sheetViews>
    <sheetView topLeftCell="A4" zoomScale="80" workbookViewId="0">
      <selection activeCell="C35" sqref="C35"/>
    </sheetView>
  </sheetViews>
  <sheetFormatPr defaultRowHeight="12.75"/>
  <cols>
    <col min="2" max="2" width="109.5703125" customWidth="1"/>
    <col min="3" max="3" width="28.7109375" customWidth="1"/>
    <col min="4" max="4" width="28.42578125" customWidth="1"/>
    <col min="5" max="5" width="20.28515625" customWidth="1"/>
  </cols>
  <sheetData>
    <row r="1" spans="1:7" ht="15">
      <c r="A1" s="661" t="str">
        <f>+'EIA412 Balance sheet'!A1:F1</f>
        <v>Windom</v>
      </c>
      <c r="B1" s="661"/>
      <c r="C1" s="661"/>
      <c r="D1" s="140"/>
      <c r="E1" s="140"/>
      <c r="F1" s="140"/>
      <c r="G1" s="140"/>
    </row>
    <row r="2" spans="1:7" ht="15">
      <c r="A2" s="658" t="s">
        <v>2</v>
      </c>
      <c r="B2" s="658"/>
      <c r="C2" s="658"/>
      <c r="D2" s="141"/>
      <c r="E2" s="141"/>
      <c r="F2" s="141"/>
      <c r="G2" s="141"/>
    </row>
    <row r="3" spans="1:7" ht="15">
      <c r="A3" s="661">
        <f>+'EIA412 Balance sheet'!A3:F3</f>
        <v>42004</v>
      </c>
      <c r="B3" s="661"/>
      <c r="C3" s="661"/>
      <c r="D3" s="140"/>
      <c r="E3" s="140"/>
      <c r="F3" s="140"/>
      <c r="G3" s="140"/>
    </row>
    <row r="4" spans="1:7" ht="15">
      <c r="A4" s="37"/>
      <c r="B4" s="37"/>
      <c r="C4" s="37"/>
      <c r="D4" s="37"/>
      <c r="E4" s="37"/>
      <c r="F4" s="37"/>
      <c r="G4" s="37"/>
    </row>
    <row r="5" spans="1:7" ht="15">
      <c r="A5" s="37"/>
      <c r="B5" s="37"/>
      <c r="C5" s="37"/>
      <c r="D5" s="37"/>
      <c r="E5" s="37"/>
      <c r="F5" s="37"/>
      <c r="G5" s="37"/>
    </row>
    <row r="6" spans="1:7">
      <c r="A6" s="662" t="s">
        <v>246</v>
      </c>
      <c r="B6" s="663"/>
      <c r="C6" s="664"/>
    </row>
    <row r="7" spans="1:7">
      <c r="A7" s="1" t="s">
        <v>104</v>
      </c>
    </row>
    <row r="8" spans="1:7">
      <c r="A8" s="1" t="s">
        <v>7</v>
      </c>
    </row>
    <row r="9" spans="1:7">
      <c r="A9" s="662" t="s">
        <v>245</v>
      </c>
      <c r="B9" s="663"/>
      <c r="C9" s="664"/>
    </row>
    <row r="10" spans="1:7">
      <c r="A10" s="133">
        <v>1</v>
      </c>
      <c r="B10" s="133" t="s">
        <v>105</v>
      </c>
      <c r="C10" s="134">
        <f>'EXPENSE DETAILS'!N126</f>
        <v>208827.68</v>
      </c>
    </row>
    <row r="11" spans="1:7">
      <c r="A11" s="6">
        <v>2</v>
      </c>
      <c r="B11" s="6" t="s">
        <v>225</v>
      </c>
      <c r="C11" s="6"/>
    </row>
    <row r="12" spans="1:7">
      <c r="A12" s="6">
        <v>3</v>
      </c>
      <c r="B12" s="6" t="s">
        <v>226</v>
      </c>
      <c r="C12" s="135">
        <f>C10+C11</f>
        <v>208827.68</v>
      </c>
    </row>
    <row r="13" spans="1:7">
      <c r="A13" s="6">
        <v>4</v>
      </c>
      <c r="B13" s="6" t="s">
        <v>227</v>
      </c>
      <c r="C13" s="6"/>
    </row>
    <row r="14" spans="1:7">
      <c r="A14" s="6">
        <v>5</v>
      </c>
      <c r="B14" s="6" t="s">
        <v>228</v>
      </c>
      <c r="C14" s="6"/>
    </row>
    <row r="15" spans="1:7">
      <c r="A15" s="6">
        <v>6</v>
      </c>
      <c r="B15" s="6" t="s">
        <v>229</v>
      </c>
      <c r="C15" s="6">
        <f>C13+C14</f>
        <v>0</v>
      </c>
    </row>
    <row r="16" spans="1:7">
      <c r="A16" s="6">
        <v>7</v>
      </c>
      <c r="B16" s="6" t="s">
        <v>230</v>
      </c>
      <c r="C16" s="6"/>
    </row>
    <row r="17" spans="1:3">
      <c r="A17" s="6">
        <v>8</v>
      </c>
      <c r="B17" s="6" t="s">
        <v>231</v>
      </c>
      <c r="C17" s="6"/>
    </row>
    <row r="18" spans="1:3">
      <c r="A18" s="7">
        <v>9</v>
      </c>
      <c r="B18" s="7" t="s">
        <v>232</v>
      </c>
      <c r="C18" s="136">
        <f>C12+C15+C16+C17</f>
        <v>208827.68</v>
      </c>
    </row>
    <row r="19" spans="1:3">
      <c r="A19" s="662" t="s">
        <v>233</v>
      </c>
      <c r="B19" s="663"/>
      <c r="C19" s="664"/>
    </row>
    <row r="20" spans="1:3">
      <c r="A20" s="133">
        <v>10</v>
      </c>
      <c r="B20" s="137" t="s">
        <v>234</v>
      </c>
      <c r="C20" s="51"/>
    </row>
    <row r="21" spans="1:3">
      <c r="A21" s="6">
        <v>11</v>
      </c>
      <c r="B21" s="138" t="s">
        <v>235</v>
      </c>
      <c r="C21" s="36"/>
    </row>
    <row r="22" spans="1:3">
      <c r="A22" s="6">
        <v>12</v>
      </c>
      <c r="B22" s="138" t="s">
        <v>236</v>
      </c>
      <c r="C22" s="36"/>
    </row>
    <row r="23" spans="1:3">
      <c r="A23" s="6">
        <v>13</v>
      </c>
      <c r="B23" s="138" t="s">
        <v>237</v>
      </c>
      <c r="C23" s="36"/>
    </row>
    <row r="24" spans="1:3">
      <c r="A24" s="7">
        <v>14</v>
      </c>
      <c r="B24" s="5" t="s">
        <v>238</v>
      </c>
      <c r="C24" s="52">
        <f>SUM(C20:C23)</f>
        <v>0</v>
      </c>
    </row>
    <row r="25" spans="1:3">
      <c r="A25" s="662" t="s">
        <v>239</v>
      </c>
      <c r="B25" s="663"/>
      <c r="C25" s="664"/>
    </row>
    <row r="26" spans="1:3">
      <c r="A26" s="133">
        <v>15</v>
      </c>
      <c r="B26" s="133" t="s">
        <v>240</v>
      </c>
      <c r="C26" s="133"/>
    </row>
    <row r="27" spans="1:3">
      <c r="A27" s="6">
        <v>16</v>
      </c>
      <c r="B27" s="6" t="s">
        <v>241</v>
      </c>
      <c r="C27" s="6"/>
    </row>
    <row r="28" spans="1:3">
      <c r="A28" s="6">
        <v>17</v>
      </c>
      <c r="B28" s="6" t="s">
        <v>242</v>
      </c>
      <c r="C28" s="6"/>
    </row>
    <row r="29" spans="1:3">
      <c r="A29" s="6">
        <v>18</v>
      </c>
      <c r="B29" s="6" t="s">
        <v>237</v>
      </c>
      <c r="C29" s="6"/>
    </row>
    <row r="30" spans="1:3">
      <c r="A30" s="6">
        <v>19</v>
      </c>
      <c r="B30" s="6" t="s">
        <v>243</v>
      </c>
      <c r="C30" s="6">
        <f>SUM(C26:C29)</f>
        <v>0</v>
      </c>
    </row>
    <row r="31" spans="1:3" ht="27" customHeight="1">
      <c r="A31" s="7">
        <v>20</v>
      </c>
      <c r="B31" s="139" t="s">
        <v>244</v>
      </c>
      <c r="C31" s="7">
        <f>C24-C30</f>
        <v>0</v>
      </c>
    </row>
    <row r="37" spans="2:5">
      <c r="B37" s="86" t="s">
        <v>250</v>
      </c>
    </row>
    <row r="39" spans="2:5">
      <c r="B39" t="s">
        <v>253</v>
      </c>
      <c r="C39" s="151" t="s">
        <v>256</v>
      </c>
      <c r="D39" s="151" t="s">
        <v>257</v>
      </c>
      <c r="E39" s="151" t="s">
        <v>251</v>
      </c>
    </row>
    <row r="41" spans="2:5">
      <c r="B41" t="s">
        <v>255</v>
      </c>
      <c r="C41" s="88">
        <v>150000</v>
      </c>
      <c r="D41" s="152">
        <v>1.4999999999999999E-2</v>
      </c>
      <c r="E41" s="88">
        <f>C41*D41</f>
        <v>2250</v>
      </c>
    </row>
    <row r="42" spans="2:5">
      <c r="B42" t="s">
        <v>254</v>
      </c>
      <c r="C42" s="88">
        <f>'EIA412 Balance sheet'!C10-'EIA412 Taxes'!C41</f>
        <v>11269350.240000002</v>
      </c>
      <c r="D42" s="152">
        <v>0.02</v>
      </c>
      <c r="E42" s="88">
        <f>C42*D42</f>
        <v>225387.00480000005</v>
      </c>
    </row>
    <row r="44" spans="2:5">
      <c r="E44" s="3"/>
    </row>
    <row r="45" spans="2:5">
      <c r="B45" t="s">
        <v>258</v>
      </c>
      <c r="E45" s="153">
        <f>SUM(E41:E44)</f>
        <v>227637.00480000005</v>
      </c>
    </row>
    <row r="47" spans="2:5">
      <c r="B47" t="s">
        <v>261</v>
      </c>
    </row>
    <row r="48" spans="2:5">
      <c r="C48" s="150"/>
    </row>
    <row r="49" spans="2:5" ht="13.5" thickBot="1">
      <c r="E49" s="155"/>
    </row>
    <row r="50" spans="2:5" ht="13.5" thickTop="1">
      <c r="B50" t="s">
        <v>252</v>
      </c>
      <c r="C50" s="154">
        <v>1.5031858</v>
      </c>
      <c r="E50" s="156">
        <f>C50*E45</f>
        <v>342180.71316989191</v>
      </c>
    </row>
    <row r="53" spans="2:5">
      <c r="B53" t="s">
        <v>259</v>
      </c>
    </row>
    <row r="54" spans="2:5">
      <c r="B54" t="s">
        <v>262</v>
      </c>
    </row>
    <row r="55" spans="2:5">
      <c r="B55" t="s">
        <v>260</v>
      </c>
    </row>
    <row r="106" spans="5:5">
      <c r="E106" s="13">
        <v>0</v>
      </c>
    </row>
    <row r="107" spans="5:5">
      <c r="E107" s="13">
        <f>'EIA412 Balance sheet'!C46</f>
        <v>0</v>
      </c>
    </row>
  </sheetData>
  <mergeCells count="7">
    <mergeCell ref="A25:C25"/>
    <mergeCell ref="A9:C9"/>
    <mergeCell ref="A6:C6"/>
    <mergeCell ref="A1:C1"/>
    <mergeCell ref="A2:C2"/>
    <mergeCell ref="A3:C3"/>
    <mergeCell ref="A19:C19"/>
  </mergeCells>
  <phoneticPr fontId="0" type="noConversion"/>
  <pageMargins left="0.75" right="0.75" top="1" bottom="1" header="0.5" footer="0.5"/>
  <pageSetup orientation="portrait" r:id="rId1"/>
  <headerFooter alignWithMargins="0">
    <oddFooter>&amp;L&amp;Z&amp;F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107"/>
  <sheetViews>
    <sheetView topLeftCell="A7" zoomScaleNormal="85" workbookViewId="0">
      <selection activeCell="F36" sqref="F36"/>
    </sheetView>
  </sheetViews>
  <sheetFormatPr defaultRowHeight="12.75"/>
  <cols>
    <col min="1" max="1" width="6.7109375" customWidth="1"/>
    <col min="2" max="2" width="29.5703125" customWidth="1"/>
    <col min="3" max="3" width="18.7109375" customWidth="1"/>
    <col min="4" max="4" width="18.5703125" customWidth="1"/>
    <col min="5" max="6" width="15.7109375" customWidth="1"/>
    <col min="8" max="8" width="9.7109375" bestFit="1" customWidth="1"/>
  </cols>
  <sheetData>
    <row r="1" spans="1:7" ht="15">
      <c r="A1" s="661" t="str">
        <f>+'EIA412 Balance sheet'!A1:F1</f>
        <v>Windom</v>
      </c>
      <c r="B1" s="661"/>
      <c r="C1" s="661"/>
      <c r="D1" s="661"/>
      <c r="E1" s="661"/>
      <c r="F1" s="661"/>
      <c r="G1" s="14"/>
    </row>
    <row r="2" spans="1:7" ht="15">
      <c r="A2" s="658" t="s">
        <v>2</v>
      </c>
      <c r="B2" s="658"/>
      <c r="C2" s="658"/>
      <c r="D2" s="658"/>
      <c r="E2" s="658"/>
      <c r="F2" s="658"/>
      <c r="G2" s="14"/>
    </row>
    <row r="3" spans="1:7" ht="15">
      <c r="A3" s="661">
        <f>+'EIA412 Balance sheet'!A3:F3</f>
        <v>42004</v>
      </c>
      <c r="B3" s="661"/>
      <c r="C3" s="661"/>
      <c r="D3" s="661"/>
      <c r="E3" s="661"/>
      <c r="F3" s="661"/>
      <c r="G3" s="37"/>
    </row>
    <row r="5" spans="1:7">
      <c r="A5" s="665" t="s">
        <v>193</v>
      </c>
      <c r="B5" s="665"/>
      <c r="C5" s="665"/>
      <c r="D5" s="665"/>
      <c r="E5" s="665"/>
      <c r="F5" s="665"/>
    </row>
    <row r="6" spans="1:7">
      <c r="A6" s="34" t="s">
        <v>3</v>
      </c>
      <c r="B6" s="34"/>
      <c r="C6" s="34"/>
      <c r="D6" s="34"/>
      <c r="E6" s="34"/>
      <c r="F6" s="34"/>
    </row>
    <row r="7" spans="1:7" ht="13.5" thickBot="1">
      <c r="A7" s="35" t="s">
        <v>7</v>
      </c>
      <c r="B7" s="35"/>
      <c r="C7" s="34" t="s">
        <v>106</v>
      </c>
      <c r="D7" s="35" t="s">
        <v>107</v>
      </c>
      <c r="E7" s="35" t="s">
        <v>108</v>
      </c>
      <c r="F7" s="35" t="s">
        <v>109</v>
      </c>
    </row>
    <row r="8" spans="1:7">
      <c r="A8" s="36">
        <v>1</v>
      </c>
      <c r="B8" s="4" t="s">
        <v>110</v>
      </c>
      <c r="C8" s="71"/>
      <c r="D8" s="54"/>
      <c r="E8" s="54"/>
      <c r="F8" s="54"/>
    </row>
    <row r="9" spans="1:7">
      <c r="A9" s="52"/>
      <c r="B9" s="3" t="s">
        <v>111</v>
      </c>
      <c r="C9" s="107">
        <v>0</v>
      </c>
      <c r="D9" s="108">
        <v>0</v>
      </c>
      <c r="E9" s="108">
        <v>0</v>
      </c>
      <c r="F9" s="55">
        <f>SUM(C9:E9)</f>
        <v>0</v>
      </c>
    </row>
    <row r="10" spans="1:7" ht="25.5">
      <c r="A10" s="52">
        <v>2</v>
      </c>
      <c r="B10" s="113" t="s">
        <v>189</v>
      </c>
      <c r="C10" s="107">
        <v>0</v>
      </c>
      <c r="D10" s="108">
        <v>0</v>
      </c>
      <c r="E10" s="108">
        <v>0</v>
      </c>
      <c r="F10" s="55">
        <f>SUM(C10:E10)</f>
        <v>0</v>
      </c>
    </row>
    <row r="11" spans="1:7">
      <c r="A11" s="36">
        <v>3</v>
      </c>
      <c r="B11" s="4" t="s">
        <v>112</v>
      </c>
      <c r="C11" s="72"/>
      <c r="D11" s="54"/>
      <c r="E11" s="54"/>
      <c r="F11" s="54"/>
    </row>
    <row r="12" spans="1:7">
      <c r="A12" s="52"/>
      <c r="B12" s="3" t="s">
        <v>113</v>
      </c>
      <c r="C12" s="107">
        <v>0</v>
      </c>
      <c r="D12" s="108">
        <v>0</v>
      </c>
      <c r="E12" s="108">
        <v>0</v>
      </c>
      <c r="F12" s="55">
        <f>SUM(C12:E12)</f>
        <v>0</v>
      </c>
    </row>
    <row r="13" spans="1:7">
      <c r="A13" s="63">
        <v>4</v>
      </c>
      <c r="B13" s="68" t="s">
        <v>114</v>
      </c>
      <c r="C13" s="72"/>
      <c r="D13" s="54"/>
      <c r="E13" s="54"/>
      <c r="F13" s="54"/>
    </row>
    <row r="14" spans="1:7">
      <c r="A14" s="63"/>
      <c r="B14" s="114" t="s">
        <v>115</v>
      </c>
      <c r="C14" s="72"/>
      <c r="D14" s="54"/>
      <c r="E14" s="54"/>
      <c r="F14" s="54"/>
    </row>
    <row r="15" spans="1:7">
      <c r="A15" s="52"/>
      <c r="B15" s="69" t="s">
        <v>219</v>
      </c>
      <c r="C15" s="107">
        <f>8606.25</f>
        <v>8606.25</v>
      </c>
      <c r="D15" s="108">
        <v>0</v>
      </c>
      <c r="E15" s="108">
        <v>0</v>
      </c>
      <c r="F15" s="55">
        <f>SUM(C15:E15)</f>
        <v>8606.25</v>
      </c>
    </row>
    <row r="16" spans="1:7">
      <c r="A16" s="64">
        <v>5</v>
      </c>
      <c r="B16" s="70" t="s">
        <v>116</v>
      </c>
      <c r="C16" s="110">
        <f>'EIA412 Purchased Power'!H44</f>
        <v>4001119.77</v>
      </c>
      <c r="D16" s="111">
        <v>0</v>
      </c>
      <c r="E16" s="111">
        <v>0</v>
      </c>
      <c r="F16" s="58">
        <f>SUM(C16:E16)</f>
        <v>4001119.77</v>
      </c>
    </row>
    <row r="17" spans="1:9">
      <c r="A17" s="36">
        <v>6</v>
      </c>
      <c r="B17" s="4" t="s">
        <v>117</v>
      </c>
      <c r="C17" s="72"/>
      <c r="D17" s="54"/>
      <c r="E17" s="54"/>
      <c r="F17" s="54"/>
    </row>
    <row r="18" spans="1:9" ht="13.5" thickBot="1">
      <c r="A18" s="52"/>
      <c r="B18" s="3" t="s">
        <v>118</v>
      </c>
      <c r="C18" s="109">
        <v>0</v>
      </c>
      <c r="D18" s="129">
        <f>'EXPENSE DETAILS'!G126-'EIA412 Op &amp; Maint'!E18</f>
        <v>33906.130829224101</v>
      </c>
      <c r="E18" s="108">
        <f>SUM('EXPENSE DETAILS'!G38:G52)</f>
        <v>96392.87</v>
      </c>
      <c r="F18" s="55">
        <f>SUM(C18:E18)</f>
        <v>130299.0008292241</v>
      </c>
    </row>
    <row r="19" spans="1:9">
      <c r="A19" s="56">
        <v>7</v>
      </c>
      <c r="B19" s="56" t="s">
        <v>119</v>
      </c>
      <c r="C19" s="132">
        <f>C9+C10+C12+C15+C16+C18</f>
        <v>4009726.02</v>
      </c>
      <c r="D19" s="66">
        <f>SUM(D9:D18)</f>
        <v>33906.130829224101</v>
      </c>
      <c r="E19" s="66">
        <f>SUM(E9:E18)</f>
        <v>96392.87</v>
      </c>
      <c r="F19" s="66">
        <f>SUM(C19:E19)</f>
        <v>4140025.020829224</v>
      </c>
      <c r="G19" t="s">
        <v>154</v>
      </c>
      <c r="H19" s="13" t="s">
        <v>154</v>
      </c>
      <c r="I19" s="13" t="s">
        <v>154</v>
      </c>
    </row>
    <row r="20" spans="1:9">
      <c r="A20" s="36">
        <v>8</v>
      </c>
      <c r="B20" s="36" t="s">
        <v>120</v>
      </c>
      <c r="C20" s="54"/>
      <c r="D20" s="54"/>
      <c r="E20" s="54"/>
      <c r="F20" s="54"/>
    </row>
    <row r="21" spans="1:9">
      <c r="A21" s="52"/>
      <c r="B21" s="52" t="s">
        <v>121</v>
      </c>
      <c r="C21" s="65" t="s">
        <v>134</v>
      </c>
      <c r="D21" s="129">
        <f>'EXPENSE DETAILS'!H128-'EIA412 Op &amp; Maint'!E21</f>
        <v>19055.217506499903</v>
      </c>
      <c r="E21" s="129">
        <f>SUM('EXPENSE DETAILS'!H38:H52)</f>
        <v>0</v>
      </c>
      <c r="F21" s="81">
        <f>SUM(D21:E21)</f>
        <v>19055.217506499903</v>
      </c>
      <c r="H21" t="s">
        <v>154</v>
      </c>
    </row>
    <row r="22" spans="1:9">
      <c r="A22" s="36">
        <v>9</v>
      </c>
      <c r="B22" s="36" t="s">
        <v>122</v>
      </c>
      <c r="C22" s="54"/>
      <c r="D22" s="54"/>
      <c r="E22" s="54"/>
      <c r="F22" s="54"/>
    </row>
    <row r="23" spans="1:9">
      <c r="A23" s="52"/>
      <c r="B23" s="52" t="s">
        <v>123</v>
      </c>
      <c r="C23" s="65" t="s">
        <v>134</v>
      </c>
      <c r="D23" s="129">
        <f>'EXPENSE DETAILS'!I126-'EIA412 Op &amp; Maint'!E23</f>
        <v>237401.85220800206</v>
      </c>
      <c r="E23" s="108">
        <f>SUM('EXPENSE DETAILS'!I38:I52)</f>
        <v>31899.05</v>
      </c>
      <c r="F23" s="55">
        <f>SUM(D23:E23)</f>
        <v>269300.90220800205</v>
      </c>
    </row>
    <row r="24" spans="1:9">
      <c r="A24" s="36">
        <v>10</v>
      </c>
      <c r="B24" s="36" t="s">
        <v>124</v>
      </c>
      <c r="C24" s="54"/>
      <c r="D24" s="337"/>
      <c r="E24" s="54"/>
      <c r="F24" s="54"/>
    </row>
    <row r="25" spans="1:9">
      <c r="A25" s="52"/>
      <c r="B25" s="52" t="s">
        <v>125</v>
      </c>
      <c r="C25" s="65" t="s">
        <v>134</v>
      </c>
      <c r="D25" s="129">
        <f>'EXPENSE DETAILS'!J126-E25</f>
        <v>2765.73</v>
      </c>
      <c r="E25" s="108">
        <v>0</v>
      </c>
      <c r="F25" s="55">
        <f>SUM(D25:E25)</f>
        <v>2765.73</v>
      </c>
    </row>
    <row r="26" spans="1:9">
      <c r="A26" s="36">
        <v>11</v>
      </c>
      <c r="B26" s="36" t="s">
        <v>126</v>
      </c>
      <c r="C26" s="54"/>
      <c r="D26" s="337"/>
      <c r="E26" s="54"/>
      <c r="F26" s="54"/>
    </row>
    <row r="27" spans="1:9">
      <c r="A27" s="52"/>
      <c r="B27" s="52" t="s">
        <v>127</v>
      </c>
      <c r="C27" s="65" t="s">
        <v>134</v>
      </c>
      <c r="D27" s="129">
        <f>'EXPENSE DETAILS'!K126+'EXPENSE DETAILS'!L126-E27</f>
        <v>161973.73523649061</v>
      </c>
      <c r="E27" s="108">
        <v>0</v>
      </c>
      <c r="F27" s="55">
        <f>SUM(D27:E27)</f>
        <v>161973.73523649061</v>
      </c>
    </row>
    <row r="28" spans="1:9">
      <c r="A28" s="56">
        <v>12</v>
      </c>
      <c r="B28" s="56" t="s">
        <v>128</v>
      </c>
      <c r="C28" s="65" t="s">
        <v>134</v>
      </c>
      <c r="D28" s="77"/>
      <c r="E28" s="58"/>
      <c r="F28" s="58"/>
    </row>
    <row r="29" spans="1:9">
      <c r="A29" s="56">
        <v>13</v>
      </c>
      <c r="B29" s="56" t="s">
        <v>129</v>
      </c>
      <c r="C29" s="65" t="s">
        <v>134</v>
      </c>
      <c r="D29" s="85">
        <f>'EXPENSE DETAILS'!M126-'EIA412 Op &amp; Maint'!E29-'EXPENSE DETAILS'!R126</f>
        <v>371335.06421978318</v>
      </c>
      <c r="E29" s="111">
        <f>SUM('EXPENSE DETAILS'!M38:M52)</f>
        <v>11946.73</v>
      </c>
      <c r="F29" s="55">
        <f>SUM(D29:E29)</f>
        <v>383281.79421978316</v>
      </c>
    </row>
    <row r="30" spans="1:9">
      <c r="A30" s="36">
        <v>14</v>
      </c>
      <c r="B30" s="36" t="s">
        <v>130</v>
      </c>
      <c r="C30" s="54"/>
      <c r="D30" s="54"/>
      <c r="E30" s="54"/>
      <c r="F30" s="54"/>
    </row>
    <row r="31" spans="1:9">
      <c r="A31" s="52"/>
      <c r="B31" s="52" t="s">
        <v>131</v>
      </c>
      <c r="C31" s="148">
        <f>C19</f>
        <v>4009726.02</v>
      </c>
      <c r="D31" s="67">
        <f>SUM(D19:D30)</f>
        <v>826437.72999999986</v>
      </c>
      <c r="E31" s="67">
        <f>SUM(E19:E30)</f>
        <v>140238.65</v>
      </c>
      <c r="F31" s="67">
        <f>SUM(F19:F30)</f>
        <v>4976402.4000000013</v>
      </c>
      <c r="H31" s="13" t="s">
        <v>154</v>
      </c>
      <c r="I31" s="13" t="s">
        <v>154</v>
      </c>
    </row>
    <row r="32" spans="1:9">
      <c r="C32" s="13"/>
      <c r="D32" s="13"/>
      <c r="E32" s="13"/>
      <c r="F32" s="13"/>
    </row>
    <row r="33" spans="2:6">
      <c r="B33" s="666" t="s">
        <v>132</v>
      </c>
      <c r="C33" s="667"/>
      <c r="D33" s="112">
        <v>6</v>
      </c>
      <c r="E33" s="13" t="s">
        <v>154</v>
      </c>
      <c r="F33" s="13" t="s">
        <v>154</v>
      </c>
    </row>
    <row r="34" spans="2:6">
      <c r="B34" s="5" t="s">
        <v>133</v>
      </c>
      <c r="C34" s="50"/>
      <c r="D34" s="108">
        <v>0</v>
      </c>
      <c r="E34" s="13" t="s">
        <v>154</v>
      </c>
      <c r="F34" s="13">
        <f>5480508-'EXPENSE DETAILS'!N25-'EXPENSE DETAILS'!N26-'ELECTRIC PLANT SUMMARY'!K319+'EXPENSE DETAILS'!H127</f>
        <v>4976402.54</v>
      </c>
    </row>
    <row r="35" spans="2:6">
      <c r="C35" s="13"/>
      <c r="D35" s="13"/>
      <c r="E35" s="13"/>
      <c r="F35" s="13" t="s">
        <v>154</v>
      </c>
    </row>
    <row r="36" spans="2:6">
      <c r="D36" s="13" t="s">
        <v>154</v>
      </c>
      <c r="F36" s="13">
        <f>F34-F31</f>
        <v>0.1399999987334013</v>
      </c>
    </row>
    <row r="44" spans="2:6">
      <c r="F44" s="370" t="s">
        <v>154</v>
      </c>
    </row>
    <row r="45" spans="2:6">
      <c r="F45" s="327" t="s">
        <v>154</v>
      </c>
    </row>
    <row r="106" spans="5:5">
      <c r="E106" s="13">
        <v>0</v>
      </c>
    </row>
    <row r="107" spans="5:5">
      <c r="E107" s="13">
        <f>'EIA412 Balance sheet'!C46</f>
        <v>0</v>
      </c>
    </row>
  </sheetData>
  <mergeCells count="5">
    <mergeCell ref="A5:F5"/>
    <mergeCell ref="B33:C33"/>
    <mergeCell ref="A1:F1"/>
    <mergeCell ref="A2:F2"/>
    <mergeCell ref="A3:F3"/>
  </mergeCells>
  <phoneticPr fontId="0" type="noConversion"/>
  <pageMargins left="0.54" right="0.54" top="0.86" bottom="0.56999999999999995" header="0.5" footer="0.5"/>
  <pageSetup scale="73" orientation="portrait" r:id="rId1"/>
  <headerFooter alignWithMargins="0">
    <oddFooter>&amp;L&amp;Z&amp;F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107"/>
  <sheetViews>
    <sheetView zoomScaleNormal="90" workbookViewId="0">
      <pane ySplit="8" topLeftCell="A21" activePane="bottomLeft" state="frozen"/>
      <selection pane="bottomLeft" sqref="A1:H1"/>
    </sheetView>
  </sheetViews>
  <sheetFormatPr defaultRowHeight="12.75"/>
  <cols>
    <col min="2" max="2" width="21.7109375" customWidth="1"/>
    <col min="3" max="3" width="5.7109375" customWidth="1"/>
    <col min="4" max="8" width="12.7109375" customWidth="1"/>
    <col min="10" max="10" width="13.7109375" customWidth="1"/>
    <col min="12" max="12" width="14.7109375" customWidth="1"/>
  </cols>
  <sheetData>
    <row r="1" spans="1:11" ht="15">
      <c r="A1" s="661" t="str">
        <f>+'EIA412 Balance sheet'!A1:F1</f>
        <v>Windom</v>
      </c>
      <c r="B1" s="661"/>
      <c r="C1" s="661"/>
      <c r="D1" s="661"/>
      <c r="E1" s="661"/>
      <c r="F1" s="661"/>
      <c r="G1" s="661"/>
      <c r="H1" s="661"/>
    </row>
    <row r="2" spans="1:11" ht="15">
      <c r="A2" s="658" t="s">
        <v>2</v>
      </c>
      <c r="B2" s="658"/>
      <c r="C2" s="658"/>
      <c r="D2" s="658"/>
      <c r="E2" s="658"/>
      <c r="F2" s="658"/>
      <c r="G2" s="658"/>
      <c r="H2" s="658"/>
    </row>
    <row r="3" spans="1:11" ht="15">
      <c r="A3" s="661">
        <f>+'EIA412 Balance sheet'!A3:F3</f>
        <v>42004</v>
      </c>
      <c r="B3" s="661"/>
      <c r="C3" s="661"/>
      <c r="D3" s="661"/>
      <c r="E3" s="661"/>
      <c r="F3" s="661"/>
      <c r="G3" s="661"/>
      <c r="H3" s="661"/>
    </row>
    <row r="4" spans="1:11">
      <c r="A4" s="86"/>
    </row>
    <row r="5" spans="1:11">
      <c r="A5" s="665" t="s">
        <v>190</v>
      </c>
      <c r="B5" s="665"/>
      <c r="C5" s="665"/>
      <c r="D5" s="665"/>
      <c r="E5" s="665"/>
      <c r="F5" s="665"/>
      <c r="G5" s="665"/>
      <c r="H5" s="665"/>
    </row>
    <row r="6" spans="1:11">
      <c r="A6" s="53"/>
      <c r="B6" s="53"/>
      <c r="C6" s="53"/>
      <c r="D6" s="53" t="s">
        <v>138</v>
      </c>
      <c r="E6" s="53" t="s">
        <v>141</v>
      </c>
      <c r="F6" s="53" t="s">
        <v>144</v>
      </c>
      <c r="G6" s="53" t="s">
        <v>147</v>
      </c>
      <c r="H6" s="53" t="s">
        <v>150</v>
      </c>
    </row>
    <row r="7" spans="1:11">
      <c r="A7" s="34" t="s">
        <v>3</v>
      </c>
      <c r="B7" s="34"/>
      <c r="C7" s="34" t="s">
        <v>136</v>
      </c>
      <c r="D7" s="34" t="s">
        <v>139</v>
      </c>
      <c r="E7" s="34" t="s">
        <v>142</v>
      </c>
      <c r="F7" s="34" t="s">
        <v>145</v>
      </c>
      <c r="G7" s="34" t="s">
        <v>148</v>
      </c>
      <c r="H7" s="34" t="s">
        <v>151</v>
      </c>
    </row>
    <row r="8" spans="1:11">
      <c r="A8" s="35" t="s">
        <v>4</v>
      </c>
      <c r="B8" s="35" t="s">
        <v>135</v>
      </c>
      <c r="C8" s="35" t="s">
        <v>137</v>
      </c>
      <c r="D8" s="35" t="s">
        <v>140</v>
      </c>
      <c r="E8" s="35" t="s">
        <v>143</v>
      </c>
      <c r="F8" s="35" t="s">
        <v>146</v>
      </c>
      <c r="G8" s="35" t="s">
        <v>149</v>
      </c>
      <c r="H8" s="35" t="s">
        <v>146</v>
      </c>
    </row>
    <row r="9" spans="1:11">
      <c r="A9" s="41">
        <v>1</v>
      </c>
      <c r="B9" s="117"/>
      <c r="C9" s="118"/>
      <c r="D9" s="115">
        <v>0</v>
      </c>
      <c r="E9" s="116">
        <v>0</v>
      </c>
      <c r="F9" s="116">
        <v>0</v>
      </c>
      <c r="G9" s="115">
        <v>0</v>
      </c>
      <c r="H9" s="61">
        <f>SUM(F9:G9)</f>
        <v>0</v>
      </c>
      <c r="K9" s="73"/>
    </row>
    <row r="10" spans="1:11">
      <c r="A10" s="41">
        <v>2</v>
      </c>
      <c r="B10" s="117"/>
      <c r="C10" s="125"/>
      <c r="D10" s="115">
        <v>0</v>
      </c>
      <c r="E10" s="116">
        <v>0</v>
      </c>
      <c r="F10" s="116">
        <v>0</v>
      </c>
      <c r="G10" s="115">
        <v>0</v>
      </c>
      <c r="H10" s="61">
        <f>SUM(F10:G10)</f>
        <v>0</v>
      </c>
      <c r="K10" s="73"/>
    </row>
    <row r="11" spans="1:11">
      <c r="A11" s="41">
        <v>3</v>
      </c>
      <c r="B11" s="117"/>
      <c r="C11" s="118"/>
      <c r="D11" s="115">
        <v>0</v>
      </c>
      <c r="E11" s="116">
        <v>0</v>
      </c>
      <c r="F11" s="116">
        <v>0</v>
      </c>
      <c r="G11" s="115">
        <v>0</v>
      </c>
      <c r="H11" s="61">
        <f t="shared" ref="H11:H43" si="0">SUM(F11:G11)</f>
        <v>0</v>
      </c>
      <c r="K11" s="73"/>
    </row>
    <row r="12" spans="1:11">
      <c r="A12" s="41">
        <v>4</v>
      </c>
      <c r="B12" s="117"/>
      <c r="C12" s="118"/>
      <c r="D12" s="115">
        <v>0</v>
      </c>
      <c r="E12" s="116">
        <v>0</v>
      </c>
      <c r="F12" s="116">
        <v>0</v>
      </c>
      <c r="G12" s="115">
        <v>0</v>
      </c>
      <c r="H12" s="61">
        <f t="shared" si="0"/>
        <v>0</v>
      </c>
      <c r="K12" s="73"/>
    </row>
    <row r="13" spans="1:11">
      <c r="A13" s="41">
        <v>5</v>
      </c>
      <c r="B13" s="117"/>
      <c r="C13" s="118"/>
      <c r="D13" s="115">
        <v>0</v>
      </c>
      <c r="E13" s="116">
        <v>0</v>
      </c>
      <c r="F13" s="116">
        <v>0</v>
      </c>
      <c r="G13" s="115">
        <v>0</v>
      </c>
      <c r="H13" s="61">
        <f t="shared" si="0"/>
        <v>0</v>
      </c>
      <c r="K13" s="73"/>
    </row>
    <row r="14" spans="1:11">
      <c r="A14" s="41">
        <v>6</v>
      </c>
      <c r="B14" s="117"/>
      <c r="C14" s="118"/>
      <c r="D14" s="115">
        <v>0</v>
      </c>
      <c r="E14" s="116">
        <v>0</v>
      </c>
      <c r="F14" s="116">
        <v>0</v>
      </c>
      <c r="G14" s="116">
        <v>0</v>
      </c>
      <c r="H14" s="61">
        <f t="shared" si="0"/>
        <v>0</v>
      </c>
      <c r="K14" s="73"/>
    </row>
    <row r="15" spans="1:11">
      <c r="A15" s="41">
        <v>7</v>
      </c>
      <c r="B15" s="117"/>
      <c r="C15" s="118"/>
      <c r="D15" s="115">
        <v>0</v>
      </c>
      <c r="E15" s="116">
        <v>0</v>
      </c>
      <c r="F15" s="116">
        <v>0</v>
      </c>
      <c r="G15" s="116">
        <v>0</v>
      </c>
      <c r="H15" s="61">
        <f t="shared" si="0"/>
        <v>0</v>
      </c>
      <c r="K15" s="73"/>
    </row>
    <row r="16" spans="1:11">
      <c r="A16" s="41">
        <v>8</v>
      </c>
      <c r="B16" s="117"/>
      <c r="C16" s="118"/>
      <c r="D16" s="115">
        <v>0</v>
      </c>
      <c r="E16" s="116">
        <v>0</v>
      </c>
      <c r="F16" s="116">
        <v>0</v>
      </c>
      <c r="G16" s="116">
        <v>0</v>
      </c>
      <c r="H16" s="61">
        <f t="shared" si="0"/>
        <v>0</v>
      </c>
      <c r="K16" s="73"/>
    </row>
    <row r="17" spans="1:11">
      <c r="A17" s="41">
        <v>9</v>
      </c>
      <c r="B17" s="117"/>
      <c r="C17" s="118"/>
      <c r="D17" s="115">
        <v>0</v>
      </c>
      <c r="E17" s="116">
        <v>0</v>
      </c>
      <c r="F17" s="116">
        <v>0</v>
      </c>
      <c r="G17" s="116">
        <v>0</v>
      </c>
      <c r="H17" s="61">
        <f t="shared" si="0"/>
        <v>0</v>
      </c>
      <c r="K17" s="73"/>
    </row>
    <row r="18" spans="1:11">
      <c r="A18" s="41">
        <v>10</v>
      </c>
      <c r="B18" s="117"/>
      <c r="C18" s="118"/>
      <c r="D18" s="115">
        <v>0</v>
      </c>
      <c r="E18" s="116">
        <v>0</v>
      </c>
      <c r="F18" s="116">
        <v>0</v>
      </c>
      <c r="G18" s="116">
        <v>0</v>
      </c>
      <c r="H18" s="61">
        <f t="shared" si="0"/>
        <v>0</v>
      </c>
      <c r="K18" s="73"/>
    </row>
    <row r="19" spans="1:11">
      <c r="A19" s="41">
        <v>11</v>
      </c>
      <c r="B19" s="117"/>
      <c r="C19" s="118"/>
      <c r="D19" s="115">
        <v>0</v>
      </c>
      <c r="E19" s="116">
        <v>0</v>
      </c>
      <c r="F19" s="116">
        <v>0</v>
      </c>
      <c r="G19" s="116">
        <v>0</v>
      </c>
      <c r="H19" s="61">
        <f t="shared" si="0"/>
        <v>0</v>
      </c>
      <c r="K19" s="73"/>
    </row>
    <row r="20" spans="1:11">
      <c r="A20" s="41">
        <v>12</v>
      </c>
      <c r="B20" s="117"/>
      <c r="C20" s="118"/>
      <c r="D20" s="115">
        <v>0</v>
      </c>
      <c r="E20" s="116">
        <v>0</v>
      </c>
      <c r="F20" s="116">
        <v>0</v>
      </c>
      <c r="G20" s="116">
        <v>0</v>
      </c>
      <c r="H20" s="61">
        <f t="shared" si="0"/>
        <v>0</v>
      </c>
      <c r="K20" s="73"/>
    </row>
    <row r="21" spans="1:11">
      <c r="A21" s="41">
        <v>13</v>
      </c>
      <c r="B21" s="117"/>
      <c r="C21" s="118"/>
      <c r="D21" s="115">
        <v>0</v>
      </c>
      <c r="E21" s="116">
        <v>0</v>
      </c>
      <c r="F21" s="116">
        <v>0</v>
      </c>
      <c r="G21" s="116">
        <v>0</v>
      </c>
      <c r="H21" s="61">
        <f t="shared" si="0"/>
        <v>0</v>
      </c>
      <c r="K21" s="73"/>
    </row>
    <row r="22" spans="1:11">
      <c r="A22" s="41">
        <v>14</v>
      </c>
      <c r="B22" s="117"/>
      <c r="C22" s="118"/>
      <c r="D22" s="115">
        <v>0</v>
      </c>
      <c r="E22" s="116">
        <v>0</v>
      </c>
      <c r="F22" s="116">
        <v>0</v>
      </c>
      <c r="G22" s="116">
        <v>0</v>
      </c>
      <c r="H22" s="61">
        <f t="shared" si="0"/>
        <v>0</v>
      </c>
      <c r="J22" s="75"/>
    </row>
    <row r="23" spans="1:11">
      <c r="A23" s="41">
        <v>15</v>
      </c>
      <c r="B23" s="117"/>
      <c r="C23" s="118"/>
      <c r="D23" s="115">
        <v>0</v>
      </c>
      <c r="E23" s="116">
        <v>0</v>
      </c>
      <c r="F23" s="116">
        <v>0</v>
      </c>
      <c r="G23" s="116">
        <v>0</v>
      </c>
      <c r="H23" s="61">
        <f t="shared" si="0"/>
        <v>0</v>
      </c>
    </row>
    <row r="24" spans="1:11">
      <c r="A24" s="41">
        <v>16</v>
      </c>
      <c r="B24" s="117"/>
      <c r="C24" s="118"/>
      <c r="D24" s="115">
        <v>0</v>
      </c>
      <c r="E24" s="116">
        <v>0</v>
      </c>
      <c r="F24" s="116">
        <v>0</v>
      </c>
      <c r="G24" s="116">
        <v>0</v>
      </c>
      <c r="H24" s="61">
        <f t="shared" si="0"/>
        <v>0</v>
      </c>
    </row>
    <row r="25" spans="1:11">
      <c r="A25" s="41">
        <v>17</v>
      </c>
      <c r="B25" s="117"/>
      <c r="C25" s="118"/>
      <c r="D25" s="115">
        <v>0</v>
      </c>
      <c r="E25" s="116">
        <v>0</v>
      </c>
      <c r="F25" s="116">
        <v>0</v>
      </c>
      <c r="G25" s="116">
        <v>0</v>
      </c>
      <c r="H25" s="61">
        <f t="shared" si="0"/>
        <v>0</v>
      </c>
    </row>
    <row r="26" spans="1:11">
      <c r="A26" s="41">
        <v>18</v>
      </c>
      <c r="B26" s="117"/>
      <c r="C26" s="118"/>
      <c r="D26" s="115">
        <v>0</v>
      </c>
      <c r="E26" s="116">
        <v>0</v>
      </c>
      <c r="F26" s="116">
        <v>0</v>
      </c>
      <c r="G26" s="116">
        <v>0</v>
      </c>
      <c r="H26" s="61">
        <f t="shared" si="0"/>
        <v>0</v>
      </c>
    </row>
    <row r="27" spans="1:11">
      <c r="A27" s="41">
        <v>19</v>
      </c>
      <c r="B27" s="117"/>
      <c r="C27" s="118"/>
      <c r="D27" s="115">
        <v>0</v>
      </c>
      <c r="E27" s="116">
        <v>0</v>
      </c>
      <c r="F27" s="116">
        <v>0</v>
      </c>
      <c r="G27" s="116">
        <v>0</v>
      </c>
      <c r="H27" s="61">
        <f t="shared" si="0"/>
        <v>0</v>
      </c>
    </row>
    <row r="28" spans="1:11">
      <c r="A28" s="41">
        <v>20</v>
      </c>
      <c r="B28" s="117"/>
      <c r="C28" s="118"/>
      <c r="D28" s="115">
        <v>0</v>
      </c>
      <c r="E28" s="116">
        <v>0</v>
      </c>
      <c r="F28" s="116">
        <v>0</v>
      </c>
      <c r="G28" s="116">
        <v>0</v>
      </c>
      <c r="H28" s="61">
        <f t="shared" si="0"/>
        <v>0</v>
      </c>
    </row>
    <row r="29" spans="1:11">
      <c r="A29" s="41">
        <v>21</v>
      </c>
      <c r="B29" s="117"/>
      <c r="C29" s="118"/>
      <c r="D29" s="115">
        <v>0</v>
      </c>
      <c r="E29" s="116">
        <v>0</v>
      </c>
      <c r="F29" s="116">
        <v>0</v>
      </c>
      <c r="G29" s="116">
        <v>0</v>
      </c>
      <c r="H29" s="61">
        <f t="shared" si="0"/>
        <v>0</v>
      </c>
    </row>
    <row r="30" spans="1:11">
      <c r="A30" s="41">
        <v>22</v>
      </c>
      <c r="B30" s="117"/>
      <c r="C30" s="118"/>
      <c r="D30" s="116">
        <v>0</v>
      </c>
      <c r="E30" s="116">
        <v>0</v>
      </c>
      <c r="F30" s="116">
        <v>0</v>
      </c>
      <c r="G30" s="116">
        <v>0</v>
      </c>
      <c r="H30" s="61">
        <f t="shared" si="0"/>
        <v>0</v>
      </c>
    </row>
    <row r="31" spans="1:11">
      <c r="A31" s="41">
        <v>23</v>
      </c>
      <c r="B31" s="117"/>
      <c r="C31" s="118"/>
      <c r="D31" s="116">
        <v>0</v>
      </c>
      <c r="E31" s="116">
        <v>0</v>
      </c>
      <c r="F31" s="116">
        <v>0</v>
      </c>
      <c r="G31" s="116">
        <v>0</v>
      </c>
      <c r="H31" s="61">
        <f t="shared" si="0"/>
        <v>0</v>
      </c>
    </row>
    <row r="32" spans="1:11">
      <c r="A32" s="41">
        <v>24</v>
      </c>
      <c r="B32" s="117"/>
      <c r="C32" s="118"/>
      <c r="D32" s="116">
        <v>0</v>
      </c>
      <c r="E32" s="116">
        <v>0</v>
      </c>
      <c r="F32" s="116">
        <v>0</v>
      </c>
      <c r="G32" s="116">
        <v>0</v>
      </c>
      <c r="H32" s="61">
        <f t="shared" si="0"/>
        <v>0</v>
      </c>
    </row>
    <row r="33" spans="1:8">
      <c r="A33" s="41">
        <v>25</v>
      </c>
      <c r="B33" s="117"/>
      <c r="C33" s="118"/>
      <c r="D33" s="116">
        <v>0</v>
      </c>
      <c r="E33" s="116">
        <v>0</v>
      </c>
      <c r="F33" s="116">
        <v>0</v>
      </c>
      <c r="G33" s="116">
        <v>0</v>
      </c>
      <c r="H33" s="61">
        <f t="shared" si="0"/>
        <v>0</v>
      </c>
    </row>
    <row r="34" spans="1:8">
      <c r="A34" s="41">
        <v>26</v>
      </c>
      <c r="B34" s="117"/>
      <c r="C34" s="118"/>
      <c r="D34" s="116">
        <v>0</v>
      </c>
      <c r="E34" s="116">
        <v>0</v>
      </c>
      <c r="F34" s="116">
        <v>0</v>
      </c>
      <c r="G34" s="116">
        <v>0</v>
      </c>
      <c r="H34" s="61">
        <f t="shared" si="0"/>
        <v>0</v>
      </c>
    </row>
    <row r="35" spans="1:8">
      <c r="A35" s="41">
        <v>27</v>
      </c>
      <c r="B35" s="117"/>
      <c r="C35" s="118"/>
      <c r="D35" s="116">
        <v>0</v>
      </c>
      <c r="E35" s="116">
        <v>0</v>
      </c>
      <c r="F35" s="116">
        <v>0</v>
      </c>
      <c r="G35" s="116">
        <v>0</v>
      </c>
      <c r="H35" s="61">
        <f t="shared" si="0"/>
        <v>0</v>
      </c>
    </row>
    <row r="36" spans="1:8">
      <c r="A36" s="41">
        <v>28</v>
      </c>
      <c r="B36" s="117"/>
      <c r="C36" s="118"/>
      <c r="D36" s="116">
        <v>0</v>
      </c>
      <c r="E36" s="116">
        <v>0</v>
      </c>
      <c r="F36" s="116">
        <v>0</v>
      </c>
      <c r="G36" s="116">
        <v>0</v>
      </c>
      <c r="H36" s="61">
        <f t="shared" si="0"/>
        <v>0</v>
      </c>
    </row>
    <row r="37" spans="1:8">
      <c r="A37" s="41">
        <v>29</v>
      </c>
      <c r="B37" s="117"/>
      <c r="C37" s="118"/>
      <c r="D37" s="116">
        <v>0</v>
      </c>
      <c r="E37" s="116">
        <v>0</v>
      </c>
      <c r="F37" s="116">
        <v>0</v>
      </c>
      <c r="G37" s="116">
        <v>0</v>
      </c>
      <c r="H37" s="61">
        <f t="shared" si="0"/>
        <v>0</v>
      </c>
    </row>
    <row r="38" spans="1:8">
      <c r="A38" s="41">
        <v>30</v>
      </c>
      <c r="B38" s="117"/>
      <c r="C38" s="118"/>
      <c r="D38" s="116">
        <v>0</v>
      </c>
      <c r="E38" s="116">
        <v>0</v>
      </c>
      <c r="F38" s="116">
        <v>0</v>
      </c>
      <c r="G38" s="116">
        <v>0</v>
      </c>
      <c r="H38" s="61">
        <f t="shared" si="0"/>
        <v>0</v>
      </c>
    </row>
    <row r="39" spans="1:8">
      <c r="A39" s="41">
        <v>31</v>
      </c>
      <c r="B39" s="117"/>
      <c r="C39" s="118"/>
      <c r="D39" s="116">
        <v>0</v>
      </c>
      <c r="E39" s="116">
        <v>0</v>
      </c>
      <c r="F39" s="116">
        <v>0</v>
      </c>
      <c r="G39" s="116">
        <v>0</v>
      </c>
      <c r="H39" s="61">
        <f t="shared" si="0"/>
        <v>0</v>
      </c>
    </row>
    <row r="40" spans="1:8">
      <c r="A40" s="41">
        <v>32</v>
      </c>
      <c r="B40" s="117"/>
      <c r="C40" s="118"/>
      <c r="D40" s="116">
        <v>0</v>
      </c>
      <c r="E40" s="116">
        <v>0</v>
      </c>
      <c r="F40" s="116">
        <v>0</v>
      </c>
      <c r="G40" s="116">
        <v>0</v>
      </c>
      <c r="H40" s="61">
        <f t="shared" si="0"/>
        <v>0</v>
      </c>
    </row>
    <row r="41" spans="1:8">
      <c r="A41" s="41">
        <v>33</v>
      </c>
      <c r="B41" s="117"/>
      <c r="C41" s="118"/>
      <c r="D41" s="116">
        <v>0</v>
      </c>
      <c r="E41" s="116">
        <v>0</v>
      </c>
      <c r="F41" s="116">
        <v>0</v>
      </c>
      <c r="G41" s="116">
        <v>0</v>
      </c>
      <c r="H41" s="61">
        <f t="shared" si="0"/>
        <v>0</v>
      </c>
    </row>
    <row r="42" spans="1:8">
      <c r="A42" s="41">
        <v>34</v>
      </c>
      <c r="B42" s="117"/>
      <c r="C42" s="118"/>
      <c r="D42" s="116">
        <v>0</v>
      </c>
      <c r="E42" s="116">
        <v>0</v>
      </c>
      <c r="F42" s="116">
        <v>0</v>
      </c>
      <c r="G42" s="116">
        <v>0</v>
      </c>
      <c r="H42" s="61">
        <f t="shared" si="0"/>
        <v>0</v>
      </c>
    </row>
    <row r="43" spans="1:8">
      <c r="A43" s="41">
        <v>35</v>
      </c>
      <c r="B43" s="117"/>
      <c r="C43" s="118"/>
      <c r="D43" s="115">
        <v>0</v>
      </c>
      <c r="E43" s="115">
        <v>0</v>
      </c>
      <c r="F43" s="115">
        <v>0</v>
      </c>
      <c r="G43" s="115">
        <v>0</v>
      </c>
      <c r="H43" s="61">
        <f t="shared" si="0"/>
        <v>0</v>
      </c>
    </row>
    <row r="44" spans="1:8">
      <c r="A44" s="8"/>
      <c r="B44" s="8"/>
      <c r="C44" s="41"/>
      <c r="D44" s="61">
        <f>SUM(D9:D43)</f>
        <v>0</v>
      </c>
      <c r="E44" s="61">
        <f>SUM(E9:E43)</f>
        <v>0</v>
      </c>
      <c r="F44" s="61">
        <f>SUM(F9:F43)</f>
        <v>0</v>
      </c>
      <c r="G44" s="61">
        <f>SUM(G9:G43)</f>
        <v>0</v>
      </c>
      <c r="H44" s="61">
        <f>SUM(H9:H43)</f>
        <v>0</v>
      </c>
    </row>
    <row r="45" spans="1:8">
      <c r="D45" s="13"/>
      <c r="E45" s="13"/>
      <c r="F45" s="13"/>
      <c r="G45" s="13"/>
      <c r="H45" s="13"/>
    </row>
    <row r="46" spans="1:8">
      <c r="B46" s="4"/>
      <c r="D46" s="13"/>
      <c r="E46" s="13"/>
      <c r="F46" s="13" t="s">
        <v>154</v>
      </c>
      <c r="G46" s="13" t="s">
        <v>154</v>
      </c>
      <c r="H46" s="13"/>
    </row>
    <row r="47" spans="1:8">
      <c r="D47" s="13"/>
      <c r="E47" s="13"/>
      <c r="F47" s="13"/>
      <c r="G47" s="13"/>
      <c r="H47" s="13"/>
    </row>
    <row r="48" spans="1:8">
      <c r="D48" s="13"/>
      <c r="E48" s="13"/>
      <c r="F48" s="13"/>
      <c r="G48" s="13"/>
      <c r="H48" s="13"/>
    </row>
    <row r="106" spans="5:5">
      <c r="E106" s="13">
        <v>0</v>
      </c>
    </row>
    <row r="107" spans="5:5">
      <c r="E107" s="13">
        <f>'EIA412 Balance sheet'!C46</f>
        <v>0</v>
      </c>
    </row>
  </sheetData>
  <mergeCells count="4">
    <mergeCell ref="A1:H1"/>
    <mergeCell ref="A2:H2"/>
    <mergeCell ref="A3:H3"/>
    <mergeCell ref="A5:H5"/>
  </mergeCells>
  <phoneticPr fontId="0" type="noConversion"/>
  <pageMargins left="0.56999999999999995" right="0.56999999999999995" top="0.54" bottom="1" header="0.5" footer="0.5"/>
  <pageSetup scale="95" orientation="portrait" r:id="rId1"/>
  <headerFooter alignWithMargins="0">
    <oddFooter>&amp;L&amp;Z&amp;F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107"/>
  <sheetViews>
    <sheetView zoomScaleNormal="80" workbookViewId="0">
      <pane ySplit="8" topLeftCell="A9" activePane="bottomLeft" state="frozen"/>
      <selection pane="bottomLeft" activeCell="G9" sqref="G9"/>
    </sheetView>
  </sheetViews>
  <sheetFormatPr defaultRowHeight="12.75"/>
  <cols>
    <col min="2" max="2" width="21.7109375" customWidth="1"/>
    <col min="3" max="3" width="5.7109375" customWidth="1"/>
    <col min="4" max="7" width="12.7109375" customWidth="1"/>
    <col min="8" max="8" width="14" customWidth="1"/>
    <col min="9" max="9" width="11.28515625" bestFit="1" customWidth="1"/>
  </cols>
  <sheetData>
    <row r="1" spans="1:8" ht="15">
      <c r="A1" s="661" t="str">
        <f>+'EIA412 Balance sheet'!A1:F1</f>
        <v>Windom</v>
      </c>
      <c r="B1" s="661"/>
      <c r="C1" s="661"/>
      <c r="D1" s="661"/>
      <c r="E1" s="661"/>
      <c r="F1" s="661"/>
      <c r="G1" s="661"/>
      <c r="H1" s="661"/>
    </row>
    <row r="2" spans="1:8" ht="15">
      <c r="A2" s="658" t="s">
        <v>2</v>
      </c>
      <c r="B2" s="658"/>
      <c r="C2" s="658"/>
      <c r="D2" s="658"/>
      <c r="E2" s="658"/>
      <c r="F2" s="658"/>
      <c r="G2" s="658"/>
      <c r="H2" s="658"/>
    </row>
    <row r="3" spans="1:8" ht="15">
      <c r="A3" s="661">
        <f>+'EIA412 Balance sheet'!A3:F3</f>
        <v>42004</v>
      </c>
      <c r="B3" s="661"/>
      <c r="C3" s="661"/>
      <c r="D3" s="661"/>
      <c r="E3" s="661"/>
      <c r="F3" s="661"/>
      <c r="G3" s="661"/>
      <c r="H3" s="661"/>
    </row>
    <row r="4" spans="1:8">
      <c r="A4" s="86"/>
    </row>
    <row r="5" spans="1:8">
      <c r="A5" s="665" t="s">
        <v>192</v>
      </c>
      <c r="B5" s="665"/>
      <c r="C5" s="665"/>
      <c r="D5" s="665"/>
      <c r="E5" s="665"/>
      <c r="F5" s="665"/>
      <c r="G5" s="665"/>
      <c r="H5" s="665"/>
    </row>
    <row r="6" spans="1:8">
      <c r="A6" s="53"/>
      <c r="B6" s="53"/>
      <c r="C6" s="53"/>
      <c r="D6" s="53" t="s">
        <v>138</v>
      </c>
      <c r="E6" s="53" t="s">
        <v>141</v>
      </c>
      <c r="F6" s="53" t="s">
        <v>144</v>
      </c>
      <c r="G6" s="53" t="s">
        <v>147</v>
      </c>
      <c r="H6" s="53" t="s">
        <v>150</v>
      </c>
    </row>
    <row r="7" spans="1:8">
      <c r="A7" s="34" t="s">
        <v>3</v>
      </c>
      <c r="B7" s="34"/>
      <c r="C7" s="34" t="s">
        <v>136</v>
      </c>
      <c r="D7" s="34" t="s">
        <v>153</v>
      </c>
      <c r="E7" s="34" t="s">
        <v>142</v>
      </c>
      <c r="F7" s="34" t="s">
        <v>145</v>
      </c>
      <c r="G7" s="34" t="s">
        <v>148</v>
      </c>
      <c r="H7" s="34" t="s">
        <v>151</v>
      </c>
    </row>
    <row r="8" spans="1:8">
      <c r="A8" s="35" t="s">
        <v>4</v>
      </c>
      <c r="B8" s="35" t="s">
        <v>152</v>
      </c>
      <c r="C8" s="35" t="s">
        <v>137</v>
      </c>
      <c r="D8" s="35" t="s">
        <v>140</v>
      </c>
      <c r="E8" s="35" t="s">
        <v>143</v>
      </c>
      <c r="F8" s="35" t="s">
        <v>146</v>
      </c>
      <c r="G8" s="35" t="s">
        <v>149</v>
      </c>
      <c r="H8" s="35" t="s">
        <v>146</v>
      </c>
    </row>
    <row r="9" spans="1:8">
      <c r="A9" s="41">
        <v>1</v>
      </c>
      <c r="B9" s="117" t="s">
        <v>623</v>
      </c>
      <c r="C9" s="118" t="s">
        <v>247</v>
      </c>
      <c r="D9" s="116">
        <v>0</v>
      </c>
      <c r="E9" s="116">
        <v>0</v>
      </c>
      <c r="F9" s="116">
        <v>0</v>
      </c>
      <c r="G9" s="116">
        <f>4001119.77</f>
        <v>4001119.77</v>
      </c>
      <c r="H9" s="87">
        <f>SUM(F9:G9)</f>
        <v>4001119.77</v>
      </c>
    </row>
    <row r="10" spans="1:8">
      <c r="A10" s="41">
        <v>2</v>
      </c>
      <c r="B10" s="117"/>
      <c r="C10" s="118"/>
      <c r="D10" s="116">
        <v>0</v>
      </c>
      <c r="E10" s="116">
        <v>0</v>
      </c>
      <c r="F10" s="116">
        <v>0</v>
      </c>
      <c r="G10" s="116">
        <v>0</v>
      </c>
      <c r="H10" s="87">
        <f>SUM(F10:G10)</f>
        <v>0</v>
      </c>
    </row>
    <row r="11" spans="1:8">
      <c r="A11" s="41">
        <v>3</v>
      </c>
      <c r="B11" s="117"/>
      <c r="C11" s="118"/>
      <c r="D11" s="116">
        <v>0</v>
      </c>
      <c r="E11" s="116">
        <v>0</v>
      </c>
      <c r="F11" s="116">
        <v>0</v>
      </c>
      <c r="G11" s="116">
        <v>0</v>
      </c>
      <c r="H11" s="87">
        <f t="shared" ref="H11:H43" si="0">SUM(F11:G11)</f>
        <v>0</v>
      </c>
    </row>
    <row r="12" spans="1:8">
      <c r="A12" s="41">
        <v>4</v>
      </c>
      <c r="B12" s="117"/>
      <c r="C12" s="118"/>
      <c r="D12" s="116">
        <v>0</v>
      </c>
      <c r="E12" s="116">
        <v>0</v>
      </c>
      <c r="F12" s="116">
        <v>0</v>
      </c>
      <c r="G12" s="116">
        <v>0</v>
      </c>
      <c r="H12" s="87">
        <f t="shared" si="0"/>
        <v>0</v>
      </c>
    </row>
    <row r="13" spans="1:8">
      <c r="A13" s="41">
        <v>5</v>
      </c>
      <c r="B13" s="117"/>
      <c r="C13" s="118"/>
      <c r="D13" s="116">
        <v>0</v>
      </c>
      <c r="E13" s="116">
        <v>0</v>
      </c>
      <c r="F13" s="116">
        <v>0</v>
      </c>
      <c r="G13" s="116">
        <v>0</v>
      </c>
      <c r="H13" s="87">
        <f t="shared" si="0"/>
        <v>0</v>
      </c>
    </row>
    <row r="14" spans="1:8">
      <c r="A14" s="41">
        <v>6</v>
      </c>
      <c r="B14" s="117"/>
      <c r="C14" s="118"/>
      <c r="D14" s="116">
        <v>0</v>
      </c>
      <c r="E14" s="116">
        <v>0</v>
      </c>
      <c r="F14" s="116">
        <v>0</v>
      </c>
      <c r="G14" s="116">
        <v>0</v>
      </c>
      <c r="H14" s="87">
        <f t="shared" si="0"/>
        <v>0</v>
      </c>
    </row>
    <row r="15" spans="1:8">
      <c r="A15" s="41">
        <v>7</v>
      </c>
      <c r="B15" s="117"/>
      <c r="C15" s="118"/>
      <c r="D15" s="116">
        <v>0</v>
      </c>
      <c r="E15" s="116">
        <v>0</v>
      </c>
      <c r="F15" s="116">
        <v>0</v>
      </c>
      <c r="G15" s="116">
        <v>0</v>
      </c>
      <c r="H15" s="87">
        <f t="shared" si="0"/>
        <v>0</v>
      </c>
    </row>
    <row r="16" spans="1:8">
      <c r="A16" s="41">
        <v>8</v>
      </c>
      <c r="B16" s="117"/>
      <c r="C16" s="118"/>
      <c r="D16" s="116">
        <v>0</v>
      </c>
      <c r="E16" s="116">
        <v>0</v>
      </c>
      <c r="F16" s="116">
        <v>0</v>
      </c>
      <c r="G16" s="116">
        <v>0</v>
      </c>
      <c r="H16" s="87">
        <f t="shared" si="0"/>
        <v>0</v>
      </c>
    </row>
    <row r="17" spans="1:8">
      <c r="A17" s="41">
        <v>9</v>
      </c>
      <c r="B17" s="122"/>
      <c r="C17" s="123"/>
      <c r="D17" s="116">
        <v>0</v>
      </c>
      <c r="E17" s="116">
        <v>0</v>
      </c>
      <c r="F17" s="116">
        <v>0</v>
      </c>
      <c r="G17" s="116">
        <v>0</v>
      </c>
      <c r="H17" s="87">
        <f t="shared" ref="H17:H24" si="1">SUM(F17:G17)</f>
        <v>0</v>
      </c>
    </row>
    <row r="18" spans="1:8">
      <c r="A18" s="41">
        <v>10</v>
      </c>
      <c r="B18" s="117"/>
      <c r="C18" s="118"/>
      <c r="D18" s="116">
        <v>0</v>
      </c>
      <c r="E18" s="116">
        <v>0</v>
      </c>
      <c r="F18" s="116">
        <v>0</v>
      </c>
      <c r="G18" s="116">
        <v>0</v>
      </c>
      <c r="H18" s="87">
        <f t="shared" si="1"/>
        <v>0</v>
      </c>
    </row>
    <row r="19" spans="1:8">
      <c r="A19" s="41">
        <v>11</v>
      </c>
      <c r="B19" s="117"/>
      <c r="C19" s="118"/>
      <c r="D19" s="124">
        <v>0</v>
      </c>
      <c r="E19" s="116">
        <v>0</v>
      </c>
      <c r="F19" s="124">
        <v>0</v>
      </c>
      <c r="G19" s="124">
        <v>0</v>
      </c>
      <c r="H19" s="61">
        <f t="shared" si="1"/>
        <v>0</v>
      </c>
    </row>
    <row r="20" spans="1:8">
      <c r="A20" s="41">
        <v>12</v>
      </c>
      <c r="B20" s="117"/>
      <c r="C20" s="118"/>
      <c r="D20" s="124">
        <v>0</v>
      </c>
      <c r="E20" s="116">
        <v>0</v>
      </c>
      <c r="F20" s="124">
        <v>0</v>
      </c>
      <c r="G20" s="124">
        <v>0</v>
      </c>
      <c r="H20" s="61">
        <f t="shared" si="1"/>
        <v>0</v>
      </c>
    </row>
    <row r="21" spans="1:8">
      <c r="A21" s="41">
        <v>13</v>
      </c>
      <c r="B21" s="117"/>
      <c r="C21" s="118"/>
      <c r="D21" s="124">
        <v>0</v>
      </c>
      <c r="E21" s="116">
        <v>0</v>
      </c>
      <c r="F21" s="124">
        <v>0</v>
      </c>
      <c r="G21" s="124">
        <v>0</v>
      </c>
      <c r="H21" s="61">
        <f t="shared" si="1"/>
        <v>0</v>
      </c>
    </row>
    <row r="22" spans="1:8">
      <c r="A22" s="41">
        <v>14</v>
      </c>
      <c r="B22" s="117"/>
      <c r="C22" s="118"/>
      <c r="D22" s="124">
        <v>0</v>
      </c>
      <c r="E22" s="116">
        <v>0</v>
      </c>
      <c r="F22" s="124">
        <v>0</v>
      </c>
      <c r="G22" s="124">
        <v>0</v>
      </c>
      <c r="H22" s="61">
        <f t="shared" si="1"/>
        <v>0</v>
      </c>
    </row>
    <row r="23" spans="1:8">
      <c r="A23" s="41">
        <v>15</v>
      </c>
      <c r="B23" s="117"/>
      <c r="C23" s="118"/>
      <c r="D23" s="124">
        <v>0</v>
      </c>
      <c r="E23" s="116">
        <v>0</v>
      </c>
      <c r="F23" s="124">
        <v>0</v>
      </c>
      <c r="G23" s="124">
        <v>0</v>
      </c>
      <c r="H23" s="61">
        <f t="shared" si="1"/>
        <v>0</v>
      </c>
    </row>
    <row r="24" spans="1:8">
      <c r="A24" s="41">
        <v>16</v>
      </c>
      <c r="B24" s="117"/>
      <c r="C24" s="118"/>
      <c r="D24" s="124">
        <v>0</v>
      </c>
      <c r="E24" s="116">
        <v>0</v>
      </c>
      <c r="F24" s="124">
        <v>0</v>
      </c>
      <c r="G24" s="124">
        <v>0</v>
      </c>
      <c r="H24" s="61">
        <f t="shared" si="1"/>
        <v>0</v>
      </c>
    </row>
    <row r="25" spans="1:8">
      <c r="A25" s="41">
        <v>17</v>
      </c>
      <c r="B25" s="117"/>
      <c r="C25" s="118"/>
      <c r="D25" s="124">
        <v>0</v>
      </c>
      <c r="E25" s="116">
        <v>0</v>
      </c>
      <c r="F25" s="124">
        <v>0</v>
      </c>
      <c r="G25" s="124">
        <v>0</v>
      </c>
      <c r="H25" s="61">
        <f>SUM(G25:G25)</f>
        <v>0</v>
      </c>
    </row>
    <row r="26" spans="1:8">
      <c r="A26" s="41">
        <v>18</v>
      </c>
      <c r="B26" s="117"/>
      <c r="C26" s="118"/>
      <c r="D26" s="124">
        <v>0</v>
      </c>
      <c r="E26" s="116">
        <v>0</v>
      </c>
      <c r="F26" s="124">
        <v>0</v>
      </c>
      <c r="G26" s="124">
        <v>0</v>
      </c>
      <c r="H26" s="61">
        <f>SUM(G26:G26)</f>
        <v>0</v>
      </c>
    </row>
    <row r="27" spans="1:8">
      <c r="A27" s="41">
        <v>19</v>
      </c>
      <c r="B27" s="117"/>
      <c r="C27" s="118"/>
      <c r="D27" s="124">
        <v>0</v>
      </c>
      <c r="E27" s="124">
        <v>0</v>
      </c>
      <c r="F27" s="124">
        <v>0</v>
      </c>
      <c r="G27" s="124">
        <v>0</v>
      </c>
      <c r="H27" s="61">
        <f t="shared" si="0"/>
        <v>0</v>
      </c>
    </row>
    <row r="28" spans="1:8">
      <c r="A28" s="41">
        <v>20</v>
      </c>
      <c r="B28" s="117"/>
      <c r="C28" s="118"/>
      <c r="D28" s="124">
        <v>0</v>
      </c>
      <c r="E28" s="124">
        <v>0</v>
      </c>
      <c r="F28" s="124">
        <v>0</v>
      </c>
      <c r="G28" s="124">
        <v>0</v>
      </c>
      <c r="H28" s="61">
        <f t="shared" si="0"/>
        <v>0</v>
      </c>
    </row>
    <row r="29" spans="1:8">
      <c r="A29" s="41">
        <v>21</v>
      </c>
      <c r="B29" s="117"/>
      <c r="C29" s="118"/>
      <c r="D29" s="124">
        <v>0</v>
      </c>
      <c r="E29" s="124">
        <v>0</v>
      </c>
      <c r="F29" s="124">
        <v>0</v>
      </c>
      <c r="G29" s="124">
        <v>0</v>
      </c>
      <c r="H29" s="61">
        <f t="shared" si="0"/>
        <v>0</v>
      </c>
    </row>
    <row r="30" spans="1:8">
      <c r="A30" s="41">
        <v>22</v>
      </c>
      <c r="B30" s="117"/>
      <c r="C30" s="118"/>
      <c r="D30" s="124">
        <v>0</v>
      </c>
      <c r="E30" s="124">
        <v>0</v>
      </c>
      <c r="F30" s="124">
        <v>0</v>
      </c>
      <c r="G30" s="124">
        <v>0</v>
      </c>
      <c r="H30" s="61">
        <f t="shared" si="0"/>
        <v>0</v>
      </c>
    </row>
    <row r="31" spans="1:8">
      <c r="A31" s="41">
        <v>23</v>
      </c>
      <c r="B31" s="117"/>
      <c r="C31" s="118"/>
      <c r="D31" s="124">
        <v>0</v>
      </c>
      <c r="E31" s="124">
        <v>0</v>
      </c>
      <c r="F31" s="124">
        <v>0</v>
      </c>
      <c r="G31" s="124">
        <v>0</v>
      </c>
      <c r="H31" s="61">
        <f t="shared" si="0"/>
        <v>0</v>
      </c>
    </row>
    <row r="32" spans="1:8">
      <c r="A32" s="41">
        <v>24</v>
      </c>
      <c r="B32" s="117"/>
      <c r="C32" s="118"/>
      <c r="D32" s="124">
        <v>0</v>
      </c>
      <c r="E32" s="124">
        <v>0</v>
      </c>
      <c r="F32" s="124">
        <v>0</v>
      </c>
      <c r="G32" s="124">
        <v>0</v>
      </c>
      <c r="H32" s="61">
        <f t="shared" si="0"/>
        <v>0</v>
      </c>
    </row>
    <row r="33" spans="1:8">
      <c r="A33" s="41">
        <v>25</v>
      </c>
      <c r="B33" s="117"/>
      <c r="C33" s="118"/>
      <c r="D33" s="124">
        <v>0</v>
      </c>
      <c r="E33" s="124">
        <v>0</v>
      </c>
      <c r="F33" s="124">
        <v>0</v>
      </c>
      <c r="G33" s="124">
        <v>0</v>
      </c>
      <c r="H33" s="61">
        <f t="shared" si="0"/>
        <v>0</v>
      </c>
    </row>
    <row r="34" spans="1:8">
      <c r="A34" s="41">
        <v>26</v>
      </c>
      <c r="B34" s="117"/>
      <c r="C34" s="118"/>
      <c r="D34" s="124">
        <v>0</v>
      </c>
      <c r="E34" s="124">
        <v>0</v>
      </c>
      <c r="F34" s="124">
        <v>0</v>
      </c>
      <c r="G34" s="124">
        <v>0</v>
      </c>
      <c r="H34" s="61">
        <f t="shared" si="0"/>
        <v>0</v>
      </c>
    </row>
    <row r="35" spans="1:8">
      <c r="A35" s="41">
        <v>27</v>
      </c>
      <c r="B35" s="117"/>
      <c r="C35" s="118"/>
      <c r="D35" s="124">
        <v>0</v>
      </c>
      <c r="E35" s="124">
        <v>0</v>
      </c>
      <c r="F35" s="124">
        <v>0</v>
      </c>
      <c r="G35" s="124">
        <v>0</v>
      </c>
      <c r="H35" s="61">
        <f t="shared" si="0"/>
        <v>0</v>
      </c>
    </row>
    <row r="36" spans="1:8">
      <c r="A36" s="41">
        <v>28</v>
      </c>
      <c r="B36" s="117"/>
      <c r="C36" s="118"/>
      <c r="D36" s="124">
        <v>0</v>
      </c>
      <c r="E36" s="124">
        <v>0</v>
      </c>
      <c r="F36" s="124">
        <v>0</v>
      </c>
      <c r="G36" s="124">
        <v>0</v>
      </c>
      <c r="H36" s="61">
        <f t="shared" si="0"/>
        <v>0</v>
      </c>
    </row>
    <row r="37" spans="1:8">
      <c r="A37" s="41">
        <v>29</v>
      </c>
      <c r="B37" s="117"/>
      <c r="C37" s="118"/>
      <c r="D37" s="124">
        <v>0</v>
      </c>
      <c r="E37" s="124">
        <v>0</v>
      </c>
      <c r="F37" s="124">
        <v>0</v>
      </c>
      <c r="G37" s="124">
        <v>0</v>
      </c>
      <c r="H37" s="61">
        <f t="shared" si="0"/>
        <v>0</v>
      </c>
    </row>
    <row r="38" spans="1:8">
      <c r="A38" s="41">
        <v>30</v>
      </c>
      <c r="B38" s="117"/>
      <c r="C38" s="118"/>
      <c r="D38" s="124">
        <v>0</v>
      </c>
      <c r="E38" s="124">
        <v>0</v>
      </c>
      <c r="F38" s="124">
        <v>0</v>
      </c>
      <c r="G38" s="124">
        <v>0</v>
      </c>
      <c r="H38" s="61">
        <f t="shared" si="0"/>
        <v>0</v>
      </c>
    </row>
    <row r="39" spans="1:8">
      <c r="A39" s="41">
        <v>31</v>
      </c>
      <c r="B39" s="117"/>
      <c r="C39" s="118"/>
      <c r="D39" s="124">
        <v>0</v>
      </c>
      <c r="E39" s="124">
        <v>0</v>
      </c>
      <c r="F39" s="124">
        <v>0</v>
      </c>
      <c r="G39" s="124">
        <v>0</v>
      </c>
      <c r="H39" s="61">
        <f t="shared" si="0"/>
        <v>0</v>
      </c>
    </row>
    <row r="40" spans="1:8">
      <c r="A40" s="41">
        <v>32</v>
      </c>
      <c r="B40" s="117"/>
      <c r="C40" s="118"/>
      <c r="D40" s="124">
        <v>0</v>
      </c>
      <c r="E40" s="124">
        <v>0</v>
      </c>
      <c r="F40" s="124">
        <v>0</v>
      </c>
      <c r="G40" s="124">
        <v>0</v>
      </c>
      <c r="H40" s="61">
        <f t="shared" si="0"/>
        <v>0</v>
      </c>
    </row>
    <row r="41" spans="1:8">
      <c r="A41" s="41">
        <v>33</v>
      </c>
      <c r="B41" s="117"/>
      <c r="C41" s="118"/>
      <c r="D41" s="124">
        <v>0</v>
      </c>
      <c r="E41" s="124">
        <v>0</v>
      </c>
      <c r="F41" s="124">
        <v>0</v>
      </c>
      <c r="G41" s="124">
        <v>0</v>
      </c>
      <c r="H41" s="61">
        <f t="shared" si="0"/>
        <v>0</v>
      </c>
    </row>
    <row r="42" spans="1:8">
      <c r="A42" s="41">
        <v>34</v>
      </c>
      <c r="B42" s="117"/>
      <c r="C42" s="118"/>
      <c r="D42" s="124">
        <v>0</v>
      </c>
      <c r="E42" s="124">
        <v>0</v>
      </c>
      <c r="F42" s="124">
        <v>0</v>
      </c>
      <c r="G42" s="124">
        <v>0</v>
      </c>
      <c r="H42" s="61">
        <f t="shared" si="0"/>
        <v>0</v>
      </c>
    </row>
    <row r="43" spans="1:8">
      <c r="A43" s="41">
        <v>35</v>
      </c>
      <c r="B43" s="117"/>
      <c r="C43" s="118"/>
      <c r="D43" s="124">
        <v>0</v>
      </c>
      <c r="E43" s="124">
        <v>0</v>
      </c>
      <c r="F43" s="124">
        <v>0</v>
      </c>
      <c r="G43" s="124">
        <v>0</v>
      </c>
      <c r="H43" s="61">
        <f t="shared" si="0"/>
        <v>0</v>
      </c>
    </row>
    <row r="44" spans="1:8">
      <c r="A44" s="8"/>
      <c r="B44" s="8"/>
      <c r="C44" s="41"/>
      <c r="D44" s="61">
        <f>SUM(D9:D43)</f>
        <v>0</v>
      </c>
      <c r="E44" s="61">
        <f>SUM(E9:E43)</f>
        <v>0</v>
      </c>
      <c r="F44" s="61">
        <f>SUM(F9:F43)</f>
        <v>0</v>
      </c>
      <c r="G44" s="61">
        <f>SUM(G9:G43)</f>
        <v>4001119.77</v>
      </c>
      <c r="H44" s="61">
        <f>SUM(H9:H43)</f>
        <v>4001119.77</v>
      </c>
    </row>
    <row r="45" spans="1:8">
      <c r="D45" s="13"/>
      <c r="E45" s="13"/>
      <c r="F45" s="13"/>
      <c r="G45" s="13"/>
      <c r="H45" s="13"/>
    </row>
    <row r="46" spans="1:8">
      <c r="D46" s="13"/>
      <c r="E46" s="13"/>
      <c r="F46" s="13"/>
      <c r="G46" s="13"/>
      <c r="H46" s="13" t="s">
        <v>154</v>
      </c>
    </row>
    <row r="57" spans="8:9">
      <c r="I57" s="76"/>
    </row>
    <row r="64" spans="8:9">
      <c r="H64" s="74"/>
    </row>
    <row r="65" spans="8:8">
      <c r="H65" s="74"/>
    </row>
    <row r="106" spans="5:5">
      <c r="E106" s="13">
        <v>0</v>
      </c>
    </row>
    <row r="107" spans="5:5">
      <c r="E107" s="13">
        <f>'EIA412 Balance sheet'!C46</f>
        <v>0</v>
      </c>
    </row>
  </sheetData>
  <mergeCells count="4">
    <mergeCell ref="A1:H1"/>
    <mergeCell ref="A2:H2"/>
    <mergeCell ref="A3:H3"/>
    <mergeCell ref="A5:H5"/>
  </mergeCells>
  <phoneticPr fontId="0" type="noConversion"/>
  <pageMargins left="0.5" right="0.42" top="0.54" bottom="0.54" header="0.5" footer="0.5"/>
  <pageSetup scale="97" orientation="portrait" r:id="rId1"/>
  <headerFooter alignWithMargins="0">
    <oddFooter>&amp;L&amp;Z&amp;F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07"/>
  <sheetViews>
    <sheetView topLeftCell="A13" workbookViewId="0">
      <selection activeCell="A7" sqref="A7:N23"/>
    </sheetView>
  </sheetViews>
  <sheetFormatPr defaultRowHeight="12.75"/>
  <sheetData>
    <row r="1" spans="1:8" ht="15">
      <c r="A1" s="661" t="str">
        <f>+'EIA412 Balance sheet'!A1:F1</f>
        <v>Windom</v>
      </c>
      <c r="B1" s="661"/>
      <c r="C1" s="661"/>
      <c r="D1" s="661"/>
      <c r="E1" s="661"/>
      <c r="F1" s="661"/>
      <c r="G1" s="661"/>
      <c r="H1" s="661"/>
    </row>
    <row r="2" spans="1:8" ht="15">
      <c r="A2" s="658" t="s">
        <v>2</v>
      </c>
      <c r="B2" s="658"/>
      <c r="C2" s="658"/>
      <c r="D2" s="658"/>
      <c r="E2" s="658"/>
      <c r="F2" s="658"/>
      <c r="G2" s="658"/>
      <c r="H2" s="658"/>
    </row>
    <row r="3" spans="1:8" ht="15.75" thickBot="1">
      <c r="A3" s="661">
        <f>+'EIA412 Balance sheet'!A3:F3</f>
        <v>42004</v>
      </c>
      <c r="B3" s="661"/>
      <c r="C3" s="661"/>
      <c r="D3" s="661"/>
      <c r="E3" s="661"/>
      <c r="F3" s="661"/>
      <c r="G3" s="661"/>
      <c r="H3" s="661"/>
    </row>
    <row r="4" spans="1:8" ht="13.5" thickTop="1">
      <c r="A4" s="119"/>
      <c r="B4" s="119"/>
      <c r="C4" s="119"/>
      <c r="D4" s="119"/>
      <c r="E4" s="119"/>
      <c r="F4" s="119"/>
      <c r="G4" s="119"/>
      <c r="H4" s="120"/>
    </row>
    <row r="5" spans="1:8">
      <c r="H5" s="88"/>
    </row>
    <row r="6" spans="1:8">
      <c r="A6" s="121" t="s">
        <v>191</v>
      </c>
      <c r="H6" s="88"/>
    </row>
    <row r="7" spans="1:8">
      <c r="A7" s="371" t="s">
        <v>765</v>
      </c>
      <c r="B7" s="371"/>
      <c r="C7" s="371"/>
      <c r="D7" s="371"/>
      <c r="E7" s="371"/>
      <c r="F7" s="371"/>
      <c r="G7" s="371"/>
      <c r="H7" s="371"/>
    </row>
    <row r="8" spans="1:8">
      <c r="A8" s="371" t="s">
        <v>1181</v>
      </c>
      <c r="B8" s="371"/>
      <c r="C8" s="371"/>
      <c r="D8" s="371"/>
      <c r="E8" s="371"/>
      <c r="F8" s="371"/>
      <c r="G8" s="371"/>
      <c r="H8" s="371"/>
    </row>
    <row r="10" spans="1:8">
      <c r="A10" s="371" t="s">
        <v>766</v>
      </c>
      <c r="B10" s="371"/>
      <c r="C10" s="371"/>
      <c r="D10" s="371"/>
      <c r="E10" s="371"/>
      <c r="F10" s="371"/>
      <c r="G10" s="371"/>
      <c r="H10" s="371"/>
    </row>
    <row r="11" spans="1:8">
      <c r="A11" s="371" t="s">
        <v>767</v>
      </c>
      <c r="B11" s="371"/>
      <c r="C11" s="371"/>
      <c r="D11" s="371"/>
      <c r="E11" s="371"/>
      <c r="F11" s="371"/>
      <c r="G11" s="371"/>
      <c r="H11" s="371"/>
    </row>
    <row r="12" spans="1:8">
      <c r="A12" s="371" t="s">
        <v>768</v>
      </c>
      <c r="B12" s="371"/>
      <c r="C12" s="371"/>
      <c r="D12" s="371"/>
      <c r="E12" s="371"/>
      <c r="F12" s="371"/>
      <c r="G12" s="371"/>
      <c r="H12" s="371"/>
    </row>
    <row r="14" spans="1:8">
      <c r="A14" s="371" t="s">
        <v>1182</v>
      </c>
      <c r="B14" s="371"/>
      <c r="C14" s="371"/>
      <c r="D14" s="371"/>
      <c r="E14" s="371"/>
      <c r="F14" s="371"/>
      <c r="G14" s="371"/>
      <c r="H14" s="371"/>
    </row>
    <row r="16" spans="1:8">
      <c r="A16" s="371" t="s">
        <v>769</v>
      </c>
    </row>
    <row r="18" spans="1:1">
      <c r="A18" s="371" t="s">
        <v>770</v>
      </c>
    </row>
    <row r="19" spans="1:1">
      <c r="A19" s="371" t="s">
        <v>771</v>
      </c>
    </row>
    <row r="20" spans="1:1">
      <c r="A20" s="371" t="s">
        <v>772</v>
      </c>
    </row>
    <row r="21" spans="1:1">
      <c r="A21" s="371" t="s">
        <v>764</v>
      </c>
    </row>
    <row r="23" spans="1:1">
      <c r="A23" t="s">
        <v>154</v>
      </c>
    </row>
    <row r="24" spans="1:1">
      <c r="A24" t="s">
        <v>154</v>
      </c>
    </row>
    <row r="106" spans="5:5">
      <c r="E106" s="13">
        <v>0</v>
      </c>
    </row>
    <row r="107" spans="5:5">
      <c r="E107" s="13">
        <f>'EIA412 Balance sheet'!C46</f>
        <v>0</v>
      </c>
    </row>
  </sheetData>
  <mergeCells count="3">
    <mergeCell ref="A1:H1"/>
    <mergeCell ref="A2:H2"/>
    <mergeCell ref="A3:H3"/>
  </mergeCells>
  <phoneticPr fontId="0" type="noConversion"/>
  <pageMargins left="0.75" right="0.75" top="1" bottom="1" header="0.5" footer="0.5"/>
  <pageSetup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ATTACHMENT O</vt:lpstr>
      <vt:lpstr>EIA412 Balance sheet</vt:lpstr>
      <vt:lpstr>EIA412 Income Statement</vt:lpstr>
      <vt:lpstr>EIA412 Electric Plant</vt:lpstr>
      <vt:lpstr>EIA412 Taxes</vt:lpstr>
      <vt:lpstr>EIA412 Op &amp; Maint</vt:lpstr>
      <vt:lpstr>EIA412 Sales for Resale</vt:lpstr>
      <vt:lpstr>EIA412 Purchased Power</vt:lpstr>
      <vt:lpstr>EIA412 Notes</vt:lpstr>
      <vt:lpstr>PEAKS</vt:lpstr>
      <vt:lpstr>ELECTRIC PLANT SUMMARY</vt:lpstr>
      <vt:lpstr>EXPENSE DETAILS</vt:lpstr>
      <vt:lpstr>WAGE SALARY</vt:lpstr>
      <vt:lpstr>TARIFF REVENUE</vt:lpstr>
      <vt:lpstr>Sheet1</vt:lpstr>
      <vt:lpstr>Sheet1!Print_Titles</vt:lpstr>
      <vt:lpstr>'TARIFF REVENUE'!Print_Titles</vt:lpstr>
    </vt:vector>
  </TitlesOfParts>
  <Company>Midwest ISO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Gard</dc:creator>
  <cp:lastModifiedBy>Larry Blaine</cp:lastModifiedBy>
  <cp:lastPrinted>2016-02-18T15:49:22Z</cp:lastPrinted>
  <dcterms:created xsi:type="dcterms:W3CDTF">2005-04-15T13:36:01Z</dcterms:created>
  <dcterms:modified xsi:type="dcterms:W3CDTF">2016-02-19T17:13:17Z</dcterms:modified>
</cp:coreProperties>
</file>