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APX2020\MISO TRANSMISSION OWNER FILINGS\Mountain Lake\MOUNTAIN LAKE 2014 DATA\"/>
    </mc:Choice>
  </mc:AlternateContent>
  <bookViews>
    <workbookView xWindow="0" yWindow="0" windowWidth="16740" windowHeight="9090" firstSheet="5" activeTab="8"/>
  </bookViews>
  <sheets>
    <sheet name="Attachment O" sheetId="17" r:id="rId1"/>
    <sheet name="EIA412 BALANCE SHEET" sheetId="26" r:id="rId2"/>
    <sheet name="EIA412 INCOME STATEMENT" sheetId="25" r:id="rId3"/>
    <sheet name="EIA412 ELECTRIC PLANT" sheetId="24" r:id="rId4"/>
    <sheet name="EIA412 TAXES" sheetId="23" r:id="rId5"/>
    <sheet name="EIA412 OP &amp; MAINT" sheetId="22" r:id="rId6"/>
    <sheet name="EIA412 SALES FOR RESALE" sheetId="21" r:id="rId7"/>
    <sheet name="EIA412 PURCHASED POWER" sheetId="20" r:id="rId8"/>
    <sheet name="EIA412 NOTES" sheetId="19" r:id="rId9"/>
    <sheet name="MLS1_Salary and Wages Allocator" sheetId="4" r:id="rId10"/>
    <sheet name="MLS2_Debt P&amp;I&amp;A " sheetId="5" r:id="rId11"/>
    <sheet name="MLS5_Plant Detail" sheetId="18" r:id="rId12"/>
    <sheet name="MLS6_PCB Analysis &amp; Maint" sheetId="11" r:id="rId13"/>
    <sheet name="ML8_13 CP Load Data" sheetId="14" r:id="rId14"/>
    <sheet name="ML9_Payment in Lieu of Taxes" sheetId="15" r:id="rId15"/>
    <sheet name="Alert" sheetId="33" state="hidden" r:id="rId16"/>
    <sheet name="TARIFF REVENUE" sheetId="27" r:id="rId17"/>
    <sheet name="Sheet1" sheetId="28" r:id="rId18"/>
  </sheets>
  <definedNames>
    <definedName name="_xlnm.Print_Area" localSheetId="8">'EIA412 NOTES'!$A$1:$AF$77</definedName>
    <definedName name="_xlnm.Print_Area" localSheetId="13">'ML8_13 CP Load Data'!$C$2:$J$20</definedName>
    <definedName name="_xlnm.Print_Area" localSheetId="9">'MLS1_Salary and Wages Allocator'!$C$2:$H$14</definedName>
    <definedName name="_xlnm.Print_Area" localSheetId="10">'MLS2_Debt P&amp;I&amp;A '!$B$3:$J$22</definedName>
    <definedName name="_xlnm.Print_Area" localSheetId="11">'MLS5_Plant Detail'!$V$185:$Z$190</definedName>
    <definedName name="_xlnm.Print_Area" localSheetId="12">'MLS6_PCB Analysis &amp; Maint'!$A$3:$H$40</definedName>
    <definedName name="Print_Area_MI">#REF!</definedName>
    <definedName name="_xlnm.Print_Titles" localSheetId="11">'MLS5_Plant Detail'!$6:$8</definedName>
    <definedName name="_xlnm.Print_Titles" localSheetId="17">Sheet1!$A:$C,Sheet1!$1:$1</definedName>
    <definedName name="_xlnm.Print_Titles" localSheetId="16">'TARIFF REVENUE'!$A:$F,'TARIFF REVENUE'!$1:$1</definedName>
    <definedName name="QB_COLUMN_1" localSheetId="16" hidden="1">'TARIFF REVENUE'!$G$1</definedName>
    <definedName name="QB_COLUMN_16" localSheetId="16" hidden="1">'TARIFF REVENUE'!$S$1</definedName>
    <definedName name="QB_COLUMN_17" localSheetId="16" hidden="1">'TARIFF REVENUE'!$U$1</definedName>
    <definedName name="QB_COLUMN_19" localSheetId="16" hidden="1">'TARIFF REVENUE'!$W$1</definedName>
    <definedName name="QB_COLUMN_20" localSheetId="16" hidden="1">'TARIFF REVENUE'!$Y$1</definedName>
    <definedName name="QB_COLUMN_28" localSheetId="16" hidden="1">'TARIFF REVENUE'!$AA$1</definedName>
    <definedName name="QB_COLUMN_29" localSheetId="16" hidden="1">'TARIFF REVENUE'!$AC$1</definedName>
    <definedName name="QB_COLUMN_3" localSheetId="16" hidden="1">'TARIFF REVENUE'!$I$1</definedName>
    <definedName name="QB_COLUMN_31" localSheetId="16" hidden="1">'TARIFF REVENUE'!$AE$1</definedName>
    <definedName name="QB_COLUMN_4" localSheetId="16" hidden="1">'TARIFF REVENUE'!$K$1</definedName>
    <definedName name="QB_COLUMN_5" localSheetId="16" hidden="1">'TARIFF REVENUE'!$M$1</definedName>
    <definedName name="QB_COLUMN_7" localSheetId="16" hidden="1">'TARIFF REVENUE'!$O$1</definedName>
    <definedName name="QB_COLUMN_8" localSheetId="16" hidden="1">'TARIFF REVENUE'!$Q$1</definedName>
    <definedName name="QB_DATA_0" localSheetId="16" hidden="1">'TARIFF REVENUE'!$5:$5,'TARIFF REVENUE'!$6:$6,'TARIFF REVENUE'!$7:$7,'TARIFF REVENUE'!$8:$8,'TARIFF REVENUE'!$9:$9,'TARIFF REVENUE'!$10:$10,'TARIFF REVENUE'!$11:$11,'TARIFF REVENUE'!$12:$12,'TARIFF REVENUE'!$13:$13,'TARIFF REVENUE'!$14:$14,'TARIFF REVENUE'!$15:$15,'TARIFF REVENUE'!$16:$16,'TARIFF REVENUE'!$19:$19,'TARIFF REVENUE'!$20:$20,'TARIFF REVENUE'!$21:$21,'TARIFF REVENUE'!$22:$22</definedName>
    <definedName name="QB_DATA_1" localSheetId="16" hidden="1">'TARIFF REVENUE'!$23:$23,'TARIFF REVENUE'!$24:$24,'TARIFF REVENUE'!$25:$25,'TARIFF REVENUE'!$26:$26,'TARIFF REVENUE'!$27:$27,'TARIFF REVENUE'!$28:$28,'TARIFF REVENUE'!$29:$29,'TARIFF REVENUE'!$30:$30,'TARIFF REVENUE'!$33:$33,'TARIFF REVENUE'!$34:$34,'TARIFF REVENUE'!$35:$35,'TARIFF REVENUE'!$36:$36,'TARIFF REVENUE'!$37:$37,'TARIFF REVENUE'!$38:$38,'TARIFF REVENUE'!$39:$39,'TARIFF REVENUE'!$40:$40</definedName>
    <definedName name="QB_DATA_2" localSheetId="16" hidden="1">'TARIFF REVENUE'!$41:$41,'TARIFF REVENUE'!$42:$42,'TARIFF REVENUE'!$43:$43,'TARIFF REVENUE'!$44:$44,'TARIFF REVENUE'!$53:$53,'TARIFF REVENUE'!$54:$54,'TARIFF REVENUE'!$55:$55,'TARIFF REVENUE'!$56:$56,'TARIFF REVENUE'!$57:$57,'TARIFF REVENUE'!$58:$58,'TARIFF REVENUE'!$59:$59,'TARIFF REVENUE'!$60:$60,'TARIFF REVENUE'!$61:$61,'TARIFF REVENUE'!$62:$62,'TARIFF REVENUE'!$63:$63,'TARIFF REVENUE'!$64:$64</definedName>
    <definedName name="QB_FORMULA_0" localSheetId="16" hidden="1">'TARIFF REVENUE'!$AA$17,'TARIFF REVENUE'!$AC$17,'TARIFF REVENUE'!$AE$17,'TARIFF REVENUE'!$AA$31,'TARIFF REVENUE'!$AC$31,'TARIFF REVENUE'!$AE$31,'TARIFF REVENUE'!$AA$45,'TARIFF REVENUE'!$AC$45,'TARIFF REVENUE'!$AE$45,'TARIFF REVENUE'!$AA$46,'TARIFF REVENUE'!$AC$46,'TARIFF REVENUE'!$AE$46,'TARIFF REVENUE'!$AA$47,'TARIFF REVENUE'!$AC$47,'TARIFF REVENUE'!$AE$47,'TARIFF REVENUE'!$AA$65</definedName>
    <definedName name="QB_FORMULA_1" localSheetId="16" hidden="1">'TARIFF REVENUE'!$AC$65,'TARIFF REVENUE'!$AE$65,'TARIFF REVENUE'!$AA$66,'TARIFF REVENUE'!$AC$66,'TARIFF REVENUE'!$AE$66,'TARIFF REVENUE'!$AA$67,'TARIFF REVENUE'!$AC$67,'TARIFF REVENUE'!$AE$67,'TARIFF REVENUE'!$AA$68,'TARIFF REVENUE'!$AC$68,'TARIFF REVENUE'!$AE$68,'TARIFF REVENUE'!$AA$69,'TARIFF REVENUE'!$AC$69,'TARIFF REVENUE'!$AE$69,'TARIFF REVENUE'!$AA$70,'TARIFF REVENUE'!$AC$70</definedName>
    <definedName name="QB_FORMULA_2" localSheetId="16" hidden="1">'TARIFF REVENUE'!$AE$70</definedName>
    <definedName name="QB_ROW_1065030" localSheetId="16" hidden="1">'TARIFF REVENUE'!$D$18</definedName>
    <definedName name="QB_ROW_1065330" localSheetId="16" hidden="1">'TARIFF REVENUE'!$D$31</definedName>
    <definedName name="QB_ROW_1066030" localSheetId="16" hidden="1">'TARIFF REVENUE'!$D$32</definedName>
    <definedName name="QB_ROW_1066330" localSheetId="16" hidden="1">'TARIFF REVENUE'!$D$45</definedName>
    <definedName name="QB_ROW_1071040" localSheetId="16" hidden="1">'TARIFF REVENUE'!$E$51</definedName>
    <definedName name="QB_ROW_1071340" localSheetId="16" hidden="1">'TARIFF REVENUE'!$E$66</definedName>
    <definedName name="QB_ROW_1072050" localSheetId="16" hidden="1">'TARIFF REVENUE'!$F$52</definedName>
    <definedName name="QB_ROW_1072350" localSheetId="16" hidden="1">'TARIFF REVENUE'!$F$65</definedName>
    <definedName name="QB_ROW_25301" localSheetId="16" hidden="1">'TARIFF REVENUE'!$A$70</definedName>
    <definedName name="QB_ROW_415020" localSheetId="16" hidden="1">'TARIFF REVENUE'!$C$49</definedName>
    <definedName name="QB_ROW_415320" localSheetId="16" hidden="1">'TARIFF REVENUE'!$C$68</definedName>
    <definedName name="QB_ROW_530010" localSheetId="16" hidden="1">'TARIFF REVENUE'!$B$48</definedName>
    <definedName name="QB_ROW_530310" localSheetId="16" hidden="1">'TARIFF REVENUE'!$B$69</definedName>
    <definedName name="QB_ROW_805010" localSheetId="16" hidden="1">'TARIFF REVENUE'!$B$2</definedName>
    <definedName name="QB_ROW_805310" localSheetId="16" hidden="1">'TARIFF REVENUE'!$B$47</definedName>
    <definedName name="QB_ROW_839020" localSheetId="16" hidden="1">'TARIFF REVENUE'!$C$3</definedName>
    <definedName name="QB_ROW_839320" localSheetId="16" hidden="1">'TARIFF REVENUE'!$C$46</definedName>
    <definedName name="QB_ROW_844030" localSheetId="16" hidden="1">'TARIFF REVENUE'!$D$4</definedName>
    <definedName name="QB_ROW_844330" localSheetId="16" hidden="1">'TARIFF REVENUE'!$D$17</definedName>
    <definedName name="QB_ROW_974030" localSheetId="16" hidden="1">'TARIFF REVENUE'!$D$50</definedName>
    <definedName name="QB_ROW_974330" localSheetId="16" hidden="1">'TARIFF REVENUE'!$D$67</definedName>
    <definedName name="QBCANSUPPORTUPDATE" localSheetId="16">TRUE</definedName>
    <definedName name="QBCOMPANYFILENAME" localSheetId="16">"H:\QUICKBOOKS\UTILITIES PLUS.QBW"</definedName>
    <definedName name="QBENDDATE" localSheetId="16">20141231</definedName>
    <definedName name="QBHEADERSONSCREEN" localSheetId="16">FALSE</definedName>
    <definedName name="QBMETADATASIZE" localSheetId="16">7466</definedName>
    <definedName name="QBPRESERVECOLOR" localSheetId="16">TRUE</definedName>
    <definedName name="QBPRESERVEFONT" localSheetId="16">TRUE</definedName>
    <definedName name="QBPRESERVEROWHEIGHT" localSheetId="16">TRUE</definedName>
    <definedName name="QBPRESERVESPACE" localSheetId="16">TRUE</definedName>
    <definedName name="QBREPORTCOLAXIS" localSheetId="16">0</definedName>
    <definedName name="QBREPORTCOMPANYID" localSheetId="16">"bf4546971b1f46298ba13004a1d6ad14"</definedName>
    <definedName name="QBREPORTCOMPARECOL_ANNUALBUDGET" localSheetId="16">FALSE</definedName>
    <definedName name="QBREPORTCOMPARECOL_AVGCOGS" localSheetId="16">FALSE</definedName>
    <definedName name="QBREPORTCOMPARECOL_AVGPRICE" localSheetId="16">FALSE</definedName>
    <definedName name="QBREPORTCOMPARECOL_BUDDIFF" localSheetId="16">FALSE</definedName>
    <definedName name="QBREPORTCOMPARECOL_BUDGET" localSheetId="16">FALSE</definedName>
    <definedName name="QBREPORTCOMPARECOL_BUDPCT" localSheetId="16">FALSE</definedName>
    <definedName name="QBREPORTCOMPARECOL_COGS" localSheetId="16">FALSE</definedName>
    <definedName name="QBREPORTCOMPARECOL_EXCLUDEAMOUNT" localSheetId="16">FALSE</definedName>
    <definedName name="QBREPORTCOMPARECOL_EXCLUDECURPERIOD" localSheetId="16">FALSE</definedName>
    <definedName name="QBREPORTCOMPARECOL_FORECAST" localSheetId="16">FALSE</definedName>
    <definedName name="QBREPORTCOMPARECOL_GROSSMARGIN" localSheetId="16">FALSE</definedName>
    <definedName name="QBREPORTCOMPARECOL_GROSSMARGINPCT" localSheetId="16">FALSE</definedName>
    <definedName name="QBREPORTCOMPARECOL_HOURS" localSheetId="16">FALSE</definedName>
    <definedName name="QBREPORTCOMPARECOL_PCTCOL" localSheetId="16">FALSE</definedName>
    <definedName name="QBREPORTCOMPARECOL_PCTEXPENSE" localSheetId="16">FALSE</definedName>
    <definedName name="QBREPORTCOMPARECOL_PCTINCOME" localSheetId="16">FALSE</definedName>
    <definedName name="QBREPORTCOMPARECOL_PCTOFSALES" localSheetId="16">FALSE</definedName>
    <definedName name="QBREPORTCOMPARECOL_PCTROW" localSheetId="16">FALSE</definedName>
    <definedName name="QBREPORTCOMPARECOL_PPDIFF" localSheetId="16">FALSE</definedName>
    <definedName name="QBREPORTCOMPARECOL_PPPCT" localSheetId="16">FALSE</definedName>
    <definedName name="QBREPORTCOMPARECOL_PREVPERIOD" localSheetId="16">FALSE</definedName>
    <definedName name="QBREPORTCOMPARECOL_PREVYEAR" localSheetId="16">FALSE</definedName>
    <definedName name="QBREPORTCOMPARECOL_PYDIFF" localSheetId="16">FALSE</definedName>
    <definedName name="QBREPORTCOMPARECOL_PYPCT" localSheetId="16">FALSE</definedName>
    <definedName name="QBREPORTCOMPARECOL_QTY" localSheetId="16">FALSE</definedName>
    <definedName name="QBREPORTCOMPARECOL_RATE" localSheetId="16">FALSE</definedName>
    <definedName name="QBREPORTCOMPARECOL_TRIPBILLEDMILES" localSheetId="16">FALSE</definedName>
    <definedName name="QBREPORTCOMPARECOL_TRIPBILLINGAMOUNT" localSheetId="16">FALSE</definedName>
    <definedName name="QBREPORTCOMPARECOL_TRIPMILES" localSheetId="16">FALSE</definedName>
    <definedName name="QBREPORTCOMPARECOL_TRIPNOTBILLABLEMILES" localSheetId="16">FALSE</definedName>
    <definedName name="QBREPORTCOMPARECOL_TRIPTAXDEDUCTIBLEAMOUNT" localSheetId="16">FALSE</definedName>
    <definedName name="QBREPORTCOMPARECOL_TRIPUNBILLEDMILES" localSheetId="16">FALSE</definedName>
    <definedName name="QBREPORTCOMPARECOL_YTD" localSheetId="16">FALSE</definedName>
    <definedName name="QBREPORTCOMPARECOL_YTDBUDGET" localSheetId="16">FALSE</definedName>
    <definedName name="QBREPORTCOMPARECOL_YTDPCT" localSheetId="16">FALSE</definedName>
    <definedName name="QBREPORTROWAXIS" localSheetId="16">12</definedName>
    <definedName name="QBREPORTSUBCOLAXIS" localSheetId="16">0</definedName>
    <definedName name="QBREPORTTYPE" localSheetId="16">23</definedName>
    <definedName name="QBROWHEADERS" localSheetId="16">6</definedName>
    <definedName name="QBSTARTDATE" localSheetId="16">20140101</definedName>
  </definedNames>
  <calcPr calcId="152511"/>
</workbook>
</file>

<file path=xl/calcChain.xml><?xml version="1.0" encoding="utf-8"?>
<calcChain xmlns="http://schemas.openxmlformats.org/spreadsheetml/2006/main">
  <c r="R48" i="5" l="1"/>
  <c r="R51" i="5"/>
  <c r="R50" i="5"/>
  <c r="R49" i="5"/>
  <c r="R47" i="5"/>
  <c r="S69" i="5" l="1"/>
  <c r="S68" i="5"/>
  <c r="S67" i="5"/>
  <c r="S66" i="5"/>
  <c r="S65" i="5"/>
  <c r="S64" i="5"/>
  <c r="S63" i="5"/>
  <c r="S62" i="5"/>
  <c r="S61" i="5"/>
  <c r="S60" i="5"/>
  <c r="O69" i="5"/>
  <c r="P60" i="5"/>
  <c r="P61" i="5" s="1"/>
  <c r="P62" i="5" s="1"/>
  <c r="P63" i="5" s="1"/>
  <c r="P64" i="5" s="1"/>
  <c r="P65" i="5" s="1"/>
  <c r="P66" i="5" s="1"/>
  <c r="P67" i="5" s="1"/>
  <c r="P68" i="5" s="1"/>
  <c r="P69" i="5" s="1"/>
  <c r="O65" i="5"/>
  <c r="O61" i="5"/>
  <c r="O62" i="5" s="1"/>
  <c r="O63" i="5" s="1"/>
  <c r="O64" i="5" s="1"/>
  <c r="N65" i="5"/>
  <c r="G65" i="5"/>
  <c r="G61" i="5"/>
  <c r="G62" i="5" s="1"/>
  <c r="G63" i="5" s="1"/>
  <c r="G64" i="5" s="1"/>
  <c r="G66" i="5" s="1"/>
  <c r="G67" i="5" s="1"/>
  <c r="G68" i="5" s="1"/>
  <c r="N61" i="5"/>
  <c r="N62" i="5" s="1"/>
  <c r="N63" i="5" s="1"/>
  <c r="N64" i="5" s="1"/>
  <c r="O60" i="5"/>
  <c r="N60" i="5"/>
  <c r="M61" i="5"/>
  <c r="M62" i="5" s="1"/>
  <c r="M63" i="5" s="1"/>
  <c r="M64" i="5" s="1"/>
  <c r="M65" i="5" s="1"/>
  <c r="M66" i="5" s="1"/>
  <c r="M67" i="5" s="1"/>
  <c r="M68" i="5" s="1"/>
  <c r="M60" i="5"/>
  <c r="J68" i="5"/>
  <c r="J60" i="5"/>
  <c r="J61" i="5" s="1"/>
  <c r="J62" i="5" s="1"/>
  <c r="J63" i="5" s="1"/>
  <c r="J64" i="5" s="1"/>
  <c r="J65" i="5" s="1"/>
  <c r="J66" i="5" s="1"/>
  <c r="J67" i="5" s="1"/>
  <c r="I67" i="5"/>
  <c r="I66" i="5"/>
  <c r="I65" i="5"/>
  <c r="I64" i="5"/>
  <c r="I63" i="5"/>
  <c r="I62" i="5"/>
  <c r="I61" i="5"/>
  <c r="I60" i="5"/>
  <c r="H60" i="5"/>
  <c r="H61" i="5" s="1"/>
  <c r="H62" i="5" s="1"/>
  <c r="H63" i="5" s="1"/>
  <c r="H64" i="5" s="1"/>
  <c r="H65" i="5" s="1"/>
  <c r="H66" i="5" s="1"/>
  <c r="H67" i="5" s="1"/>
  <c r="H68" i="5" s="1"/>
  <c r="G60" i="5"/>
  <c r="AT211" i="18"/>
  <c r="AS211" i="18"/>
  <c r="AQ211" i="18"/>
  <c r="AO211" i="18"/>
  <c r="AM211" i="18"/>
  <c r="AJ211" i="18"/>
  <c r="AI211" i="18"/>
  <c r="AG211" i="18"/>
  <c r="AE211" i="18"/>
  <c r="Z211" i="18"/>
  <c r="Y211" i="18"/>
  <c r="W211" i="18"/>
  <c r="U211" i="18"/>
  <c r="AS206" i="18"/>
  <c r="AQ206" i="18"/>
  <c r="AO206" i="18"/>
  <c r="AM206" i="18"/>
  <c r="AT206" i="18" s="1"/>
  <c r="AJ206" i="18"/>
  <c r="AI206" i="18"/>
  <c r="AG206" i="18"/>
  <c r="AE206" i="18"/>
  <c r="AC206" i="18"/>
  <c r="P211" i="18"/>
  <c r="P206" i="18"/>
  <c r="O206" i="18"/>
  <c r="N206" i="18"/>
  <c r="M206" i="18"/>
  <c r="R46" i="5"/>
  <c r="R45" i="5"/>
  <c r="R44" i="5"/>
  <c r="R43" i="5"/>
  <c r="R42" i="5"/>
  <c r="O66" i="5" l="1"/>
  <c r="O67" i="5" s="1"/>
  <c r="O68" i="5" s="1"/>
  <c r="N66" i="5"/>
  <c r="N67" i="5" s="1"/>
  <c r="N68" i="5" s="1"/>
  <c r="E27" i="11"/>
  <c r="E23" i="11"/>
  <c r="E21" i="22"/>
  <c r="I40" i="5" l="1"/>
  <c r="R40" i="5" l="1"/>
  <c r="R41" i="5"/>
  <c r="C23" i="25" s="1"/>
  <c r="J59" i="5"/>
  <c r="J58" i="5"/>
  <c r="F11" i="26" l="1"/>
  <c r="C36" i="26"/>
  <c r="C31" i="26"/>
  <c r="F31" i="26"/>
  <c r="C29" i="26"/>
  <c r="S51" i="5" l="1"/>
  <c r="S50" i="5"/>
  <c r="S49" i="5"/>
  <c r="S48" i="5"/>
  <c r="S47" i="5"/>
  <c r="S46" i="5"/>
  <c r="S45" i="5"/>
  <c r="S44" i="5"/>
  <c r="S43" i="5"/>
  <c r="S42" i="5"/>
  <c r="I58" i="5"/>
  <c r="I59" i="5"/>
  <c r="J57" i="5"/>
  <c r="Y192" i="18" l="1"/>
  <c r="Z192" i="18" s="1"/>
  <c r="I149" i="18"/>
  <c r="AT149" i="18"/>
  <c r="AS149" i="18"/>
  <c r="AO149" i="18"/>
  <c r="AM149" i="18"/>
  <c r="AJ149" i="18"/>
  <c r="AI149" i="18"/>
  <c r="S149" i="18"/>
  <c r="U149" i="18"/>
  <c r="Y149" i="18"/>
  <c r="AC149" i="18"/>
  <c r="AE149" i="18"/>
  <c r="N149" i="18"/>
  <c r="P149" i="18"/>
  <c r="O149" i="18"/>
  <c r="W149" i="18"/>
  <c r="AG149" i="18"/>
  <c r="AQ149" i="18"/>
  <c r="Y191" i="18"/>
  <c r="O146" i="18" l="1"/>
  <c r="AT198" i="18"/>
  <c r="AO198" i="18"/>
  <c r="AM198" i="18"/>
  <c r="AK198" i="18"/>
  <c r="AE198" i="18"/>
  <c r="AC198" i="18"/>
  <c r="AB198" i="18"/>
  <c r="Y198" i="18"/>
  <c r="U198" i="18"/>
  <c r="S198" i="18"/>
  <c r="M198" i="18"/>
  <c r="K198" i="18"/>
  <c r="J198" i="18"/>
  <c r="O191" i="18"/>
  <c r="O147" i="18"/>
  <c r="N147" i="18" s="1"/>
  <c r="AQ147" i="18" s="1"/>
  <c r="O83" i="18"/>
  <c r="N83" i="18" s="1"/>
  <c r="I198" i="18"/>
  <c r="G198" i="18"/>
  <c r="F198" i="18"/>
  <c r="D198" i="18"/>
  <c r="B198" i="18"/>
  <c r="A198" i="18"/>
  <c r="W198" i="18"/>
  <c r="P191" i="18" l="1"/>
  <c r="P198" i="18" s="1"/>
  <c r="AI191" i="18"/>
  <c r="AI198" i="18" s="1"/>
  <c r="Z191" i="18"/>
  <c r="Z198" i="18" s="1"/>
  <c r="O198" i="18"/>
  <c r="AG198" i="18"/>
  <c r="N191" i="18"/>
  <c r="AS191" i="18" s="1"/>
  <c r="AS198" i="18" s="1"/>
  <c r="AC65" i="27"/>
  <c r="AQ198" i="18" l="1"/>
  <c r="N198" i="18"/>
  <c r="I27" i="17"/>
  <c r="T6" i="14"/>
  <c r="H578" i="14"/>
  <c r="G578" i="14"/>
  <c r="H577" i="14"/>
  <c r="G577" i="14"/>
  <c r="H576" i="14"/>
  <c r="G576" i="14"/>
  <c r="H575" i="14"/>
  <c r="G575" i="14"/>
  <c r="H574" i="14"/>
  <c r="G574" i="14"/>
  <c r="H573" i="14"/>
  <c r="G573" i="14"/>
  <c r="H572" i="14"/>
  <c r="G572" i="14"/>
  <c r="H571" i="14"/>
  <c r="G571" i="14"/>
  <c r="H570" i="14"/>
  <c r="G570" i="14"/>
  <c r="H569" i="14"/>
  <c r="G569" i="14"/>
  <c r="H568" i="14"/>
  <c r="G568" i="14"/>
  <c r="H567" i="14"/>
  <c r="G567" i="14"/>
  <c r="H566" i="14"/>
  <c r="G566" i="14"/>
  <c r="H565" i="14"/>
  <c r="G565" i="14"/>
  <c r="H564" i="14"/>
  <c r="G564" i="14"/>
  <c r="H563" i="14"/>
  <c r="G563" i="14"/>
  <c r="H562" i="14"/>
  <c r="G562" i="14"/>
  <c r="H561" i="14"/>
  <c r="G561" i="14"/>
  <c r="H560" i="14"/>
  <c r="G560" i="14"/>
  <c r="H559" i="14"/>
  <c r="G559" i="14"/>
  <c r="H558" i="14"/>
  <c r="G558" i="14"/>
  <c r="H557" i="14"/>
  <c r="G557" i="14"/>
  <c r="H556" i="14"/>
  <c r="G556" i="14"/>
  <c r="H555" i="14"/>
  <c r="G555" i="14"/>
  <c r="H554" i="14"/>
  <c r="G554" i="14"/>
  <c r="H553" i="14"/>
  <c r="G553" i="14"/>
  <c r="H552" i="14"/>
  <c r="G552" i="14"/>
  <c r="H551" i="14"/>
  <c r="G551" i="14"/>
  <c r="H550" i="14"/>
  <c r="G550" i="14"/>
  <c r="H549" i="14"/>
  <c r="G549" i="14"/>
  <c r="H548" i="14"/>
  <c r="G548" i="14"/>
  <c r="H547" i="14"/>
  <c r="G547" i="14"/>
  <c r="H546" i="14"/>
  <c r="G546" i="14"/>
  <c r="H545" i="14"/>
  <c r="G545" i="14"/>
  <c r="H544" i="14"/>
  <c r="G544" i="14"/>
  <c r="H543" i="14"/>
  <c r="G543" i="14"/>
  <c r="H542" i="14"/>
  <c r="G542" i="14"/>
  <c r="H541" i="14"/>
  <c r="G541" i="14"/>
  <c r="H540" i="14"/>
  <c r="G540" i="14"/>
  <c r="H539" i="14"/>
  <c r="G539" i="14"/>
  <c r="H538" i="14"/>
  <c r="G538" i="14"/>
  <c r="H537" i="14"/>
  <c r="G537" i="14"/>
  <c r="H536" i="14"/>
  <c r="G536" i="14"/>
  <c r="H535" i="14"/>
  <c r="G535" i="14"/>
  <c r="H534" i="14"/>
  <c r="G534" i="14"/>
  <c r="H533" i="14"/>
  <c r="G533" i="14"/>
  <c r="H532" i="14"/>
  <c r="G532" i="14"/>
  <c r="H531" i="14"/>
  <c r="G531" i="14"/>
  <c r="H530" i="14"/>
  <c r="G530" i="14"/>
  <c r="H529" i="14"/>
  <c r="G529" i="14"/>
  <c r="H528" i="14"/>
  <c r="G528" i="14"/>
  <c r="H527" i="14"/>
  <c r="G527" i="14"/>
  <c r="H526" i="14"/>
  <c r="G526" i="14"/>
  <c r="H525" i="14"/>
  <c r="G525" i="14"/>
  <c r="H524" i="14"/>
  <c r="G524" i="14"/>
  <c r="H523" i="14"/>
  <c r="G523" i="14"/>
  <c r="H522" i="14"/>
  <c r="G522" i="14"/>
  <c r="H521" i="14"/>
  <c r="G521" i="14"/>
  <c r="H520" i="14"/>
  <c r="G520" i="14"/>
  <c r="H519" i="14"/>
  <c r="G519" i="14"/>
  <c r="H518" i="14"/>
  <c r="G518" i="14"/>
  <c r="H517" i="14"/>
  <c r="G517" i="14"/>
  <c r="H516" i="14"/>
  <c r="G516" i="14"/>
  <c r="H515" i="14"/>
  <c r="G515" i="14"/>
  <c r="H514" i="14"/>
  <c r="G514" i="14"/>
  <c r="H513" i="14"/>
  <c r="G513" i="14"/>
  <c r="H512" i="14"/>
  <c r="G512" i="14"/>
  <c r="H511" i="14"/>
  <c r="G511" i="14"/>
  <c r="H510" i="14"/>
  <c r="G510" i="14"/>
  <c r="H509" i="14"/>
  <c r="G509" i="14"/>
  <c r="H508" i="14"/>
  <c r="G508" i="14"/>
  <c r="H507" i="14"/>
  <c r="G507" i="14"/>
  <c r="H506" i="14"/>
  <c r="G506" i="14"/>
  <c r="H505" i="14"/>
  <c r="G505" i="14"/>
  <c r="H504" i="14"/>
  <c r="G504" i="14"/>
  <c r="H503" i="14"/>
  <c r="G503" i="14"/>
  <c r="H502" i="14"/>
  <c r="G502" i="14"/>
  <c r="H501" i="14"/>
  <c r="G501" i="14"/>
  <c r="H500" i="14"/>
  <c r="G500" i="14"/>
  <c r="H499" i="14"/>
  <c r="G499" i="14"/>
  <c r="H498" i="14"/>
  <c r="G498" i="14"/>
  <c r="H497" i="14"/>
  <c r="G497" i="14"/>
  <c r="H496" i="14"/>
  <c r="G496" i="14"/>
  <c r="H495" i="14"/>
  <c r="G495" i="14"/>
  <c r="H494" i="14"/>
  <c r="G494" i="14"/>
  <c r="H493" i="14"/>
  <c r="G493" i="14"/>
  <c r="H492" i="14"/>
  <c r="G492" i="14"/>
  <c r="H491" i="14"/>
  <c r="G491" i="14"/>
  <c r="H490" i="14"/>
  <c r="G490" i="14"/>
  <c r="H489" i="14"/>
  <c r="G489" i="14"/>
  <c r="H488" i="14"/>
  <c r="G488" i="14"/>
  <c r="H487" i="14"/>
  <c r="G487" i="14"/>
  <c r="H486" i="14"/>
  <c r="G486" i="14"/>
  <c r="H485" i="14"/>
  <c r="G485" i="14"/>
  <c r="H484" i="14"/>
  <c r="G484" i="14"/>
  <c r="H483" i="14"/>
  <c r="G483" i="14"/>
  <c r="H482" i="14"/>
  <c r="G482" i="14"/>
  <c r="H481" i="14"/>
  <c r="G481" i="14"/>
  <c r="H480" i="14"/>
  <c r="G480" i="14"/>
  <c r="H479" i="14"/>
  <c r="G479" i="14"/>
  <c r="H478" i="14"/>
  <c r="G478" i="14"/>
  <c r="H477" i="14"/>
  <c r="G477" i="14"/>
  <c r="H476" i="14"/>
  <c r="G476" i="14"/>
  <c r="H475" i="14"/>
  <c r="G475" i="14"/>
  <c r="H474" i="14"/>
  <c r="G474" i="14"/>
  <c r="H473" i="14"/>
  <c r="G473" i="14"/>
  <c r="H472" i="14"/>
  <c r="G472" i="14"/>
  <c r="H471" i="14"/>
  <c r="G471" i="14"/>
  <c r="H470" i="14"/>
  <c r="G470" i="14"/>
  <c r="H469" i="14"/>
  <c r="G469" i="14"/>
  <c r="H468" i="14"/>
  <c r="G468" i="14"/>
  <c r="H467" i="14"/>
  <c r="G467" i="14"/>
  <c r="H466" i="14"/>
  <c r="G466" i="14"/>
  <c r="H465" i="14"/>
  <c r="G465" i="14"/>
  <c r="H464" i="14"/>
  <c r="G464" i="14"/>
  <c r="H463" i="14"/>
  <c r="G463" i="14"/>
  <c r="H462" i="14"/>
  <c r="G462" i="14"/>
  <c r="H461" i="14"/>
  <c r="G461" i="14"/>
  <c r="H460" i="14"/>
  <c r="G460" i="14"/>
  <c r="H459" i="14"/>
  <c r="G459" i="14"/>
  <c r="H458" i="14"/>
  <c r="G458" i="14"/>
  <c r="H457" i="14"/>
  <c r="G457" i="14"/>
  <c r="H456" i="14"/>
  <c r="G456" i="14"/>
  <c r="H455" i="14"/>
  <c r="G455" i="14"/>
  <c r="H454" i="14"/>
  <c r="G454" i="14"/>
  <c r="H453" i="14"/>
  <c r="G453" i="14"/>
  <c r="H452" i="14"/>
  <c r="G452" i="14"/>
  <c r="H451" i="14"/>
  <c r="G451" i="14"/>
  <c r="H450" i="14"/>
  <c r="G450" i="14"/>
  <c r="H449" i="14"/>
  <c r="G449" i="14"/>
  <c r="H448" i="14"/>
  <c r="G448" i="14"/>
  <c r="H447" i="14"/>
  <c r="G447" i="14"/>
  <c r="H446" i="14"/>
  <c r="G446" i="14"/>
  <c r="H445" i="14"/>
  <c r="G445" i="14"/>
  <c r="H444" i="14"/>
  <c r="G444" i="14"/>
  <c r="H443" i="14"/>
  <c r="G443" i="14"/>
  <c r="H442" i="14"/>
  <c r="G442" i="14"/>
  <c r="H441" i="14"/>
  <c r="G441" i="14"/>
  <c r="H440" i="14"/>
  <c r="G440" i="14"/>
  <c r="H439" i="14"/>
  <c r="G439" i="14"/>
  <c r="H438" i="14"/>
  <c r="G438" i="14"/>
  <c r="H437" i="14"/>
  <c r="G437" i="14"/>
  <c r="H436" i="14"/>
  <c r="G436" i="14"/>
  <c r="H435" i="14"/>
  <c r="G435" i="14"/>
  <c r="H434" i="14"/>
  <c r="G434" i="14"/>
  <c r="H433" i="14"/>
  <c r="G433" i="14"/>
  <c r="H432" i="14"/>
  <c r="G432" i="14"/>
  <c r="H431" i="14"/>
  <c r="G431" i="14"/>
  <c r="H430" i="14"/>
  <c r="G430" i="14"/>
  <c r="H429" i="14"/>
  <c r="G429" i="14"/>
  <c r="H428" i="14"/>
  <c r="G428" i="14"/>
  <c r="H427" i="14"/>
  <c r="G427" i="14"/>
  <c r="H426" i="14"/>
  <c r="G426" i="14"/>
  <c r="H425" i="14"/>
  <c r="G425" i="14"/>
  <c r="H424" i="14"/>
  <c r="G424" i="14"/>
  <c r="H423" i="14"/>
  <c r="G423" i="14"/>
  <c r="H422" i="14"/>
  <c r="G422" i="14"/>
  <c r="H421" i="14"/>
  <c r="G421" i="14"/>
  <c r="H420" i="14"/>
  <c r="G420" i="14"/>
  <c r="H419" i="14"/>
  <c r="G419" i="14"/>
  <c r="H418" i="14"/>
  <c r="G418" i="14"/>
  <c r="H417" i="14"/>
  <c r="G417" i="14"/>
  <c r="H416" i="14"/>
  <c r="G416" i="14"/>
  <c r="H415" i="14"/>
  <c r="G415" i="14"/>
  <c r="H414" i="14"/>
  <c r="G414" i="14"/>
  <c r="H413" i="14"/>
  <c r="G413" i="14"/>
  <c r="H412" i="14"/>
  <c r="G412" i="14"/>
  <c r="H411" i="14"/>
  <c r="G411" i="14"/>
  <c r="H410" i="14"/>
  <c r="G410" i="14"/>
  <c r="H409" i="14"/>
  <c r="G409" i="14"/>
  <c r="H408" i="14"/>
  <c r="G408" i="14"/>
  <c r="H407" i="14"/>
  <c r="G407" i="14"/>
  <c r="H406" i="14"/>
  <c r="G406" i="14"/>
  <c r="H405" i="14"/>
  <c r="G405" i="14"/>
  <c r="H404" i="14"/>
  <c r="G404" i="14"/>
  <c r="H403" i="14"/>
  <c r="G403" i="14"/>
  <c r="H402" i="14"/>
  <c r="G402" i="14"/>
  <c r="H401" i="14"/>
  <c r="G401" i="14"/>
  <c r="H400" i="14"/>
  <c r="G400" i="14"/>
  <c r="H399" i="14"/>
  <c r="G399" i="14"/>
  <c r="H398" i="14"/>
  <c r="G398" i="14"/>
  <c r="H397" i="14"/>
  <c r="G397" i="14"/>
  <c r="H396" i="14"/>
  <c r="G396" i="14"/>
  <c r="H395" i="14"/>
  <c r="G395" i="14"/>
  <c r="H394" i="14"/>
  <c r="G394" i="14"/>
  <c r="H393" i="14"/>
  <c r="G393" i="14"/>
  <c r="H392" i="14"/>
  <c r="G392" i="14"/>
  <c r="H391" i="14"/>
  <c r="G391" i="14"/>
  <c r="H390" i="14"/>
  <c r="G390" i="14"/>
  <c r="H389" i="14"/>
  <c r="G389" i="14"/>
  <c r="H388" i="14"/>
  <c r="G388" i="14"/>
  <c r="H387" i="14"/>
  <c r="G387" i="14"/>
  <c r="H386" i="14"/>
  <c r="G386" i="14"/>
  <c r="H385" i="14"/>
  <c r="G385" i="14"/>
  <c r="H384" i="14"/>
  <c r="G384" i="14"/>
  <c r="H383" i="14"/>
  <c r="G383" i="14"/>
  <c r="H382" i="14"/>
  <c r="G382" i="14"/>
  <c r="H381" i="14"/>
  <c r="G381" i="14"/>
  <c r="H380" i="14"/>
  <c r="G380" i="14"/>
  <c r="H379" i="14"/>
  <c r="G379" i="14"/>
  <c r="H378" i="14"/>
  <c r="G378" i="14"/>
  <c r="H377" i="14"/>
  <c r="G377" i="14"/>
  <c r="H376" i="14"/>
  <c r="G376" i="14"/>
  <c r="H375" i="14"/>
  <c r="G375" i="14"/>
  <c r="H374" i="14"/>
  <c r="G374" i="14"/>
  <c r="H373" i="14"/>
  <c r="G373" i="14"/>
  <c r="H372" i="14"/>
  <c r="G372" i="14"/>
  <c r="H371" i="14"/>
  <c r="G371" i="14"/>
  <c r="H370" i="14"/>
  <c r="G370" i="14"/>
  <c r="H369" i="14"/>
  <c r="G369" i="14"/>
  <c r="H368" i="14"/>
  <c r="G368" i="14"/>
  <c r="H367" i="14"/>
  <c r="G367" i="14"/>
  <c r="H366" i="14"/>
  <c r="G366" i="14"/>
  <c r="H365" i="14"/>
  <c r="G365" i="14"/>
  <c r="H364" i="14"/>
  <c r="G364" i="14"/>
  <c r="H363" i="14"/>
  <c r="G363" i="14"/>
  <c r="H362" i="14"/>
  <c r="G362" i="14"/>
  <c r="H361" i="14"/>
  <c r="G361" i="14"/>
  <c r="H360" i="14"/>
  <c r="G360" i="14"/>
  <c r="H359" i="14"/>
  <c r="G359" i="14"/>
  <c r="H358" i="14"/>
  <c r="G358" i="14"/>
  <c r="H357" i="14"/>
  <c r="G357" i="14"/>
  <c r="H356" i="14"/>
  <c r="G356" i="14"/>
  <c r="H355" i="14"/>
  <c r="G355" i="14"/>
  <c r="H354" i="14"/>
  <c r="G354" i="14"/>
  <c r="H353" i="14"/>
  <c r="G353" i="14"/>
  <c r="H352" i="14"/>
  <c r="G352" i="14"/>
  <c r="H351" i="14"/>
  <c r="G351" i="14"/>
  <c r="H350" i="14"/>
  <c r="G350" i="14"/>
  <c r="H349" i="14"/>
  <c r="G349" i="14"/>
  <c r="H348" i="14"/>
  <c r="G348" i="14"/>
  <c r="H347" i="14"/>
  <c r="G347" i="14"/>
  <c r="H346" i="14"/>
  <c r="G346" i="14"/>
  <c r="H345" i="14"/>
  <c r="G345" i="14"/>
  <c r="H344" i="14"/>
  <c r="G344" i="14"/>
  <c r="H343" i="14"/>
  <c r="G343" i="14"/>
  <c r="H342" i="14"/>
  <c r="G342" i="14"/>
  <c r="H341" i="14"/>
  <c r="G341" i="14"/>
  <c r="H340" i="14"/>
  <c r="G340" i="14"/>
  <c r="H339" i="14"/>
  <c r="G339" i="14"/>
  <c r="H338" i="14"/>
  <c r="G338" i="14"/>
  <c r="H337" i="14"/>
  <c r="G337" i="14"/>
  <c r="H336" i="14"/>
  <c r="G336" i="14"/>
  <c r="H335" i="14"/>
  <c r="G335" i="14"/>
  <c r="H334" i="14"/>
  <c r="G334" i="14"/>
  <c r="H333" i="14"/>
  <c r="G333" i="14"/>
  <c r="H332" i="14"/>
  <c r="G332" i="14"/>
  <c r="H331" i="14"/>
  <c r="G331" i="14"/>
  <c r="H330" i="14"/>
  <c r="G330" i="14"/>
  <c r="H329" i="14"/>
  <c r="G329" i="14"/>
  <c r="H328" i="14"/>
  <c r="G328" i="14"/>
  <c r="H327" i="14"/>
  <c r="G327" i="14"/>
  <c r="H326" i="14"/>
  <c r="G326" i="14"/>
  <c r="H325" i="14"/>
  <c r="G325" i="14"/>
  <c r="H324" i="14"/>
  <c r="G324" i="14"/>
  <c r="H323" i="14"/>
  <c r="G323" i="14"/>
  <c r="H322" i="14"/>
  <c r="G322" i="14"/>
  <c r="H321" i="14"/>
  <c r="G321" i="14"/>
  <c r="H320" i="14"/>
  <c r="G320" i="14"/>
  <c r="H319" i="14"/>
  <c r="G319" i="14"/>
  <c r="H318" i="14"/>
  <c r="G318" i="14"/>
  <c r="H317" i="14"/>
  <c r="G317" i="14"/>
  <c r="H316" i="14"/>
  <c r="G316" i="14"/>
  <c r="H315" i="14"/>
  <c r="G315" i="14"/>
  <c r="H314" i="14"/>
  <c r="G314" i="14"/>
  <c r="H313" i="14"/>
  <c r="G313" i="14"/>
  <c r="H312" i="14"/>
  <c r="G312" i="14"/>
  <c r="H311" i="14"/>
  <c r="G311" i="14"/>
  <c r="H310" i="14"/>
  <c r="G310" i="14"/>
  <c r="H309" i="14"/>
  <c r="G309" i="14"/>
  <c r="H308" i="14"/>
  <c r="G308" i="14"/>
  <c r="H307" i="14"/>
  <c r="G307" i="14"/>
  <c r="H306" i="14"/>
  <c r="G306" i="14"/>
  <c r="H305" i="14"/>
  <c r="G305" i="14"/>
  <c r="H304" i="14"/>
  <c r="G304" i="14"/>
  <c r="H303" i="14"/>
  <c r="G303" i="14"/>
  <c r="H302" i="14"/>
  <c r="G302" i="14"/>
  <c r="H301" i="14"/>
  <c r="G301" i="14"/>
  <c r="H300" i="14"/>
  <c r="G300" i="14"/>
  <c r="H299" i="14"/>
  <c r="G299" i="14"/>
  <c r="H298" i="14"/>
  <c r="G298" i="14"/>
  <c r="H297" i="14"/>
  <c r="G297" i="14"/>
  <c r="H296" i="14"/>
  <c r="G296" i="14"/>
  <c r="H295" i="14"/>
  <c r="G295" i="14"/>
  <c r="H294" i="14"/>
  <c r="G294" i="14"/>
  <c r="H293" i="14"/>
  <c r="G293" i="14"/>
  <c r="H292" i="14"/>
  <c r="G292" i="14"/>
  <c r="H291" i="14"/>
  <c r="G291" i="14"/>
  <c r="H290" i="14"/>
  <c r="G290" i="14"/>
  <c r="H289" i="14"/>
  <c r="G289" i="14"/>
  <c r="H288" i="14"/>
  <c r="G288" i="14"/>
  <c r="H287" i="14"/>
  <c r="G287" i="14"/>
  <c r="H286" i="14"/>
  <c r="G286" i="14"/>
  <c r="H285" i="14"/>
  <c r="G285" i="14"/>
  <c r="H284" i="14"/>
  <c r="G284" i="14"/>
  <c r="H283" i="14"/>
  <c r="G283" i="14"/>
  <c r="H282" i="14"/>
  <c r="G282" i="14"/>
  <c r="H281" i="14"/>
  <c r="G281" i="14"/>
  <c r="H280" i="14"/>
  <c r="G280" i="14"/>
  <c r="H279" i="14"/>
  <c r="G279" i="14"/>
  <c r="H278" i="14"/>
  <c r="G278" i="14"/>
  <c r="H277" i="14"/>
  <c r="G277" i="14"/>
  <c r="H276" i="14"/>
  <c r="G276" i="14"/>
  <c r="H275" i="14"/>
  <c r="G275" i="14"/>
  <c r="H274" i="14"/>
  <c r="G274" i="14"/>
  <c r="H273" i="14"/>
  <c r="G273" i="14"/>
  <c r="H272" i="14"/>
  <c r="G272" i="14"/>
  <c r="H271" i="14"/>
  <c r="G271" i="14"/>
  <c r="H270" i="14"/>
  <c r="G270" i="14"/>
  <c r="H269" i="14"/>
  <c r="G269" i="14"/>
  <c r="H268" i="14"/>
  <c r="G268" i="14"/>
  <c r="H267" i="14"/>
  <c r="G267" i="14"/>
  <c r="H266" i="14"/>
  <c r="G266" i="14"/>
  <c r="H265" i="14"/>
  <c r="G265" i="14"/>
  <c r="H264" i="14"/>
  <c r="G264" i="14"/>
  <c r="H263" i="14"/>
  <c r="G263" i="14"/>
  <c r="H262" i="14"/>
  <c r="G262" i="14"/>
  <c r="H261" i="14"/>
  <c r="G261" i="14"/>
  <c r="H260" i="14"/>
  <c r="G260" i="14"/>
  <c r="H259" i="14"/>
  <c r="G259" i="14"/>
  <c r="H258" i="14"/>
  <c r="G258" i="14"/>
  <c r="H257" i="14"/>
  <c r="G257" i="14"/>
  <c r="H256" i="14"/>
  <c r="G256" i="14"/>
  <c r="H255" i="14"/>
  <c r="G255" i="14"/>
  <c r="H254" i="14"/>
  <c r="G254" i="14"/>
  <c r="H253" i="14"/>
  <c r="G253" i="14"/>
  <c r="H252" i="14"/>
  <c r="G252" i="14"/>
  <c r="H251" i="14"/>
  <c r="G251" i="14"/>
  <c r="H250" i="14"/>
  <c r="G250" i="14"/>
  <c r="H249" i="14"/>
  <c r="G249" i="14"/>
  <c r="H248" i="14"/>
  <c r="G248" i="14"/>
  <c r="H247" i="14"/>
  <c r="G247" i="14"/>
  <c r="H246" i="14"/>
  <c r="G246" i="14"/>
  <c r="H245" i="14"/>
  <c r="G245" i="14"/>
  <c r="H244" i="14"/>
  <c r="G244" i="14"/>
  <c r="H243" i="14"/>
  <c r="G243" i="14"/>
  <c r="H242" i="14"/>
  <c r="G242" i="14"/>
  <c r="H241" i="14"/>
  <c r="G241" i="14"/>
  <c r="H240" i="14"/>
  <c r="G240" i="14"/>
  <c r="H239" i="14"/>
  <c r="G239" i="14"/>
  <c r="H238" i="14"/>
  <c r="G238" i="14"/>
  <c r="H237" i="14"/>
  <c r="G237" i="14"/>
  <c r="H236" i="14"/>
  <c r="G236" i="14"/>
  <c r="H235" i="14"/>
  <c r="G235" i="14"/>
  <c r="H234" i="14"/>
  <c r="G234" i="14"/>
  <c r="H233" i="14"/>
  <c r="G233" i="14"/>
  <c r="H232" i="14"/>
  <c r="G232" i="14"/>
  <c r="H231" i="14"/>
  <c r="G231" i="14"/>
  <c r="H230" i="14"/>
  <c r="G230" i="14"/>
  <c r="H229" i="14"/>
  <c r="G229" i="14"/>
  <c r="H228" i="14"/>
  <c r="G228" i="14"/>
  <c r="H227" i="14"/>
  <c r="G227" i="14"/>
  <c r="H226" i="14"/>
  <c r="G226" i="14"/>
  <c r="H225" i="14"/>
  <c r="G225" i="14"/>
  <c r="H224" i="14"/>
  <c r="G224" i="14"/>
  <c r="H223" i="14"/>
  <c r="G223" i="14"/>
  <c r="H222" i="14"/>
  <c r="G222" i="14"/>
  <c r="H221" i="14"/>
  <c r="G221" i="14"/>
  <c r="H220" i="14"/>
  <c r="G220" i="14"/>
  <c r="H219" i="14"/>
  <c r="G219" i="14"/>
  <c r="H218" i="14"/>
  <c r="G218" i="14"/>
  <c r="H217" i="14"/>
  <c r="G217" i="14"/>
  <c r="H216" i="14"/>
  <c r="G216" i="14"/>
  <c r="H215" i="14"/>
  <c r="G215" i="14"/>
  <c r="H214" i="14"/>
  <c r="G214" i="14"/>
  <c r="H213" i="14"/>
  <c r="G213" i="14"/>
  <c r="H212" i="14"/>
  <c r="G212" i="14"/>
  <c r="H211" i="14"/>
  <c r="G211" i="14"/>
  <c r="H210" i="14"/>
  <c r="G210" i="14"/>
  <c r="H209" i="14"/>
  <c r="G209" i="14"/>
  <c r="H208" i="14"/>
  <c r="G208" i="14"/>
  <c r="H207" i="14"/>
  <c r="G207" i="14"/>
  <c r="H206" i="14"/>
  <c r="G206" i="14"/>
  <c r="H205" i="14"/>
  <c r="G205" i="14"/>
  <c r="H204" i="14"/>
  <c r="G204" i="14"/>
  <c r="H203" i="14"/>
  <c r="G203" i="14"/>
  <c r="H202" i="14"/>
  <c r="G202" i="14"/>
  <c r="H201" i="14"/>
  <c r="G201" i="14"/>
  <c r="H200" i="14"/>
  <c r="G200" i="14"/>
  <c r="H199" i="14"/>
  <c r="G199" i="14"/>
  <c r="H198" i="14"/>
  <c r="G198" i="14"/>
  <c r="H197" i="14"/>
  <c r="G197" i="14"/>
  <c r="H196" i="14"/>
  <c r="G196" i="14"/>
  <c r="H195" i="14"/>
  <c r="G195" i="14"/>
  <c r="H194" i="14"/>
  <c r="G194" i="14"/>
  <c r="H193" i="14"/>
  <c r="G193" i="14"/>
  <c r="H192" i="14"/>
  <c r="G192" i="14"/>
  <c r="H191" i="14"/>
  <c r="G191" i="14"/>
  <c r="H190" i="14"/>
  <c r="G190" i="14"/>
  <c r="H189" i="14"/>
  <c r="G189" i="14"/>
  <c r="H188" i="14"/>
  <c r="G188" i="14"/>
  <c r="H187" i="14"/>
  <c r="G187" i="14"/>
  <c r="H186" i="14"/>
  <c r="G186" i="14"/>
  <c r="H185" i="14"/>
  <c r="G185" i="14"/>
  <c r="H184" i="14"/>
  <c r="G184" i="14"/>
  <c r="H183" i="14"/>
  <c r="G183" i="14"/>
  <c r="H182" i="14"/>
  <c r="G182" i="14"/>
  <c r="H181" i="14"/>
  <c r="G181" i="14"/>
  <c r="H180" i="14"/>
  <c r="G180" i="14"/>
  <c r="H179" i="14"/>
  <c r="G179" i="14"/>
  <c r="H178" i="14"/>
  <c r="G178" i="14"/>
  <c r="H177" i="14"/>
  <c r="G177" i="14"/>
  <c r="H176" i="14"/>
  <c r="G176" i="14"/>
  <c r="H175" i="14"/>
  <c r="G175" i="14"/>
  <c r="H174" i="14"/>
  <c r="G174" i="14"/>
  <c r="H173" i="14"/>
  <c r="G173" i="14"/>
  <c r="H172" i="14"/>
  <c r="G172" i="14"/>
  <c r="H171" i="14"/>
  <c r="G171" i="14"/>
  <c r="H170" i="14"/>
  <c r="G170" i="14"/>
  <c r="H169" i="14"/>
  <c r="G169" i="14"/>
  <c r="H168" i="14"/>
  <c r="G168" i="14"/>
  <c r="H167" i="14"/>
  <c r="G167" i="14"/>
  <c r="H166" i="14"/>
  <c r="G166" i="14"/>
  <c r="H165" i="14"/>
  <c r="G165" i="14"/>
  <c r="H164" i="14"/>
  <c r="G164" i="14"/>
  <c r="H163" i="14"/>
  <c r="G163" i="14"/>
  <c r="H162" i="14"/>
  <c r="G162" i="14"/>
  <c r="H161" i="14"/>
  <c r="G161" i="14"/>
  <c r="H160" i="14"/>
  <c r="G160" i="14"/>
  <c r="H159" i="14"/>
  <c r="G159" i="14"/>
  <c r="H158" i="14"/>
  <c r="G158" i="14"/>
  <c r="H157" i="14"/>
  <c r="G157" i="14"/>
  <c r="H156" i="14"/>
  <c r="G156" i="14"/>
  <c r="H155" i="14"/>
  <c r="G155" i="14"/>
  <c r="H154" i="14"/>
  <c r="G154" i="14"/>
  <c r="H153" i="14"/>
  <c r="G153" i="14"/>
  <c r="H152" i="14"/>
  <c r="G152" i="14"/>
  <c r="H151" i="14"/>
  <c r="G151" i="14"/>
  <c r="H150" i="14"/>
  <c r="G150" i="14"/>
  <c r="H149" i="14"/>
  <c r="G149" i="14"/>
  <c r="H148" i="14"/>
  <c r="G148" i="14"/>
  <c r="H147" i="14"/>
  <c r="G147" i="14"/>
  <c r="H146" i="14"/>
  <c r="G146" i="14"/>
  <c r="H145" i="14"/>
  <c r="G145" i="14"/>
  <c r="H144" i="14"/>
  <c r="G144" i="14"/>
  <c r="H143" i="14"/>
  <c r="G143" i="14"/>
  <c r="H142" i="14"/>
  <c r="G142" i="14"/>
  <c r="H141" i="14"/>
  <c r="G141" i="14"/>
  <c r="H140" i="14"/>
  <c r="G140" i="14"/>
  <c r="H139" i="14"/>
  <c r="G139" i="14"/>
  <c r="H138" i="14"/>
  <c r="G138" i="14"/>
  <c r="H137" i="14"/>
  <c r="G137" i="14"/>
  <c r="H136" i="14"/>
  <c r="G136" i="14"/>
  <c r="H135" i="14"/>
  <c r="G135" i="14"/>
  <c r="H134" i="14"/>
  <c r="G134" i="14"/>
  <c r="H133" i="14"/>
  <c r="G133" i="14"/>
  <c r="H132" i="14"/>
  <c r="G132" i="14"/>
  <c r="H131" i="14"/>
  <c r="G131" i="14"/>
  <c r="H130" i="14"/>
  <c r="G130" i="14"/>
  <c r="H129" i="14"/>
  <c r="G129" i="14"/>
  <c r="H128" i="14"/>
  <c r="G128" i="14"/>
  <c r="H127" i="14"/>
  <c r="G127" i="14"/>
  <c r="H126" i="14"/>
  <c r="G126" i="14"/>
  <c r="H125" i="14"/>
  <c r="G125" i="14"/>
  <c r="H124" i="14"/>
  <c r="G124" i="14"/>
  <c r="H123" i="14"/>
  <c r="G123" i="14"/>
  <c r="H122" i="14"/>
  <c r="G122" i="14"/>
  <c r="H121" i="14"/>
  <c r="G121" i="14"/>
  <c r="H120" i="14"/>
  <c r="G120" i="14"/>
  <c r="H119" i="14"/>
  <c r="G119" i="14"/>
  <c r="H118" i="14"/>
  <c r="G118" i="14"/>
  <c r="H117" i="14"/>
  <c r="G117" i="14"/>
  <c r="H116" i="14"/>
  <c r="G116" i="14"/>
  <c r="H115" i="14"/>
  <c r="G115" i="14"/>
  <c r="H114" i="14"/>
  <c r="G114" i="14"/>
  <c r="H113" i="14"/>
  <c r="G113" i="14"/>
  <c r="H112" i="14"/>
  <c r="G112" i="14"/>
  <c r="H111" i="14"/>
  <c r="G111" i="14"/>
  <c r="H110" i="14"/>
  <c r="G110" i="14"/>
  <c r="H109" i="14"/>
  <c r="G109" i="14"/>
  <c r="H108" i="14"/>
  <c r="G108" i="14"/>
  <c r="H107" i="14"/>
  <c r="G107" i="14"/>
  <c r="H106" i="14"/>
  <c r="G106" i="14"/>
  <c r="H105" i="14"/>
  <c r="G105" i="14"/>
  <c r="H104" i="14"/>
  <c r="G104" i="14"/>
  <c r="H103" i="14"/>
  <c r="G103" i="14"/>
  <c r="H102" i="14"/>
  <c r="G102" i="14"/>
  <c r="H101" i="14"/>
  <c r="G101" i="14"/>
  <c r="H100" i="14"/>
  <c r="G100" i="14"/>
  <c r="H99" i="14"/>
  <c r="G99" i="14"/>
  <c r="H98" i="14"/>
  <c r="G98" i="14"/>
  <c r="H97" i="14"/>
  <c r="G97" i="14"/>
  <c r="H96" i="14"/>
  <c r="G96" i="14"/>
  <c r="H95" i="14"/>
  <c r="G95" i="14"/>
  <c r="H94" i="14"/>
  <c r="G94" i="14"/>
  <c r="H93" i="14"/>
  <c r="G93" i="14"/>
  <c r="H92" i="14"/>
  <c r="G92" i="14"/>
  <c r="H91" i="14"/>
  <c r="G91" i="14"/>
  <c r="H90" i="14"/>
  <c r="G90" i="14"/>
  <c r="H89" i="14"/>
  <c r="G89" i="14"/>
  <c r="H88" i="14"/>
  <c r="G88" i="14"/>
  <c r="H87" i="14"/>
  <c r="G87" i="14"/>
  <c r="H86" i="14"/>
  <c r="G86" i="14"/>
  <c r="H85" i="14"/>
  <c r="G85" i="14"/>
  <c r="H84" i="14"/>
  <c r="G84" i="14"/>
  <c r="H83" i="14"/>
  <c r="G83" i="14"/>
  <c r="H82" i="14"/>
  <c r="G82" i="14"/>
  <c r="H81" i="14"/>
  <c r="G81" i="14"/>
  <c r="H80" i="14"/>
  <c r="G80" i="14"/>
  <c r="H79" i="14"/>
  <c r="G79" i="14"/>
  <c r="H78" i="14"/>
  <c r="G78" i="14"/>
  <c r="H77" i="14"/>
  <c r="G77" i="14"/>
  <c r="H76" i="14"/>
  <c r="G76" i="14"/>
  <c r="H75" i="14"/>
  <c r="G75" i="14"/>
  <c r="H74" i="14"/>
  <c r="G74" i="14"/>
  <c r="H73" i="14"/>
  <c r="G73" i="14"/>
  <c r="H72" i="14"/>
  <c r="G72" i="14"/>
  <c r="H71" i="14"/>
  <c r="G71" i="14"/>
  <c r="H70" i="14"/>
  <c r="G70" i="14"/>
  <c r="H69" i="14"/>
  <c r="G69" i="14"/>
  <c r="H68" i="14"/>
  <c r="G68" i="14"/>
  <c r="H67" i="14"/>
  <c r="G67" i="14"/>
  <c r="H66" i="14"/>
  <c r="G66" i="14"/>
  <c r="H65" i="14"/>
  <c r="G65" i="14"/>
  <c r="H64" i="14"/>
  <c r="G64" i="14"/>
  <c r="H63" i="14"/>
  <c r="G63" i="14"/>
  <c r="H62" i="14"/>
  <c r="G62" i="14"/>
  <c r="H61" i="14"/>
  <c r="G61" i="14"/>
  <c r="H60" i="14"/>
  <c r="G60" i="14"/>
  <c r="H59" i="14"/>
  <c r="G59" i="14"/>
  <c r="H58" i="14"/>
  <c r="G58" i="14"/>
  <c r="H57" i="14"/>
  <c r="G57" i="14"/>
  <c r="H56" i="14"/>
  <c r="G56" i="14"/>
  <c r="H55" i="14"/>
  <c r="G55" i="14"/>
  <c r="H54" i="14"/>
  <c r="G54" i="14"/>
  <c r="H53" i="14"/>
  <c r="G53" i="14"/>
  <c r="H52" i="14"/>
  <c r="G52" i="14"/>
  <c r="H51" i="14"/>
  <c r="G51" i="14"/>
  <c r="H50" i="14"/>
  <c r="G50" i="14"/>
  <c r="H49" i="14"/>
  <c r="G49" i="14"/>
  <c r="H48" i="14"/>
  <c r="G48" i="14"/>
  <c r="H47" i="14"/>
  <c r="G47" i="14"/>
  <c r="H46" i="14"/>
  <c r="G46" i="14"/>
  <c r="H45" i="14"/>
  <c r="G45" i="14"/>
  <c r="H44" i="14"/>
  <c r="G44" i="14"/>
  <c r="H43" i="14"/>
  <c r="G43" i="14"/>
  <c r="H42" i="14"/>
  <c r="G42" i="14"/>
  <c r="H41" i="14"/>
  <c r="G41" i="14"/>
  <c r="H40" i="14"/>
  <c r="G40" i="14"/>
  <c r="H39" i="14"/>
  <c r="G39" i="14"/>
  <c r="H38" i="14"/>
  <c r="G38" i="14"/>
  <c r="H37" i="14"/>
  <c r="G37" i="14"/>
  <c r="H36" i="14"/>
  <c r="G36" i="14"/>
  <c r="H35" i="14"/>
  <c r="G35" i="14"/>
  <c r="H34" i="14"/>
  <c r="G34" i="14"/>
  <c r="H33" i="14"/>
  <c r="G33" i="14"/>
  <c r="H32" i="14"/>
  <c r="G32" i="14"/>
  <c r="H31" i="14"/>
  <c r="G31" i="14"/>
  <c r="H30" i="14"/>
  <c r="G30" i="14"/>
  <c r="H29" i="14"/>
  <c r="G29" i="14"/>
  <c r="H28" i="14"/>
  <c r="G28" i="14"/>
  <c r="H27" i="14"/>
  <c r="G27" i="14"/>
  <c r="H26" i="14"/>
  <c r="G26" i="14"/>
  <c r="H25" i="14"/>
  <c r="G25" i="14"/>
  <c r="H24" i="14"/>
  <c r="G24" i="14"/>
  <c r="H23" i="14"/>
  <c r="G23" i="14"/>
  <c r="H22" i="14"/>
  <c r="G22" i="14"/>
  <c r="H21" i="14"/>
  <c r="G21" i="14"/>
  <c r="H20" i="14"/>
  <c r="G20" i="14"/>
  <c r="H19" i="14"/>
  <c r="G19" i="14"/>
  <c r="H18" i="14"/>
  <c r="G18" i="14"/>
  <c r="H17" i="14"/>
  <c r="G17" i="14"/>
  <c r="H16" i="14"/>
  <c r="G16" i="14"/>
  <c r="H15" i="14"/>
  <c r="G15" i="14"/>
  <c r="H14" i="14"/>
  <c r="G14" i="14"/>
  <c r="H13" i="14"/>
  <c r="G13" i="14"/>
  <c r="H12" i="14"/>
  <c r="G12" i="14"/>
  <c r="H11" i="14"/>
  <c r="G11" i="14"/>
  <c r="H10" i="14"/>
  <c r="G10" i="14"/>
  <c r="H9" i="14"/>
  <c r="G9" i="14"/>
  <c r="H8" i="14"/>
  <c r="G8" i="14"/>
  <c r="H7" i="14"/>
  <c r="G7" i="14"/>
  <c r="H6" i="14"/>
  <c r="G6" i="14"/>
  <c r="T5" i="14"/>
  <c r="H5" i="14"/>
  <c r="G5" i="14"/>
  <c r="U4" i="14"/>
  <c r="T4" i="14"/>
  <c r="S4" i="14"/>
  <c r="R4" i="14"/>
  <c r="H4" i="14"/>
  <c r="G4" i="14"/>
  <c r="H3" i="14"/>
  <c r="G3" i="14"/>
  <c r="D276" i="17" l="1"/>
  <c r="D275" i="17"/>
  <c r="I274" i="17"/>
  <c r="C274" i="17"/>
  <c r="B274" i="17"/>
  <c r="H205" i="17"/>
  <c r="I22" i="17"/>
  <c r="I12" i="4" l="1"/>
  <c r="C32" i="25"/>
  <c r="S59" i="5"/>
  <c r="F21" i="26" s="1"/>
  <c r="H59" i="5"/>
  <c r="S41" i="5"/>
  <c r="P59" i="5"/>
  <c r="M59" i="5"/>
  <c r="E29" i="22"/>
  <c r="D29" i="22" s="1"/>
  <c r="E23" i="22"/>
  <c r="E18" i="22"/>
  <c r="D18" i="22"/>
  <c r="G9" i="20"/>
  <c r="C18" i="25"/>
  <c r="C8" i="25"/>
  <c r="F47" i="26"/>
  <c r="F44" i="26"/>
  <c r="F43" i="26"/>
  <c r="F46" i="26"/>
  <c r="F41" i="26"/>
  <c r="C44" i="26"/>
  <c r="C39" i="26"/>
  <c r="AE70" i="27"/>
  <c r="AA70" i="27"/>
  <c r="AE69" i="27"/>
  <c r="AA69" i="27"/>
  <c r="AE68" i="27"/>
  <c r="AA68" i="27"/>
  <c r="AE67" i="27"/>
  <c r="AA67" i="27"/>
  <c r="AE66" i="27"/>
  <c r="AC66" i="27"/>
  <c r="AC67" i="27" s="1"/>
  <c r="AC68" i="27" s="1"/>
  <c r="AC69" i="27" s="1"/>
  <c r="AC70" i="27" s="1"/>
  <c r="AA66" i="27"/>
  <c r="AE65" i="27"/>
  <c r="AA65" i="27"/>
  <c r="AE47" i="27"/>
  <c r="AC47" i="27"/>
  <c r="AA47" i="27"/>
  <c r="AE46" i="27"/>
  <c r="AC46" i="27"/>
  <c r="AA46" i="27"/>
  <c r="AE45" i="27"/>
  <c r="AC45" i="27"/>
  <c r="AA45" i="27"/>
  <c r="AE31" i="27"/>
  <c r="AC31" i="27"/>
  <c r="AA31" i="27"/>
  <c r="AE17" i="27"/>
  <c r="AC17" i="27"/>
  <c r="AA17" i="27"/>
  <c r="AG147" i="18" l="1"/>
  <c r="AJ147" i="18" s="1"/>
  <c r="P147" i="18"/>
  <c r="W147" i="18"/>
  <c r="Z147" i="18" s="1"/>
  <c r="O190" i="18" l="1"/>
  <c r="O189" i="18"/>
  <c r="O188" i="18"/>
  <c r="O187" i="18"/>
  <c r="O186" i="18"/>
  <c r="O185" i="18"/>
  <c r="O184" i="18"/>
  <c r="O180" i="18"/>
  <c r="O179" i="18"/>
  <c r="O178" i="18"/>
  <c r="O177" i="18"/>
  <c r="O176" i="18"/>
  <c r="O175" i="18"/>
  <c r="O174" i="18"/>
  <c r="O173" i="18"/>
  <c r="O172" i="18"/>
  <c r="O171" i="18"/>
  <c r="O170" i="18"/>
  <c r="O169" i="18"/>
  <c r="O168" i="18"/>
  <c r="O167" i="18"/>
  <c r="O166" i="18"/>
  <c r="O165" i="18"/>
  <c r="O164" i="18"/>
  <c r="O163" i="18"/>
  <c r="O162" i="18"/>
  <c r="O161" i="18"/>
  <c r="O160" i="18"/>
  <c r="O159" i="18"/>
  <c r="O158" i="18"/>
  <c r="O157" i="18"/>
  <c r="O156" i="18"/>
  <c r="O155" i="18"/>
  <c r="O154" i="18"/>
  <c r="O153" i="18"/>
  <c r="O152" i="18"/>
  <c r="O151" i="18"/>
  <c r="O145" i="18"/>
  <c r="O144" i="18"/>
  <c r="O143" i="18"/>
  <c r="O142" i="18"/>
  <c r="O141" i="18"/>
  <c r="O140" i="18"/>
  <c r="O139" i="18"/>
  <c r="O138" i="18"/>
  <c r="O137" i="18"/>
  <c r="O136" i="18"/>
  <c r="O135" i="18"/>
  <c r="O134" i="18"/>
  <c r="O133" i="18"/>
  <c r="O132" i="18"/>
  <c r="O131" i="18"/>
  <c r="O130" i="18"/>
  <c r="O129" i="18"/>
  <c r="O128" i="18"/>
  <c r="O127" i="18"/>
  <c r="O126" i="18"/>
  <c r="O125" i="18"/>
  <c r="O124" i="18"/>
  <c r="O123" i="18"/>
  <c r="O122" i="18"/>
  <c r="O121" i="18"/>
  <c r="O120" i="18"/>
  <c r="O119" i="18"/>
  <c r="O118" i="18"/>
  <c r="O117" i="18"/>
  <c r="O116" i="18"/>
  <c r="O115" i="18"/>
  <c r="O114" i="18"/>
  <c r="O113" i="18"/>
  <c r="O112" i="18"/>
  <c r="O111" i="18"/>
  <c r="O110" i="18"/>
  <c r="O109" i="18"/>
  <c r="O108" i="18"/>
  <c r="O107" i="18"/>
  <c r="O106" i="18"/>
  <c r="O105" i="18"/>
  <c r="O104" i="18"/>
  <c r="O103" i="18"/>
  <c r="O102" i="18"/>
  <c r="O101" i="18"/>
  <c r="O100" i="18"/>
  <c r="O99" i="18"/>
  <c r="O98" i="18"/>
  <c r="O97" i="18"/>
  <c r="O96" i="18"/>
  <c r="O95" i="18"/>
  <c r="O94" i="18"/>
  <c r="O93" i="18"/>
  <c r="O92" i="18"/>
  <c r="O91" i="18"/>
  <c r="O90" i="18"/>
  <c r="O89" i="18"/>
  <c r="O88" i="18"/>
  <c r="O87" i="18"/>
  <c r="O86" i="18"/>
  <c r="O85" i="18"/>
  <c r="O84" i="18"/>
  <c r="O82" i="18"/>
  <c r="O81" i="18"/>
  <c r="O80" i="18"/>
  <c r="O79" i="18"/>
  <c r="O78" i="18"/>
  <c r="O77" i="18"/>
  <c r="O76" i="18"/>
  <c r="O75" i="18"/>
  <c r="O74" i="18"/>
  <c r="O73" i="18"/>
  <c r="O72" i="18"/>
  <c r="O71" i="18"/>
  <c r="O70" i="18"/>
  <c r="O69" i="18"/>
  <c r="O68" i="18"/>
  <c r="O67" i="18"/>
  <c r="O66" i="18"/>
  <c r="O65" i="18"/>
  <c r="O64" i="18"/>
  <c r="O63" i="18"/>
  <c r="O62" i="18"/>
  <c r="O61" i="18"/>
  <c r="O60" i="18"/>
  <c r="O59" i="18"/>
  <c r="O58" i="18"/>
  <c r="O57" i="18"/>
  <c r="O56" i="18"/>
  <c r="O55" i="18"/>
  <c r="O54" i="18"/>
  <c r="O53" i="18"/>
  <c r="O52" i="18"/>
  <c r="O51" i="18"/>
  <c r="O50" i="18"/>
  <c r="O49" i="18"/>
  <c r="O48" i="18"/>
  <c r="O47" i="18"/>
  <c r="O46" i="18"/>
  <c r="O45" i="18"/>
  <c r="O44" i="18"/>
  <c r="O43" i="18"/>
  <c r="O42" i="18"/>
  <c r="O41" i="18"/>
  <c r="O40" i="18"/>
  <c r="O39" i="18"/>
  <c r="O38" i="18"/>
  <c r="O37" i="18"/>
  <c r="O36" i="18"/>
  <c r="O35" i="18"/>
  <c r="O34" i="18"/>
  <c r="O33" i="18"/>
  <c r="O32" i="18"/>
  <c r="O31" i="18"/>
  <c r="O30" i="18"/>
  <c r="O29" i="18"/>
  <c r="O28" i="18"/>
  <c r="O24" i="18"/>
  <c r="O23" i="18"/>
  <c r="O22" i="18"/>
  <c r="O21" i="18"/>
  <c r="O20" i="18"/>
  <c r="O19" i="18"/>
  <c r="O18" i="18"/>
  <c r="O17" i="18"/>
  <c r="N146" i="18" l="1"/>
  <c r="AQ146" i="18" s="1"/>
  <c r="P83" i="18"/>
  <c r="P188" i="18"/>
  <c r="P184" i="18"/>
  <c r="P177" i="18"/>
  <c r="P173" i="18"/>
  <c r="P169" i="18"/>
  <c r="P165" i="18"/>
  <c r="P161" i="18"/>
  <c r="P157" i="18"/>
  <c r="P153" i="18"/>
  <c r="P144" i="18"/>
  <c r="P140" i="18"/>
  <c r="P136" i="18"/>
  <c r="P132" i="18"/>
  <c r="P128" i="18"/>
  <c r="P124" i="18"/>
  <c r="P120" i="18"/>
  <c r="P116" i="18"/>
  <c r="P112" i="18"/>
  <c r="P108" i="18"/>
  <c r="P104" i="18"/>
  <c r="P100" i="18"/>
  <c r="P96" i="18"/>
  <c r="P92" i="18"/>
  <c r="P88" i="18"/>
  <c r="P84" i="18"/>
  <c r="P79" i="18"/>
  <c r="P75" i="18"/>
  <c r="P71" i="18"/>
  <c r="P67" i="18"/>
  <c r="P63" i="18"/>
  <c r="P59" i="18"/>
  <c r="P55" i="18"/>
  <c r="P51" i="18"/>
  <c r="P47" i="18"/>
  <c r="P43" i="18"/>
  <c r="P39" i="18"/>
  <c r="P35" i="18"/>
  <c r="P31" i="18"/>
  <c r="P190" i="18"/>
  <c r="P189" i="18"/>
  <c r="P187" i="18"/>
  <c r="P186" i="18"/>
  <c r="P185" i="18"/>
  <c r="P180" i="18"/>
  <c r="P179" i="18"/>
  <c r="P178" i="18"/>
  <c r="P176" i="18"/>
  <c r="P175" i="18"/>
  <c r="P174" i="18"/>
  <c r="P172" i="18"/>
  <c r="P171" i="18"/>
  <c r="P170" i="18"/>
  <c r="P168" i="18"/>
  <c r="P167" i="18"/>
  <c r="P166" i="18"/>
  <c r="P164" i="18"/>
  <c r="P163" i="18"/>
  <c r="P162" i="18"/>
  <c r="P160" i="18"/>
  <c r="P159" i="18"/>
  <c r="P158" i="18"/>
  <c r="P156" i="18"/>
  <c r="P155" i="18"/>
  <c r="P154" i="18"/>
  <c r="P152" i="18"/>
  <c r="P151" i="18"/>
  <c r="P145" i="18"/>
  <c r="P143" i="18"/>
  <c r="P142" i="18"/>
  <c r="P141" i="18"/>
  <c r="P139" i="18"/>
  <c r="P138" i="18"/>
  <c r="P137" i="18"/>
  <c r="P135" i="18"/>
  <c r="P134" i="18"/>
  <c r="P133" i="18"/>
  <c r="P131" i="18"/>
  <c r="P130" i="18"/>
  <c r="P129" i="18"/>
  <c r="P127" i="18"/>
  <c r="P126" i="18"/>
  <c r="P125" i="18"/>
  <c r="P123" i="18"/>
  <c r="P122" i="18"/>
  <c r="P121" i="18"/>
  <c r="P119" i="18"/>
  <c r="P118" i="18"/>
  <c r="P117" i="18"/>
  <c r="P115" i="18"/>
  <c r="P114" i="18"/>
  <c r="P113" i="18"/>
  <c r="P111" i="18"/>
  <c r="P110" i="18"/>
  <c r="P109" i="18"/>
  <c r="P107" i="18"/>
  <c r="P106" i="18"/>
  <c r="P105" i="18"/>
  <c r="P103" i="18"/>
  <c r="P102" i="18"/>
  <c r="P101" i="18"/>
  <c r="P99" i="18"/>
  <c r="P98" i="18"/>
  <c r="P97" i="18"/>
  <c r="P95" i="18"/>
  <c r="P94" i="18"/>
  <c r="P93" i="18"/>
  <c r="P91" i="18"/>
  <c r="P90" i="18"/>
  <c r="P89" i="18"/>
  <c r="P87" i="18"/>
  <c r="P86" i="18"/>
  <c r="P85" i="18"/>
  <c r="P82" i="18"/>
  <c r="P81" i="18"/>
  <c r="P80" i="18"/>
  <c r="P78" i="18"/>
  <c r="P77" i="18"/>
  <c r="P76" i="18"/>
  <c r="P74" i="18"/>
  <c r="P73" i="18"/>
  <c r="P72" i="18"/>
  <c r="P70" i="18"/>
  <c r="P69" i="18"/>
  <c r="P68" i="18"/>
  <c r="P66" i="18"/>
  <c r="P65" i="18"/>
  <c r="P64" i="18"/>
  <c r="P62" i="18"/>
  <c r="P61" i="18"/>
  <c r="P60" i="18"/>
  <c r="P58" i="18"/>
  <c r="P57" i="18"/>
  <c r="P56" i="18"/>
  <c r="P54" i="18"/>
  <c r="P53" i="18"/>
  <c r="P52" i="18"/>
  <c r="P50" i="18"/>
  <c r="P49" i="18"/>
  <c r="P48" i="18"/>
  <c r="P46" i="18"/>
  <c r="P45" i="18"/>
  <c r="P44" i="18"/>
  <c r="P42" i="18"/>
  <c r="P41" i="18"/>
  <c r="P40" i="18"/>
  <c r="P38" i="18"/>
  <c r="P37" i="18"/>
  <c r="P36" i="18"/>
  <c r="N34" i="18"/>
  <c r="P33" i="18"/>
  <c r="P32" i="18"/>
  <c r="P30" i="18"/>
  <c r="P29" i="18"/>
  <c r="P28" i="18"/>
  <c r="P22" i="18"/>
  <c r="P19" i="18"/>
  <c r="P18" i="18"/>
  <c r="N17" i="18"/>
  <c r="AG174" i="18"/>
  <c r="N143" i="18"/>
  <c r="P20" i="18"/>
  <c r="P23" i="18"/>
  <c r="N145" i="18"/>
  <c r="N144" i="18"/>
  <c r="N142" i="18"/>
  <c r="W146" i="18"/>
  <c r="P24" i="18"/>
  <c r="P21" i="18"/>
  <c r="P13" i="18"/>
  <c r="P12" i="18"/>
  <c r="P11" i="18"/>
  <c r="P10" i="18"/>
  <c r="N35" i="18"/>
  <c r="N36" i="18"/>
  <c r="W175" i="18"/>
  <c r="W174" i="18"/>
  <c r="Z146" i="18" l="1"/>
  <c r="AG175" i="18"/>
  <c r="P34" i="18"/>
  <c r="P146" i="18"/>
  <c r="AG146" i="18"/>
  <c r="P17" i="18"/>
  <c r="I265" i="17" l="1"/>
  <c r="I264" i="17"/>
  <c r="E24" i="11"/>
  <c r="Q40" i="5" l="1"/>
  <c r="S58" i="5"/>
  <c r="P58" i="5"/>
  <c r="M58" i="5"/>
  <c r="S40" i="5"/>
  <c r="I39" i="5" l="1"/>
  <c r="E24" i="4" l="1"/>
  <c r="E25" i="4" s="1"/>
  <c r="E26" i="4" s="1"/>
  <c r="E27" i="4" s="1"/>
  <c r="E28" i="4" s="1"/>
  <c r="E29" i="4" s="1"/>
  <c r="E30" i="4" s="1"/>
  <c r="E31" i="4" s="1"/>
  <c r="E32" i="4" s="1"/>
  <c r="E33" i="4" s="1"/>
  <c r="E34" i="4" s="1"/>
  <c r="E35" i="4" s="1"/>
  <c r="E36" i="4" s="1"/>
  <c r="E37" i="4" s="1"/>
  <c r="E38" i="4" s="1"/>
  <c r="E19" i="24"/>
  <c r="E18" i="24"/>
  <c r="E17" i="24"/>
  <c r="L211" i="18"/>
  <c r="M211" i="18"/>
  <c r="N211" i="18"/>
  <c r="O211" i="18"/>
  <c r="I211" i="18"/>
  <c r="AC211" i="18"/>
  <c r="S211" i="18"/>
  <c r="E14" i="24" s="1"/>
  <c r="S206" i="18"/>
  <c r="U206" i="18"/>
  <c r="D17" i="24" s="1"/>
  <c r="I206" i="18"/>
  <c r="AQ192" i="18"/>
  <c r="AO182" i="18"/>
  <c r="AM182" i="18"/>
  <c r="AQ145" i="18"/>
  <c r="AQ144" i="18"/>
  <c r="AQ143" i="18"/>
  <c r="AQ142" i="18"/>
  <c r="AQ26" i="18"/>
  <c r="AO26" i="18"/>
  <c r="AM17" i="18"/>
  <c r="AI190" i="18"/>
  <c r="AJ190" i="18" s="1"/>
  <c r="AI189" i="18"/>
  <c r="AJ189" i="18" s="1"/>
  <c r="AI188" i="18"/>
  <c r="AJ188" i="18" s="1"/>
  <c r="AI187" i="18"/>
  <c r="AJ187" i="18" s="1"/>
  <c r="AI186" i="18"/>
  <c r="AJ186" i="18" s="1"/>
  <c r="AI185" i="18"/>
  <c r="AJ185" i="18" s="1"/>
  <c r="AI184" i="18"/>
  <c r="AJ184" i="18" s="1"/>
  <c r="AE182" i="18"/>
  <c r="AI180" i="18"/>
  <c r="AJ180" i="18" s="1"/>
  <c r="AC182" i="18"/>
  <c r="AG179" i="18"/>
  <c r="AJ179" i="18" s="1"/>
  <c r="AG178" i="18"/>
  <c r="AI177" i="18"/>
  <c r="AJ177" i="18" s="1"/>
  <c r="AI176" i="18"/>
  <c r="AJ176" i="18" s="1"/>
  <c r="AJ175" i="18"/>
  <c r="AJ174" i="18"/>
  <c r="AI173" i="18"/>
  <c r="AJ173" i="18" s="1"/>
  <c r="AI172" i="18"/>
  <c r="AJ172" i="18" s="1"/>
  <c r="AI171" i="18"/>
  <c r="AJ171" i="18" s="1"/>
  <c r="AI170" i="18"/>
  <c r="AJ170" i="18" s="1"/>
  <c r="AI169" i="18"/>
  <c r="AJ169" i="18" s="1"/>
  <c r="AI168" i="18"/>
  <c r="AJ168" i="18" s="1"/>
  <c r="AI167" i="18"/>
  <c r="AJ167" i="18" s="1"/>
  <c r="AI166" i="18"/>
  <c r="AJ166" i="18" s="1"/>
  <c r="AI165" i="18"/>
  <c r="AJ165" i="18" s="1"/>
  <c r="AI164" i="18"/>
  <c r="AJ164" i="18" s="1"/>
  <c r="AI163" i="18"/>
  <c r="AJ163" i="18" s="1"/>
  <c r="AI162" i="18"/>
  <c r="AJ162" i="18" s="1"/>
  <c r="AI161" i="18"/>
  <c r="AJ161" i="18" s="1"/>
  <c r="AI160" i="18"/>
  <c r="AJ160" i="18" s="1"/>
  <c r="AI159" i="18"/>
  <c r="AJ159" i="18" s="1"/>
  <c r="AI158" i="18"/>
  <c r="AJ158" i="18" s="1"/>
  <c r="AI157" i="18"/>
  <c r="AJ157" i="18" s="1"/>
  <c r="AI156" i="18"/>
  <c r="AJ156" i="18" s="1"/>
  <c r="AI155" i="18"/>
  <c r="AJ155" i="18" s="1"/>
  <c r="AI154" i="18"/>
  <c r="AJ154" i="18" s="1"/>
  <c r="AI153" i="18"/>
  <c r="AJ153" i="18" s="1"/>
  <c r="AI152" i="18"/>
  <c r="AJ152" i="18" s="1"/>
  <c r="AI151" i="18"/>
  <c r="AC116" i="18"/>
  <c r="AJ116" i="18" s="1"/>
  <c r="AC104" i="18"/>
  <c r="AJ104" i="18" s="1"/>
  <c r="AC102" i="18"/>
  <c r="AJ102" i="18" s="1"/>
  <c r="AC94" i="18"/>
  <c r="AJ94" i="18" s="1"/>
  <c r="AC85" i="18"/>
  <c r="AJ85" i="18" s="1"/>
  <c r="AC84" i="18"/>
  <c r="AJ84" i="18" s="1"/>
  <c r="AC86" i="18"/>
  <c r="AJ86" i="18" s="1"/>
  <c r="AC83" i="18"/>
  <c r="AJ83" i="18" s="1"/>
  <c r="AC82" i="18"/>
  <c r="AJ82" i="18" s="1"/>
  <c r="AC52" i="18"/>
  <c r="AC51" i="18"/>
  <c r="AJ51" i="18" s="1"/>
  <c r="AJ191" i="18"/>
  <c r="AJ198" i="18" s="1"/>
  <c r="AJ146" i="18"/>
  <c r="AJ80" i="18"/>
  <c r="AJ70" i="18"/>
  <c r="AJ69" i="18"/>
  <c r="AJ63" i="18"/>
  <c r="AJ52" i="18"/>
  <c r="AJ31" i="18"/>
  <c r="AG77" i="18"/>
  <c r="AJ77" i="18" s="1"/>
  <c r="AG60" i="18"/>
  <c r="AJ60" i="18" s="1"/>
  <c r="AG54" i="18"/>
  <c r="AJ54" i="18" s="1"/>
  <c r="AG53" i="18"/>
  <c r="AJ53" i="18" s="1"/>
  <c r="AG40" i="18"/>
  <c r="AJ40" i="18" s="1"/>
  <c r="AG141" i="18"/>
  <c r="AJ141" i="18" s="1"/>
  <c r="AG140" i="18"/>
  <c r="AJ140" i="18" s="1"/>
  <c r="AG139" i="18"/>
  <c r="AJ139" i="18" s="1"/>
  <c r="AG136" i="18"/>
  <c r="AJ136" i="18" s="1"/>
  <c r="AG130" i="18"/>
  <c r="AJ130" i="18" s="1"/>
  <c r="AG124" i="18"/>
  <c r="AJ124" i="18" s="1"/>
  <c r="AG122" i="18"/>
  <c r="AJ122" i="18" s="1"/>
  <c r="AG138" i="18"/>
  <c r="AJ138" i="18" s="1"/>
  <c r="AG137" i="18"/>
  <c r="AJ137" i="18" s="1"/>
  <c r="AG135" i="18"/>
  <c r="AJ135" i="18" s="1"/>
  <c r="AG134" i="18"/>
  <c r="AJ134" i="18" s="1"/>
  <c r="AG133" i="18"/>
  <c r="AJ133" i="18" s="1"/>
  <c r="AG132" i="18"/>
  <c r="AJ132" i="18" s="1"/>
  <c r="AG131" i="18"/>
  <c r="AJ131" i="18" s="1"/>
  <c r="AG129" i="18"/>
  <c r="AJ129" i="18" s="1"/>
  <c r="AG128" i="18"/>
  <c r="AJ128" i="18" s="1"/>
  <c r="AG127" i="18"/>
  <c r="AJ127" i="18" s="1"/>
  <c r="AG126" i="18"/>
  <c r="AJ126" i="18" s="1"/>
  <c r="AG125" i="18"/>
  <c r="AJ125" i="18" s="1"/>
  <c r="AG123" i="18"/>
  <c r="AJ123" i="18" s="1"/>
  <c r="AG121" i="18"/>
  <c r="AJ121" i="18" s="1"/>
  <c r="AG120" i="18"/>
  <c r="AJ120" i="18" s="1"/>
  <c r="AG119" i="18"/>
  <c r="AJ119" i="18" s="1"/>
  <c r="AG118" i="18"/>
  <c r="AJ118" i="18" s="1"/>
  <c r="AG117" i="18"/>
  <c r="AJ117" i="18" s="1"/>
  <c r="AG114" i="18"/>
  <c r="AJ114" i="18" s="1"/>
  <c r="AG113" i="18"/>
  <c r="AJ113" i="18" s="1"/>
  <c r="AG112" i="18"/>
  <c r="AJ112" i="18" s="1"/>
  <c r="AG111" i="18"/>
  <c r="AJ111" i="18" s="1"/>
  <c r="AG110" i="18"/>
  <c r="AJ110" i="18" s="1"/>
  <c r="AG109" i="18"/>
  <c r="AJ109" i="18" s="1"/>
  <c r="AG108" i="18"/>
  <c r="AJ108" i="18" s="1"/>
  <c r="AG107" i="18"/>
  <c r="AJ107" i="18" s="1"/>
  <c r="AG106" i="18"/>
  <c r="AJ106" i="18" s="1"/>
  <c r="AG105" i="18"/>
  <c r="AJ105" i="18" s="1"/>
  <c r="AG103" i="18"/>
  <c r="AJ103" i="18" s="1"/>
  <c r="AG101" i="18"/>
  <c r="AJ101" i="18" s="1"/>
  <c r="AG100" i="18"/>
  <c r="AJ100" i="18" s="1"/>
  <c r="AG99" i="18"/>
  <c r="AJ99" i="18" s="1"/>
  <c r="AG98" i="18"/>
  <c r="AJ98" i="18" s="1"/>
  <c r="AG97" i="18"/>
  <c r="AJ97" i="18" s="1"/>
  <c r="AG96" i="18"/>
  <c r="AJ96" i="18" s="1"/>
  <c r="AG95" i="18"/>
  <c r="AJ95" i="18" s="1"/>
  <c r="AG93" i="18"/>
  <c r="AJ93" i="18" s="1"/>
  <c r="AG92" i="18"/>
  <c r="AJ92" i="18" s="1"/>
  <c r="AG91" i="18"/>
  <c r="AJ91" i="18" s="1"/>
  <c r="AG90" i="18"/>
  <c r="AJ90" i="18" s="1"/>
  <c r="AG89" i="18"/>
  <c r="AJ89" i="18" s="1"/>
  <c r="AG88" i="18"/>
  <c r="AJ88" i="18" s="1"/>
  <c r="AG87" i="18"/>
  <c r="AJ87" i="18" s="1"/>
  <c r="AG81" i="18"/>
  <c r="AJ81" i="18" s="1"/>
  <c r="AG79" i="18"/>
  <c r="AJ79" i="18" s="1"/>
  <c r="AG78" i="18"/>
  <c r="AJ78" i="18" s="1"/>
  <c r="AG76" i="18"/>
  <c r="AJ76" i="18" s="1"/>
  <c r="AG75" i="18"/>
  <c r="AJ75" i="18" s="1"/>
  <c r="AG74" i="18"/>
  <c r="AJ74" i="18" s="1"/>
  <c r="AG73" i="18"/>
  <c r="AJ73" i="18" s="1"/>
  <c r="AG72" i="18"/>
  <c r="AJ72" i="18" s="1"/>
  <c r="AG71" i="18"/>
  <c r="AJ71" i="18" s="1"/>
  <c r="AG68" i="18"/>
  <c r="AJ68" i="18" s="1"/>
  <c r="AG67" i="18"/>
  <c r="AJ67" i="18" s="1"/>
  <c r="AG66" i="18"/>
  <c r="AJ66" i="18" s="1"/>
  <c r="AG65" i="18"/>
  <c r="AJ65" i="18" s="1"/>
  <c r="AG64" i="18"/>
  <c r="AJ64" i="18" s="1"/>
  <c r="AG62" i="18"/>
  <c r="AJ62" i="18" s="1"/>
  <c r="AG61" i="18"/>
  <c r="AJ61" i="18" s="1"/>
  <c r="AG59" i="18"/>
  <c r="AJ59" i="18" s="1"/>
  <c r="AG58" i="18"/>
  <c r="AJ58" i="18" s="1"/>
  <c r="AG57" i="18"/>
  <c r="AJ57" i="18" s="1"/>
  <c r="AG56" i="18"/>
  <c r="AJ56" i="18" s="1"/>
  <c r="AG55" i="18"/>
  <c r="AJ55" i="18" s="1"/>
  <c r="AG50" i="18"/>
  <c r="AJ50" i="18" s="1"/>
  <c r="AG49" i="18"/>
  <c r="AJ49" i="18" s="1"/>
  <c r="AG48" i="18"/>
  <c r="AJ48" i="18" s="1"/>
  <c r="AG47" i="18"/>
  <c r="AJ47" i="18" s="1"/>
  <c r="AG46" i="18"/>
  <c r="AJ46" i="18" s="1"/>
  <c r="AG45" i="18"/>
  <c r="AJ45" i="18" s="1"/>
  <c r="AG44" i="18"/>
  <c r="AJ44" i="18" s="1"/>
  <c r="AG43" i="18"/>
  <c r="AJ43" i="18" s="1"/>
  <c r="AG42" i="18"/>
  <c r="AJ42" i="18" s="1"/>
  <c r="AG41" i="18"/>
  <c r="AJ41" i="18" s="1"/>
  <c r="AG39" i="18"/>
  <c r="AJ39" i="18" s="1"/>
  <c r="AG38" i="18"/>
  <c r="AJ38" i="18" s="1"/>
  <c r="AG37" i="18"/>
  <c r="AJ37" i="18" s="1"/>
  <c r="AG36" i="18"/>
  <c r="AJ36" i="18" s="1"/>
  <c r="AG34" i="18"/>
  <c r="AJ34" i="18" s="1"/>
  <c r="AG29" i="18"/>
  <c r="AJ29" i="18" s="1"/>
  <c r="AG28" i="18"/>
  <c r="AJ28" i="18" s="1"/>
  <c r="AC115" i="18"/>
  <c r="AE35" i="18"/>
  <c r="AJ35" i="18" s="1"/>
  <c r="AE33" i="18"/>
  <c r="AG33" i="18" s="1"/>
  <c r="AJ33" i="18" s="1"/>
  <c r="AG32" i="18"/>
  <c r="AC32" i="18"/>
  <c r="AC30" i="18"/>
  <c r="AJ30" i="18" s="1"/>
  <c r="Y177" i="18"/>
  <c r="Y180" i="18"/>
  <c r="Y206" i="18" s="1"/>
  <c r="D19" i="24" s="1"/>
  <c r="W179" i="18"/>
  <c r="W178" i="18"/>
  <c r="Y176" i="18"/>
  <c r="Y173" i="18"/>
  <c r="Y172" i="18"/>
  <c r="Y171" i="18"/>
  <c r="Y170" i="18"/>
  <c r="Y169" i="18"/>
  <c r="Y168" i="18"/>
  <c r="Y167" i="18"/>
  <c r="Y166" i="18"/>
  <c r="Y165" i="18"/>
  <c r="Y164" i="18"/>
  <c r="Y163" i="18"/>
  <c r="Y162" i="18"/>
  <c r="Y161" i="18"/>
  <c r="Y160" i="18"/>
  <c r="Y159" i="18"/>
  <c r="Y158" i="18"/>
  <c r="Y157" i="18"/>
  <c r="Y156" i="18"/>
  <c r="Y155" i="18"/>
  <c r="Y154" i="18"/>
  <c r="Y153" i="18"/>
  <c r="Y152" i="18"/>
  <c r="Y151" i="18"/>
  <c r="S115" i="18"/>
  <c r="S116" i="18"/>
  <c r="S104" i="18"/>
  <c r="Z104" i="18" s="1"/>
  <c r="S102" i="18"/>
  <c r="Z102" i="18" s="1"/>
  <c r="S94" i="18"/>
  <c r="Z94" i="18" s="1"/>
  <c r="S86" i="18"/>
  <c r="Z86" i="18" s="1"/>
  <c r="S85" i="18"/>
  <c r="Z85" i="18" s="1"/>
  <c r="S84" i="18"/>
  <c r="Z84" i="18" s="1"/>
  <c r="S83" i="18"/>
  <c r="Z83" i="18" s="1"/>
  <c r="S82" i="18"/>
  <c r="Z82" i="18" s="1"/>
  <c r="S79" i="18"/>
  <c r="Z79" i="18" s="1"/>
  <c r="S70" i="18"/>
  <c r="Z70" i="18" s="1"/>
  <c r="S69" i="18"/>
  <c r="Z69" i="18" s="1"/>
  <c r="S63" i="18"/>
  <c r="S52" i="18"/>
  <c r="Z52" i="18" s="1"/>
  <c r="S51" i="18"/>
  <c r="S31" i="18"/>
  <c r="Z31" i="18" s="1"/>
  <c r="W32" i="18"/>
  <c r="S32" i="18"/>
  <c r="Z116" i="18"/>
  <c r="Z63" i="18"/>
  <c r="Z51" i="18"/>
  <c r="W115" i="18"/>
  <c r="W145" i="18"/>
  <c r="W144" i="18"/>
  <c r="Z144" i="18" s="1"/>
  <c r="W143" i="18"/>
  <c r="W142" i="18"/>
  <c r="W141" i="18"/>
  <c r="Z141" i="18" s="1"/>
  <c r="W140" i="18"/>
  <c r="Z140" i="18" s="1"/>
  <c r="W139" i="18"/>
  <c r="Z139" i="18" s="1"/>
  <c r="W138" i="18"/>
  <c r="Z138" i="18" s="1"/>
  <c r="W137" i="18"/>
  <c r="Z137" i="18" s="1"/>
  <c r="W136" i="18"/>
  <c r="Z136" i="18" s="1"/>
  <c r="W135" i="18"/>
  <c r="Z135" i="18" s="1"/>
  <c r="W134" i="18"/>
  <c r="Z134" i="18" s="1"/>
  <c r="W133" i="18"/>
  <c r="Z133" i="18" s="1"/>
  <c r="W132" i="18"/>
  <c r="Z132" i="18" s="1"/>
  <c r="W131" i="18"/>
  <c r="Z131" i="18" s="1"/>
  <c r="W130" i="18"/>
  <c r="Z130" i="18" s="1"/>
  <c r="W129" i="18"/>
  <c r="Z129" i="18" s="1"/>
  <c r="W128" i="18"/>
  <c r="Z128" i="18" s="1"/>
  <c r="W127" i="18"/>
  <c r="Z127" i="18" s="1"/>
  <c r="W126" i="18"/>
  <c r="Z126" i="18" s="1"/>
  <c r="W125" i="18"/>
  <c r="Z125" i="18" s="1"/>
  <c r="W124" i="18"/>
  <c r="Z124" i="18" s="1"/>
  <c r="W123" i="18"/>
  <c r="Z123" i="18" s="1"/>
  <c r="W122" i="18"/>
  <c r="Z122" i="18" s="1"/>
  <c r="W121" i="18"/>
  <c r="Z121" i="18" s="1"/>
  <c r="W120" i="18"/>
  <c r="Z120" i="18" s="1"/>
  <c r="W119" i="18"/>
  <c r="Z119" i="18" s="1"/>
  <c r="W118" i="18"/>
  <c r="Z118" i="18" s="1"/>
  <c r="W117" i="18"/>
  <c r="Z117" i="18" s="1"/>
  <c r="W114" i="18"/>
  <c r="Z114" i="18" s="1"/>
  <c r="W113" i="18"/>
  <c r="Z113" i="18" s="1"/>
  <c r="W112" i="18"/>
  <c r="Z112" i="18" s="1"/>
  <c r="W111" i="18"/>
  <c r="Z111" i="18" s="1"/>
  <c r="W110" i="18"/>
  <c r="Z110" i="18" s="1"/>
  <c r="W109" i="18"/>
  <c r="Z109" i="18" s="1"/>
  <c r="W108" i="18"/>
  <c r="Z108" i="18" s="1"/>
  <c r="W107" i="18"/>
  <c r="Z107" i="18" s="1"/>
  <c r="W106" i="18"/>
  <c r="Z106" i="18" s="1"/>
  <c r="W105" i="18"/>
  <c r="Z105" i="18" s="1"/>
  <c r="W103" i="18"/>
  <c r="Z103" i="18" s="1"/>
  <c r="W101" i="18"/>
  <c r="Z101" i="18" s="1"/>
  <c r="W100" i="18"/>
  <c r="Z100" i="18" s="1"/>
  <c r="W99" i="18"/>
  <c r="Z99" i="18" s="1"/>
  <c r="W98" i="18"/>
  <c r="Z98" i="18" s="1"/>
  <c r="W97" i="18"/>
  <c r="Z97" i="18" s="1"/>
  <c r="W96" i="18"/>
  <c r="Z96" i="18" s="1"/>
  <c r="W95" i="18"/>
  <c r="Z95" i="18" s="1"/>
  <c r="W93" i="18"/>
  <c r="Z93" i="18" s="1"/>
  <c r="W92" i="18"/>
  <c r="Z92" i="18" s="1"/>
  <c r="W91" i="18"/>
  <c r="Z91" i="18" s="1"/>
  <c r="W90" i="18"/>
  <c r="Z90" i="18" s="1"/>
  <c r="W89" i="18"/>
  <c r="Z89" i="18" s="1"/>
  <c r="W88" i="18"/>
  <c r="Z88" i="18" s="1"/>
  <c r="W87" i="18"/>
  <c r="Z87" i="18" s="1"/>
  <c r="W81" i="18"/>
  <c r="Z81" i="18" s="1"/>
  <c r="W80" i="18"/>
  <c r="Z80" i="18" s="1"/>
  <c r="W78" i="18"/>
  <c r="Z78" i="18" s="1"/>
  <c r="W77" i="18"/>
  <c r="Z77" i="18" s="1"/>
  <c r="W76" i="18"/>
  <c r="Z76" i="18" s="1"/>
  <c r="W75" i="18"/>
  <c r="Z75" i="18" s="1"/>
  <c r="W74" i="18"/>
  <c r="Z74" i="18" s="1"/>
  <c r="W73" i="18"/>
  <c r="Z73" i="18" s="1"/>
  <c r="W72" i="18"/>
  <c r="Z72" i="18" s="1"/>
  <c r="W71" i="18"/>
  <c r="Z71" i="18" s="1"/>
  <c r="W68" i="18"/>
  <c r="Z68" i="18" s="1"/>
  <c r="W67" i="18"/>
  <c r="Z67" i="18" s="1"/>
  <c r="W66" i="18"/>
  <c r="Z66" i="18" s="1"/>
  <c r="W65" i="18"/>
  <c r="Z65" i="18" s="1"/>
  <c r="W64" i="18"/>
  <c r="Z64" i="18" s="1"/>
  <c r="W62" i="18"/>
  <c r="Z62" i="18" s="1"/>
  <c r="W61" i="18"/>
  <c r="Z61" i="18" s="1"/>
  <c r="W60" i="18"/>
  <c r="Z60" i="18" s="1"/>
  <c r="W59" i="18"/>
  <c r="Z59" i="18" s="1"/>
  <c r="W58" i="18"/>
  <c r="Z58" i="18" s="1"/>
  <c r="W57" i="18"/>
  <c r="Z57" i="18" s="1"/>
  <c r="W56" i="18"/>
  <c r="Z56" i="18" s="1"/>
  <c r="W55" i="18"/>
  <c r="Z55" i="18" s="1"/>
  <c r="W54" i="18"/>
  <c r="Z54" i="18" s="1"/>
  <c r="W53" i="18"/>
  <c r="Z53" i="18" s="1"/>
  <c r="W50" i="18"/>
  <c r="Z50" i="18" s="1"/>
  <c r="W49" i="18"/>
  <c r="Z49" i="18" s="1"/>
  <c r="W48" i="18"/>
  <c r="Z48" i="18" s="1"/>
  <c r="W47" i="18"/>
  <c r="Z47" i="18" s="1"/>
  <c r="W46" i="18"/>
  <c r="Z46" i="18" s="1"/>
  <c r="W45" i="18"/>
  <c r="Z45" i="18" s="1"/>
  <c r="W44" i="18"/>
  <c r="Z44" i="18" s="1"/>
  <c r="W43" i="18"/>
  <c r="Z43" i="18" s="1"/>
  <c r="W42" i="18"/>
  <c r="Z42" i="18" s="1"/>
  <c r="W41" i="18"/>
  <c r="Z41" i="18" s="1"/>
  <c r="W40" i="18"/>
  <c r="Z40" i="18" s="1"/>
  <c r="W39" i="18"/>
  <c r="Z39" i="18" s="1"/>
  <c r="W38" i="18"/>
  <c r="Z38" i="18" s="1"/>
  <c r="W37" i="18"/>
  <c r="Z37" i="18" s="1"/>
  <c r="W36" i="18"/>
  <c r="Z36" i="18" s="1"/>
  <c r="W34" i="18"/>
  <c r="Z34" i="18" s="1"/>
  <c r="W29" i="18"/>
  <c r="Z29" i="18" s="1"/>
  <c r="W28" i="18"/>
  <c r="Z28" i="18" s="1"/>
  <c r="U35" i="18"/>
  <c r="Z35" i="18" s="1"/>
  <c r="U33" i="18"/>
  <c r="S30" i="18"/>
  <c r="Z30" i="18" s="1"/>
  <c r="AI22" i="18"/>
  <c r="AI26" i="18" s="1"/>
  <c r="AC24" i="18"/>
  <c r="AC23" i="18"/>
  <c r="AC21" i="18"/>
  <c r="AC20" i="18"/>
  <c r="AC19" i="18"/>
  <c r="AC18" i="18"/>
  <c r="AC17" i="18"/>
  <c r="N190" i="18"/>
  <c r="AS190" i="18" s="1"/>
  <c r="N189" i="18"/>
  <c r="AS189" i="18" s="1"/>
  <c r="N188" i="18"/>
  <c r="AS188" i="18" s="1"/>
  <c r="N187" i="18"/>
  <c r="AS187" i="18" s="1"/>
  <c r="N186" i="18"/>
  <c r="AS186" i="18" s="1"/>
  <c r="N185" i="18"/>
  <c r="AS185" i="18" s="1"/>
  <c r="N184" i="18"/>
  <c r="AS184" i="18" s="1"/>
  <c r="N180" i="18"/>
  <c r="AS180" i="18" s="1"/>
  <c r="N179" i="18"/>
  <c r="AQ179" i="18" s="1"/>
  <c r="N178" i="18"/>
  <c r="AQ178" i="18" s="1"/>
  <c r="N177" i="18"/>
  <c r="AS177" i="18" s="1"/>
  <c r="N176" i="18"/>
  <c r="AS176" i="18" s="1"/>
  <c r="N175" i="18"/>
  <c r="AQ175" i="18" s="1"/>
  <c r="N174" i="18"/>
  <c r="AQ174" i="18" s="1"/>
  <c r="N173" i="18"/>
  <c r="AS173" i="18" s="1"/>
  <c r="N172" i="18"/>
  <c r="AS172" i="18" s="1"/>
  <c r="N171" i="18"/>
  <c r="AS171" i="18" s="1"/>
  <c r="N170" i="18"/>
  <c r="AS170" i="18" s="1"/>
  <c r="N169" i="18"/>
  <c r="AS169" i="18" s="1"/>
  <c r="N168" i="18"/>
  <c r="AS168" i="18" s="1"/>
  <c r="N167" i="18"/>
  <c r="AS167" i="18" s="1"/>
  <c r="N166" i="18"/>
  <c r="AS166" i="18" s="1"/>
  <c r="N165" i="18"/>
  <c r="AS165" i="18" s="1"/>
  <c r="N164" i="18"/>
  <c r="AS164" i="18" s="1"/>
  <c r="N163" i="18"/>
  <c r="AS163" i="18" s="1"/>
  <c r="N162" i="18"/>
  <c r="AS162" i="18" s="1"/>
  <c r="N161" i="18"/>
  <c r="AS161" i="18" s="1"/>
  <c r="N160" i="18"/>
  <c r="AS160" i="18" s="1"/>
  <c r="N159" i="18"/>
  <c r="AS159" i="18" s="1"/>
  <c r="N158" i="18"/>
  <c r="AS158" i="18" s="1"/>
  <c r="N157" i="18"/>
  <c r="AS157" i="18" s="1"/>
  <c r="N156" i="18"/>
  <c r="AS156" i="18" s="1"/>
  <c r="N155" i="18"/>
  <c r="AS155" i="18" s="1"/>
  <c r="N154" i="18"/>
  <c r="AS154" i="18" s="1"/>
  <c r="N153" i="18"/>
  <c r="AS153" i="18" s="1"/>
  <c r="N152" i="18"/>
  <c r="AS152" i="18" s="1"/>
  <c r="N151" i="18"/>
  <c r="AS151" i="18" s="1"/>
  <c r="AG145" i="18"/>
  <c r="AG143" i="18"/>
  <c r="N141" i="18"/>
  <c r="AQ141" i="18" s="1"/>
  <c r="N140" i="18"/>
  <c r="AQ140" i="18" s="1"/>
  <c r="N139" i="18"/>
  <c r="AQ139" i="18" s="1"/>
  <c r="N138" i="18"/>
  <c r="AQ138" i="18" s="1"/>
  <c r="N137" i="18"/>
  <c r="AQ137" i="18" s="1"/>
  <c r="N136" i="18"/>
  <c r="AQ136" i="18" s="1"/>
  <c r="N135" i="18"/>
  <c r="AQ135" i="18" s="1"/>
  <c r="N134" i="18"/>
  <c r="AQ134" i="18" s="1"/>
  <c r="N133" i="18"/>
  <c r="AQ133" i="18" s="1"/>
  <c r="N132" i="18"/>
  <c r="AQ132" i="18" s="1"/>
  <c r="N131" i="18"/>
  <c r="AQ131" i="18" s="1"/>
  <c r="N130" i="18"/>
  <c r="AQ130" i="18" s="1"/>
  <c r="N129" i="18"/>
  <c r="AQ129" i="18" s="1"/>
  <c r="N128" i="18"/>
  <c r="AQ128" i="18" s="1"/>
  <c r="N127" i="18"/>
  <c r="AQ127" i="18" s="1"/>
  <c r="N126" i="18"/>
  <c r="AQ126" i="18" s="1"/>
  <c r="N125" i="18"/>
  <c r="AQ125" i="18" s="1"/>
  <c r="N124" i="18"/>
  <c r="AQ124" i="18" s="1"/>
  <c r="N123" i="18"/>
  <c r="AQ123" i="18" s="1"/>
  <c r="N122" i="18"/>
  <c r="AQ122" i="18" s="1"/>
  <c r="N121" i="18"/>
  <c r="AQ121" i="18" s="1"/>
  <c r="N120" i="18"/>
  <c r="AQ120" i="18" s="1"/>
  <c r="N119" i="18"/>
  <c r="AQ119" i="18" s="1"/>
  <c r="N118" i="18"/>
  <c r="AQ118" i="18" s="1"/>
  <c r="N117" i="18"/>
  <c r="AQ117" i="18" s="1"/>
  <c r="N116" i="18"/>
  <c r="AM116" i="18" s="1"/>
  <c r="N115" i="18"/>
  <c r="AQ115" i="18" s="1"/>
  <c r="N114" i="18"/>
  <c r="AQ114" i="18" s="1"/>
  <c r="N113" i="18"/>
  <c r="AQ113" i="18" s="1"/>
  <c r="N112" i="18"/>
  <c r="AQ112" i="18" s="1"/>
  <c r="N111" i="18"/>
  <c r="AQ111" i="18" s="1"/>
  <c r="N110" i="18"/>
  <c r="AQ110" i="18" s="1"/>
  <c r="N109" i="18"/>
  <c r="AQ109" i="18" s="1"/>
  <c r="N108" i="18"/>
  <c r="AQ108" i="18" s="1"/>
  <c r="N107" i="18"/>
  <c r="AQ107" i="18" s="1"/>
  <c r="N106" i="18"/>
  <c r="AQ106" i="18" s="1"/>
  <c r="N105" i="18"/>
  <c r="AQ105" i="18" s="1"/>
  <c r="N104" i="18"/>
  <c r="AM104" i="18" s="1"/>
  <c r="N103" i="18"/>
  <c r="AQ103" i="18" s="1"/>
  <c r="N102" i="18"/>
  <c r="AM102" i="18" s="1"/>
  <c r="N101" i="18"/>
  <c r="AQ101" i="18" s="1"/>
  <c r="N100" i="18"/>
  <c r="AQ100" i="18" s="1"/>
  <c r="N99" i="18"/>
  <c r="AQ99" i="18" s="1"/>
  <c r="N98" i="18"/>
  <c r="AQ98" i="18" s="1"/>
  <c r="N97" i="18"/>
  <c r="AQ97" i="18" s="1"/>
  <c r="N96" i="18"/>
  <c r="AQ96" i="18" s="1"/>
  <c r="N95" i="18"/>
  <c r="AQ95" i="18" s="1"/>
  <c r="N94" i="18"/>
  <c r="AM94" i="18" s="1"/>
  <c r="N93" i="18"/>
  <c r="AQ93" i="18" s="1"/>
  <c r="N92" i="18"/>
  <c r="AQ92" i="18" s="1"/>
  <c r="N91" i="18"/>
  <c r="AQ91" i="18" s="1"/>
  <c r="N90" i="18"/>
  <c r="AQ90" i="18" s="1"/>
  <c r="N89" i="18"/>
  <c r="AQ89" i="18" s="1"/>
  <c r="N88" i="18"/>
  <c r="AQ88" i="18" s="1"/>
  <c r="N87" i="18"/>
  <c r="AQ87" i="18" s="1"/>
  <c r="N86" i="18"/>
  <c r="AM86" i="18" s="1"/>
  <c r="N85" i="18"/>
  <c r="AM85" i="18" s="1"/>
  <c r="N84" i="18"/>
  <c r="AM84" i="18" s="1"/>
  <c r="N82" i="18"/>
  <c r="AM82" i="18" s="1"/>
  <c r="N81" i="18"/>
  <c r="AQ81" i="18" s="1"/>
  <c r="N80" i="18"/>
  <c r="AM80" i="18" s="1"/>
  <c r="N79" i="18"/>
  <c r="AQ79" i="18" s="1"/>
  <c r="N78" i="18"/>
  <c r="AQ78" i="18" s="1"/>
  <c r="N77" i="18"/>
  <c r="AQ77" i="18" s="1"/>
  <c r="N76" i="18"/>
  <c r="AQ76" i="18" s="1"/>
  <c r="N75" i="18"/>
  <c r="AQ75" i="18" s="1"/>
  <c r="N74" i="18"/>
  <c r="AQ74" i="18" s="1"/>
  <c r="N73" i="18"/>
  <c r="AQ73" i="18" s="1"/>
  <c r="N72" i="18"/>
  <c r="AQ72" i="18" s="1"/>
  <c r="N71" i="18"/>
  <c r="AQ71" i="18" s="1"/>
  <c r="N70" i="18"/>
  <c r="AM70" i="18" s="1"/>
  <c r="N69" i="18"/>
  <c r="AM69" i="18" s="1"/>
  <c r="N68" i="18"/>
  <c r="AQ68" i="18" s="1"/>
  <c r="N67" i="18"/>
  <c r="AQ67" i="18" s="1"/>
  <c r="N66" i="18"/>
  <c r="AQ66" i="18" s="1"/>
  <c r="N65" i="18"/>
  <c r="AQ65" i="18" s="1"/>
  <c r="N64" i="18"/>
  <c r="AQ64" i="18" s="1"/>
  <c r="N63" i="18"/>
  <c r="AM63" i="18" s="1"/>
  <c r="N62" i="18"/>
  <c r="AQ62" i="18" s="1"/>
  <c r="N61" i="18"/>
  <c r="AQ61" i="18" s="1"/>
  <c r="N60" i="18"/>
  <c r="AQ60" i="18" s="1"/>
  <c r="N59" i="18"/>
  <c r="AQ59" i="18" s="1"/>
  <c r="N58" i="18"/>
  <c r="AQ58" i="18" s="1"/>
  <c r="N57" i="18"/>
  <c r="AQ57" i="18" s="1"/>
  <c r="N56" i="18"/>
  <c r="AQ56" i="18" s="1"/>
  <c r="N55" i="18"/>
  <c r="AQ55" i="18" s="1"/>
  <c r="N54" i="18"/>
  <c r="AQ54" i="18" s="1"/>
  <c r="N53" i="18"/>
  <c r="AQ53" i="18" s="1"/>
  <c r="N52" i="18"/>
  <c r="AM52" i="18" s="1"/>
  <c r="N51" i="18"/>
  <c r="AM51" i="18" s="1"/>
  <c r="N50" i="18"/>
  <c r="AQ50" i="18" s="1"/>
  <c r="N49" i="18"/>
  <c r="AQ49" i="18" s="1"/>
  <c r="N48" i="18"/>
  <c r="AQ48" i="18" s="1"/>
  <c r="N47" i="18"/>
  <c r="AQ47" i="18" s="1"/>
  <c r="N46" i="18"/>
  <c r="AQ46" i="18" s="1"/>
  <c r="N45" i="18"/>
  <c r="AQ45" i="18" s="1"/>
  <c r="N44" i="18"/>
  <c r="AQ44" i="18" s="1"/>
  <c r="N43" i="18"/>
  <c r="AQ43" i="18" s="1"/>
  <c r="N42" i="18"/>
  <c r="AQ42" i="18" s="1"/>
  <c r="N41" i="18"/>
  <c r="AQ41" i="18" s="1"/>
  <c r="N40" i="18"/>
  <c r="AQ40" i="18" s="1"/>
  <c r="N39" i="18"/>
  <c r="AQ39" i="18" s="1"/>
  <c r="N38" i="18"/>
  <c r="AQ38" i="18" s="1"/>
  <c r="N37" i="18"/>
  <c r="AQ37" i="18" s="1"/>
  <c r="AQ36" i="18"/>
  <c r="AO35" i="18"/>
  <c r="AQ34" i="18"/>
  <c r="N33" i="18"/>
  <c r="AQ33" i="18" s="1"/>
  <c r="N32" i="18"/>
  <c r="N31" i="18"/>
  <c r="AM31" i="18" s="1"/>
  <c r="N30" i="18"/>
  <c r="N29" i="18"/>
  <c r="AQ29" i="18" s="1"/>
  <c r="N28" i="18"/>
  <c r="N24" i="18"/>
  <c r="AM24" i="18" s="1"/>
  <c r="AT24" i="18" s="1"/>
  <c r="N23" i="18"/>
  <c r="AM23" i="18" s="1"/>
  <c r="AT23" i="18" s="1"/>
  <c r="N22" i="18"/>
  <c r="AS22" i="18" s="1"/>
  <c r="N21" i="18"/>
  <c r="AM21" i="18" s="1"/>
  <c r="AT21" i="18" s="1"/>
  <c r="N20" i="18"/>
  <c r="AM20" i="18" s="1"/>
  <c r="AT20" i="18" s="1"/>
  <c r="N19" i="18"/>
  <c r="AM19" i="18" s="1"/>
  <c r="AT19" i="18" s="1"/>
  <c r="N18" i="18"/>
  <c r="AM18" i="18" s="1"/>
  <c r="AT18" i="18" s="1"/>
  <c r="U182" i="18"/>
  <c r="S182" i="18"/>
  <c r="AG26" i="18"/>
  <c r="AE26" i="18"/>
  <c r="Y26" i="18"/>
  <c r="W26" i="18"/>
  <c r="U26" i="18"/>
  <c r="S26" i="18"/>
  <c r="Y15" i="18"/>
  <c r="W15" i="18"/>
  <c r="U15" i="18"/>
  <c r="S15" i="18"/>
  <c r="P15" i="18"/>
  <c r="P192" i="18"/>
  <c r="O192" i="18"/>
  <c r="M192" i="18"/>
  <c r="P182" i="18"/>
  <c r="O182" i="18"/>
  <c r="O15" i="18"/>
  <c r="N15" i="18"/>
  <c r="M15" i="18"/>
  <c r="P26" i="18"/>
  <c r="O26" i="18"/>
  <c r="I15" i="18"/>
  <c r="I26" i="18"/>
  <c r="I182" i="18"/>
  <c r="I192" i="18"/>
  <c r="AM83" i="18" l="1"/>
  <c r="Z15" i="18"/>
  <c r="Z26" i="18"/>
  <c r="Z115" i="18"/>
  <c r="N192" i="18"/>
  <c r="AJ32" i="18"/>
  <c r="AC26" i="18"/>
  <c r="AJ26" i="18" s="1"/>
  <c r="AQ28" i="18"/>
  <c r="AM32" i="18"/>
  <c r="AQ32" i="18"/>
  <c r="Z143" i="18"/>
  <c r="AG142" i="18"/>
  <c r="AJ142" i="18" s="1"/>
  <c r="AJ145" i="18"/>
  <c r="AI182" i="18"/>
  <c r="AS26" i="18"/>
  <c r="AT22" i="18"/>
  <c r="AS182" i="18"/>
  <c r="AS192" i="18"/>
  <c r="W206" i="18"/>
  <c r="Z145" i="18"/>
  <c r="AG144" i="18"/>
  <c r="AJ144" i="18" s="1"/>
  <c r="AT17" i="18"/>
  <c r="AM26" i="18"/>
  <c r="AM115" i="18"/>
  <c r="D14" i="24"/>
  <c r="AQ30" i="18"/>
  <c r="AM30" i="18"/>
  <c r="W182" i="18"/>
  <c r="AJ143" i="18"/>
  <c r="AQ182" i="18"/>
  <c r="W33" i="18"/>
  <c r="Z33" i="18" s="1"/>
  <c r="Z142" i="18"/>
  <c r="AG115" i="18"/>
  <c r="AJ115" i="18" s="1"/>
  <c r="AG182" i="18"/>
  <c r="AJ178" i="18"/>
  <c r="AJ151" i="18"/>
  <c r="AO33" i="18"/>
  <c r="AI192" i="18"/>
  <c r="G17" i="24"/>
  <c r="Y182" i="18"/>
  <c r="Z32" i="18"/>
  <c r="N182" i="18"/>
  <c r="N26" i="18"/>
  <c r="M194" i="18"/>
  <c r="AT26" i="18" l="1"/>
  <c r="AU26" i="18" s="1"/>
  <c r="Z206" i="18"/>
  <c r="Z182" i="18"/>
  <c r="AT192" i="18"/>
  <c r="AJ192" i="18"/>
  <c r="AT182" i="18"/>
  <c r="AJ182" i="18"/>
  <c r="AK182" i="18" s="1"/>
  <c r="AH182" i="18"/>
  <c r="R39" i="5"/>
  <c r="H39" i="5" l="1"/>
  <c r="H138" i="17" l="1"/>
  <c r="H72" i="17"/>
  <c r="Q38" i="5" l="1"/>
  <c r="C10" i="23"/>
  <c r="R38" i="4" l="1"/>
  <c r="Q38" i="4"/>
  <c r="P38" i="4"/>
  <c r="O38" i="4"/>
  <c r="N38" i="4"/>
  <c r="R37" i="4"/>
  <c r="Q37" i="4"/>
  <c r="P37" i="4"/>
  <c r="O37" i="4"/>
  <c r="N37" i="4"/>
  <c r="R36" i="4"/>
  <c r="Q36" i="4"/>
  <c r="P36" i="4"/>
  <c r="O36" i="4"/>
  <c r="N36" i="4"/>
  <c r="R35" i="4"/>
  <c r="Q35" i="4"/>
  <c r="P35" i="4"/>
  <c r="O35" i="4"/>
  <c r="N35" i="4"/>
  <c r="R34" i="4"/>
  <c r="Q34" i="4"/>
  <c r="P34" i="4"/>
  <c r="O34" i="4"/>
  <c r="N34" i="4"/>
  <c r="R33" i="4"/>
  <c r="Q33" i="4"/>
  <c r="P33" i="4"/>
  <c r="O33" i="4"/>
  <c r="N33" i="4"/>
  <c r="R32" i="4"/>
  <c r="Q32" i="4"/>
  <c r="P32" i="4"/>
  <c r="O32" i="4"/>
  <c r="N32" i="4"/>
  <c r="R31" i="4"/>
  <c r="Q31" i="4"/>
  <c r="P31" i="4"/>
  <c r="O31" i="4"/>
  <c r="N31" i="4"/>
  <c r="R30" i="4"/>
  <c r="Q30" i="4"/>
  <c r="P30" i="4"/>
  <c r="O30" i="4"/>
  <c r="N30" i="4"/>
  <c r="R29" i="4"/>
  <c r="Q29" i="4"/>
  <c r="P29" i="4"/>
  <c r="O29" i="4"/>
  <c r="N29" i="4"/>
  <c r="R28" i="4"/>
  <c r="Q28" i="4"/>
  <c r="P28" i="4"/>
  <c r="O28" i="4"/>
  <c r="N28" i="4"/>
  <c r="R27" i="4"/>
  <c r="Q27" i="4"/>
  <c r="P27" i="4"/>
  <c r="O27" i="4"/>
  <c r="N27" i="4"/>
  <c r="R26" i="4"/>
  <c r="Q26" i="4"/>
  <c r="P26" i="4"/>
  <c r="O26" i="4"/>
  <c r="N26" i="4"/>
  <c r="R25" i="4"/>
  <c r="Q25" i="4"/>
  <c r="P25" i="4"/>
  <c r="O25" i="4"/>
  <c r="N25" i="4"/>
  <c r="R24" i="4"/>
  <c r="Q24" i="4"/>
  <c r="P24" i="4"/>
  <c r="O24" i="4"/>
  <c r="N24" i="4"/>
  <c r="R23" i="4"/>
  <c r="Q23" i="4"/>
  <c r="P23" i="4"/>
  <c r="O23" i="4"/>
  <c r="N23" i="4"/>
  <c r="R22" i="4"/>
  <c r="Q22" i="4"/>
  <c r="P22" i="4"/>
  <c r="O22" i="4"/>
  <c r="N22" i="4"/>
  <c r="R21" i="4"/>
  <c r="Q21" i="4"/>
  <c r="P21" i="4"/>
  <c r="O21" i="4"/>
  <c r="N21" i="4"/>
  <c r="R20" i="4"/>
  <c r="Q20" i="4"/>
  <c r="P20" i="4"/>
  <c r="O20" i="4"/>
  <c r="N20" i="4"/>
  <c r="R19" i="4"/>
  <c r="Q19" i="4"/>
  <c r="P19" i="4"/>
  <c r="O19" i="4"/>
  <c r="N19" i="4"/>
  <c r="I268" i="17"/>
  <c r="D15" i="17" s="1"/>
  <c r="P55" i="5"/>
  <c r="P56" i="5" s="1"/>
  <c r="P57" i="5" s="1"/>
  <c r="Q36" i="5"/>
  <c r="H53" i="5"/>
  <c r="H55" i="5" s="1"/>
  <c r="D41" i="5"/>
  <c r="M50" i="5"/>
  <c r="M49" i="5"/>
  <c r="M48" i="5"/>
  <c r="M47" i="5"/>
  <c r="M46" i="5"/>
  <c r="M45" i="5"/>
  <c r="M44" i="5"/>
  <c r="M43" i="5"/>
  <c r="M42" i="5"/>
  <c r="M41" i="5"/>
  <c r="M40" i="5"/>
  <c r="M39" i="5"/>
  <c r="M38" i="5"/>
  <c r="S38" i="5" s="1"/>
  <c r="M37" i="5"/>
  <c r="S37" i="5" s="1"/>
  <c r="M36" i="5"/>
  <c r="M35" i="5"/>
  <c r="S35" i="5" s="1"/>
  <c r="H52" i="5"/>
  <c r="D40" i="5"/>
  <c r="D245" i="17"/>
  <c r="D15" i="24"/>
  <c r="D20" i="24" s="1"/>
  <c r="D25" i="24" s="1"/>
  <c r="D28" i="24" s="1"/>
  <c r="F29" i="22"/>
  <c r="D152" i="17" s="1"/>
  <c r="A3" i="21"/>
  <c r="A1" i="21"/>
  <c r="I34" i="17"/>
  <c r="F15" i="26"/>
  <c r="D249" i="17" s="1"/>
  <c r="G249" i="17"/>
  <c r="G235" i="17"/>
  <c r="I150" i="17"/>
  <c r="I151" i="17"/>
  <c r="I157" i="17"/>
  <c r="D119" i="17"/>
  <c r="D103" i="17"/>
  <c r="D178" i="17"/>
  <c r="D182" i="17" s="1"/>
  <c r="D186" i="17" s="1"/>
  <c r="C12" i="23"/>
  <c r="D14" i="17"/>
  <c r="D19" i="22"/>
  <c r="H9" i="20"/>
  <c r="E19" i="22"/>
  <c r="C57" i="26"/>
  <c r="C49" i="26"/>
  <c r="C28" i="26"/>
  <c r="C33" i="26" s="1"/>
  <c r="A3" i="25"/>
  <c r="A1" i="25"/>
  <c r="D112" i="17"/>
  <c r="A3" i="19"/>
  <c r="A1" i="19"/>
  <c r="A3" i="20"/>
  <c r="A1"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G44" i="20"/>
  <c r="F44" i="20"/>
  <c r="E44" i="20"/>
  <c r="D44" i="20"/>
  <c r="H9" i="21"/>
  <c r="H10" i="21"/>
  <c r="H11" i="21"/>
  <c r="H44" i="21" s="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G44" i="21"/>
  <c r="F44" i="21"/>
  <c r="E44" i="21"/>
  <c r="D44" i="21"/>
  <c r="A3" i="22"/>
  <c r="A1" i="22"/>
  <c r="F25" i="22"/>
  <c r="F27" i="22"/>
  <c r="F18" i="22"/>
  <c r="F15" i="22"/>
  <c r="F12" i="22"/>
  <c r="F10" i="22"/>
  <c r="F9" i="22"/>
  <c r="A3" i="23"/>
  <c r="A1" i="23"/>
  <c r="C24" i="23"/>
  <c r="C31" i="23" s="1"/>
  <c r="C30" i="23"/>
  <c r="C15" i="23"/>
  <c r="A4" i="24"/>
  <c r="A1" i="24"/>
  <c r="E15" i="24"/>
  <c r="E20" i="24" s="1"/>
  <c r="E25" i="24" s="1"/>
  <c r="E28" i="24" s="1"/>
  <c r="G27" i="24"/>
  <c r="C11" i="26" s="1"/>
  <c r="G24" i="24"/>
  <c r="G23" i="24"/>
  <c r="G22" i="24"/>
  <c r="D84" i="17"/>
  <c r="G11" i="24"/>
  <c r="G12" i="24"/>
  <c r="G13" i="24"/>
  <c r="G9" i="24"/>
  <c r="F57" i="26"/>
  <c r="F48" i="26"/>
  <c r="F36" i="26"/>
  <c r="F39" i="4"/>
  <c r="R39" i="4"/>
  <c r="F11" i="4" s="1"/>
  <c r="I50" i="5"/>
  <c r="I38" i="5"/>
  <c r="R38" i="5" s="1"/>
  <c r="I37" i="5"/>
  <c r="R37" i="5" s="1"/>
  <c r="I36" i="5"/>
  <c r="R36" i="5"/>
  <c r="I35" i="5"/>
  <c r="R35" i="5" s="1"/>
  <c r="E35" i="5"/>
  <c r="J16" i="5"/>
  <c r="J17" i="5"/>
  <c r="J22" i="5" s="1"/>
  <c r="I17" i="5"/>
  <c r="I22" i="5" s="1"/>
  <c r="H17" i="5"/>
  <c r="H16" i="5"/>
  <c r="H15" i="5"/>
  <c r="H14" i="5"/>
  <c r="H13" i="5"/>
  <c r="H12" i="5"/>
  <c r="H11" i="5"/>
  <c r="I259" i="17"/>
  <c r="D211" i="17"/>
  <c r="D209" i="17"/>
  <c r="I208" i="17"/>
  <c r="D208" i="17"/>
  <c r="B208" i="17"/>
  <c r="F173" i="17"/>
  <c r="F169" i="17"/>
  <c r="B163" i="17"/>
  <c r="B161" i="17"/>
  <c r="F155" i="17"/>
  <c r="F153" i="17"/>
  <c r="F154" i="17" s="1"/>
  <c r="D144" i="17"/>
  <c r="D142" i="17"/>
  <c r="I141" i="17"/>
  <c r="D141" i="17"/>
  <c r="B141" i="17"/>
  <c r="F92" i="17"/>
  <c r="F114" i="17" s="1"/>
  <c r="F110" i="17"/>
  <c r="B95" i="17"/>
  <c r="B103" i="17" s="1"/>
  <c r="B94" i="17"/>
  <c r="B102" i="17" s="1"/>
  <c r="B93" i="17"/>
  <c r="B101" i="17" s="1"/>
  <c r="B92" i="17"/>
  <c r="B100" i="17" s="1"/>
  <c r="B91" i="17"/>
  <c r="B99" i="17" s="1"/>
  <c r="F95" i="17"/>
  <c r="F94" i="17"/>
  <c r="G93" i="17"/>
  <c r="F93" i="17"/>
  <c r="G91" i="17"/>
  <c r="F91" i="17"/>
  <c r="D78" i="17"/>
  <c r="D76" i="17"/>
  <c r="I75" i="17"/>
  <c r="D75" i="17"/>
  <c r="B75" i="17"/>
  <c r="I46" i="17"/>
  <c r="I45" i="17"/>
  <c r="F15" i="17"/>
  <c r="S36" i="5"/>
  <c r="H44" i="20"/>
  <c r="C16" i="22" s="1"/>
  <c r="F16" i="22" s="1"/>
  <c r="C18" i="23"/>
  <c r="D174" i="17" s="1"/>
  <c r="D175" i="17" s="1"/>
  <c r="C13" i="25"/>
  <c r="C26" i="25" s="1"/>
  <c r="O39" i="4" l="1"/>
  <c r="F8" i="4" s="1"/>
  <c r="N39" i="4"/>
  <c r="F7" i="4" s="1"/>
  <c r="D232" i="17" s="1"/>
  <c r="G232" i="17" s="1"/>
  <c r="Q39" i="4"/>
  <c r="F10" i="4" s="1"/>
  <c r="P39" i="4"/>
  <c r="F9" i="4" s="1"/>
  <c r="D234" i="17" s="1"/>
  <c r="G234" i="17" s="1"/>
  <c r="M52" i="5"/>
  <c r="S39" i="5"/>
  <c r="C35" i="25" s="1"/>
  <c r="S55" i="5"/>
  <c r="H56" i="5"/>
  <c r="C19" i="22"/>
  <c r="E31" i="22"/>
  <c r="C10" i="25" s="1"/>
  <c r="I215" i="17"/>
  <c r="M54" i="5"/>
  <c r="M55" i="5" s="1"/>
  <c r="M56" i="5" s="1"/>
  <c r="M57" i="5" s="1"/>
  <c r="S57" i="5" s="1"/>
  <c r="S56" i="5" l="1"/>
  <c r="I57" i="5"/>
  <c r="I56" i="5"/>
  <c r="S39" i="4"/>
  <c r="T39" i="4"/>
  <c r="F19" i="26"/>
  <c r="F12" i="4"/>
  <c r="D233" i="17"/>
  <c r="D236" i="17" s="1"/>
  <c r="E29" i="11"/>
  <c r="E32" i="11" s="1"/>
  <c r="D21" i="22" s="1"/>
  <c r="D23" i="22" s="1"/>
  <c r="F19" i="22"/>
  <c r="C31" i="22"/>
  <c r="I218" i="17"/>
  <c r="I220" i="17" s="1"/>
  <c r="S54" i="5"/>
  <c r="F23" i="22" l="1"/>
  <c r="F21" i="22"/>
  <c r="D149" i="17" s="1"/>
  <c r="I228" i="17"/>
  <c r="E233" i="17"/>
  <c r="G233" i="17" s="1"/>
  <c r="G236" i="17" s="1"/>
  <c r="I236" i="17" s="1"/>
  <c r="G84" i="17"/>
  <c r="G14" i="17"/>
  <c r="F32" i="26"/>
  <c r="F58" i="26" l="1"/>
  <c r="D248" i="17"/>
  <c r="D31" i="22"/>
  <c r="C9" i="25" s="1"/>
  <c r="I223" i="17"/>
  <c r="I225" i="17" s="1"/>
  <c r="I227" i="17" s="1"/>
  <c r="I229" i="17" s="1"/>
  <c r="D158" i="17"/>
  <c r="D117" i="17" s="1"/>
  <c r="D120" i="17" s="1"/>
  <c r="F31" i="22"/>
  <c r="F34" i="22" s="1"/>
  <c r="G248" i="17"/>
  <c r="D250" i="17"/>
  <c r="E249" i="17" s="1"/>
  <c r="I249" i="17" s="1"/>
  <c r="G15" i="17"/>
  <c r="I15" i="17" s="1"/>
  <c r="I14" i="17"/>
  <c r="G16" i="17"/>
  <c r="I16" i="17" s="1"/>
  <c r="G17" i="17"/>
  <c r="I17" i="17" s="1"/>
  <c r="G92" i="17"/>
  <c r="I84" i="17"/>
  <c r="G154" i="17"/>
  <c r="I154" i="17" s="1"/>
  <c r="G86" i="17"/>
  <c r="G153" i="17"/>
  <c r="I153" i="17" s="1"/>
  <c r="I240" i="17"/>
  <c r="G152" i="17"/>
  <c r="G118" i="17" l="1"/>
  <c r="I118" i="17" s="1"/>
  <c r="G149" i="17"/>
  <c r="G155" i="17" s="1"/>
  <c r="I155" i="17" s="1"/>
  <c r="G162" i="17"/>
  <c r="I152" i="17"/>
  <c r="G114" i="17"/>
  <c r="G94" i="17"/>
  <c r="I18" i="17"/>
  <c r="E248" i="17"/>
  <c r="E250" i="17" s="1"/>
  <c r="I149" i="17" l="1"/>
  <c r="I248" i="17"/>
  <c r="I250" i="17" s="1"/>
  <c r="I253" i="17" s="1"/>
  <c r="G168" i="17"/>
  <c r="I114" i="17"/>
  <c r="G161" i="17"/>
  <c r="D179" i="17" l="1"/>
  <c r="I168" i="17"/>
  <c r="G169" i="17"/>
  <c r="I169" i="17" s="1"/>
  <c r="AQ194" i="18"/>
  <c r="J18" i="24" s="1"/>
  <c r="AG194" i="18"/>
  <c r="I18" i="24" s="1"/>
  <c r="D93" i="17" s="1"/>
  <c r="W194" i="18"/>
  <c r="F18" i="24" s="1"/>
  <c r="G18" i="24" s="1"/>
  <c r="D85" i="17" s="1"/>
  <c r="D101" i="17" s="1"/>
  <c r="O194" i="18"/>
  <c r="P194" i="18"/>
  <c r="N194" i="18"/>
  <c r="N195" i="18" s="1"/>
  <c r="AE194" i="18"/>
  <c r="I17" i="24"/>
  <c r="D92" i="17"/>
  <c r="D100" i="17" s="1"/>
  <c r="I92" i="17"/>
  <c r="I100" i="17" s="1"/>
  <c r="AC194" i="18"/>
  <c r="I15" i="24" s="1"/>
  <c r="D91" i="17" l="1"/>
  <c r="Y194" i="18"/>
  <c r="G19" i="24" s="1"/>
  <c r="D86" i="17" s="1"/>
  <c r="I86" i="17" l="1"/>
  <c r="U194" i="18"/>
  <c r="Z149" i="18"/>
  <c r="Z194" i="18"/>
  <c r="S194" i="18"/>
  <c r="F14" i="24" s="1"/>
  <c r="F15" i="24" l="1"/>
  <c r="F20" i="24" s="1"/>
  <c r="F25" i="24" s="1"/>
  <c r="G14" i="24"/>
  <c r="G15" i="24" l="1"/>
  <c r="G20" i="24" s="1"/>
  <c r="D83" i="17"/>
  <c r="F28" i="24"/>
  <c r="G28" i="24" s="1"/>
  <c r="G25" i="24"/>
  <c r="C10" i="26" s="1"/>
  <c r="D88" i="17" l="1"/>
  <c r="D239" i="17" s="1"/>
  <c r="D242" i="17" s="1"/>
  <c r="G240" i="17" s="1"/>
  <c r="K240" i="17" s="1"/>
  <c r="D99" i="17"/>
  <c r="G156" i="17" l="1"/>
  <c r="G87" i="17"/>
  <c r="G95" i="17" l="1"/>
  <c r="I95" i="17" s="1"/>
  <c r="I87" i="17"/>
  <c r="I156" i="17"/>
  <c r="I158" i="17" s="1"/>
  <c r="I117" i="17" s="1"/>
  <c r="G163" i="17"/>
  <c r="I163" i="17" s="1"/>
  <c r="I88" i="17" l="1"/>
  <c r="G88" i="17" s="1"/>
  <c r="I103" i="17"/>
  <c r="G171" i="17" l="1"/>
  <c r="G119" i="17"/>
  <c r="I119" i="17" s="1"/>
  <c r="I120" i="17" s="1"/>
  <c r="G173" i="17" l="1"/>
  <c r="I171" i="17"/>
  <c r="I173" i="17" l="1"/>
  <c r="G174" i="17"/>
  <c r="I174" i="17" s="1"/>
  <c r="AK149" i="18"/>
  <c r="AJ194" i="18"/>
  <c r="AI194" i="18"/>
  <c r="I19" i="24" s="1"/>
  <c r="I175" i="17" l="1"/>
  <c r="I20" i="24"/>
  <c r="C14" i="26" s="1"/>
  <c r="C15" i="26" s="1"/>
  <c r="C21" i="26" s="1"/>
  <c r="C58" i="26" s="1"/>
  <c r="F60" i="26" s="1"/>
  <c r="D94" i="17"/>
  <c r="D96" i="17" l="1"/>
  <c r="D102" i="17"/>
  <c r="D104" i="17" s="1"/>
  <c r="D122" i="17" s="1"/>
  <c r="D189" i="17" s="1"/>
  <c r="I94" i="17"/>
  <c r="I102" i="17" l="1"/>
  <c r="I104" i="17" s="1"/>
  <c r="G104" i="17" s="1"/>
  <c r="I96" i="17"/>
  <c r="D185" i="17"/>
  <c r="D187" i="17" s="1"/>
  <c r="G108" i="17" l="1"/>
  <c r="G186" i="17"/>
  <c r="I186" i="17" s="1"/>
  <c r="I108" i="17" l="1"/>
  <c r="G109" i="17"/>
  <c r="I109" i="17" l="1"/>
  <c r="G110" i="17"/>
  <c r="I110" i="17" s="1"/>
  <c r="G111" i="17"/>
  <c r="I111" i="17" s="1"/>
  <c r="I112" i="17" l="1"/>
  <c r="I122" i="17" s="1"/>
  <c r="I189" i="17" s="1"/>
  <c r="I185" i="17" s="1"/>
  <c r="I187" i="17" s="1"/>
  <c r="AM194" i="18"/>
  <c r="J15" i="24"/>
  <c r="AO194" i="18"/>
  <c r="J17" i="24" s="1"/>
  <c r="D161" i="17" l="1"/>
  <c r="I161" i="17" l="1"/>
  <c r="AT194" i="18"/>
  <c r="AS194" i="18"/>
  <c r="J19" i="24"/>
  <c r="D162" i="17" s="1"/>
  <c r="I162" i="17" l="1"/>
  <c r="I164" i="17" s="1"/>
  <c r="I192" i="17" s="1"/>
  <c r="D164" i="17"/>
  <c r="D192" i="17" s="1"/>
  <c r="D201" i="17" s="1"/>
  <c r="J20" i="24"/>
  <c r="C11" i="25" s="1"/>
  <c r="I201" i="17" l="1"/>
  <c r="I11" i="17"/>
  <c r="I24" i="17" s="1"/>
  <c r="D36" i="17" s="1"/>
  <c r="C14" i="25"/>
  <c r="C15" i="25" s="1"/>
  <c r="C17" i="25" s="1"/>
  <c r="C22" i="25" s="1"/>
  <c r="C27" i="25" s="1"/>
  <c r="C30" i="25" s="1"/>
  <c r="D40" i="17" l="1"/>
  <c r="D42" i="17"/>
  <c r="D41" i="17"/>
  <c r="I42" i="17"/>
  <c r="I41" i="17"/>
  <c r="I40" i="17"/>
  <c r="D37" i="17"/>
  <c r="Z150" i="18"/>
  <c r="I194" i="18"/>
</calcChain>
</file>

<file path=xl/sharedStrings.xml><?xml version="1.0" encoding="utf-8"?>
<sst xmlns="http://schemas.openxmlformats.org/spreadsheetml/2006/main" count="2808" uniqueCount="907">
  <si>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</si>
  <si>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V</t>
  </si>
  <si>
    <t>W</t>
  </si>
  <si>
    <t>X</t>
  </si>
  <si>
    <t>Production</t>
  </si>
  <si>
    <t>Transmission</t>
  </si>
  <si>
    <t>Distribution</t>
  </si>
  <si>
    <t>Total</t>
  </si>
  <si>
    <t>Interest</t>
  </si>
  <si>
    <t xml:space="preserve">Salary and Wages </t>
  </si>
  <si>
    <t>Other (non A&amp;G)</t>
  </si>
  <si>
    <t>Employees (Do not include names)</t>
  </si>
  <si>
    <t>Wages</t>
  </si>
  <si>
    <t>% Spent on Production</t>
  </si>
  <si>
    <t>% Spent on Transmission</t>
  </si>
  <si>
    <t>% Spent on Distribution</t>
  </si>
  <si>
    <t>% Spent on Other (non A&amp;G)</t>
  </si>
  <si>
    <t>% Spent on A&amp;G</t>
  </si>
  <si>
    <t>A&amp;G</t>
  </si>
  <si>
    <t>General</t>
  </si>
  <si>
    <t>Due Date</t>
  </si>
  <si>
    <t>Principal</t>
  </si>
  <si>
    <t>Interest Rate</t>
  </si>
  <si>
    <t>Total Debt Service Due</t>
  </si>
  <si>
    <t>2006 Principal</t>
  </si>
  <si>
    <t>2006 Interest</t>
  </si>
  <si>
    <t>Total 2006 P &amp; Accrued I</t>
  </si>
  <si>
    <t>Electric plant</t>
  </si>
  <si>
    <t xml:space="preserve">  BUILDINGS</t>
  </si>
  <si>
    <t xml:space="preserve">  ROOF PROJEC</t>
  </si>
  <si>
    <t xml:space="preserve">  SLAB FOR FUE</t>
  </si>
  <si>
    <t xml:space="preserve">  EXTERIOR MA</t>
  </si>
  <si>
    <t xml:space="preserve">  CONCRETE AP</t>
  </si>
  <si>
    <t xml:space="preserve">  THERMACORE </t>
  </si>
  <si>
    <t xml:space="preserve">  GENERATING </t>
  </si>
  <si>
    <t xml:space="preserve">  DISTRIBUTION </t>
  </si>
  <si>
    <t xml:space="preserve">  FUEL TANK RE</t>
  </si>
  <si>
    <t xml:space="preserve">  COOLING SYS</t>
  </si>
  <si>
    <t xml:space="preserve">  MANIFOLD FO</t>
  </si>
  <si>
    <t xml:space="preserve">  BATTERIES FO</t>
  </si>
  <si>
    <t xml:space="preserve">  2 TURBO ENGINES</t>
  </si>
  <si>
    <t xml:space="preserve">  ENGINE #4</t>
  </si>
  <si>
    <t xml:space="preserve">  SALES TAX RE</t>
  </si>
  <si>
    <t xml:space="preserve">  piping</t>
  </si>
  <si>
    <t xml:space="preserve">  watermain imp</t>
  </si>
  <si>
    <t xml:space="preserve">  ENGINE 5 REPAIR</t>
  </si>
  <si>
    <t xml:space="preserve">  ENGINE AND L</t>
  </si>
  <si>
    <t xml:space="preserve">  GENERATOR R</t>
  </si>
  <si>
    <t xml:space="preserve">  CPK HEAT EXC</t>
  </si>
  <si>
    <t xml:space="preserve">  MEGOHMETER</t>
  </si>
  <si>
    <t xml:space="preserve">  SWITCH GEAR </t>
  </si>
  <si>
    <t xml:space="preserve">  3 X 2400 VOLT SWITCHGEAR </t>
  </si>
  <si>
    <t xml:space="preserve">  4160 CONVERSION</t>
  </si>
  <si>
    <t xml:space="preserve">  METERS</t>
  </si>
  <si>
    <t xml:space="preserve">  WHITE WAY S</t>
  </si>
  <si>
    <t xml:space="preserve">  U/D PROJECT</t>
  </si>
  <si>
    <t xml:space="preserve">  UNDERGROUN</t>
  </si>
  <si>
    <t xml:space="preserve">  1988 DISTRIBUTION PR</t>
  </si>
  <si>
    <t xml:space="preserve">  COUNTY RD #</t>
  </si>
  <si>
    <t xml:space="preserve">  2ND AVENUE PROJ</t>
  </si>
  <si>
    <t xml:space="preserve">  BOLDTS UNDE</t>
  </si>
  <si>
    <t xml:space="preserve">  INVENTORY</t>
  </si>
  <si>
    <t xml:space="preserve">  CUSTOMER IN</t>
  </si>
  <si>
    <t xml:space="preserve">  COOP FERTILI</t>
  </si>
  <si>
    <t xml:space="preserve">  COOP OIL PRO</t>
  </si>
  <si>
    <t xml:space="preserve">  KENNEL AIRE </t>
  </si>
  <si>
    <t xml:space="preserve">  OVERHEAD DI</t>
  </si>
  <si>
    <t xml:space="preserve">  COOP ALLEY P</t>
  </si>
  <si>
    <t xml:space="preserve">  URD PROJECT</t>
  </si>
  <si>
    <t xml:space="preserve">  BOXELDER</t>
  </si>
  <si>
    <t xml:space="preserve">  SOUTH 13TH STREET</t>
  </si>
  <si>
    <t xml:space="preserve">  ALLIANCE CHU</t>
  </si>
  <si>
    <t xml:space="preserve">  PIZZA RANCH </t>
  </si>
  <si>
    <t xml:space="preserve">  9TH ST.- ELECTRIC METERS</t>
  </si>
  <si>
    <t xml:space="preserve">  SOUTH 10TH STREET PROJ</t>
  </si>
  <si>
    <t xml:space="preserve">  9TH STREET PROJ</t>
  </si>
  <si>
    <t xml:space="preserve">  FEEDER LINE</t>
  </si>
  <si>
    <t xml:space="preserve">  HALE ESTATES </t>
  </si>
  <si>
    <t xml:space="preserve">  SPEC BUILDIN</t>
  </si>
  <si>
    <t xml:space="preserve">  LIBRARY SERV</t>
  </si>
  <si>
    <t xml:space="preserve">  1996 URD IMPOVEMENT</t>
  </si>
  <si>
    <t xml:space="preserve">  1996 LINE IMPROVEMEN</t>
  </si>
  <si>
    <t xml:space="preserve">  GOOD SAMAR</t>
  </si>
  <si>
    <t xml:space="preserve">  VARIOUS PRO</t>
  </si>
  <si>
    <t xml:space="preserve">  OVERHEAD</t>
  </si>
  <si>
    <t xml:space="preserve">  KVA DUPLEX T</t>
  </si>
  <si>
    <t xml:space="preserve">  ELECT ITEMS </t>
  </si>
  <si>
    <t xml:space="preserve">  ELECT EQUIP </t>
  </si>
  <si>
    <t xml:space="preserve">  ELEC ITEMS O</t>
  </si>
  <si>
    <t xml:space="preserve">  ELEC ITEMS F</t>
  </si>
  <si>
    <t xml:space="preserve">  PROTIENT FRO</t>
  </si>
  <si>
    <t xml:space="preserve">  ESTATES DRIV</t>
  </si>
  <si>
    <t xml:space="preserve">  BOXELDER LIF</t>
  </si>
  <si>
    <t xml:space="preserve">  TRANS RETIRE</t>
  </si>
  <si>
    <t xml:space="preserve">  DAVE WATKIN</t>
  </si>
  <si>
    <t xml:space="preserve">  PROTIENT IMP</t>
  </si>
  <si>
    <t xml:space="preserve">  System Improv</t>
  </si>
  <si>
    <t xml:space="preserve">  ELEC. WORK FROM FIRE </t>
  </si>
  <si>
    <t xml:space="preserve">  COUNTY ROA</t>
  </si>
  <si>
    <t xml:space="preserve">  DOWNTOWN R</t>
  </si>
  <si>
    <t xml:space="preserve">  TRANSFORME</t>
  </si>
  <si>
    <t xml:space="preserve">  MIDWAY FARM </t>
  </si>
  <si>
    <t xml:space="preserve">  SE ELECTRIC </t>
  </si>
  <si>
    <t xml:space="preserve">  INVENTORY FO</t>
  </si>
  <si>
    <t xml:space="preserve">  CHANGE TRAN</t>
  </si>
  <si>
    <t xml:space="preserve">  INVENTORY TO </t>
  </si>
  <si>
    <t xml:space="preserve">  MISCELLANEO</t>
  </si>
  <si>
    <t xml:space="preserve">  Inventory used </t>
  </si>
  <si>
    <t>JANZEN'S PLACE (CURT &amp; DAN)</t>
  </si>
  <si>
    <t>MT. LAKE FLUID POWER</t>
  </si>
  <si>
    <t>JERRY HABERMANN UNDERGROUND SERVCE</t>
  </si>
  <si>
    <t>POLES ADDED</t>
  </si>
  <si>
    <t>TRANSFORMERS ADDED</t>
  </si>
  <si>
    <t>KARIAN/PETERSON POLES AND LABOR</t>
  </si>
  <si>
    <t>Mt. Power Hydro Job</t>
  </si>
  <si>
    <t>Elec. Dept. Land-cold storage bldg</t>
  </si>
  <si>
    <t xml:space="preserve">  REROOF TRUC</t>
  </si>
  <si>
    <t xml:space="preserve">  STREET LIGHT</t>
  </si>
  <si>
    <t xml:space="preserve">  STREET LIGHT </t>
  </si>
  <si>
    <t xml:space="preserve">  TENNIS COUR</t>
  </si>
  <si>
    <t xml:space="preserve">  3RD AVENUE PROJ</t>
  </si>
  <si>
    <t xml:space="preserve">  New Light Pole</t>
  </si>
  <si>
    <t>PLAYGROUND LIGHTING</t>
  </si>
  <si>
    <t>STREET LIGHT PROJECT</t>
  </si>
  <si>
    <t xml:space="preserve">  TOOLS &amp; EQU</t>
  </si>
  <si>
    <t xml:space="preserve">  OFFICE EQUIP</t>
  </si>
  <si>
    <t xml:space="preserve">  TRANSPORTA</t>
  </si>
  <si>
    <t xml:space="preserve">  1988 C-10 1/2 </t>
  </si>
  <si>
    <t xml:space="preserve">  HPS LAMP</t>
  </si>
  <si>
    <t xml:space="preserve">  COMPUTER &amp; </t>
  </si>
  <si>
    <t xml:space="preserve">  METER SET</t>
  </si>
  <si>
    <t xml:space="preserve">  DITCHWITCH</t>
  </si>
  <si>
    <t xml:space="preserve">  SHARE OF AD</t>
  </si>
  <si>
    <t xml:space="preserve">  PRINTER AND </t>
  </si>
  <si>
    <t xml:space="preserve">  SHARE OF NE</t>
  </si>
  <si>
    <t xml:space="preserve">  70 % OF MOWER</t>
  </si>
  <si>
    <t xml:space="preserve">  WATER TANK </t>
  </si>
  <si>
    <t xml:space="preserve">  RADIO</t>
  </si>
  <si>
    <t xml:space="preserve">  PORTION VAC</t>
  </si>
  <si>
    <t xml:space="preserve">  LOCATOR</t>
  </si>
  <si>
    <t>BUCKET TRUCK REPAIRS</t>
  </si>
  <si>
    <t>Portion of new Savin Copier</t>
  </si>
  <si>
    <t xml:space="preserve">  PICKUP</t>
  </si>
  <si>
    <t xml:space="preserve">  DIGGER DERR</t>
  </si>
  <si>
    <t xml:space="preserve">  50% 1994 Ford F</t>
  </si>
  <si>
    <t xml:space="preserve">  New Street Tru</t>
  </si>
  <si>
    <t>NEW PICKUP</t>
  </si>
  <si>
    <t>LAND</t>
  </si>
  <si>
    <t>EQUIPMENT AND MACHINERY</t>
  </si>
  <si>
    <t>VEHICLES</t>
  </si>
  <si>
    <t>EMPLOYEE 1</t>
  </si>
  <si>
    <t>EMPLOYEE 2</t>
  </si>
  <si>
    <t>Invoice Date</t>
  </si>
  <si>
    <t>Amount</t>
  </si>
  <si>
    <t>PCB Analysis and Transformer Maintainance</t>
  </si>
  <si>
    <t>Total Transmission O&amp;M</t>
  </si>
  <si>
    <t>Debt Issue:  Series 2003</t>
  </si>
  <si>
    <t xml:space="preserve"> </t>
  </si>
  <si>
    <t>Date</t>
  </si>
  <si>
    <t>Mountain Lake</t>
  </si>
  <si>
    <t>Taxes in Lieu of Property Taxes Explanation:</t>
  </si>
  <si>
    <t>MLS9:  Mountain Lake Schedule 9 - Explanation of Payments in Lieu of Property Taxes</t>
  </si>
  <si>
    <t>MLS1:  Mountain Lake Schedule 1 - Wages &amp; Salary Allocator</t>
  </si>
  <si>
    <t>MLS4:  Mountain Lake Schedule 4 -  Debt Detail</t>
  </si>
  <si>
    <t>MLS6:  Mountain Lake Schedule 6 -  PCB Analysis and Transformer Maintenance</t>
  </si>
  <si>
    <t>Page 1 of 5</t>
  </si>
  <si>
    <t xml:space="preserve">Formula Rate - Non-Levelized </t>
  </si>
  <si>
    <t xml:space="preserve">   Rate Formula Template</t>
  </si>
  <si>
    <t>Line</t>
  </si>
  <si>
    <t>Allocated</t>
  </si>
  <si>
    <t>No.</t>
  </si>
  <si>
    <t xml:space="preserve">REVENUE CREDITS </t>
  </si>
  <si>
    <t>(Note T)</t>
  </si>
  <si>
    <t>Allocator</t>
  </si>
  <si>
    <t xml:space="preserve">  Account No. 454</t>
  </si>
  <si>
    <t>(page 4, line 30)</t>
  </si>
  <si>
    <t>TP</t>
  </si>
  <si>
    <t>(page 4, line 33)</t>
  </si>
  <si>
    <t>Revenues from Grandfathered Interzonal Transactions</t>
  </si>
  <si>
    <t>Revenues from service provided by the ISO at a discount</t>
  </si>
  <si>
    <t>TOTAL REVENUE CREDITS  (sum lines 2-5)</t>
  </si>
  <si>
    <t>NET REVENUE REQUIREMENT</t>
  </si>
  <si>
    <t xml:space="preserve"> (line 1 minus line 6)</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</si>
  <si>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</si>
  <si>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</si>
  <si>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</si>
  <si>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</si>
  <si>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</si>
  <si>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</si>
  <si>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</si>
  <si>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</si>
  <si>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</si>
  <si>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</si>
  <si>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</si>
  <si>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</si>
  <si>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</si>
  <si>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</si>
  <si>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line 15)</t>
  </si>
  <si>
    <t>Network &amp; P-to-P Rate ($/kW/Mo) (line 11/ 12)</t>
  </si>
  <si>
    <t>Peak Rate</t>
  </si>
  <si>
    <t>Off-Peak Rate</t>
  </si>
  <si>
    <t>Point-To-Point Rate ($/kW/Wk)</t>
  </si>
  <si>
    <t>(line 16 / 52; line 16/ 52)</t>
  </si>
  <si>
    <t>Point-To-Point Rate ($/kW/Day)</t>
  </si>
  <si>
    <t xml:space="preserve"> Capped at weekly rate</t>
  </si>
  <si>
    <t>Point-To-Point Rate ($/MWh)</t>
  </si>
  <si>
    <t xml:space="preserve"> Capped at weekly</t>
  </si>
  <si>
    <t xml:space="preserve"> and daily rates</t>
  </si>
  <si>
    <t>FERC Annual Charge($/MWh)</t>
  </si>
  <si>
    <t xml:space="preserve">          (Note E)</t>
  </si>
  <si>
    <t>Short Term</t>
  </si>
  <si>
    <t>Long Term</t>
  </si>
  <si>
    <t>Page 2 of 5</t>
  </si>
  <si>
    <t>(1)</t>
  </si>
  <si>
    <t>(2)</t>
  </si>
  <si>
    <t>(3)</t>
  </si>
  <si>
    <t>(4)</t>
  </si>
  <si>
    <t>(5)</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</si>
  <si>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</si>
  <si>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</si>
  <si>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</si>
  <si>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</si>
  <si>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</si>
  <si>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</si>
  <si>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</si>
  <si>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</si>
  <si>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</si>
  <si>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</si>
  <si>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</si>
  <si>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</si>
  <si>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</si>
  <si>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</si>
  <si>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</si>
  <si>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TOTAL ACCUM. DEPRECIATION (sum lines 7-11)</t>
  </si>
  <si>
    <t>NET PLANT IN SERVICE</t>
  </si>
  <si>
    <t xml:space="preserve"> (line 1- line 7)</t>
  </si>
  <si>
    <t xml:space="preserve"> (line 2- line 8)</t>
  </si>
  <si>
    <t xml:space="preserve"> (line 3 - line 9)</t>
  </si>
  <si>
    <t xml:space="preserve"> (line 4 - line 10)</t>
  </si>
  <si>
    <t xml:space="preserve"> (line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</si>
  <si>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</si>
  <si>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</si>
  <si>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</si>
  <si>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</si>
  <si>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</si>
  <si>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</si>
  <si>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</si>
  <si>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</si>
  <si>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</si>
  <si>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</si>
  <si>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</si>
  <si>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</si>
  <si>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</si>
  <si>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(Note H)</t>
  </si>
  <si>
    <t xml:space="preserve">  CWC</t>
  </si>
  <si>
    <t xml:space="preserve">  Materials &amp; Supplies</t>
  </si>
  <si>
    <t xml:space="preserve"> (Note G)</t>
  </si>
  <si>
    <t>TE</t>
  </si>
  <si>
    <t xml:space="preserve">  Prepayments</t>
  </si>
  <si>
    <t>GP</t>
  </si>
  <si>
    <t>TOTAL WORKING CAPITAL (sum lines 26 - 28)</t>
  </si>
  <si>
    <t>RATE BASE  (sum lines 18, 24, 25, and 29)</t>
  </si>
  <si>
    <t>Page 3 of 5</t>
  </si>
  <si>
    <t xml:space="preserve">  Transmission </t>
  </si>
  <si>
    <t xml:space="preserve">     Less Account 565</t>
  </si>
  <si>
    <t xml:space="preserve">  A&amp;G</t>
  </si>
  <si>
    <t xml:space="preserve">     Less FERC Annual Fees</t>
  </si>
  <si>
    <t>5a</t>
  </si>
  <si>
    <t xml:space="preserve">     Plus Transmission Related Reg. Comm. Exp. (Note I)</t>
  </si>
  <si>
    <t xml:space="preserve">  Transmission Lease Payments</t>
  </si>
  <si>
    <t xml:space="preserve">  General </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</si>
  <si>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</si>
  <si>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</si>
  <si>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</si>
  <si>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</si>
  <si>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</si>
  <si>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</si>
  <si>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</si>
  <si>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</si>
  <si>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</si>
  <si>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</si>
  <si>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</si>
  <si>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</si>
  <si>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 (Note K)</t>
  </si>
  <si>
    <t xml:space="preserve">     T=1 - {[(1 - SIT) * (1 - FIT)] / (1 - SIT * FIT * p)} =</t>
  </si>
  <si>
    <t xml:space="preserve">     CIT=(T/1-T) * (1-(WCLTD/R)) =</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</si>
  <si>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</si>
  <si>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</si>
  <si>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</si>
  <si>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</si>
  <si>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</si>
  <si>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</si>
  <si>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</si>
  <si>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</si>
  <si>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</si>
  <si>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12,20,27,28)</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</si>
  <si>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</si>
  <si>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</si>
  <si>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</si>
  <si>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</si>
  <si>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</si>
  <si>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</si>
  <si>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</si>
  <si>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</si>
  <si>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</si>
  <si>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</si>
  <si>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</si>
  <si>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</si>
  <si>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</si>
  <si>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</si>
  <si>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</si>
  <si>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</si>
  <si>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</si>
  <si>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t>
  </si>
  <si>
    <t>Allocation</t>
  </si>
  <si>
    <t>W&amp;S Allocator</t>
  </si>
  <si>
    <t xml:space="preserve">  Other</t>
  </si>
  <si>
    <t>($ / Allocation)</t>
  </si>
  <si>
    <t xml:space="preserve">  Total (sum lines 12-15)</t>
  </si>
  <si>
    <t>=</t>
  </si>
  <si>
    <t xml:space="preserve">  =</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</si>
  <si>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</si>
  <si>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</si>
  <si>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</si>
  <si>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</si>
  <si>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</si>
  <si>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</si>
  <si>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</si>
  <si>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</si>
  <si>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</si>
  <si>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</si>
  <si>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</si>
  <si>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</si>
  <si>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Cost</t>
  </si>
  <si>
    <t>%</t>
  </si>
  <si>
    <t>(Note P)</t>
  </si>
  <si>
    <t>Weighted</t>
  </si>
  <si>
    <t xml:space="preserve">  Long Term Debt</t>
  </si>
  <si>
    <t>=WCLTD</t>
  </si>
  <si>
    <t xml:space="preserve">  Proprietary Capital</t>
  </si>
  <si>
    <t>Total  (sum lines 22, 23)</t>
  </si>
  <si>
    <t>=R</t>
  </si>
  <si>
    <t xml:space="preserve">                               Proprietary Capital Cost Rate =</t>
  </si>
  <si>
    <t xml:space="preserve">                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</si>
  <si>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</si>
  <si>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</si>
  <si>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</si>
  <si>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</si>
  <si>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</si>
  <si>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</si>
  <si>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</si>
  <si>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</si>
  <si>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 xml:space="preserve">  a. Transmission charges for all transmission transactions </t>
  </si>
  <si>
    <t xml:space="preserve">  b. Transmission charges for all transmission transactions included in Divisor on page 1</t>
  </si>
  <si>
    <t>Page 5 of 5</t>
  </si>
  <si>
    <t>General Note:  References to pages in this formulary rate are indicated as:  (page#, line#, col.#)</t>
  </si>
  <si>
    <t>Note</t>
  </si>
  <si>
    <t>Letter</t>
  </si>
  <si>
    <t>A</t>
  </si>
  <si>
    <t>B</t>
  </si>
  <si>
    <t>C</t>
  </si>
  <si>
    <t>D</t>
  </si>
  <si>
    <t>E</t>
  </si>
  <si>
    <t>F</t>
  </si>
  <si>
    <t>G</t>
  </si>
  <si>
    <t>Transmission related only.</t>
  </si>
  <si>
    <t>H</t>
  </si>
  <si>
    <t>I</t>
  </si>
  <si>
    <t>J</t>
  </si>
  <si>
    <t>K</t>
  </si>
  <si>
    <t>FIT =</t>
  </si>
  <si>
    <t>SIT=</t>
  </si>
  <si>
    <t xml:space="preserve">  (State Income Tax Rate or Composite SIT)</t>
  </si>
  <si>
    <t>p =</t>
  </si>
  <si>
    <t xml:space="preserve">  (percent of federal income tax deductible for state purposes)</t>
  </si>
  <si>
    <t>L</t>
  </si>
  <si>
    <t>M</t>
  </si>
  <si>
    <t>N</t>
  </si>
  <si>
    <t>O</t>
  </si>
  <si>
    <t>Enter dollar amounts</t>
  </si>
  <si>
    <t>P</t>
  </si>
  <si>
    <t>Q</t>
  </si>
  <si>
    <t>R</t>
  </si>
  <si>
    <t>Includes income related only to transmission facilities, such as pole attachments, rentals and special use.</t>
  </si>
  <si>
    <t>S</t>
  </si>
  <si>
    <t>T</t>
  </si>
  <si>
    <t>U</t>
  </si>
  <si>
    <r>
      <t>I</t>
    </r>
    <r>
      <rPr>
        <sz val="12"/>
        <rFont val="Arial"/>
        <family val="2"/>
      </rPr>
      <t>I.20.b</t>
    </r>
  </si>
  <si>
    <t xml:space="preserve">  LAND</t>
  </si>
  <si>
    <t>PUC Fixed Assets</t>
  </si>
  <si>
    <t>NEW ASSETS WILL NEED TO BE CLASSIFIED AND LINKED</t>
  </si>
  <si>
    <t>Book</t>
  </si>
  <si>
    <t>COST</t>
  </si>
  <si>
    <t>System No.</t>
  </si>
  <si>
    <t>Description</t>
  </si>
  <si>
    <t>Service</t>
  </si>
  <si>
    <t>Method</t>
  </si>
  <si>
    <t>Life</t>
  </si>
  <si>
    <t>Use %</t>
  </si>
  <si>
    <t xml:space="preserve">Salvage </t>
  </si>
  <si>
    <t>Accumulated</t>
  </si>
  <si>
    <t>Current Depreciation</t>
  </si>
  <si>
    <t>Value</t>
  </si>
  <si>
    <t>604 ELECTRIC FUND</t>
  </si>
  <si>
    <t>TOTAL LAND</t>
  </si>
  <si>
    <t>BUILDINGS AND BUILDING IMPROVEMENTS</t>
  </si>
  <si>
    <t xml:space="preserve">  SL / N/A</t>
  </si>
  <si>
    <t>TOTAL BUILDINGS AND BUILDING IMP.</t>
  </si>
  <si>
    <t>INFRASTRUCTURE AND OTHER IMPROVEMENTS</t>
  </si>
  <si>
    <t>IMPROVEMENTS AT PROTIENT SITE</t>
  </si>
  <si>
    <t>NEW POLES</t>
  </si>
  <si>
    <t>CONNECTION AT CHRISTIAN SCHOOL</t>
  </si>
  <si>
    <t>MIDWAY FARMS TRANSFORMER</t>
  </si>
  <si>
    <t>WIND TOWER PROJECT</t>
  </si>
  <si>
    <t>TOTAL INFRASTUCTURE</t>
  </si>
  <si>
    <t>TOTAL EQUIPMENT/MACHINERY</t>
  </si>
  <si>
    <t>BACKHOE</t>
  </si>
  <si>
    <t>TOTAL VEHICLES</t>
  </si>
  <si>
    <t>604 Total</t>
  </si>
  <si>
    <t xml:space="preserve">   ELECTRIC REFUNDING BONDS</t>
  </si>
  <si>
    <t>OF 2003</t>
  </si>
  <si>
    <t>_____________________</t>
  </si>
  <si>
    <t>PRINCIPAL</t>
  </si>
  <si>
    <t>INTEREST</t>
  </si>
  <si>
    <t>PRINICPAL</t>
  </si>
  <si>
    <t>----------------------------</t>
  </si>
  <si>
    <t>EIA-412</t>
  </si>
  <si>
    <t>Schedule 2 - ELECTRIC BALANCE SHEET</t>
  </si>
  <si>
    <t>AMOUNT</t>
  </si>
  <si>
    <t>ASSETS and OTHER DEBITS</t>
  </si>
  <si>
    <t>(Dollars)</t>
  </si>
  <si>
    <t>No</t>
  </si>
  <si>
    <t>LIABILITIES and OTHER CREDITS</t>
  </si>
  <si>
    <t>ELECTRIC PLANT</t>
  </si>
  <si>
    <t>PROPRIETARY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</si>
  <si>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</si>
  <si>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</si>
  <si>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</si>
  <si>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</si>
  <si>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</si>
  <si>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</si>
  <si>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</si>
  <si>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</si>
  <si>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</si>
  <si>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</si>
  <si>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Net Electric Plant (sum lines 1-2 less 3)</t>
  </si>
  <si>
    <t>TOTAL PROPRIETARY CAPITAL            (sum lines 29-31)</t>
  </si>
  <si>
    <t>Nuclear Fuel (120.1-120.4, 120.6)</t>
  </si>
  <si>
    <t>LONG TERM DEBT</t>
  </si>
  <si>
    <t>Amortization of Nuclear Fuel</t>
  </si>
  <si>
    <t>Bonds (221, 222) (sum lins 33a-d, include</t>
  </si>
  <si>
    <t>Assemblies (120.5)</t>
  </si>
  <si>
    <t>current portion)</t>
  </si>
  <si>
    <t>Net Electric Plant including Nuclear</t>
  </si>
  <si>
    <t>33a</t>
  </si>
  <si>
    <t>Senior Lien</t>
  </si>
  <si>
    <t>Fuel (sum lines 4-5 less line 6)</t>
  </si>
  <si>
    <t>33b</t>
  </si>
  <si>
    <t>Subordinate Lien</t>
  </si>
  <si>
    <t>OTHER PROPERTY &amp; INVESTMENTS</t>
  </si>
  <si>
    <t>33c</t>
  </si>
  <si>
    <t>Third Lien</t>
  </si>
  <si>
    <t>Non-Electric Plant Property (121)</t>
  </si>
  <si>
    <t>33d</t>
  </si>
  <si>
    <t>Project</t>
  </si>
  <si>
    <t>Depreciation and Amortization (122)</t>
  </si>
  <si>
    <t>Investment in Associated Enterprises</t>
  </si>
  <si>
    <t>Advances from Municipality and Other</t>
  </si>
  <si>
    <t>(123-123.1)</t>
  </si>
  <si>
    <t>Long Term Debt (223, 224)</t>
  </si>
  <si>
    <t>Investments &amp; Special Funds (124-129) (sum line 11a-d)</t>
  </si>
  <si>
    <t xml:space="preserve">Unamortized Premium on Long Term </t>
  </si>
  <si>
    <t>11a</t>
  </si>
  <si>
    <t>Debt Service Deposits &amp; Reserves - See Note 1</t>
  </si>
  <si>
    <t>Debt (225)</t>
  </si>
  <si>
    <t>11b</t>
  </si>
  <si>
    <t xml:space="preserve">Construction Funds - See Note 2 </t>
  </si>
  <si>
    <t>(Less) Unamortized Discount on Long</t>
  </si>
  <si>
    <t>11c</t>
  </si>
  <si>
    <t>Discretionary Reserves - See Note 3</t>
  </si>
  <si>
    <t>Term Debt (226)</t>
  </si>
  <si>
    <t>11d</t>
  </si>
  <si>
    <t>Other Restricted Investments - See Note 4</t>
  </si>
  <si>
    <t>Total Long Term Debt (sum line 33-35 less 36)</t>
  </si>
  <si>
    <t>Total Other Property and Investments       (sum lines 8, 10, 11 less 9)</t>
  </si>
  <si>
    <t>OTHER NONCURRENT LIABILITIES</t>
  </si>
  <si>
    <t>CURRENT &amp; ACCRUED ASSETS</t>
  </si>
  <si>
    <t>Accumulated Operating Provisions (228.1-.4)</t>
  </si>
  <si>
    <t>Cash, Working Funds &amp; Investments</t>
  </si>
  <si>
    <t>Accumulated Provisions for Rate Refunds</t>
  </si>
  <si>
    <t>(131-136)</t>
  </si>
  <si>
    <t>Total Other Non Current Liabilities (sum 38-39)</t>
  </si>
  <si>
    <t>Notes &amp; Other Receivables</t>
  </si>
  <si>
    <t>(141, 143, 145, 146, 172)</t>
  </si>
  <si>
    <t>CURRENT AND ACCRUED LIABILITIES</t>
  </si>
  <si>
    <t>Customer Accounts ReceIvable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</si>
  <si>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</si>
  <si>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</si>
  <si>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</si>
  <si>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</si>
  <si>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</si>
  <si>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</si>
  <si>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</si>
  <si>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</si>
  <si>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</si>
  <si>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</si>
  <si>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</si>
  <si>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</si>
  <si>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</si>
  <si>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</si>
  <si>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</si>
  <si>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</si>
  <si>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             (sum line 41-47)</t>
  </si>
  <si>
    <t>Total Current &amp; Accrued Assets                      ( sum lines 13-15, 17-22 less line 16)</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</si>
  <si>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</si>
  <si>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</si>
  <si>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</si>
  <si>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</si>
  <si>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</si>
  <si>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</si>
  <si>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</si>
  <si>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</si>
  <si>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</si>
  <si>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</si>
  <si>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</si>
  <si>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</si>
  <si>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</si>
  <si>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</si>
  <si>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Total Deferred Debits (sum  line 24-26)</t>
  </si>
  <si>
    <t>Total Deferred Credits</t>
  </si>
  <si>
    <t>TOTAL ASSETS &amp; OTHER DEBITS             (sum of lines 7, 12, 23, 27)</t>
  </si>
  <si>
    <t>TOTAL LIABILITIES &amp; OTHER CREDITS</t>
  </si>
  <si>
    <t>Note 2 - funds from bond proceeds</t>
  </si>
  <si>
    <t>Note 4 - includes any remaining restricted funds unavailable for operations or debt service, such as decommissioning funds</t>
  </si>
  <si>
    <t xml:space="preserve">Beginning </t>
  </si>
  <si>
    <t>Ending</t>
  </si>
  <si>
    <t>Balance</t>
  </si>
  <si>
    <t>Additions</t>
  </si>
  <si>
    <t>Retirements</t>
  </si>
  <si>
    <t>Transfers</t>
  </si>
  <si>
    <t>Intangible Plant (301-303)</t>
  </si>
  <si>
    <t>Steam Production (310-316)</t>
  </si>
  <si>
    <t>Nuclear Production (320-325)</t>
  </si>
  <si>
    <t>Hydraulic Production (330-336)</t>
  </si>
  <si>
    <t>ACCUM DEPR</t>
  </si>
  <si>
    <t>Total Production Plant (sum lines 2-5)</t>
  </si>
  <si>
    <t>Transmission Plant (350-359)</t>
  </si>
  <si>
    <t>Distribution Plant (360-373)</t>
  </si>
  <si>
    <t>General Plant (389-399)</t>
  </si>
  <si>
    <t>Total Electric Plant In Service              (sum lines 1, 6-9)</t>
  </si>
  <si>
    <t>Electric Plant Leased to Others (104)</t>
  </si>
  <si>
    <t>Electric Plant Held for Future Use (105)</t>
  </si>
  <si>
    <t>Electric Plant Miscellaneous (102,103,106,114,116)</t>
  </si>
  <si>
    <t>Electric Plant &amp; Adjustments                (sum lines 10-13)</t>
  </si>
  <si>
    <t>Construction Work in Progress Electric (107)</t>
  </si>
  <si>
    <t>Total Electric Plant &amp; Adjustments      (sum lines 14, 15)</t>
  </si>
  <si>
    <t>SCHEDULE 5. TAXES, TAX EQUIVALENTS, CONTRIBUTIONS, AND SERVICES DURING YEAR</t>
  </si>
  <si>
    <t xml:space="preserve">Line </t>
  </si>
  <si>
    <t>SUBJECT PAYMENTS TO MUNICIPALITY OR OTHER GOVERNMENT UNITS</t>
  </si>
  <si>
    <t>Taxes other than Income Taxes, Operating Income</t>
  </si>
  <si>
    <t>Income Taxes, Operating Income (409.1)</t>
  </si>
  <si>
    <t xml:space="preserve">    Taxes and Tax Equivalents (sum of lines 1,2)</t>
  </si>
  <si>
    <t>Taxes Other than Income Taxes, other Income and Deductions (408.2)</t>
  </si>
  <si>
    <t>Income Taxes, Other Income and Deductions (409.2)</t>
  </si>
  <si>
    <t xml:space="preserve">    Taxes Applicable to Other Income and Deductions (sum of lines 4,5)</t>
  </si>
  <si>
    <t>Transfers from Retained Earnings (State and Local)</t>
  </si>
  <si>
    <t>Other Transfers from Retained Earnings</t>
  </si>
  <si>
    <t xml:space="preserve">    Total Taxes and Transfers (sum of lines 3,6-8)</t>
  </si>
  <si>
    <t>CONTRIBUTIONS OF SERVICES AND MATERIALS TO STATE AND LOCAL GOVERNMENTS</t>
  </si>
  <si>
    <t>Free or Below-Cost Electric Service</t>
  </si>
  <si>
    <t>Use of Electric Department Employees</t>
  </si>
  <si>
    <t>Use of Electric Department Vehicles and Other Equipment</t>
  </si>
  <si>
    <t>Materials and Supplies</t>
  </si>
  <si>
    <t xml:space="preserve">    Total Contributions Provided (sum of lines 10-13)</t>
  </si>
  <si>
    <t>CONTRIBUTIONS OF SERVICE AND MATERIALS FROM STATE AND LOCAL GOVERNMENTS</t>
  </si>
  <si>
    <t>Free or Below-Cost Services</t>
  </si>
  <si>
    <t>Use of State or Local Employees (Not on Payroll of Reporting Entity)</t>
  </si>
  <si>
    <t>Use of State or Local Vehicles and Other Equipment</t>
  </si>
  <si>
    <t xml:space="preserve">    Total Contributions Received (sum of lines 15-18)</t>
  </si>
  <si>
    <t xml:space="preserve">    Net Contributions and Services to Municipality or Other Government Units                                          (line 14, less line 19)</t>
  </si>
  <si>
    <t>Schedule 7 - ELECTRIC OPERATION AND MAINTENANCE EXPENSES (Dollars)</t>
  </si>
  <si>
    <t>Fuel Cost</t>
  </si>
  <si>
    <t>Operation</t>
  </si>
  <si>
    <t>Maintenance</t>
  </si>
  <si>
    <t>Steam Power Generation</t>
  </si>
  <si>
    <t>(500-507, 510-514) Fuel Cost (501)</t>
  </si>
  <si>
    <t>Nuclear Power Generation (517-525, 528-532) Fule Cost (518)</t>
  </si>
  <si>
    <t>Hydraulic Power Generation</t>
  </si>
  <si>
    <t>(535-540, 541-545)</t>
  </si>
  <si>
    <t>Other Power Generation</t>
  </si>
  <si>
    <t>(546-550, 551-554) Fuel cost (547)</t>
  </si>
  <si>
    <t>Specify: Combustion Turbines</t>
  </si>
  <si>
    <t>Purchased Power (555)</t>
  </si>
  <si>
    <t>Other Production Expenses</t>
  </si>
  <si>
    <t>(556-557)</t>
  </si>
  <si>
    <t xml:space="preserve">   Total Production Expenses</t>
  </si>
  <si>
    <t>Transmission Expenses</t>
  </si>
  <si>
    <t>(560-567, 568-573)</t>
  </si>
  <si>
    <t>xxxxxxxxxxxxxx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</si>
  <si>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</si>
  <si>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</si>
  <si>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</si>
  <si>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</si>
  <si>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</si>
  <si>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</si>
  <si>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</si>
  <si>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</si>
  <si>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</si>
  <si>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</si>
  <si>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</si>
  <si>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</si>
  <si>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Schedule 6 - SALES OF ELECTRICITY FOR RESALE (Acct 447)</t>
  </si>
  <si>
    <t xml:space="preserve">Electricity </t>
  </si>
  <si>
    <t>Annual</t>
  </si>
  <si>
    <t>Demand</t>
  </si>
  <si>
    <t>Energy,</t>
  </si>
  <si>
    <t xml:space="preserve">Total </t>
  </si>
  <si>
    <t>Type</t>
  </si>
  <si>
    <t>Sold</t>
  </si>
  <si>
    <t>Max Demand</t>
  </si>
  <si>
    <t>Charges</t>
  </si>
  <si>
    <t xml:space="preserve">Other </t>
  </si>
  <si>
    <t>Rev Sttlmt</t>
  </si>
  <si>
    <t>Sales Made To:</t>
  </si>
  <si>
    <t>Code</t>
  </si>
  <si>
    <t>(MWH)</t>
  </si>
  <si>
    <t>(MW)</t>
  </si>
  <si>
    <t>($)</t>
  </si>
  <si>
    <t>Charges ($)</t>
  </si>
  <si>
    <t>Schedule 8 - PURCHASES OF ELECTRICITY FOR RESALE (Acct 555)</t>
  </si>
  <si>
    <t>Purchased</t>
  </si>
  <si>
    <t>Purchases From</t>
  </si>
  <si>
    <t>FP,OT</t>
  </si>
  <si>
    <t>Notes:</t>
  </si>
  <si>
    <t>1a</t>
  </si>
  <si>
    <t xml:space="preserve">     Less LSE Expenses included in Transmission O&amp;M Accounts (Note V)</t>
  </si>
  <si>
    <t>TOTAL O&amp;M (sum lines 1, 3, 5a, 6, 7 less 1A,2, 4, 5)</t>
  </si>
  <si>
    <t>LESS ATTACHMENT GG ADJUSTMENT (Attachment GG, page 2, line 3, column 10)  Note W</t>
  </si>
  <si>
    <t>included in Attachment GG)</t>
  </si>
  <si>
    <t>REV. REQUIREMENT TO BE COLLECTED UNDER ATTACHMENT O</t>
  </si>
  <si>
    <t>(line 29-line 30)</t>
  </si>
  <si>
    <t>DEPRECIATION</t>
  </si>
  <si>
    <t>Schedule 3 - 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</si>
  <si>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</si>
  <si>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</si>
  <si>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</si>
  <si>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</si>
  <si>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</si>
  <si>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</si>
  <si>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 (sum lines 2-6)</t>
  </si>
  <si>
    <t xml:space="preserve">        NET ELECTRIC OPERATING INCOME (line 1 less line 7)</t>
  </si>
  <si>
    <t>Income from Electric Plant Leased to Others (412, 413)</t>
  </si>
  <si>
    <t xml:space="preserve">    Electric Operating Income (sum lines 8, 9)</t>
  </si>
  <si>
    <t>Other Electric Income (explain significant amounts in a footnote) (415, 417, 418, 419, 421, 421.1)</t>
  </si>
  <si>
    <t>Other Electric Deductions (explain significant amounts in a footnote) (416, 417, 421.2)</t>
  </si>
  <si>
    <t>Allowance for Other Funds Used During Construction (419.1)</t>
  </si>
  <si>
    <t>Taxes Applicable to Other Income and Deductions (408.2, 409.2)</t>
  </si>
  <si>
    <t xml:space="preserve">    Electric Income (sumlines 10, 11, 13 less lines 12, 14)</t>
  </si>
  <si>
    <t>Income Deductions from Interest on Long Term Debt (427)</t>
  </si>
  <si>
    <t>Other Income Deductions (explain significant amounts in a footnote) (428-431)</t>
  </si>
  <si>
    <t>Allowance for Borrowed Funds Used During Construction (432)</t>
  </si>
  <si>
    <t xml:space="preserve">    Total Income Deductions (sum line 16-18)</t>
  </si>
  <si>
    <t xml:space="preserve">        Income Before Extraordinary Items (line 15 less line 19)</t>
  </si>
  <si>
    <t>Extraordinary Items (434)</t>
  </si>
  <si>
    <t>Extraordinary Deductions (435)</t>
  </si>
  <si>
    <t xml:space="preserve">        NET INCOME (sum lines 20, 21 less line 22)</t>
  </si>
  <si>
    <t>Senior Lien Debt Service - See Note 1</t>
  </si>
  <si>
    <t>Subordinate Lien Debt Service - See Note 1</t>
  </si>
  <si>
    <t>Third Lien Debt Service - See Note 1</t>
  </si>
  <si>
    <t>Project Debt Service - See Note 1</t>
  </si>
  <si>
    <t>Aggregate Debt Service</t>
  </si>
  <si>
    <t>General Fund Transfers (excl. Taxes and Tax Equivalents listed above)</t>
  </si>
  <si>
    <t>Note 1 - required deposits to the P&amp;I fund during the fiscal year without regard to interest earnings on debt service;</t>
  </si>
  <si>
    <t>include interest expense for CP and short-term notes where appropriate.</t>
  </si>
  <si>
    <t>Xcel Energy, MISO,WAPA</t>
  </si>
  <si>
    <t>Transmission Wages</t>
  </si>
  <si>
    <t>Utilizing EIA Form 412 Data</t>
  </si>
  <si>
    <t>GROSS REVENUE REQUIREMENT  (page 3, line 31)</t>
  </si>
  <si>
    <t xml:space="preserve">  Account No. 456.1</t>
  </si>
  <si>
    <t>(line 16/ 260; line 16/ 365)</t>
  </si>
  <si>
    <t>(line 16/4160; line 16/ 8760 times 1000)</t>
  </si>
  <si>
    <t>IV.12.e    (Note G)</t>
  </si>
  <si>
    <t>VII.8.d</t>
  </si>
  <si>
    <t>VII.13.d</t>
  </si>
  <si>
    <t xml:space="preserve">     Less EPRI &amp; Reg. Comm. Exp. &amp; Non-safety Ad. (Note I)</t>
  </si>
  <si>
    <t>(Revenue Requirement for facilities included on page 2, line 2, and also</t>
  </si>
  <si>
    <t>Included transmission expenses (line 6 less line 7)</t>
  </si>
  <si>
    <t>III.16.b + III.17.b  (Note U)</t>
  </si>
  <si>
    <t>II.33.b+II.34.b</t>
  </si>
  <si>
    <t>II.32.b</t>
  </si>
  <si>
    <t>ACCOUNT 456.1 (OTHER ELECTRIC REVENUES)</t>
  </si>
  <si>
    <t>32a</t>
  </si>
  <si>
    <t>Removes dollar amount of transmission expenses included in the OATT ancillary services rates, including Account Nos. 561.1, 561.2, 561.3, and 561.BA.</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</si>
  <si>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</si>
  <si>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Line 29 must equal zero since all short-term power sales must be unbundled and the transmission component reflected in Account No. 456.1 and all other uses are to be included in the divisor.</t>
  </si>
  <si>
    <t>EIA 412</t>
  </si>
  <si>
    <t>Reference</t>
  </si>
  <si>
    <t>IV.6.e</t>
  </si>
  <si>
    <t>IV.7.e</t>
  </si>
  <si>
    <t>IV.8.e</t>
  </si>
  <si>
    <t>TOTAL</t>
  </si>
  <si>
    <t>@ 12/31/08</t>
  </si>
  <si>
    <t>CREB BONDS</t>
  </si>
  <si>
    <t>@12/31/08</t>
  </si>
  <si>
    <t>ELECTRIC REVENUE BONDS 2009</t>
  </si>
  <si>
    <t>paid off in 2009</t>
  </si>
  <si>
    <t>SOLAR BANK WITH 8 BATTERIES</t>
  </si>
  <si>
    <t>CA</t>
  </si>
  <si>
    <t>Entity</t>
  </si>
  <si>
    <t>Year</t>
  </si>
  <si>
    <t>Month</t>
  </si>
  <si>
    <t>HE</t>
  </si>
  <si>
    <t>Transmission mwh</t>
  </si>
  <si>
    <t>Control Area mwh</t>
  </si>
  <si>
    <t>% of Control Area</t>
  </si>
  <si>
    <t>NSP</t>
  </si>
  <si>
    <t>blue</t>
  </si>
  <si>
    <t>del</t>
  </si>
  <si>
    <t>fair</t>
  </si>
  <si>
    <t>gfalls</t>
  </si>
  <si>
    <t>glen</t>
  </si>
  <si>
    <t>jane</t>
  </si>
  <si>
    <t>kass</t>
  </si>
  <si>
    <t>ken</t>
  </si>
  <si>
    <t>ITC</t>
  </si>
  <si>
    <t>mlake</t>
  </si>
  <si>
    <t>sleep</t>
  </si>
  <si>
    <t>spring</t>
  </si>
  <si>
    <t>win</t>
  </si>
  <si>
    <t>total must tie to:</t>
  </si>
  <si>
    <t>CMMPA Attachment O Fee</t>
  </si>
  <si>
    <t>Line 4 supported by schedules.</t>
  </si>
  <si>
    <t>Line 5 supported by schedules.</t>
  </si>
  <si>
    <t>GROSS PLANT IN SERVICE (Note AA)</t>
  </si>
  <si>
    <t>IV.9.e &amp; IV.1.e</t>
  </si>
  <si>
    <t>ACCUMULATED DEPRECIATION (Note AA)</t>
  </si>
  <si>
    <t>O&amp;M (Note BB)</t>
  </si>
  <si>
    <t xml:space="preserve">       where WCLTD=(page 4, line 22) and R= (page 4, line 24)</t>
  </si>
  <si>
    <t>30a</t>
  </si>
  <si>
    <t>LESS ATTACHMENT MM ADJUSTMENT [Attachment MM, page 2, line 3, column 10]  (Note Y)</t>
  </si>
  <si>
    <t>[Revenue Requirement for facilities included on page 2, line 2, and also included</t>
  </si>
  <si>
    <t>in Attachment MM]</t>
  </si>
  <si>
    <t>32b</t>
  </si>
  <si>
    <t xml:space="preserve">  Total of a-b-c-d</t>
  </si>
  <si>
    <t>From Reference III.17.b include only the amount from Accounts 428, 429, and 430.</t>
  </si>
  <si>
    <t>Account Nos. 561.4 and 561.8 consist of RTO expenses billed to load-serving entities and are not included in Transmission Owner revenue requirements.</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</si>
  <si>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</si>
  <si>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</si>
  <si>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</si>
  <si>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</si>
  <si>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</si>
  <si>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</si>
  <si>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#6 TRANSFORMER</t>
  </si>
  <si>
    <t>EMPLOYEE 3</t>
  </si>
  <si>
    <t>THERE ARE NO CMMPA ASSETS REPRESENTED IN THE BOOKS AND RECORDS OF MOUNTAIN LAKE UTILITIES,</t>
  </si>
  <si>
    <t>THERE ARE NO CMMPA EXPENSES REFLECTED ANYWHERE IN THE BOOKS AND RECORDS OF MOUNTAIN LAKE UTILITIES.</t>
  </si>
  <si>
    <t>CMMPA DOES INVOICE MOUNTAIN LAKE FOR A PREPARATION FEE FOR THEIR ATTACHMENT O.  THAT FEE IS BOOKED AS A</t>
  </si>
  <si>
    <t>TRANSMISSION EXPENSE BY MOUNTAIN LAKE AND A NEGATIVE TRANSMISSION EXPENSE BY CMMPA.</t>
  </si>
  <si>
    <t>MOUNTAIN LAKE HAS NO RECB OR OTHER "COST SHARED" PROJECTS' COSTS REFLECTED IN ITS ATTACHMENT O.</t>
  </si>
  <si>
    <t>MOUNTAIN LAKE IS CHARGED THEIR APPROPRIATE SHARE OF SCHEDULE 10 TRANSMISSION ADMIN CHARGES BY CMMPA AS A</t>
  </si>
  <si>
    <t>COMPONENT OF THEIR TRANSMISSION COSTS.  IT IS INCLUDED IN MOUNTAIN LAKES PURCHASED POWER COSTS ON THEIR FINANCIAL</t>
  </si>
  <si>
    <t>STATEMENTS.  SINCE THIS COST IS NOT INCLUDED IN A&amp;G ON MOUNTAIN LAKE'S BOOKS, IT WOULD BE INAPPROPRIATE FOR SCHEDULE 10</t>
  </si>
  <si>
    <t>EXPENSES TO BE DEDUCTED ON PAGE 3 LINE 4 OF THE ATTACHMENT O.</t>
  </si>
  <si>
    <t>fund for a payment in lieu of taxes of $120,000</t>
  </si>
  <si>
    <t>ROAD UNDERGROUND UPDATE</t>
  </si>
  <si>
    <t>INDUSTRIAL FEEDER PROJECT #8</t>
  </si>
  <si>
    <t>Attachment O-EIA Non-Levelized Generic</t>
  </si>
  <si>
    <t>DEPRECIATION AND AMORTIZATION EXPENSE (Note AA)</t>
  </si>
  <si>
    <t>OF 2007/2012C</t>
  </si>
  <si>
    <t>DISCOUNTS</t>
  </si>
  <si>
    <t>Electric Meters</t>
  </si>
  <si>
    <t>Primary Backfeed to School</t>
  </si>
  <si>
    <t>Primary Service to Assisted Living - Good Samaritan</t>
  </si>
  <si>
    <t>Primary Service to Balzer Main Building</t>
  </si>
  <si>
    <t>portion of new copier</t>
  </si>
  <si>
    <t>zero turn mower</t>
  </si>
  <si>
    <t>Transformers</t>
  </si>
  <si>
    <t>500 kva Three Phase Padmount</t>
  </si>
  <si>
    <t>Hand Held Sensus Device (half in 601)</t>
  </si>
  <si>
    <t>Power Washer</t>
  </si>
  <si>
    <t>225 KVA 30 Padmount Transformer</t>
  </si>
  <si>
    <t>Metering Cabinet - Balzer</t>
  </si>
  <si>
    <t>Bush Hog Mower</t>
  </si>
  <si>
    <t>2011 Ford F-750 Bucket Truck</t>
  </si>
  <si>
    <t>TOTAL COST</t>
  </si>
  <si>
    <t>TOTAL ADDITIONS</t>
  </si>
  <si>
    <t>TOTAL RETIREMENTS</t>
  </si>
  <si>
    <t>mwh Load SCADA</t>
  </si>
  <si>
    <t>mwh Gen SCADA</t>
  </si>
  <si>
    <t>mwh Load MDMA</t>
  </si>
  <si>
    <t>mwh Gen MDMA</t>
  </si>
  <si>
    <t>BE</t>
  </si>
  <si>
    <t>DEL</t>
  </si>
  <si>
    <t>Num</t>
  </si>
  <si>
    <t>Name</t>
  </si>
  <si>
    <t>Memo</t>
  </si>
  <si>
    <t>Account</t>
  </si>
  <si>
    <t>Class</t>
  </si>
  <si>
    <t>Clr</t>
  </si>
  <si>
    <t>Split</t>
  </si>
  <si>
    <t>Debit</t>
  </si>
  <si>
    <t>Credit</t>
  </si>
  <si>
    <t>456.1 MISO TO REVENUE</t>
  </si>
  <si>
    <t>MISO TO REV-MOUNTAIN LAKE</t>
  </si>
  <si>
    <t>MISO TO REV ALLOC-M.L. SCHED 7</t>
  </si>
  <si>
    <t>Total MISO TO REV ALLOC-M.L. SCHED 7</t>
  </si>
  <si>
    <t>MISO TO REV ALLOC-M.L. SCHED 8</t>
  </si>
  <si>
    <t>Total MISO TO REV ALLOC-M.L. SCHED 8</t>
  </si>
  <si>
    <t>MISO TO REV ALLOC-M.L. SCHED 9</t>
  </si>
  <si>
    <t>Total MISO TO REV ALLOC-M.L. SCHED 9</t>
  </si>
  <si>
    <t>Total MISO TO REV-MOUNTAIN LAKE</t>
  </si>
  <si>
    <t>Total 456.1 MISO TO REVENUE</t>
  </si>
  <si>
    <t>DEPARTMENT EXPENSES</t>
  </si>
  <si>
    <t>TRANSMISSION FERC 560-579</t>
  </si>
  <si>
    <t>566 OPER SUPPLIES &amp; EXP-TRANS</t>
  </si>
  <si>
    <t>922 TRANS EXP TRANSFERRED-TRANS</t>
  </si>
  <si>
    <t>TRANS OUT-MISO TO FEE-MEM-TRANS</t>
  </si>
  <si>
    <t>Total TRANS OUT-MISO TO FEE-MEM-TRANS</t>
  </si>
  <si>
    <t>Total 922 TRANS EXP TRANSFERRED-TRANS</t>
  </si>
  <si>
    <t>Total 566 OPER SUPPLIES &amp; EXP-TRANS</t>
  </si>
  <si>
    <t>Total TRANSMISSION FERC 560-579</t>
  </si>
  <si>
    <t>Total DEPARTMENT EXPENSES</t>
  </si>
  <si>
    <t>Credit Memo</t>
  </si>
  <si>
    <t>MOUNTAIN LAKE UTILITIES</t>
  </si>
  <si>
    <t>MISO T.O. REVENUE SCHED 7-MOUNTAIN LAKE</t>
  </si>
  <si>
    <t>MISO T.O. REVENUE SCHED 8-MOUNTAIN LAKE</t>
  </si>
  <si>
    <t>MISO T.O. REVENUE SCHED 9-MOUNTAIN LAKE</t>
  </si>
  <si>
    <t>MISO T.O. ADMIN FEE-MOUNTAIN LAKE</t>
  </si>
  <si>
    <t>GENERAL</t>
  </si>
  <si>
    <t>142 ACCOUNTS RECEIVABLE</t>
  </si>
  <si>
    <t>NONE</t>
  </si>
  <si>
    <t xml:space="preserve">  c.  Transmission charges from Schedules associated with Attachment GG (Note X)</t>
  </si>
  <si>
    <t xml:space="preserve">  d. Transmission charges from Schedules associated with Attachment MM (Note Z)</t>
  </si>
  <si>
    <t>MASONRY RESTORATION TO POWER PLANT</t>
  </si>
  <si>
    <t>Service to Pop'd Kerns Building</t>
  </si>
  <si>
    <t>Service to Bill Janzen</t>
  </si>
  <si>
    <t>For the 12 months ended 12/31/14</t>
  </si>
  <si>
    <t>A transfer was made in 2014 from the Electric Utility fund to the General</t>
  </si>
  <si>
    <t>HENCE NO CMMPA ASSETS ARE REPRESENTED IN THE ACCOMPANYING ATTACHMENT O USING 2014 AUDITED INFORMATION.</t>
  </si>
  <si>
    <t>MOUNTAIN LAKE HAS NO 2014 GFA LOAD OR REVENUE INCLUDED IN THEIR ATTACHMENT O FOR 2014 DATA.</t>
  </si>
  <si>
    <t>4332</t>
  </si>
  <si>
    <t>4364</t>
  </si>
  <si>
    <t>4396</t>
  </si>
  <si>
    <t>4449</t>
  </si>
  <si>
    <t>4482</t>
  </si>
  <si>
    <t>4517</t>
  </si>
  <si>
    <t>4550</t>
  </si>
  <si>
    <t>4583</t>
  </si>
  <si>
    <t>4617</t>
  </si>
  <si>
    <t>4650</t>
  </si>
  <si>
    <t>4684</t>
  </si>
  <si>
    <t>4717</t>
  </si>
  <si>
    <t>2014 Audited Financial Statement</t>
  </si>
  <si>
    <t>P68 OF 2014 AUDITED FINANCIAL STATEMENTS</t>
  </si>
  <si>
    <t>THESE ARE LINKS TO SPLIT ELECTRIC FUND DEPRECIATION INTO THREE CATEGORIES FOR ATTACHMENT "O" INFORMATION</t>
  </si>
  <si>
    <t>6a</t>
  </si>
  <si>
    <t>Adjustments to Net Revenue Requirement (Note CC)</t>
  </si>
  <si>
    <t>6b</t>
  </si>
  <si>
    <t>Interest on Adjustments (Note DD)</t>
  </si>
  <si>
    <t>6c</t>
  </si>
  <si>
    <t>Total Adjustment (line 6a + line 6b)</t>
  </si>
  <si>
    <t>References to data from EIA Form 412 are indicated as:   x.y.z  (section, line, column)</t>
  </si>
  <si>
    <t>To the extent the page references to EIA Form 412 are missing, the entity will include a "Notes" section in the EIA 412 to provide this data.</t>
  </si>
  <si>
    <t xml:space="preserve">                            </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</si>
  <si>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</si>
  <si>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</si>
  <si>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</si>
  <si>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The FERC's annual charges for the year assessed the Transmission Owner for service under this tariff, if any.</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</si>
  <si>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</si>
  <si>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</si>
  <si>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</si>
  <si>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</si>
  <si>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</si>
  <si>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</si>
  <si>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Removes transmission plant determined  to be state-jurisdictional by Commission order according to the seven-factor test (until EIA 412 balances are adjusted to reflect application of seven-factor test).</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</si>
  <si>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</si>
  <si>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</si>
  <si>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</si>
  <si>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</si>
  <si>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</si>
  <si>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</si>
  <si>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</si>
  <si>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</si>
  <si>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</si>
  <si>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</si>
  <si>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</si>
  <si>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</si>
  <si>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WINDOM</t>
  </si>
  <si>
    <t>MTN LAKE</t>
  </si>
  <si>
    <t>2014 ADDITIONS</t>
  </si>
  <si>
    <t>2014 RETIREMENTS</t>
  </si>
  <si>
    <t>DEPRECIATION EXPENSE - 2014</t>
  </si>
  <si>
    <t>ASSETS WERE ADDED IN 2014</t>
  </si>
  <si>
    <t>Date In</t>
  </si>
  <si>
    <t>Schedule 4</t>
  </si>
  <si>
    <t>Other Production (340-346)</t>
  </si>
  <si>
    <t>NOTE FOR LINE 5:  Combustion Turbine</t>
  </si>
  <si>
    <t>UNAMORTIZED</t>
  </si>
  <si>
    <t>See page 68 of Mountain Lake 2014 audited financial statement.</t>
  </si>
  <si>
    <t>Total Maintenance Expense</t>
  </si>
  <si>
    <t>Total non-labor</t>
  </si>
  <si>
    <t>See P. 35 of 2014 Audit report</t>
  </si>
  <si>
    <t>See P. 35 and/or 67 of 2014 Audit report</t>
  </si>
  <si>
    <t>Note 1 - includes debt service reserve funds, P&amp;I and sinking fund deposits.</t>
  </si>
  <si>
    <t>Note 3 - includes rate stabilization funds and O&amp;M and R&amp;R reserves.</t>
  </si>
  <si>
    <t>P. 37 of audited statements</t>
  </si>
  <si>
    <t>2014 Chevrolet 4x4 Pickup (electric dept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</si>
</sst>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General_)"/>
    <numFmt numFmtId="166" formatCode="_(* #,##0_);_(* \(#,##0\);_(* &quot;-&quot;??_);_(@_)"/>
    <numFmt numFmtId="167" formatCode="m/d/yy"/>
    <numFmt numFmtId="168" formatCode="0.00000"/>
    <numFmt numFmtId="169" formatCode="0.0000"/>
    <numFmt numFmtId="170" formatCode="&quot;$&quot;#,##0.00"/>
    <numFmt numFmtId="171" formatCode="&quot;$&quot;#,##0"/>
    <numFmt numFmtId="172" formatCode="#,##0.000"/>
    <numFmt numFmtId="173" formatCode="&quot;$&quot;#,##0.000"/>
    <numFmt numFmtId="174" formatCode="#,##0.00000"/>
    <numFmt numFmtId="175" formatCode="0.000%"/>
    <numFmt numFmtId="176" formatCode="#,##0.0000"/>
    <numFmt numFmtId="177" formatCode="mmmm\ d\,\ yyyy"/>
    <numFmt numFmtId="178" formatCode="mm/dd/yyyy"/>
    <numFmt numFmtId="179" formatCode="#,##0.00;\-#,##0.00"/>
    <numFmt numFmtId="180" formatCode="m/d/yyyy;@"/>
  </numFmts>
  <fonts count="86">
    <font>
      <sz val="10"/>
      <name val="Arial"/>
    </font>
    <font>
      <sz val="10"/>
      <name val="Arial"/>
    </font>
    <font>
      <sz val="8"/>
      <name val="Arial"/>
    </font>
    <font>
      <b/>
      <sz val="10"/>
      <name val="Arial"/>
      <family val="2"/>
    </font>
    <font>
      <sz val="10"/>
      <name val="Arial"/>
      <family val="2"/>
    </font>
    <font>
      <b/>
      <sz val="12"/>
      <color indexed="10"/>
      <name val="Arial"/>
      <family val="2"/>
    </font>
    <font>
      <b/>
      <sz val="8"/>
      <color indexed="12"/>
      <name val="Arial"/>
      <family val="2"/>
    </font>
    <font>
      <b/>
      <sz val="8"/>
      <name val="Arial"/>
      <family val="2"/>
    </font>
    <font>
      <b/>
      <sz val="12"/>
      <name val="Arial"/>
      <family val="2"/>
    </font>
    <font>
      <sz val="8"/>
      <name val="Helv"/>
    </font>
    <font>
      <b/>
      <sz val="10"/>
      <color indexed="10"/>
      <name val="Arial"/>
      <family val="2"/>
    </font>
    <font>
      <sz val="10"/>
      <name val="Times New Roman"/>
      <family val="1"/>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0"/>
      <name val="Arial"/>
      <family val="2"/>
    </font>
    <font>
      <b/>
      <sz val="12"/>
      <color indexed="12"/>
      <name val="Arial"/>
      <family val="2"/>
    </font>
    <font>
      <sz val="12"/>
      <name val="Arial MT"/>
    </font>
    <font>
      <sz val="12"/>
      <name val="Arial"/>
      <family val="2"/>
    </font>
    <font>
      <sz val="12"/>
      <color indexed="17"/>
      <name val="Arial MT"/>
    </font>
    <font>
      <sz val="12"/>
      <color indexed="10"/>
      <name val="Arial"/>
      <family val="2"/>
    </font>
    <font>
      <sz val="11"/>
      <name val="Arial"/>
      <family val="2"/>
    </font>
    <font>
      <sz val="12"/>
      <color indexed="17"/>
      <name val="Arial"/>
      <family val="2"/>
    </font>
    <font>
      <strike/>
      <sz val="12"/>
      <name val="Arial"/>
      <family val="2"/>
    </font>
    <font>
      <b/>
      <sz val="12"/>
      <color indexed="17"/>
      <name val="Arial MT"/>
    </font>
    <font>
      <sz val="12"/>
      <name val="Times New Roman"/>
      <family val="1"/>
    </font>
    <font>
      <sz val="16"/>
      <name val="Arial MT"/>
    </font>
    <font>
      <sz val="14"/>
      <name val="Times New Roman"/>
      <family val="1"/>
    </font>
    <font>
      <sz val="10"/>
      <name val="Arial MT"/>
    </font>
    <font>
      <sz val="14"/>
      <name val="Arial MT"/>
    </font>
    <font>
      <sz val="10"/>
      <color indexed="12"/>
      <name val="Times New Roman"/>
      <family val="1"/>
    </font>
    <font>
      <b/>
      <sz val="10"/>
      <color indexed="8"/>
      <name val="Times New Roman"/>
      <family val="1"/>
    </font>
    <font>
      <b/>
      <sz val="10"/>
      <color indexed="12"/>
      <name val="Times New Roman"/>
      <family val="1"/>
    </font>
    <font>
      <b/>
      <sz val="10"/>
      <color indexed="52"/>
      <name val="Times New Roman"/>
      <family val="1"/>
    </font>
    <font>
      <b/>
      <sz val="10"/>
      <name val="Times New Roman"/>
      <family val="1"/>
    </font>
    <font>
      <b/>
      <sz val="10"/>
      <color indexed="56"/>
      <name val="Times New Roman"/>
      <family val="1"/>
    </font>
    <font>
      <b/>
      <sz val="10"/>
      <color indexed="12"/>
      <name val="Arial"/>
      <family val="2"/>
    </font>
    <font>
      <sz val="12"/>
      <color indexed="12"/>
      <name val="Arial"/>
      <family val="2"/>
    </font>
    <font>
      <b/>
      <sz val="11"/>
      <name val="Arial"/>
      <family val="2"/>
    </font>
    <font>
      <sz val="10"/>
      <color indexed="12"/>
      <name val="Arial"/>
    </font>
    <font>
      <b/>
      <sz val="10"/>
      <color indexed="12"/>
      <name val="Arial"/>
    </font>
    <font>
      <b/>
      <sz val="10"/>
      <name val="Arial"/>
    </font>
    <font>
      <sz val="10"/>
      <color indexed="12"/>
      <name val="Arial"/>
      <family val="2"/>
    </font>
    <font>
      <sz val="12"/>
      <name val="Arial"/>
    </font>
    <font>
      <sz val="12"/>
      <color indexed="17"/>
      <name val="Times New Roman"/>
      <family val="1"/>
    </font>
    <font>
      <sz val="12"/>
      <color indexed="10"/>
      <name val="Times New Roman"/>
      <family val="1"/>
    </font>
    <font>
      <sz val="10"/>
      <name val="Arial"/>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FF00FF"/>
      <name val="Arial"/>
      <family val="2"/>
    </font>
    <font>
      <sz val="10"/>
      <color rgb="FF0000FF"/>
      <name val="Arial"/>
      <family val="2"/>
    </font>
    <font>
      <b/>
      <sz val="8"/>
      <color rgb="FF0000FF"/>
      <name val="Arial"/>
      <family val="2"/>
    </font>
    <font>
      <b/>
      <sz val="11"/>
      <color theme="1"/>
      <name val="Calibri"/>
      <family val="2"/>
      <scheme val="minor"/>
    </font>
    <font>
      <b/>
      <sz val="8"/>
      <color rgb="FF000000"/>
      <name val="Arial"/>
      <family val="2"/>
    </font>
    <font>
      <sz val="8"/>
      <color rgb="FF000000"/>
      <name val="Arial"/>
      <family val="2"/>
    </font>
    <font>
      <sz val="10"/>
      <color theme="3"/>
      <name val="Times New Roman"/>
      <family val="1"/>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0" tint="-0.249977111117893"/>
        <bgColor indexed="64"/>
      </patternFill>
    </fill>
    <fill>
      <patternFill patternType="solid">
        <fgColor rgb="FFFFFF99"/>
        <bgColor indexed="64"/>
      </patternFill>
    </fill>
    <fill>
      <patternFill patternType="solid">
        <fgColor rgb="FF92D050"/>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ck">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indexed="64"/>
      </bottom>
      <diagonal/>
    </border>
    <border>
      <left/>
      <right/>
      <top style="medium">
        <color indexed="64"/>
      </top>
      <bottom style="medium">
        <color indexed="64"/>
      </bottom>
      <diagonal/>
    </border>
    <border>
      <left/>
      <right/>
      <top style="medium">
        <color indexed="64"/>
      </top>
      <bottom style="double">
        <color indexed="64"/>
      </bottom>
      <diagonal/>
    </border>
    <border>
      <left/>
      <right/>
      <top style="thin">
        <color indexed="64"/>
      </top>
      <bottom style="medium">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24">
    <xf numFmtId="0" fontId="0" fillId="0" borderId="0"/>
    <xf numFmtId="0" fontId="13" fillId="2" borderId="0" applyNumberFormat="0" applyBorder="0" applyAlignment="0" applyProtection="0"/>
    <xf numFmtId="0" fontId="62" fillId="28" borderId="0" applyNumberFormat="0" applyBorder="0" applyAlignment="0" applyProtection="0"/>
    <xf numFmtId="0" fontId="13" fillId="3" borderId="0" applyNumberFormat="0" applyBorder="0" applyAlignment="0" applyProtection="0"/>
    <xf numFmtId="0" fontId="62" fillId="29" borderId="0" applyNumberFormat="0" applyBorder="0" applyAlignment="0" applyProtection="0"/>
    <xf numFmtId="0" fontId="13" fillId="4" borderId="0" applyNumberFormat="0" applyBorder="0" applyAlignment="0" applyProtection="0"/>
    <xf numFmtId="0" fontId="62" fillId="30" borderId="0" applyNumberFormat="0" applyBorder="0" applyAlignment="0" applyProtection="0"/>
    <xf numFmtId="0" fontId="13" fillId="5" borderId="0" applyNumberFormat="0" applyBorder="0" applyAlignment="0" applyProtection="0"/>
    <xf numFmtId="0" fontId="62" fillId="31" borderId="0" applyNumberFormat="0" applyBorder="0" applyAlignment="0" applyProtection="0"/>
    <xf numFmtId="0" fontId="13" fillId="6" borderId="0" applyNumberFormat="0" applyBorder="0" applyAlignment="0" applyProtection="0"/>
    <xf numFmtId="0" fontId="62" fillId="32" borderId="0" applyNumberFormat="0" applyBorder="0" applyAlignment="0" applyProtection="0"/>
    <xf numFmtId="0" fontId="13" fillId="7" borderId="0" applyNumberFormat="0" applyBorder="0" applyAlignment="0" applyProtection="0"/>
    <xf numFmtId="0" fontId="62" fillId="33" borderId="0" applyNumberFormat="0" applyBorder="0" applyAlignment="0" applyProtection="0"/>
    <xf numFmtId="0" fontId="13" fillId="8" borderId="0" applyNumberFormat="0" applyBorder="0" applyAlignment="0" applyProtection="0"/>
    <xf numFmtId="0" fontId="62" fillId="34" borderId="0" applyNumberFormat="0" applyBorder="0" applyAlignment="0" applyProtection="0"/>
    <xf numFmtId="0" fontId="13" fillId="9" borderId="0" applyNumberFormat="0" applyBorder="0" applyAlignment="0" applyProtection="0"/>
    <xf numFmtId="0" fontId="62" fillId="35" borderId="0" applyNumberFormat="0" applyBorder="0" applyAlignment="0" applyProtection="0"/>
    <xf numFmtId="0" fontId="13" fillId="10" borderId="0" applyNumberFormat="0" applyBorder="0" applyAlignment="0" applyProtection="0"/>
    <xf numFmtId="0" fontId="62" fillId="36" borderId="0" applyNumberFormat="0" applyBorder="0" applyAlignment="0" applyProtection="0"/>
    <xf numFmtId="0" fontId="13" fillId="5" borderId="0" applyNumberFormat="0" applyBorder="0" applyAlignment="0" applyProtection="0"/>
    <xf numFmtId="0" fontId="62" fillId="37" borderId="0" applyNumberFormat="0" applyBorder="0" applyAlignment="0" applyProtection="0"/>
    <xf numFmtId="0" fontId="13" fillId="8" borderId="0" applyNumberFormat="0" applyBorder="0" applyAlignment="0" applyProtection="0"/>
    <xf numFmtId="0" fontId="62" fillId="38" borderId="0" applyNumberFormat="0" applyBorder="0" applyAlignment="0" applyProtection="0"/>
    <xf numFmtId="0" fontId="13" fillId="11" borderId="0" applyNumberFormat="0" applyBorder="0" applyAlignment="0" applyProtection="0"/>
    <xf numFmtId="0" fontId="62" fillId="39" borderId="0" applyNumberFormat="0" applyBorder="0" applyAlignment="0" applyProtection="0"/>
    <xf numFmtId="0" fontId="14" fillId="12" borderId="0" applyNumberFormat="0" applyBorder="0" applyAlignment="0" applyProtection="0"/>
    <xf numFmtId="0" fontId="63" fillId="40" borderId="0" applyNumberFormat="0" applyBorder="0" applyAlignment="0" applyProtection="0"/>
    <xf numFmtId="0" fontId="14" fillId="9" borderId="0" applyNumberFormat="0" applyBorder="0" applyAlignment="0" applyProtection="0"/>
    <xf numFmtId="0" fontId="63" fillId="41" borderId="0" applyNumberFormat="0" applyBorder="0" applyAlignment="0" applyProtection="0"/>
    <xf numFmtId="0" fontId="14" fillId="10" borderId="0" applyNumberFormat="0" applyBorder="0" applyAlignment="0" applyProtection="0"/>
    <xf numFmtId="0" fontId="63" fillId="42" borderId="0" applyNumberFormat="0" applyBorder="0" applyAlignment="0" applyProtection="0"/>
    <xf numFmtId="0" fontId="14" fillId="13" borderId="0" applyNumberFormat="0" applyBorder="0" applyAlignment="0" applyProtection="0"/>
    <xf numFmtId="0" fontId="63" fillId="43" borderId="0" applyNumberFormat="0" applyBorder="0" applyAlignment="0" applyProtection="0"/>
    <xf numFmtId="0" fontId="14" fillId="14" borderId="0" applyNumberFormat="0" applyBorder="0" applyAlignment="0" applyProtection="0"/>
    <xf numFmtId="0" fontId="63" fillId="44" borderId="0" applyNumberFormat="0" applyBorder="0" applyAlignment="0" applyProtection="0"/>
    <xf numFmtId="0" fontId="14" fillId="15" borderId="0" applyNumberFormat="0" applyBorder="0" applyAlignment="0" applyProtection="0"/>
    <xf numFmtId="0" fontId="63" fillId="45" borderId="0" applyNumberFormat="0" applyBorder="0" applyAlignment="0" applyProtection="0"/>
    <xf numFmtId="0" fontId="14" fillId="16" borderId="0" applyNumberFormat="0" applyBorder="0" applyAlignment="0" applyProtection="0"/>
    <xf numFmtId="0" fontId="63" fillId="46" borderId="0" applyNumberFormat="0" applyBorder="0" applyAlignment="0" applyProtection="0"/>
    <xf numFmtId="0" fontId="14" fillId="17" borderId="0" applyNumberFormat="0" applyBorder="0" applyAlignment="0" applyProtection="0"/>
    <xf numFmtId="0" fontId="63" fillId="47" borderId="0" applyNumberFormat="0" applyBorder="0" applyAlignment="0" applyProtection="0"/>
    <xf numFmtId="0" fontId="14" fillId="18" borderId="0" applyNumberFormat="0" applyBorder="0" applyAlignment="0" applyProtection="0"/>
    <xf numFmtId="0" fontId="63" fillId="48" borderId="0" applyNumberFormat="0" applyBorder="0" applyAlignment="0" applyProtection="0"/>
    <xf numFmtId="0" fontId="14" fillId="13" borderId="0" applyNumberFormat="0" applyBorder="0" applyAlignment="0" applyProtection="0"/>
    <xf numFmtId="0" fontId="63" fillId="49" borderId="0" applyNumberFormat="0" applyBorder="0" applyAlignment="0" applyProtection="0"/>
    <xf numFmtId="0" fontId="14" fillId="14" borderId="0" applyNumberFormat="0" applyBorder="0" applyAlignment="0" applyProtection="0"/>
    <xf numFmtId="0" fontId="63" fillId="50" borderId="0" applyNumberFormat="0" applyBorder="0" applyAlignment="0" applyProtection="0"/>
    <xf numFmtId="0" fontId="14" fillId="19" borderId="0" applyNumberFormat="0" applyBorder="0" applyAlignment="0" applyProtection="0"/>
    <xf numFmtId="0" fontId="63" fillId="51" borderId="0" applyNumberFormat="0" applyBorder="0" applyAlignment="0" applyProtection="0"/>
    <xf numFmtId="0" fontId="15" fillId="3" borderId="0" applyNumberFormat="0" applyBorder="0" applyAlignment="0" applyProtection="0"/>
    <xf numFmtId="0" fontId="64" fillId="52" borderId="0" applyNumberFormat="0" applyBorder="0" applyAlignment="0" applyProtection="0"/>
    <xf numFmtId="0" fontId="16" fillId="20" borderId="1" applyNumberFormat="0" applyAlignment="0" applyProtection="0"/>
    <xf numFmtId="0" fontId="65" fillId="53" borderId="53" applyNumberFormat="0" applyAlignment="0" applyProtection="0"/>
    <xf numFmtId="0" fontId="17" fillId="21" borderId="2" applyNumberFormat="0" applyAlignment="0" applyProtection="0"/>
    <xf numFmtId="0" fontId="66" fillId="54" borderId="54" applyNumberFormat="0" applyAlignment="0" applyProtection="0"/>
    <xf numFmtId="43" fontId="1" fillId="0" borderId="0" applyFont="0" applyFill="0" applyBorder="0" applyAlignment="0" applyProtection="0"/>
    <xf numFmtId="43" fontId="6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61" fillId="0" borderId="0" applyFont="0" applyFill="0" applyBorder="0" applyAlignment="0" applyProtection="0"/>
    <xf numFmtId="44" fontId="4" fillId="0" borderId="0" applyFont="0" applyFill="0" applyBorder="0" applyAlignment="0" applyProtection="0"/>
    <xf numFmtId="44" fontId="61" fillId="0" borderId="0" applyFont="0" applyFill="0" applyBorder="0" applyAlignment="0" applyProtection="0"/>
    <xf numFmtId="0" fontId="18" fillId="0" borderId="0" applyNumberFormat="0" applyFill="0" applyBorder="0" applyAlignment="0" applyProtection="0"/>
    <xf numFmtId="0" fontId="67" fillId="0" borderId="0" applyNumberFormat="0" applyFill="0" applyBorder="0" applyAlignment="0" applyProtection="0"/>
    <xf numFmtId="0" fontId="19" fillId="4" borderId="0" applyNumberFormat="0" applyBorder="0" applyAlignment="0" applyProtection="0"/>
    <xf numFmtId="0" fontId="68" fillId="55" borderId="0" applyNumberFormat="0" applyBorder="0" applyAlignment="0" applyProtection="0"/>
    <xf numFmtId="0" fontId="20" fillId="0" borderId="3" applyNumberFormat="0" applyFill="0" applyAlignment="0" applyProtection="0"/>
    <xf numFmtId="0" fontId="69" fillId="0" borderId="55" applyNumberFormat="0" applyFill="0" applyAlignment="0" applyProtection="0"/>
    <xf numFmtId="0" fontId="21" fillId="0" borderId="4" applyNumberFormat="0" applyFill="0" applyAlignment="0" applyProtection="0"/>
    <xf numFmtId="0" fontId="70" fillId="0" borderId="56" applyNumberFormat="0" applyFill="0" applyAlignment="0" applyProtection="0"/>
    <xf numFmtId="0" fontId="22" fillId="0" borderId="5" applyNumberFormat="0" applyFill="0" applyAlignment="0" applyProtection="0"/>
    <xf numFmtId="0" fontId="71" fillId="0" borderId="57" applyNumberFormat="0" applyFill="0" applyAlignment="0" applyProtection="0"/>
    <xf numFmtId="0" fontId="22" fillId="0" borderId="0" applyNumberFormat="0" applyFill="0" applyBorder="0" applyAlignment="0" applyProtection="0"/>
    <xf numFmtId="0" fontId="71" fillId="0" borderId="0" applyNumberFormat="0" applyFill="0" applyBorder="0" applyAlignment="0" applyProtection="0"/>
    <xf numFmtId="0" fontId="23" fillId="7" borderId="1" applyNumberFormat="0" applyAlignment="0" applyProtection="0"/>
    <xf numFmtId="0" fontId="72" fillId="56" borderId="53" applyNumberFormat="0" applyAlignment="0" applyProtection="0"/>
    <xf numFmtId="0" fontId="24" fillId="0" borderId="6" applyNumberFormat="0" applyFill="0" applyAlignment="0" applyProtection="0"/>
    <xf numFmtId="0" fontId="73" fillId="0" borderId="58" applyNumberFormat="0" applyFill="0" applyAlignment="0" applyProtection="0"/>
    <xf numFmtId="0" fontId="25" fillId="22" borderId="0" applyNumberFormat="0" applyBorder="0" applyAlignment="0" applyProtection="0"/>
    <xf numFmtId="0" fontId="74" fillId="57" borderId="0" applyNumberFormat="0" applyBorder="0" applyAlignment="0" applyProtection="0"/>
    <xf numFmtId="0" fontId="4" fillId="0" borderId="0"/>
    <xf numFmtId="170" fontId="32" fillId="0" borderId="0" applyProtection="0"/>
    <xf numFmtId="0" fontId="62" fillId="0" borderId="0"/>
    <xf numFmtId="0" fontId="13" fillId="23" borderId="7" applyNumberFormat="0" applyFont="0" applyAlignment="0" applyProtection="0"/>
    <xf numFmtId="0" fontId="62" fillId="58" borderId="59" applyNumberFormat="0" applyFont="0" applyAlignment="0" applyProtection="0"/>
    <xf numFmtId="0" fontId="26" fillId="20" borderId="8" applyNumberFormat="0" applyAlignment="0" applyProtection="0"/>
    <xf numFmtId="0" fontId="75" fillId="53" borderId="60"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61" fillId="0" borderId="0" applyFont="0" applyFill="0" applyBorder="0" applyAlignment="0" applyProtection="0"/>
    <xf numFmtId="9" fontId="4" fillId="0" borderId="0" applyFont="0" applyFill="0" applyBorder="0" applyAlignment="0" applyProtection="0"/>
    <xf numFmtId="9" fontId="61" fillId="0" borderId="0" applyFont="0" applyFill="0" applyBorder="0" applyAlignment="0" applyProtection="0"/>
    <xf numFmtId="0" fontId="27" fillId="0" borderId="0" applyNumberFormat="0" applyFill="0" applyBorder="0" applyAlignment="0" applyProtection="0"/>
    <xf numFmtId="0" fontId="76" fillId="0" borderId="0" applyNumberFormat="0" applyFill="0" applyBorder="0" applyAlignment="0" applyProtection="0"/>
    <xf numFmtId="0" fontId="28" fillId="0" borderId="9" applyNumberFormat="0" applyFill="0" applyAlignment="0" applyProtection="0"/>
    <xf numFmtId="0" fontId="77" fillId="0" borderId="61" applyNumberFormat="0" applyFill="0" applyAlignment="0" applyProtection="0"/>
    <xf numFmtId="0" fontId="29" fillId="0" borderId="0" applyNumberFormat="0" applyFill="0" applyBorder="0" applyAlignment="0" applyProtection="0"/>
    <xf numFmtId="0" fontId="78"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712">
    <xf numFmtId="0" fontId="0" fillId="0" borderId="0" xfId="0"/>
    <xf numFmtId="0" fontId="0" fillId="0" borderId="0" xfId="0" applyBorder="1" applyAlignment="1">
      <alignment vertical="center"/>
    </xf>
    <xf numFmtId="0" fontId="3" fillId="0" borderId="10" xfId="0" applyFont="1" applyBorder="1" applyAlignment="1">
      <alignment horizontal="left" vertical="center" indent="1"/>
    </xf>
    <xf numFmtId="0" fontId="0" fillId="0" borderId="10" xfId="0" applyBorder="1" applyAlignment="1">
      <alignment horizontal="left" vertical="center" indent="2"/>
    </xf>
    <xf numFmtId="164" fontId="1" fillId="0" borderId="10" xfId="60" applyNumberFormat="1" applyBorder="1" applyAlignment="1">
      <alignment vertical="center"/>
    </xf>
    <xf numFmtId="0" fontId="0" fillId="0" borderId="0" xfId="0" applyAlignment="1">
      <alignment vertical="center"/>
    </xf>
    <xf numFmtId="0" fontId="3" fillId="0" borderId="10" xfId="0" applyFont="1" applyBorder="1" applyAlignment="1">
      <alignment horizontal="left" vertical="center" indent="2"/>
    </xf>
    <xf numFmtId="164" fontId="1" fillId="0" borderId="0" xfId="60" applyNumberFormat="1" applyAlignment="1">
      <alignment vertical="center"/>
    </xf>
    <xf numFmtId="0" fontId="3" fillId="0" borderId="0" xfId="0" applyFont="1" applyBorder="1" applyAlignment="1">
      <alignment horizontal="left" vertical="center" indent="1"/>
    </xf>
    <xf numFmtId="0" fontId="0" fillId="0" borderId="0" xfId="0" applyBorder="1" applyAlignment="1">
      <alignment vertical="center" wrapText="1"/>
    </xf>
    <xf numFmtId="164" fontId="1" fillId="0" borderId="0" xfId="60" applyNumberFormat="1" applyBorder="1" applyAlignment="1">
      <alignment vertical="center"/>
    </xf>
    <xf numFmtId="164" fontId="4" fillId="0" borderId="10" xfId="60" applyNumberFormat="1" applyFont="1" applyBorder="1" applyAlignment="1">
      <alignment vertical="center"/>
    </xf>
    <xf numFmtId="0" fontId="5" fillId="0" borderId="0" xfId="0" applyFont="1" applyAlignment="1">
      <alignment horizontal="left" vertical="center" indent="1"/>
    </xf>
    <xf numFmtId="0" fontId="3" fillId="24" borderId="11" xfId="0" applyFont="1" applyFill="1" applyBorder="1" applyAlignment="1">
      <alignment horizontal="center" vertical="center"/>
    </xf>
    <xf numFmtId="164" fontId="3" fillId="24" borderId="12" xfId="60" applyNumberFormat="1" applyFont="1" applyFill="1" applyBorder="1" applyAlignment="1">
      <alignment vertical="center"/>
    </xf>
    <xf numFmtId="0" fontId="6" fillId="24" borderId="12"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3" xfId="0" applyFont="1" applyFill="1" applyBorder="1" applyAlignment="1">
      <alignment horizontal="center" vertical="center"/>
    </xf>
    <xf numFmtId="0" fontId="0" fillId="0" borderId="14" xfId="0" applyBorder="1" applyAlignment="1">
      <alignment horizontal="center" vertical="center"/>
    </xf>
    <xf numFmtId="0" fontId="8" fillId="0" borderId="15" xfId="0" applyFont="1" applyBorder="1" applyAlignment="1">
      <alignment horizontal="center" vertical="center"/>
    </xf>
    <xf numFmtId="164" fontId="3" fillId="0" borderId="16" xfId="60" applyNumberFormat="1" applyFont="1" applyBorder="1" applyAlignment="1">
      <alignment vertical="center"/>
    </xf>
    <xf numFmtId="10" fontId="1" fillId="0" borderId="16" xfId="90" applyNumberFormat="1" applyBorder="1" applyAlignment="1">
      <alignment vertical="center"/>
    </xf>
    <xf numFmtId="43" fontId="0" fillId="0" borderId="0" xfId="0" applyNumberFormat="1" applyAlignment="1">
      <alignment vertical="center"/>
    </xf>
    <xf numFmtId="10" fontId="1" fillId="0" borderId="0" xfId="90" applyNumberFormat="1" applyAlignment="1">
      <alignment vertical="center"/>
    </xf>
    <xf numFmtId="44" fontId="1" fillId="0" borderId="0" xfId="60" applyAlignment="1">
      <alignment vertical="center"/>
    </xf>
    <xf numFmtId="0" fontId="8" fillId="0" borderId="0" xfId="0" applyFont="1" applyBorder="1" applyAlignment="1">
      <alignment vertical="center"/>
    </xf>
    <xf numFmtId="0" fontId="0" fillId="0" borderId="18" xfId="0" applyBorder="1"/>
    <xf numFmtId="0" fontId="0" fillId="0" borderId="19" xfId="0" applyBorder="1"/>
    <xf numFmtId="0" fontId="0" fillId="0" borderId="20" xfId="0" applyBorder="1"/>
    <xf numFmtId="0" fontId="0" fillId="0" borderId="0" xfId="0" applyBorder="1"/>
    <xf numFmtId="0" fontId="0" fillId="0" borderId="21" xfId="0" applyBorder="1"/>
    <xf numFmtId="0" fontId="0" fillId="0" borderId="22" xfId="0" applyBorder="1"/>
    <xf numFmtId="0" fontId="0" fillId="0" borderId="23" xfId="0" applyBorder="1"/>
    <xf numFmtId="0" fontId="0" fillId="0" borderId="24" xfId="0" applyBorder="1"/>
    <xf numFmtId="164" fontId="4" fillId="0" borderId="0" xfId="60" applyNumberFormat="1"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164" fontId="1" fillId="0" borderId="18" xfId="60" applyNumberFormat="1" applyBorder="1" applyAlignment="1">
      <alignment vertical="center"/>
    </xf>
    <xf numFmtId="164" fontId="1" fillId="0" borderId="19" xfId="60" applyNumberFormat="1" applyBorder="1" applyAlignment="1">
      <alignment vertical="center"/>
    </xf>
    <xf numFmtId="0" fontId="0" fillId="0" borderId="20" xfId="0" applyBorder="1" applyAlignment="1">
      <alignment vertical="center"/>
    </xf>
    <xf numFmtId="164" fontId="1" fillId="0" borderId="21" xfId="60" applyNumberFormat="1" applyBorder="1" applyAlignment="1">
      <alignment vertical="center"/>
    </xf>
    <xf numFmtId="164" fontId="4" fillId="0" borderId="21" xfId="60" applyNumberFormat="1"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164" fontId="1" fillId="0" borderId="23" xfId="60" applyNumberFormat="1" applyBorder="1" applyAlignment="1">
      <alignment vertical="center"/>
    </xf>
    <xf numFmtId="164" fontId="1" fillId="0" borderId="24" xfId="60" applyNumberFormat="1" applyBorder="1" applyAlignment="1">
      <alignment vertical="center"/>
    </xf>
    <xf numFmtId="0" fontId="0" fillId="0" borderId="0" xfId="0" applyAlignment="1">
      <alignment horizontal="center"/>
    </xf>
    <xf numFmtId="0" fontId="0" fillId="0" borderId="17" xfId="0" applyBorder="1"/>
    <xf numFmtId="0" fontId="0" fillId="0" borderId="18" xfId="0" applyBorder="1" applyAlignment="1">
      <alignment horizontal="center"/>
    </xf>
    <xf numFmtId="0" fontId="0" fillId="0" borderId="0" xfId="0" applyAlignment="1">
      <alignment horizontal="left"/>
    </xf>
    <xf numFmtId="0" fontId="0" fillId="0" borderId="20" xfId="0" applyBorder="1" applyAlignment="1">
      <alignment horizontal="left"/>
    </xf>
    <xf numFmtId="0" fontId="8"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3" fillId="0" borderId="0" xfId="0" applyFont="1" applyBorder="1" applyAlignment="1">
      <alignment horizontal="left"/>
    </xf>
    <xf numFmtId="0" fontId="0" fillId="0" borderId="20" xfId="0" applyBorder="1" applyAlignment="1">
      <alignment horizontal="center"/>
    </xf>
    <xf numFmtId="0" fontId="3" fillId="0" borderId="0" xfId="0" applyFont="1" applyBorder="1" applyAlignment="1">
      <alignment horizontal="center"/>
    </xf>
    <xf numFmtId="0" fontId="0" fillId="0" borderId="21" xfId="0" applyBorder="1" applyAlignment="1">
      <alignment horizontal="center"/>
    </xf>
    <xf numFmtId="14" fontId="0" fillId="0" borderId="0" xfId="0" applyNumberFormat="1" applyBorder="1" applyAlignment="1">
      <alignment horizontal="center"/>
    </xf>
    <xf numFmtId="164" fontId="1" fillId="0" borderId="0" xfId="60" applyNumberFormat="1" applyBorder="1" applyAlignment="1">
      <alignment horizontal="center"/>
    </xf>
    <xf numFmtId="10" fontId="1" fillId="0" borderId="0" xfId="90" applyNumberFormat="1" applyBorder="1" applyAlignment="1">
      <alignment horizontal="center"/>
    </xf>
    <xf numFmtId="44" fontId="1" fillId="0" borderId="0" xfId="60" applyNumberFormat="1" applyBorder="1" applyAlignment="1">
      <alignment horizontal="center"/>
    </xf>
    <xf numFmtId="44" fontId="0" fillId="0" borderId="0" xfId="0" applyNumberFormat="1" applyBorder="1" applyAlignment="1">
      <alignment horizontal="center"/>
    </xf>
    <xf numFmtId="44" fontId="1" fillId="0" borderId="0" xfId="60" applyNumberFormat="1" applyFont="1" applyBorder="1" applyAlignment="1">
      <alignment horizontal="center"/>
    </xf>
    <xf numFmtId="44" fontId="0" fillId="0" borderId="0" xfId="0" applyNumberFormat="1" applyBorder="1"/>
    <xf numFmtId="164" fontId="0" fillId="0" borderId="0" xfId="0" applyNumberFormat="1" applyBorder="1"/>
    <xf numFmtId="0" fontId="0" fillId="0" borderId="25" xfId="0" applyBorder="1" applyAlignment="1">
      <alignment horizontal="center"/>
    </xf>
    <xf numFmtId="0" fontId="0" fillId="0" borderId="25" xfId="0" applyBorder="1"/>
    <xf numFmtId="164" fontId="3" fillId="0" borderId="0" xfId="60" applyNumberFormat="1" applyFont="1" applyBorder="1"/>
    <xf numFmtId="0" fontId="0" fillId="0" borderId="23" xfId="0" applyBorder="1" applyAlignment="1">
      <alignment horizontal="center"/>
    </xf>
    <xf numFmtId="164" fontId="1" fillId="0" borderId="16" xfId="60" applyNumberFormat="1" applyBorder="1" applyAlignment="1">
      <alignment vertical="center"/>
    </xf>
    <xf numFmtId="164" fontId="1" fillId="0" borderId="26" xfId="60" applyNumberFormat="1" applyBorder="1" applyAlignment="1">
      <alignment vertical="center"/>
    </xf>
    <xf numFmtId="44" fontId="0" fillId="0" borderId="0" xfId="0" applyNumberFormat="1" applyAlignment="1">
      <alignment horizontal="center"/>
    </xf>
    <xf numFmtId="44" fontId="1" fillId="0" borderId="0" xfId="60" applyAlignment="1">
      <alignment horizontal="center"/>
    </xf>
    <xf numFmtId="16" fontId="0" fillId="0" borderId="0" xfId="0" applyNumberFormat="1" applyBorder="1" applyAlignment="1">
      <alignment horizontal="center"/>
    </xf>
    <xf numFmtId="0" fontId="0" fillId="0" borderId="0" xfId="0" applyNumberFormat="1"/>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horizontal="left" vertical="center"/>
    </xf>
    <xf numFmtId="0" fontId="30" fillId="0" borderId="0" xfId="0" applyFont="1"/>
    <xf numFmtId="0" fontId="3" fillId="0" borderId="0" xfId="0" applyFont="1"/>
    <xf numFmtId="0" fontId="3" fillId="0" borderId="0" xfId="0" applyFont="1" applyAlignment="1">
      <alignment horizontal="center"/>
    </xf>
    <xf numFmtId="0" fontId="31" fillId="0" borderId="0" xfId="0" applyFont="1" applyAlignment="1">
      <alignment vertical="center"/>
    </xf>
    <xf numFmtId="0" fontId="0" fillId="0" borderId="0" xfId="0" applyAlignment="1"/>
    <xf numFmtId="0" fontId="32" fillId="0" borderId="0" xfId="0" applyNumberFormat="1" applyFont="1"/>
    <xf numFmtId="0" fontId="32" fillId="0" borderId="0" xfId="0" applyFont="1" applyAlignment="1"/>
    <xf numFmtId="0" fontId="33" fillId="0" borderId="0" xfId="0" applyNumberFormat="1" applyFont="1" applyAlignment="1"/>
    <xf numFmtId="0" fontId="33" fillId="0" borderId="0" xfId="0" applyNumberFormat="1" applyFont="1"/>
    <xf numFmtId="0" fontId="33" fillId="0" borderId="0" xfId="0" applyNumberFormat="1" applyFont="1" applyAlignment="1">
      <alignment horizontal="left"/>
    </xf>
    <xf numFmtId="0" fontId="33" fillId="0" borderId="0" xfId="0" applyNumberFormat="1" applyFont="1" applyAlignment="1">
      <alignment horizontal="center"/>
    </xf>
    <xf numFmtId="0" fontId="33" fillId="25" borderId="0" xfId="0" applyNumberFormat="1" applyFont="1" applyFill="1"/>
    <xf numFmtId="3" fontId="33" fillId="0" borderId="0" xfId="0" applyNumberFormat="1" applyFont="1" applyAlignment="1"/>
    <xf numFmtId="0" fontId="0" fillId="0" borderId="0" xfId="0" applyNumberFormat="1" applyAlignment="1">
      <alignment horizontal="center"/>
    </xf>
    <xf numFmtId="49" fontId="33" fillId="25" borderId="0" xfId="0" applyNumberFormat="1" applyFont="1" applyFill="1"/>
    <xf numFmtId="49" fontId="33" fillId="0" borderId="0" xfId="0" applyNumberFormat="1" applyFont="1"/>
    <xf numFmtId="0" fontId="32" fillId="0" borderId="0" xfId="0" applyFont="1" applyFill="1" applyAlignment="1"/>
    <xf numFmtId="0" fontId="0" fillId="0" borderId="23" xfId="0" applyNumberFormat="1" applyBorder="1" applyAlignment="1">
      <alignment horizontal="center"/>
    </xf>
    <xf numFmtId="0" fontId="33" fillId="0" borderId="23" xfId="0" applyNumberFormat="1" applyFont="1" applyBorder="1" applyAlignment="1">
      <alignment horizontal="center"/>
    </xf>
    <xf numFmtId="3" fontId="33" fillId="0" borderId="0" xfId="0" applyNumberFormat="1" applyFont="1"/>
    <xf numFmtId="42" fontId="33" fillId="0" borderId="0" xfId="0" applyNumberFormat="1" applyFont="1"/>
    <xf numFmtId="0" fontId="33" fillId="0" borderId="23" xfId="0" applyNumberFormat="1" applyFont="1" applyBorder="1" applyAlignment="1">
      <alignment horizontal="centerContinuous"/>
    </xf>
    <xf numFmtId="168" fontId="33" fillId="0" borderId="0" xfId="0" applyNumberFormat="1" applyFont="1" applyAlignment="1"/>
    <xf numFmtId="0" fontId="0" fillId="0" borderId="0" xfId="0" applyFill="1" applyBorder="1" applyAlignment="1"/>
    <xf numFmtId="0" fontId="32" fillId="0" borderId="0" xfId="0" applyFont="1" applyFill="1" applyBorder="1" applyAlignment="1"/>
    <xf numFmtId="0" fontId="32" fillId="0" borderId="0" xfId="0" applyNumberFormat="1" applyFont="1" applyFill="1" applyBorder="1"/>
    <xf numFmtId="3" fontId="33" fillId="25" borderId="0" xfId="0" applyNumberFormat="1" applyFont="1" applyFill="1"/>
    <xf numFmtId="0" fontId="34" fillId="0" borderId="0" xfId="0" applyNumberFormat="1" applyFont="1" applyFill="1" applyBorder="1"/>
    <xf numFmtId="3" fontId="33" fillId="0" borderId="23" xfId="0" applyNumberFormat="1" applyFont="1" applyBorder="1" applyAlignment="1"/>
    <xf numFmtId="3" fontId="33" fillId="0" borderId="0" xfId="0" applyNumberFormat="1" applyFont="1" applyAlignment="1">
      <alignment horizontal="fill"/>
    </xf>
    <xf numFmtId="0" fontId="33" fillId="0" borderId="0" xfId="0" applyFont="1" applyAlignment="1"/>
    <xf numFmtId="42" fontId="33" fillId="0" borderId="25" xfId="0" applyNumberFormat="1" applyFont="1" applyBorder="1" applyAlignment="1">
      <alignment horizontal="right"/>
    </xf>
    <xf numFmtId="0" fontId="35" fillId="0" borderId="0" xfId="0" applyNumberFormat="1" applyFont="1"/>
    <xf numFmtId="0" fontId="34" fillId="0" borderId="0" xfId="0" applyFont="1" applyFill="1" applyBorder="1" applyAlignment="1"/>
    <xf numFmtId="3" fontId="33" fillId="0" borderId="0" xfId="0" applyNumberFormat="1" applyFont="1" applyFill="1" applyBorder="1"/>
    <xf numFmtId="3" fontId="33" fillId="25" borderId="0" xfId="0" applyNumberFormat="1" applyFont="1" applyFill="1" applyBorder="1"/>
    <xf numFmtId="3" fontId="33" fillId="25" borderId="23" xfId="0" applyNumberFormat="1" applyFont="1" applyFill="1" applyBorder="1"/>
    <xf numFmtId="172" fontId="33" fillId="0" borderId="0" xfId="0" applyNumberFormat="1" applyFont="1"/>
    <xf numFmtId="172" fontId="33" fillId="0" borderId="0" xfId="0" applyNumberFormat="1" applyFont="1" applyAlignment="1">
      <alignment horizontal="center"/>
    </xf>
    <xf numFmtId="0" fontId="33" fillId="0" borderId="0" xfId="0" applyFont="1" applyAlignment="1">
      <alignment horizontal="center"/>
    </xf>
    <xf numFmtId="173" fontId="33" fillId="0" borderId="0" xfId="0" applyNumberFormat="1" applyFont="1" applyAlignment="1"/>
    <xf numFmtId="173" fontId="33" fillId="25" borderId="0" xfId="0" applyNumberFormat="1" applyFont="1" applyFill="1" applyProtection="1">
      <protection locked="0"/>
    </xf>
    <xf numFmtId="173" fontId="33" fillId="0" borderId="0" xfId="0" applyNumberFormat="1" applyFont="1" applyProtection="1">
      <protection locked="0"/>
    </xf>
    <xf numFmtId="0" fontId="33" fillId="0" borderId="0" xfId="0" applyNumberFormat="1" applyFont="1" applyProtection="1">
      <protection locked="0"/>
    </xf>
    <xf numFmtId="0" fontId="32" fillId="0" borderId="0" xfId="0" applyNumberFormat="1" applyFont="1" applyAlignment="1"/>
    <xf numFmtId="0" fontId="32" fillId="0" borderId="0" xfId="0" applyNumberFormat="1" applyFont="1" applyFill="1" applyBorder="1" applyAlignment="1"/>
    <xf numFmtId="3" fontId="32" fillId="0" borderId="0" xfId="0" applyNumberFormat="1" applyFont="1" applyAlignment="1"/>
    <xf numFmtId="3" fontId="32" fillId="0" borderId="0" xfId="0" applyNumberFormat="1" applyFont="1" applyFill="1" applyBorder="1" applyAlignment="1"/>
    <xf numFmtId="49" fontId="33" fillId="0" borderId="0" xfId="0" applyNumberFormat="1" applyFont="1" applyAlignment="1">
      <alignment horizontal="left"/>
    </xf>
    <xf numFmtId="49" fontId="33" fillId="0" borderId="0" xfId="0" applyNumberFormat="1" applyFont="1" applyAlignment="1">
      <alignment horizontal="center"/>
    </xf>
    <xf numFmtId="0" fontId="32" fillId="0" borderId="0" xfId="0" applyNumberFormat="1" applyFont="1" applyFill="1" applyBorder="1" applyAlignment="1">
      <alignment horizontal="center"/>
    </xf>
    <xf numFmtId="3" fontId="8" fillId="0" borderId="0" xfId="0" applyNumberFormat="1" applyFont="1" applyAlignment="1">
      <alignment horizontal="center"/>
    </xf>
    <xf numFmtId="0" fontId="8" fillId="0" borderId="0" xfId="0" applyNumberFormat="1" applyFont="1" applyAlignment="1">
      <alignment horizontal="center"/>
    </xf>
    <xf numFmtId="0" fontId="8" fillId="0" borderId="0" xfId="0" applyFont="1" applyAlignment="1">
      <alignment horizontal="center"/>
    </xf>
    <xf numFmtId="3" fontId="8" fillId="0" borderId="0" xfId="0" applyNumberFormat="1" applyFont="1" applyAlignment="1"/>
    <xf numFmtId="0" fontId="36" fillId="0" borderId="0" xfId="0" applyNumberFormat="1" applyFont="1" applyAlignment="1">
      <alignment horizontal="center"/>
    </xf>
    <xf numFmtId="0" fontId="8" fillId="0" borderId="0" xfId="0" applyNumberFormat="1" applyFont="1" applyAlignment="1"/>
    <xf numFmtId="3" fontId="33" fillId="25" borderId="0" xfId="0" applyNumberFormat="1" applyFont="1" applyFill="1" applyBorder="1" applyAlignment="1"/>
    <xf numFmtId="174" fontId="33" fillId="0" borderId="0" xfId="0" applyNumberFormat="1" applyFont="1" applyAlignment="1"/>
    <xf numFmtId="3" fontId="33" fillId="25" borderId="23" xfId="0" applyNumberFormat="1" applyFont="1" applyFill="1" applyBorder="1" applyAlignment="1"/>
    <xf numFmtId="175" fontId="33" fillId="0" borderId="0" xfId="0" applyNumberFormat="1" applyFont="1" applyAlignment="1">
      <alignment horizontal="center"/>
    </xf>
    <xf numFmtId="3" fontId="33" fillId="25" borderId="0" xfId="0" applyNumberFormat="1" applyFont="1" applyFill="1" applyAlignment="1"/>
    <xf numFmtId="0" fontId="32" fillId="0" borderId="0" xfId="0" applyNumberFormat="1" applyFont="1" applyFill="1" applyBorder="1" applyAlignment="1">
      <alignment horizontal="fill"/>
    </xf>
    <xf numFmtId="3" fontId="32" fillId="0" borderId="0" xfId="0" applyNumberFormat="1" applyFont="1" applyFill="1" applyBorder="1" applyAlignment="1">
      <alignment horizontal="fill"/>
    </xf>
    <xf numFmtId="174" fontId="33" fillId="0" borderId="0" xfId="0" applyNumberFormat="1" applyFont="1" applyAlignment="1">
      <alignment horizontal="right"/>
    </xf>
    <xf numFmtId="175" fontId="32" fillId="0" borderId="0" xfId="0" applyNumberFormat="1" applyFont="1" applyFill="1" applyBorder="1" applyAlignment="1">
      <alignment horizontal="center"/>
    </xf>
    <xf numFmtId="3" fontId="32" fillId="0" borderId="0" xfId="0" applyNumberFormat="1" applyFont="1" applyFill="1" applyBorder="1" applyAlignment="1">
      <alignment horizontal="center"/>
    </xf>
    <xf numFmtId="0" fontId="32" fillId="0" borderId="0" xfId="0" applyNumberFormat="1" applyFont="1" applyFill="1" applyBorder="1" applyAlignment="1">
      <alignment horizontal="left"/>
    </xf>
    <xf numFmtId="0" fontId="37" fillId="0" borderId="0" xfId="0" applyFont="1" applyAlignment="1"/>
    <xf numFmtId="0" fontId="0" fillId="0" borderId="23" xfId="0" applyBorder="1" applyAlignment="1"/>
    <xf numFmtId="3" fontId="33" fillId="0" borderId="25" xfId="0" applyNumberFormat="1" applyFont="1" applyBorder="1" applyAlignment="1"/>
    <xf numFmtId="0" fontId="0" fillId="0" borderId="0" xfId="0" applyNumberFormat="1" applyFill="1" applyBorder="1"/>
    <xf numFmtId="0" fontId="33"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3" fontId="32" fillId="0" borderId="0" xfId="0" applyNumberFormat="1" applyFont="1" applyFill="1" applyBorder="1" applyAlignment="1">
      <alignment horizontal="left"/>
    </xf>
    <xf numFmtId="168" fontId="33" fillId="0" borderId="0" xfId="0" applyNumberFormat="1" applyFont="1" applyAlignment="1">
      <alignment horizontal="right"/>
    </xf>
    <xf numFmtId="10" fontId="33" fillId="0" borderId="0" xfId="0" applyNumberFormat="1" applyFont="1" applyAlignment="1">
      <alignment horizontal="left"/>
    </xf>
    <xf numFmtId="168" fontId="33" fillId="0" borderId="0" xfId="0" applyNumberFormat="1" applyFont="1" applyAlignment="1">
      <alignment horizontal="center"/>
    </xf>
    <xf numFmtId="175" fontId="33" fillId="0" borderId="0" xfId="0" applyNumberFormat="1" applyFont="1" applyAlignment="1">
      <alignment horizontal="left"/>
    </xf>
    <xf numFmtId="10" fontId="33" fillId="0" borderId="0" xfId="0" applyNumberFormat="1" applyFont="1" applyFill="1" applyAlignment="1">
      <alignment horizontal="right"/>
    </xf>
    <xf numFmtId="169" fontId="33" fillId="0" borderId="0" xfId="0" applyNumberFormat="1" applyFont="1" applyFill="1" applyAlignment="1">
      <alignment horizontal="right"/>
    </xf>
    <xf numFmtId="3" fontId="33" fillId="0" borderId="0" xfId="0" applyNumberFormat="1" applyFont="1" applyFill="1" applyAlignment="1">
      <alignment horizontal="right"/>
    </xf>
    <xf numFmtId="176" fontId="33" fillId="0" borderId="0" xfId="0" applyNumberFormat="1" applyFont="1" applyAlignment="1"/>
    <xf numFmtId="0" fontId="39" fillId="0" borderId="0" xfId="0" applyNumberFormat="1" applyFont="1" applyFill="1" applyBorder="1"/>
    <xf numFmtId="0" fontId="33" fillId="0" borderId="23" xfId="0" applyNumberFormat="1" applyFont="1" applyBorder="1"/>
    <xf numFmtId="3" fontId="33" fillId="0" borderId="0" xfId="0" applyNumberFormat="1" applyFont="1" applyAlignment="1">
      <alignment horizontal="center"/>
    </xf>
    <xf numFmtId="49" fontId="33" fillId="0" borderId="0" xfId="0" applyNumberFormat="1" applyFont="1" applyAlignment="1"/>
    <xf numFmtId="0" fontId="34" fillId="0" borderId="0" xfId="0" applyNumberFormat="1" applyFont="1" applyFill="1" applyBorder="1" applyAlignment="1"/>
    <xf numFmtId="174" fontId="33" fillId="0" borderId="0" xfId="0" applyNumberFormat="1" applyFont="1"/>
    <xf numFmtId="168" fontId="33" fillId="0" borderId="0" xfId="0" applyNumberFormat="1" applyFont="1"/>
    <xf numFmtId="3" fontId="33" fillId="0" borderId="23" xfId="0" applyNumberFormat="1" applyFont="1" applyBorder="1" applyAlignment="1">
      <alignment horizontal="center"/>
    </xf>
    <xf numFmtId="4" fontId="33" fillId="0" borderId="0" xfId="0" applyNumberFormat="1" applyFont="1" applyAlignment="1"/>
    <xf numFmtId="3" fontId="33" fillId="0" borderId="0" xfId="0" applyNumberFormat="1" applyFont="1" applyBorder="1" applyAlignment="1">
      <alignment horizontal="center"/>
    </xf>
    <xf numFmtId="0" fontId="33" fillId="0" borderId="23" xfId="0" applyNumberFormat="1" applyFont="1" applyBorder="1" applyAlignment="1"/>
    <xf numFmtId="171" fontId="33" fillId="25" borderId="0" xfId="0" applyNumberFormat="1" applyFont="1" applyFill="1" applyAlignment="1"/>
    <xf numFmtId="9" fontId="33" fillId="0" borderId="0" xfId="0" applyNumberFormat="1" applyFont="1" applyAlignment="1"/>
    <xf numFmtId="169" fontId="33" fillId="0" borderId="0" xfId="0" applyNumberFormat="1" applyFont="1" applyAlignment="1"/>
    <xf numFmtId="10" fontId="33" fillId="0" borderId="0" xfId="0" applyNumberFormat="1" applyFont="1" applyAlignment="1"/>
    <xf numFmtId="3" fontId="33" fillId="0" borderId="0" xfId="0" quotePrefix="1" applyNumberFormat="1" applyFont="1" applyAlignment="1"/>
    <xf numFmtId="10" fontId="33" fillId="0" borderId="0" xfId="90" applyNumberFormat="1" applyFont="1" applyAlignment="1"/>
    <xf numFmtId="169" fontId="33" fillId="0" borderId="23" xfId="0" applyNumberFormat="1" applyFont="1" applyBorder="1" applyAlignment="1"/>
    <xf numFmtId="10" fontId="33" fillId="25" borderId="0" xfId="0" applyNumberFormat="1" applyFont="1" applyFill="1" applyAlignment="1"/>
    <xf numFmtId="3" fontId="33" fillId="0" borderId="0" xfId="0" applyNumberFormat="1" applyFont="1" applyFill="1" applyBorder="1" applyAlignment="1">
      <alignment horizontal="center"/>
    </xf>
    <xf numFmtId="0" fontId="33" fillId="0" borderId="0" xfId="0" applyNumberFormat="1" applyFont="1" applyFill="1" applyBorder="1" applyAlignment="1"/>
    <xf numFmtId="0" fontId="35" fillId="0" borderId="0" xfId="0" applyFont="1" applyAlignment="1"/>
    <xf numFmtId="0" fontId="0" fillId="0" borderId="0" xfId="0" applyFill="1" applyAlignment="1" applyProtection="1"/>
    <xf numFmtId="3" fontId="0" fillId="25" borderId="0" xfId="0" applyNumberFormat="1" applyFill="1" applyAlignment="1"/>
    <xf numFmtId="0" fontId="33" fillId="0" borderId="23" xfId="0" applyFont="1" applyBorder="1" applyAlignment="1"/>
    <xf numFmtId="3" fontId="0" fillId="25" borderId="23" xfId="0" applyNumberFormat="1" applyFill="1" applyBorder="1" applyAlignment="1"/>
    <xf numFmtId="171" fontId="33" fillId="0" borderId="0" xfId="0" applyNumberFormat="1" applyFont="1" applyFill="1" applyBorder="1" applyProtection="1"/>
    <xf numFmtId="173" fontId="33" fillId="0" borderId="0" xfId="0" applyNumberFormat="1" applyFont="1"/>
    <xf numFmtId="171" fontId="33" fillId="25" borderId="0" xfId="0" applyNumberFormat="1" applyFont="1" applyFill="1" applyBorder="1" applyProtection="1"/>
    <xf numFmtId="171" fontId="33" fillId="25" borderId="0" xfId="0" applyNumberFormat="1" applyFont="1" applyFill="1" applyBorder="1" applyAlignment="1" applyProtection="1">
      <protection locked="0"/>
    </xf>
    <xf numFmtId="171" fontId="33" fillId="25" borderId="23" xfId="0" applyNumberFormat="1" applyFont="1" applyFill="1" applyBorder="1" applyAlignment="1" applyProtection="1">
      <protection locked="0"/>
    </xf>
    <xf numFmtId="171" fontId="33" fillId="0" borderId="0" xfId="0" applyNumberFormat="1" applyFont="1" applyFill="1" applyBorder="1" applyAlignment="1" applyProtection="1"/>
    <xf numFmtId="0" fontId="40" fillId="0" borderId="0" xfId="0" applyNumberFormat="1" applyFont="1" applyFill="1" applyBorder="1" applyAlignment="1">
      <alignment horizontal="center"/>
    </xf>
    <xf numFmtId="0" fontId="41" fillId="0" borderId="0" xfId="0" applyNumberFormat="1" applyFont="1"/>
    <xf numFmtId="0" fontId="42" fillId="0" borderId="0" xfId="0" applyNumberFormat="1" applyFont="1" applyFill="1" applyBorder="1" applyAlignment="1">
      <alignment horizontal="center"/>
    </xf>
    <xf numFmtId="0" fontId="43" fillId="0" borderId="0" xfId="0" applyNumberFormat="1" applyFont="1" applyFill="1" applyBorder="1"/>
    <xf numFmtId="0" fontId="43" fillId="0" borderId="0" xfId="0" applyFont="1" applyFill="1" applyBorder="1" applyAlignment="1"/>
    <xf numFmtId="3" fontId="42" fillId="0" borderId="0" xfId="0" applyNumberFormat="1" applyFont="1" applyFill="1" applyBorder="1" applyAlignment="1">
      <alignment horizontal="center"/>
    </xf>
    <xf numFmtId="0" fontId="44" fillId="0" borderId="0" xfId="0" applyNumberFormat="1" applyFont="1"/>
    <xf numFmtId="0" fontId="44" fillId="0" borderId="0" xfId="0" applyNumberFormat="1" applyFont="1" applyAlignment="1">
      <alignment horizontal="center"/>
    </xf>
    <xf numFmtId="0" fontId="43" fillId="0" borderId="0" xfId="0" applyNumberFormat="1" applyFont="1"/>
    <xf numFmtId="0" fontId="43" fillId="0" borderId="0" xfId="0" applyFont="1" applyAlignment="1"/>
    <xf numFmtId="1" fontId="0" fillId="0" borderId="0" xfId="0" applyNumberFormat="1"/>
    <xf numFmtId="44" fontId="0" fillId="0" borderId="0" xfId="60" applyFont="1" applyBorder="1"/>
    <xf numFmtId="44" fontId="0" fillId="0" borderId="27" xfId="60" applyFont="1" applyBorder="1"/>
    <xf numFmtId="44" fontId="0" fillId="0" borderId="23" xfId="60" applyFont="1" applyBorder="1"/>
    <xf numFmtId="44" fontId="0" fillId="0" borderId="0" xfId="60" applyFont="1"/>
    <xf numFmtId="39" fontId="40" fillId="0" borderId="0" xfId="0" applyNumberFormat="1" applyFont="1" applyAlignment="1" applyProtection="1">
      <alignment horizontal="center"/>
    </xf>
    <xf numFmtId="39" fontId="40" fillId="0" borderId="0" xfId="0" applyNumberFormat="1" applyFont="1" applyAlignment="1" applyProtection="1">
      <alignment horizontal="centerContinuous"/>
    </xf>
    <xf numFmtId="39" fontId="40" fillId="0" borderId="27" xfId="0" applyNumberFormat="1" applyFont="1" applyBorder="1" applyProtection="1"/>
    <xf numFmtId="39" fontId="40" fillId="0" borderId="0" xfId="0" applyNumberFormat="1" applyFont="1" applyAlignment="1" applyProtection="1">
      <alignment horizontal="left"/>
    </xf>
    <xf numFmtId="165" fontId="40" fillId="0" borderId="0" xfId="0" applyNumberFormat="1" applyFont="1" applyProtection="1"/>
    <xf numFmtId="39" fontId="40" fillId="0" borderId="0" xfId="0" applyNumberFormat="1" applyFont="1" applyProtection="1"/>
    <xf numFmtId="0" fontId="0" fillId="0" borderId="32" xfId="0" applyBorder="1" applyAlignment="1">
      <alignment horizontal="center"/>
    </xf>
    <xf numFmtId="0" fontId="0" fillId="0" borderId="32" xfId="0" applyBorder="1"/>
    <xf numFmtId="0" fontId="0" fillId="0" borderId="33" xfId="0" applyBorder="1" applyAlignment="1">
      <alignment horizontal="center"/>
    </xf>
    <xf numFmtId="0" fontId="3" fillId="0" borderId="34" xfId="0" applyFont="1" applyBorder="1" applyAlignment="1">
      <alignment horizontal="center"/>
    </xf>
    <xf numFmtId="43" fontId="0" fillId="0" borderId="35" xfId="55" applyFont="1" applyBorder="1"/>
    <xf numFmtId="0" fontId="0" fillId="0" borderId="35" xfId="0" applyBorder="1" applyAlignment="1">
      <alignment horizontal="center"/>
    </xf>
    <xf numFmtId="0" fontId="0" fillId="0" borderId="31" xfId="0" applyBorder="1"/>
    <xf numFmtId="37" fontId="0" fillId="0" borderId="31" xfId="55" applyNumberFormat="1" applyFont="1" applyBorder="1"/>
    <xf numFmtId="0" fontId="0" fillId="0" borderId="31" xfId="0" applyBorder="1" applyAlignment="1">
      <alignment horizontal="center"/>
    </xf>
    <xf numFmtId="0" fontId="0" fillId="0" borderId="27" xfId="0" applyBorder="1" applyAlignment="1">
      <alignment horizontal="center"/>
    </xf>
    <xf numFmtId="0" fontId="0" fillId="0" borderId="36" xfId="0" applyBorder="1"/>
    <xf numFmtId="0" fontId="0" fillId="0" borderId="36" xfId="0" applyBorder="1" applyAlignment="1">
      <alignment horizontal="center"/>
    </xf>
    <xf numFmtId="37" fontId="54" fillId="0" borderId="36" xfId="55" applyNumberFormat="1" applyFont="1" applyBorder="1"/>
    <xf numFmtId="0" fontId="0" fillId="0" borderId="28" xfId="0" applyBorder="1" applyAlignment="1">
      <alignment horizontal="center"/>
    </xf>
    <xf numFmtId="0" fontId="0" fillId="0" borderId="10" xfId="0" applyBorder="1"/>
    <xf numFmtId="0" fontId="0" fillId="0" borderId="10" xfId="0" applyBorder="1" applyAlignment="1">
      <alignment horizontal="center"/>
    </xf>
    <xf numFmtId="0" fontId="0" fillId="0" borderId="10" xfId="0" applyFill="1" applyBorder="1"/>
    <xf numFmtId="37" fontId="54" fillId="0" borderId="10" xfId="55" applyNumberFormat="1" applyFont="1" applyBorder="1"/>
    <xf numFmtId="0" fontId="3" fillId="0" borderId="10" xfId="0" applyFont="1" applyFill="1" applyBorder="1"/>
    <xf numFmtId="37" fontId="3" fillId="0" borderId="10" xfId="55" applyNumberFormat="1" applyFont="1" applyBorder="1"/>
    <xf numFmtId="0" fontId="0" fillId="0" borderId="10" xfId="0" applyFill="1" applyBorder="1" applyAlignment="1">
      <alignment horizontal="center"/>
    </xf>
    <xf numFmtId="0" fontId="3" fillId="0" borderId="35" xfId="0" applyFont="1" applyFill="1" applyBorder="1" applyAlignment="1">
      <alignment wrapText="1"/>
    </xf>
    <xf numFmtId="37" fontId="3" fillId="0" borderId="10" xfId="55" applyNumberFormat="1" applyFont="1" applyFill="1" applyBorder="1"/>
    <xf numFmtId="0" fontId="0" fillId="0" borderId="28" xfId="0" applyFill="1" applyBorder="1" applyAlignment="1">
      <alignment horizontal="center"/>
    </xf>
    <xf numFmtId="0" fontId="3" fillId="0" borderId="34" xfId="0" applyFont="1" applyFill="1" applyBorder="1" applyAlignment="1">
      <alignment horizontal="center"/>
    </xf>
    <xf numFmtId="0" fontId="0" fillId="0" borderId="0" xfId="0" applyFill="1" applyBorder="1" applyAlignment="1">
      <alignment horizontal="center"/>
    </xf>
    <xf numFmtId="37" fontId="1" fillId="0" borderId="36" xfId="55" applyNumberFormat="1" applyFont="1" applyBorder="1"/>
    <xf numFmtId="0" fontId="3" fillId="0" borderId="31" xfId="0" applyFont="1" applyBorder="1"/>
    <xf numFmtId="0" fontId="0" fillId="0" borderId="37" xfId="0" applyBorder="1" applyAlignment="1">
      <alignment horizontal="center"/>
    </xf>
    <xf numFmtId="37" fontId="3" fillId="0" borderId="36" xfId="55" applyNumberFormat="1" applyFont="1" applyBorder="1"/>
    <xf numFmtId="0" fontId="0" fillId="0" borderId="35" xfId="0" applyFill="1" applyBorder="1"/>
    <xf numFmtId="37" fontId="0" fillId="0" borderId="35" xfId="55" applyNumberFormat="1" applyFont="1" applyBorder="1"/>
    <xf numFmtId="0" fontId="0" fillId="0" borderId="10" xfId="0" applyBorder="1" applyAlignment="1">
      <alignment wrapText="1"/>
    </xf>
    <xf numFmtId="37" fontId="1" fillId="0" borderId="10" xfId="55" applyNumberFormat="1" applyFont="1" applyBorder="1"/>
    <xf numFmtId="0" fontId="0" fillId="0" borderId="28" xfId="0" quotePrefix="1" applyBorder="1" applyAlignment="1">
      <alignment horizontal="center"/>
    </xf>
    <xf numFmtId="0" fontId="0" fillId="0" borderId="36" xfId="0" applyFill="1" applyBorder="1"/>
    <xf numFmtId="0" fontId="0" fillId="0" borderId="31" xfId="0" applyFill="1" applyBorder="1"/>
    <xf numFmtId="0" fontId="3" fillId="0" borderId="31" xfId="0" applyFont="1" applyFill="1" applyBorder="1"/>
    <xf numFmtId="37" fontId="3" fillId="0" borderId="36" xfId="55" applyNumberFormat="1" applyFont="1" applyFill="1" applyBorder="1"/>
    <xf numFmtId="0" fontId="3" fillId="0" borderId="35" xfId="0" applyFont="1" applyBorder="1" applyAlignment="1">
      <alignment wrapText="1"/>
    </xf>
    <xf numFmtId="37" fontId="0" fillId="0" borderId="36" xfId="55" applyNumberFormat="1" applyFont="1" applyBorder="1"/>
    <xf numFmtId="0" fontId="3" fillId="0" borderId="36" xfId="0" applyFont="1" applyBorder="1"/>
    <xf numFmtId="37" fontId="54" fillId="0" borderId="10" xfId="55" applyNumberFormat="1" applyFont="1" applyFill="1" applyBorder="1"/>
    <xf numFmtId="0" fontId="3" fillId="0" borderId="31" xfId="0" applyFont="1" applyBorder="1" applyAlignment="1">
      <alignment wrapText="1"/>
    </xf>
    <xf numFmtId="0" fontId="0" fillId="0" borderId="31" xfId="0" applyFill="1" applyBorder="1" applyAlignment="1">
      <alignment horizontal="center"/>
    </xf>
    <xf numFmtId="0" fontId="0" fillId="0" borderId="27" xfId="0" applyFill="1" applyBorder="1" applyAlignment="1">
      <alignment horizontal="center"/>
    </xf>
    <xf numFmtId="0" fontId="0" fillId="0" borderId="36" xfId="0" quotePrefix="1" applyBorder="1"/>
    <xf numFmtId="0" fontId="0" fillId="0" borderId="27" xfId="0" applyBorder="1"/>
    <xf numFmtId="0" fontId="3" fillId="0" borderId="10" xfId="0" applyFont="1" applyBorder="1"/>
    <xf numFmtId="0" fontId="3" fillId="0" borderId="16" xfId="0" applyFont="1" applyBorder="1" applyAlignment="1">
      <alignment wrapText="1"/>
    </xf>
    <xf numFmtId="37" fontId="3" fillId="0" borderId="16" xfId="55" applyNumberFormat="1" applyFont="1" applyBorder="1"/>
    <xf numFmtId="0" fontId="0" fillId="0" borderId="16" xfId="0" applyBorder="1" applyAlignment="1">
      <alignment horizontal="center"/>
    </xf>
    <xf numFmtId="0" fontId="3" fillId="0" borderId="16" xfId="0" applyFont="1" applyBorder="1"/>
    <xf numFmtId="37" fontId="0" fillId="0" borderId="0" xfId="55" applyNumberFormat="1" applyFont="1" applyBorder="1"/>
    <xf numFmtId="43" fontId="0" fillId="0" borderId="0" xfId="55" applyFont="1" applyBorder="1"/>
    <xf numFmtId="0" fontId="4" fillId="0" borderId="0" xfId="0" applyFont="1" applyFill="1" applyBorder="1"/>
    <xf numFmtId="37" fontId="0" fillId="0" borderId="0" xfId="0" applyNumberFormat="1" applyBorder="1"/>
    <xf numFmtId="14" fontId="33" fillId="0" borderId="0" xfId="0" applyNumberFormat="1" applyFont="1" applyAlignment="1">
      <alignment horizontal="center"/>
    </xf>
    <xf numFmtId="0" fontId="0" fillId="0" borderId="38" xfId="0" applyBorder="1" applyAlignment="1">
      <alignment horizontal="center"/>
    </xf>
    <xf numFmtId="37" fontId="51" fillId="0" borderId="10" xfId="0" applyNumberFormat="1" applyFont="1" applyBorder="1"/>
    <xf numFmtId="37" fontId="54" fillId="0" borderId="10" xfId="0" applyNumberFormat="1" applyFont="1" applyBorder="1"/>
    <xf numFmtId="37" fontId="3" fillId="0" borderId="10" xfId="0" applyNumberFormat="1" applyFont="1" applyBorder="1"/>
    <xf numFmtId="37" fontId="0" fillId="0" borderId="10" xfId="0" applyNumberFormat="1" applyBorder="1"/>
    <xf numFmtId="37" fontId="55" fillId="0" borderId="10" xfId="0" applyNumberFormat="1" applyFont="1" applyBorder="1"/>
    <xf numFmtId="164" fontId="1" fillId="0" borderId="10" xfId="60" applyNumberFormat="1" applyFill="1" applyBorder="1" applyAlignment="1">
      <alignment vertical="center"/>
    </xf>
    <xf numFmtId="166" fontId="0" fillId="0" borderId="0" xfId="55" applyNumberFormat="1" applyFont="1"/>
    <xf numFmtId="37" fontId="56" fillId="0" borderId="10" xfId="0" applyNumberFormat="1" applyFont="1" applyBorder="1"/>
    <xf numFmtId="37" fontId="3" fillId="0" borderId="10" xfId="0" applyNumberFormat="1" applyFont="1" applyFill="1" applyBorder="1"/>
    <xf numFmtId="0" fontId="3" fillId="0" borderId="10" xfId="0" applyFont="1" applyBorder="1" applyAlignment="1">
      <alignment wrapText="1"/>
    </xf>
    <xf numFmtId="37" fontId="0" fillId="0" borderId="0" xfId="0" applyNumberFormat="1"/>
    <xf numFmtId="14" fontId="33" fillId="0" borderId="0" xfId="0" applyNumberFormat="1" applyFont="1" applyAlignment="1"/>
    <xf numFmtId="0" fontId="0" fillId="0" borderId="39" xfId="0" applyBorder="1" applyAlignment="1">
      <alignment horizontal="center"/>
    </xf>
    <xf numFmtId="0" fontId="0" fillId="0" borderId="35" xfId="0" applyBorder="1"/>
    <xf numFmtId="164" fontId="54" fillId="0" borderId="35" xfId="60" applyNumberFormat="1" applyFont="1" applyBorder="1"/>
    <xf numFmtId="164" fontId="0" fillId="0" borderId="31" xfId="0" applyNumberFormat="1" applyBorder="1"/>
    <xf numFmtId="164" fontId="0" fillId="0" borderId="36" xfId="0" applyNumberFormat="1" applyBorder="1"/>
    <xf numFmtId="0" fontId="0" fillId="0" borderId="40" xfId="0" applyBorder="1"/>
    <xf numFmtId="0" fontId="0" fillId="0" borderId="38" xfId="0" applyBorder="1"/>
    <xf numFmtId="0" fontId="0" fillId="0" borderId="41" xfId="0" applyBorder="1"/>
    <xf numFmtId="0" fontId="0" fillId="0" borderId="42" xfId="0" applyBorder="1"/>
    <xf numFmtId="0" fontId="0" fillId="0" borderId="33" xfId="0" applyBorder="1"/>
    <xf numFmtId="0" fontId="0" fillId="0" borderId="36" xfId="0" applyBorder="1" applyAlignment="1">
      <alignment wrapText="1" readingOrder="1"/>
    </xf>
    <xf numFmtId="37" fontId="0" fillId="0" borderId="43" xfId="0" applyNumberFormat="1" applyBorder="1"/>
    <xf numFmtId="37" fontId="0" fillId="0" borderId="32" xfId="0" applyNumberFormat="1" applyBorder="1"/>
    <xf numFmtId="37" fontId="54" fillId="0" borderId="44" xfId="0" applyNumberFormat="1" applyFont="1" applyBorder="1"/>
    <xf numFmtId="37" fontId="54" fillId="0" borderId="33" xfId="0" applyNumberFormat="1" applyFont="1" applyBorder="1"/>
    <xf numFmtId="37" fontId="0" fillId="0" borderId="33" xfId="0" applyNumberFormat="1" applyBorder="1"/>
    <xf numFmtId="0" fontId="0" fillId="0" borderId="27" xfId="0" applyBorder="1" applyAlignment="1">
      <alignment wrapText="1"/>
    </xf>
    <xf numFmtId="37" fontId="0" fillId="0" borderId="45" xfId="0" applyNumberFormat="1" applyBorder="1"/>
    <xf numFmtId="0" fontId="0" fillId="0" borderId="32" xfId="0" applyFill="1" applyBorder="1"/>
    <xf numFmtId="0" fontId="0" fillId="0" borderId="0" xfId="0" applyFill="1" applyBorder="1"/>
    <xf numFmtId="0" fontId="0" fillId="0" borderId="46" xfId="0" applyFill="1" applyBorder="1"/>
    <xf numFmtId="0" fontId="0" fillId="0" borderId="27" xfId="0" applyFill="1" applyBorder="1"/>
    <xf numFmtId="0" fontId="0" fillId="0" borderId="39" xfId="0" applyFill="1" applyBorder="1"/>
    <xf numFmtId="0" fontId="0" fillId="0" borderId="28" xfId="0" applyFill="1" applyBorder="1"/>
    <xf numFmtId="37" fontId="54" fillId="0" borderId="47" xfId="0" applyNumberFormat="1" applyFont="1" applyBorder="1"/>
    <xf numFmtId="37" fontId="54" fillId="0" borderId="39" xfId="0" applyNumberFormat="1" applyFont="1" applyBorder="1"/>
    <xf numFmtId="37" fontId="0" fillId="0" borderId="39" xfId="0" applyNumberFormat="1" applyBorder="1"/>
    <xf numFmtId="37" fontId="54" fillId="0" borderId="48" xfId="0" applyNumberFormat="1" applyFont="1" applyBorder="1"/>
    <xf numFmtId="0" fontId="0" fillId="0" borderId="39" xfId="0" applyBorder="1"/>
    <xf numFmtId="37" fontId="3" fillId="0" borderId="33" xfId="0" applyNumberFormat="1" applyFont="1" applyBorder="1" applyAlignment="1">
      <alignment horizontal="right"/>
    </xf>
    <xf numFmtId="37" fontId="3" fillId="0" borderId="39" xfId="0" applyNumberFormat="1" applyFont="1" applyBorder="1"/>
    <xf numFmtId="37" fontId="0" fillId="0" borderId="39" xfId="0" applyNumberFormat="1" applyBorder="1" applyAlignment="1">
      <alignment horizontal="right"/>
    </xf>
    <xf numFmtId="37" fontId="0" fillId="0" borderId="33" xfId="0" applyNumberFormat="1" applyFill="1" applyBorder="1"/>
    <xf numFmtId="37" fontId="54" fillId="0" borderId="39" xfId="0" applyNumberFormat="1" applyFont="1" applyFill="1" applyBorder="1"/>
    <xf numFmtId="37" fontId="0" fillId="0" borderId="39" xfId="0" applyNumberFormat="1" applyFill="1" applyBorder="1"/>
    <xf numFmtId="37" fontId="3" fillId="0" borderId="39" xfId="0" applyNumberFormat="1" applyFont="1" applyBorder="1" applyAlignment="1">
      <alignment horizontal="right"/>
    </xf>
    <xf numFmtId="37" fontId="3" fillId="0" borderId="33" xfId="0" applyNumberFormat="1" applyFont="1" applyBorder="1"/>
    <xf numFmtId="37" fontId="0" fillId="0" borderId="27" xfId="0" applyNumberFormat="1" applyBorder="1"/>
    <xf numFmtId="0" fontId="54" fillId="0" borderId="10" xfId="0" applyFont="1" applyBorder="1"/>
    <xf numFmtId="0" fontId="54" fillId="0" borderId="10" xfId="0" applyFont="1" applyBorder="1" applyAlignment="1">
      <alignment horizontal="center"/>
    </xf>
    <xf numFmtId="37" fontId="54" fillId="27" borderId="10" xfId="0" applyNumberFormat="1" applyFont="1" applyFill="1" applyBorder="1"/>
    <xf numFmtId="37" fontId="54" fillId="0" borderId="10" xfId="0" applyNumberFormat="1" applyFont="1" applyFill="1" applyBorder="1"/>
    <xf numFmtId="0" fontId="54" fillId="0" borderId="10" xfId="0" applyFont="1" applyFill="1" applyBorder="1" applyAlignment="1">
      <alignment horizontal="center"/>
    </xf>
    <xf numFmtId="39" fontId="0" fillId="0" borderId="0" xfId="0" applyNumberFormat="1" applyBorder="1"/>
    <xf numFmtId="37" fontId="0" fillId="0" borderId="10" xfId="0" applyNumberFormat="1" applyFill="1" applyBorder="1"/>
    <xf numFmtId="0" fontId="54" fillId="0" borderId="31" xfId="0" applyFont="1" applyFill="1" applyBorder="1"/>
    <xf numFmtId="0" fontId="54" fillId="0" borderId="31" xfId="0" applyFont="1" applyFill="1" applyBorder="1" applyAlignment="1">
      <alignment horizontal="center"/>
    </xf>
    <xf numFmtId="41" fontId="0" fillId="0" borderId="0" xfId="0" applyNumberFormat="1"/>
    <xf numFmtId="41" fontId="0" fillId="0" borderId="0" xfId="55" applyNumberFormat="1" applyFont="1"/>
    <xf numFmtId="0" fontId="0" fillId="0" borderId="49" xfId="0" applyBorder="1"/>
    <xf numFmtId="164" fontId="0" fillId="0" borderId="49" xfId="60" applyNumberFormat="1" applyFont="1" applyBorder="1"/>
    <xf numFmtId="164" fontId="0" fillId="0" borderId="0" xfId="60" applyNumberFormat="1" applyFont="1"/>
    <xf numFmtId="0" fontId="0" fillId="0" borderId="0" xfId="0" applyNumberFormat="1" applyFill="1" applyAlignment="1">
      <alignment horizontal="center"/>
    </xf>
    <xf numFmtId="0" fontId="33" fillId="0" borderId="0" xfId="0" applyNumberFormat="1" applyFont="1" applyFill="1" applyAlignment="1"/>
    <xf numFmtId="0" fontId="38" fillId="0" borderId="0" xfId="0" applyFont="1" applyFill="1" applyAlignment="1"/>
    <xf numFmtId="3" fontId="33" fillId="0" borderId="0" xfId="0" applyNumberFormat="1" applyFont="1" applyFill="1" applyAlignment="1"/>
    <xf numFmtId="174" fontId="33" fillId="0" borderId="0" xfId="0" applyNumberFormat="1" applyFont="1" applyFill="1" applyAlignment="1"/>
    <xf numFmtId="3" fontId="33" fillId="0" borderId="0" xfId="0" applyNumberFormat="1" applyFont="1" applyBorder="1" applyAlignment="1"/>
    <xf numFmtId="175" fontId="33" fillId="0" borderId="0" xfId="0" applyNumberFormat="1" applyFont="1" applyFill="1" applyAlignment="1">
      <alignment horizontal="center"/>
    </xf>
    <xf numFmtId="175" fontId="33" fillId="0" borderId="0" xfId="0" applyNumberFormat="1" applyFont="1" applyFill="1" applyAlignment="1">
      <alignment horizontal="left"/>
    </xf>
    <xf numFmtId="0" fontId="33" fillId="0" borderId="0" xfId="0" applyFont="1" applyFill="1" applyAlignment="1"/>
    <xf numFmtId="3" fontId="33" fillId="0" borderId="0" xfId="0" applyNumberFormat="1" applyFont="1" applyFill="1" applyBorder="1" applyAlignment="1"/>
    <xf numFmtId="3" fontId="33" fillId="0" borderId="50" xfId="0" applyNumberFormat="1" applyFont="1" applyFill="1" applyBorder="1" applyAlignment="1"/>
    <xf numFmtId="0" fontId="33" fillId="0" borderId="0" xfId="0" applyFont="1" applyAlignment="1">
      <alignment horizontal="left"/>
    </xf>
    <xf numFmtId="14" fontId="33" fillId="0" borderId="0" xfId="0" applyNumberFormat="1" applyFont="1" applyAlignment="1">
      <alignment horizontal="left"/>
    </xf>
    <xf numFmtId="0" fontId="0" fillId="0" borderId="0" xfId="0" applyFill="1" applyAlignment="1">
      <alignment horizontal="left"/>
    </xf>
    <xf numFmtId="0" fontId="53" fillId="0" borderId="0" xfId="0" applyFont="1" applyBorder="1" applyAlignment="1">
      <alignment horizontal="left"/>
    </xf>
    <xf numFmtId="0" fontId="0" fillId="0" borderId="38" xfId="0" applyFill="1" applyBorder="1" applyAlignment="1">
      <alignment horizontal="center"/>
    </xf>
    <xf numFmtId="0" fontId="0" fillId="0" borderId="33" xfId="0" applyFill="1" applyBorder="1" applyAlignment="1">
      <alignment horizontal="center"/>
    </xf>
    <xf numFmtId="37" fontId="57" fillId="0" borderId="33" xfId="0" applyNumberFormat="1" applyFont="1" applyFill="1" applyBorder="1"/>
    <xf numFmtId="0" fontId="3" fillId="0" borderId="39" xfId="0" applyFont="1" applyBorder="1"/>
    <xf numFmtId="37" fontId="54" fillId="0" borderId="33" xfId="0" applyNumberFormat="1" applyFont="1" applyFill="1" applyBorder="1"/>
    <xf numFmtId="0" fontId="0" fillId="0" borderId="33" xfId="0" applyBorder="1" applyAlignment="1">
      <alignment wrapText="1"/>
    </xf>
    <xf numFmtId="0" fontId="3" fillId="0" borderId="33" xfId="0" applyFont="1" applyBorder="1"/>
    <xf numFmtId="37" fontId="0" fillId="0" borderId="0" xfId="0" applyNumberFormat="1" applyFill="1"/>
    <xf numFmtId="0" fontId="0" fillId="0" borderId="0" xfId="0" applyFill="1"/>
    <xf numFmtId="0" fontId="58" fillId="0" borderId="0" xfId="0" applyFont="1" applyAlignment="1"/>
    <xf numFmtId="0" fontId="33" fillId="0" borderId="0" xfId="0" applyNumberFormat="1" applyFont="1" applyBorder="1" applyAlignment="1"/>
    <xf numFmtId="0" fontId="33" fillId="0" borderId="0" xfId="0" applyNumberFormat="1" applyFont="1" applyBorder="1"/>
    <xf numFmtId="0" fontId="40" fillId="0" borderId="0" xfId="0" applyFont="1" applyAlignment="1"/>
    <xf numFmtId="3" fontId="40" fillId="0" borderId="0" xfId="0" applyNumberFormat="1" applyFont="1" applyBorder="1" applyAlignment="1"/>
    <xf numFmtId="0" fontId="40" fillId="0" borderId="0" xfId="0" applyNumberFormat="1" applyFont="1"/>
    <xf numFmtId="0" fontId="40" fillId="0" borderId="0" xfId="0" applyNumberFormat="1" applyFont="1" applyAlignment="1" applyProtection="1">
      <alignment horizontal="center"/>
      <protection locked="0"/>
    </xf>
    <xf numFmtId="0" fontId="40" fillId="0" borderId="0" xfId="0" applyNumberFormat="1" applyFont="1" applyAlignment="1" applyProtection="1">
      <alignment vertical="top" wrapText="1"/>
      <protection locked="0"/>
    </xf>
    <xf numFmtId="0" fontId="40" fillId="0" borderId="0" xfId="0" applyFont="1" applyAlignment="1">
      <alignment horizontal="center" vertical="top" wrapText="1"/>
    </xf>
    <xf numFmtId="3" fontId="40" fillId="0" borderId="0" xfId="0" applyNumberFormat="1" applyFont="1" applyAlignment="1">
      <alignment horizontal="center"/>
    </xf>
    <xf numFmtId="0" fontId="40" fillId="0" borderId="0" xfId="0" applyNumberFormat="1" applyFont="1" applyFill="1" applyAlignment="1" applyProtection="1">
      <alignment horizontal="center"/>
      <protection locked="0"/>
    </xf>
    <xf numFmtId="0" fontId="60" fillId="0" borderId="0" xfId="0" applyFont="1" applyAlignment="1">
      <alignment horizontal="center" vertical="top" wrapText="1"/>
    </xf>
    <xf numFmtId="0" fontId="60" fillId="0" borderId="0" xfId="0" applyNumberFormat="1" applyFont="1" applyAlignment="1" applyProtection="1">
      <alignment vertical="top" wrapText="1"/>
      <protection locked="0"/>
    </xf>
    <xf numFmtId="0" fontId="60" fillId="0" borderId="0" xfId="0" applyNumberFormat="1" applyFont="1"/>
    <xf numFmtId="0" fontId="60" fillId="0" borderId="0" xfId="0" applyFont="1" applyAlignment="1"/>
    <xf numFmtId="0" fontId="60" fillId="0" borderId="0" xfId="0" applyNumberFormat="1" applyFont="1" applyAlignment="1" applyProtection="1">
      <alignment horizontal="center"/>
      <protection locked="0"/>
    </xf>
    <xf numFmtId="0" fontId="40" fillId="0" borderId="0" xfId="0" applyNumberFormat="1" applyFont="1" applyAlignment="1" applyProtection="1">
      <protection locked="0"/>
    </xf>
    <xf numFmtId="0" fontId="40" fillId="0" borderId="0" xfId="0" applyNumberFormat="1" applyFont="1" applyProtection="1">
      <protection locked="0"/>
    </xf>
    <xf numFmtId="166" fontId="0" fillId="0" borderId="0" xfId="0" applyNumberFormat="1"/>
    <xf numFmtId="39" fontId="0" fillId="0" borderId="0" xfId="0" applyNumberFormat="1"/>
    <xf numFmtId="0" fontId="32" fillId="25" borderId="0" xfId="0" applyNumberFormat="1" applyFont="1" applyFill="1"/>
    <xf numFmtId="37" fontId="57" fillId="0" borderId="39" xfId="0" applyNumberFormat="1" applyFont="1" applyFill="1" applyBorder="1"/>
    <xf numFmtId="39" fontId="0" fillId="0" borderId="0" xfId="0" applyNumberFormat="1" applyAlignment="1">
      <alignment horizontal="center"/>
    </xf>
    <xf numFmtId="0" fontId="0" fillId="0" borderId="0" xfId="0" quotePrefix="1"/>
    <xf numFmtId="0" fontId="0" fillId="0" borderId="0" xfId="0" applyAlignment="1">
      <alignment horizontal="right"/>
    </xf>
    <xf numFmtId="0" fontId="0" fillId="0" borderId="0" xfId="0" quotePrefix="1" applyAlignment="1">
      <alignment horizontal="center"/>
    </xf>
    <xf numFmtId="0" fontId="0" fillId="0" borderId="0" xfId="0" quotePrefix="1" applyAlignment="1">
      <alignment horizontal="right"/>
    </xf>
    <xf numFmtId="37" fontId="0" fillId="0" borderId="32" xfId="0" applyNumberFormat="1" applyFill="1" applyBorder="1"/>
    <xf numFmtId="43" fontId="0" fillId="0" borderId="0" xfId="0" applyNumberFormat="1"/>
    <xf numFmtId="14" fontId="0" fillId="0" borderId="0" xfId="0" applyNumberFormat="1"/>
    <xf numFmtId="14" fontId="0" fillId="0" borderId="0" xfId="0" applyNumberFormat="1" applyAlignment="1">
      <alignment horizontal="center"/>
    </xf>
    <xf numFmtId="0" fontId="4" fillId="0" borderId="0" xfId="0" applyFont="1" applyAlignment="1">
      <alignment wrapText="1"/>
    </xf>
    <xf numFmtId="37" fontId="54" fillId="0" borderId="36" xfId="55" applyNumberFormat="1" applyFont="1" applyFill="1" applyBorder="1"/>
    <xf numFmtId="37" fontId="0" fillId="0" borderId="10" xfId="55" applyNumberFormat="1" applyFont="1" applyFill="1" applyBorder="1"/>
    <xf numFmtId="37" fontId="0" fillId="0" borderId="31" xfId="55" applyNumberFormat="1" applyFont="1" applyFill="1" applyBorder="1"/>
    <xf numFmtId="37" fontId="1" fillId="0" borderId="33" xfId="0" applyNumberFormat="1" applyFont="1" applyFill="1" applyBorder="1"/>
    <xf numFmtId="0" fontId="4" fillId="0" borderId="0" xfId="0" applyFont="1"/>
    <xf numFmtId="39" fontId="4" fillId="0" borderId="0" xfId="0" applyNumberFormat="1" applyFont="1"/>
    <xf numFmtId="0" fontId="4" fillId="0" borderId="0" xfId="0" applyFont="1" applyBorder="1" applyAlignment="1">
      <alignment vertical="center"/>
    </xf>
    <xf numFmtId="10" fontId="1" fillId="0" borderId="10" xfId="90" applyNumberFormat="1" applyFill="1" applyBorder="1" applyAlignment="1">
      <alignment vertical="center"/>
    </xf>
    <xf numFmtId="164" fontId="1" fillId="0" borderId="51" xfId="60" applyNumberFormat="1" applyFill="1" applyBorder="1" applyAlignment="1">
      <alignment vertical="center"/>
    </xf>
    <xf numFmtId="10" fontId="1" fillId="0" borderId="51" xfId="90" applyNumberFormat="1" applyFill="1" applyBorder="1" applyAlignment="1">
      <alignment vertical="center"/>
    </xf>
    <xf numFmtId="0" fontId="59" fillId="0" borderId="0" xfId="84" applyNumberFormat="1" applyFont="1"/>
    <xf numFmtId="170" fontId="32" fillId="0" borderId="0" xfId="84" applyAlignment="1"/>
    <xf numFmtId="0" fontId="40" fillId="0" borderId="0" xfId="84" applyNumberFormat="1" applyFont="1" applyAlignment="1" applyProtection="1">
      <alignment horizontal="center"/>
      <protection locked="0"/>
    </xf>
    <xf numFmtId="170" fontId="40" fillId="0" borderId="0" xfId="84" applyFont="1" applyAlignment="1"/>
    <xf numFmtId="0" fontId="40" fillId="0" borderId="0" xfId="84" applyNumberFormat="1" applyFont="1" applyAlignment="1"/>
    <xf numFmtId="0" fontId="40" fillId="25" borderId="23" xfId="84" applyNumberFormat="1" applyFont="1" applyFill="1" applyBorder="1" applyAlignment="1"/>
    <xf numFmtId="0" fontId="40" fillId="0" borderId="0" xfId="0" applyNumberFormat="1" applyFont="1" applyAlignment="1" applyProtection="1">
      <alignment horizontal="center" vertical="top" wrapText="1"/>
      <protection locked="0"/>
    </xf>
    <xf numFmtId="0" fontId="40" fillId="0" borderId="0" xfId="0" applyFont="1" applyFill="1" applyAlignment="1">
      <alignment horizontal="center" vertical="top" wrapText="1"/>
    </xf>
    <xf numFmtId="44" fontId="61" fillId="0" borderId="0" xfId="60" applyFont="1" applyFill="1" applyBorder="1"/>
    <xf numFmtId="39" fontId="40" fillId="0" borderId="0" xfId="0" applyNumberFormat="1" applyFont="1" applyAlignment="1" applyProtection="1">
      <alignment horizontal="center"/>
    </xf>
    <xf numFmtId="0" fontId="33" fillId="0" borderId="0" xfId="0" applyFont="1"/>
    <xf numFmtId="42" fontId="33" fillId="0" borderId="0" xfId="0" applyNumberFormat="1" applyFont="1" applyBorder="1" applyAlignment="1">
      <alignment horizontal="right"/>
    </xf>
    <xf numFmtId="0" fontId="0" fillId="0" borderId="0" xfId="0"/>
    <xf numFmtId="0" fontId="0" fillId="0" borderId="0" xfId="0" applyNumberFormat="1"/>
    <xf numFmtId="0" fontId="0" fillId="0" borderId="0" xfId="0" applyAlignment="1"/>
    <xf numFmtId="0" fontId="32" fillId="0" borderId="0" xfId="0" applyNumberFormat="1" applyFont="1"/>
    <xf numFmtId="0" fontId="32" fillId="0" borderId="0" xfId="0" applyFont="1" applyAlignment="1"/>
    <xf numFmtId="0" fontId="33" fillId="0" borderId="0" xfId="0" applyNumberFormat="1" applyFont="1" applyAlignment="1"/>
    <xf numFmtId="0" fontId="33" fillId="0" borderId="0" xfId="0" applyNumberFormat="1" applyFont="1"/>
    <xf numFmtId="0" fontId="33" fillId="0" borderId="0" xfId="0" applyNumberFormat="1" applyFont="1" applyAlignment="1">
      <alignment horizontal="center"/>
    </xf>
    <xf numFmtId="0" fontId="33" fillId="25" borderId="0" xfId="0" applyNumberFormat="1" applyFont="1" applyFill="1"/>
    <xf numFmtId="3" fontId="33" fillId="0" borderId="0" xfId="0" applyNumberFormat="1" applyFont="1" applyAlignment="1"/>
    <xf numFmtId="0" fontId="0" fillId="0" borderId="0" xfId="0" applyNumberFormat="1" applyAlignment="1">
      <alignment horizontal="center"/>
    </xf>
    <xf numFmtId="49" fontId="33" fillId="25" borderId="0" xfId="0" applyNumberFormat="1" applyFont="1" applyFill="1"/>
    <xf numFmtId="168" fontId="33" fillId="0" borderId="0" xfId="0" applyNumberFormat="1" applyFont="1" applyAlignment="1"/>
    <xf numFmtId="0" fontId="0" fillId="0" borderId="0" xfId="0" applyFill="1" applyBorder="1" applyAlignment="1"/>
    <xf numFmtId="0" fontId="32" fillId="0" borderId="0" xfId="0" applyFont="1" applyFill="1" applyBorder="1" applyAlignment="1"/>
    <xf numFmtId="0" fontId="32" fillId="0" borderId="0" xfId="0" applyNumberFormat="1" applyFont="1" applyFill="1" applyBorder="1"/>
    <xf numFmtId="0" fontId="34" fillId="0" borderId="0" xfId="0" applyNumberFormat="1" applyFont="1" applyFill="1" applyBorder="1"/>
    <xf numFmtId="3" fontId="33" fillId="0" borderId="0" xfId="0" applyNumberFormat="1" applyFont="1" applyAlignment="1">
      <alignment horizontal="fill"/>
    </xf>
    <xf numFmtId="0" fontId="33" fillId="0" borderId="0" xfId="0" applyFont="1" applyAlignment="1"/>
    <xf numFmtId="172" fontId="33" fillId="0" borderId="0" xfId="0" applyNumberFormat="1" applyFont="1"/>
    <xf numFmtId="0" fontId="32" fillId="0" borderId="0" xfId="0" applyNumberFormat="1" applyFont="1" applyFill="1" applyBorder="1" applyAlignment="1"/>
    <xf numFmtId="3" fontId="32" fillId="0" borderId="0" xfId="0" applyNumberFormat="1" applyFont="1" applyAlignment="1"/>
    <xf numFmtId="3" fontId="32" fillId="0" borderId="0" xfId="0" applyNumberFormat="1" applyFont="1" applyFill="1" applyBorder="1" applyAlignment="1"/>
    <xf numFmtId="168" fontId="33" fillId="0" borderId="0" xfId="0" applyNumberFormat="1" applyFont="1" applyAlignment="1">
      <alignment horizontal="center"/>
    </xf>
    <xf numFmtId="168" fontId="33" fillId="0" borderId="0" xfId="0" applyNumberFormat="1" applyFont="1"/>
    <xf numFmtId="0" fontId="40" fillId="0" borderId="0" xfId="0" applyFont="1" applyAlignment="1"/>
    <xf numFmtId="0" fontId="33" fillId="0" borderId="0" xfId="83" applyNumberFormat="1" applyFont="1" applyAlignment="1"/>
    <xf numFmtId="43" fontId="0" fillId="0" borderId="0" xfId="55" applyFont="1"/>
    <xf numFmtId="164" fontId="1" fillId="59" borderId="10" xfId="60" applyNumberFormat="1" applyFill="1" applyBorder="1" applyAlignment="1">
      <alignment vertical="center"/>
    </xf>
    <xf numFmtId="0" fontId="0" fillId="0" borderId="0" xfId="0"/>
    <xf numFmtId="0" fontId="11" fillId="0" borderId="0" xfId="0" applyFont="1" applyFill="1" applyBorder="1" applyAlignment="1">
      <alignment horizontal="center"/>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0" fillId="0" borderId="0" xfId="0" applyAlignment="1">
      <alignment horizontal="right"/>
    </xf>
    <xf numFmtId="0" fontId="12"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1" fontId="12" fillId="0" borderId="0" xfId="0" applyNumberFormat="1" applyFont="1" applyFill="1" applyBorder="1" applyAlignment="1">
      <alignment horizontal="center" vertical="top" wrapText="1"/>
    </xf>
    <xf numFmtId="43" fontId="12" fillId="0" borderId="0" xfId="0" applyNumberFormat="1" applyFont="1" applyFill="1" applyBorder="1" applyAlignment="1">
      <alignment horizontal="left" vertical="top" wrapText="1"/>
    </xf>
    <xf numFmtId="14" fontId="12" fillId="0" borderId="0" xfId="0" applyNumberFormat="1" applyFont="1" applyFill="1" applyBorder="1" applyAlignment="1">
      <alignment horizontal="left" vertical="top" wrapText="1"/>
    </xf>
    <xf numFmtId="0" fontId="12" fillId="0" borderId="0" xfId="0" applyFont="1" applyFill="1" applyBorder="1" applyAlignment="1">
      <alignment horizontal="left" vertical="top"/>
    </xf>
    <xf numFmtId="0" fontId="12" fillId="60" borderId="0" xfId="0" applyFont="1" applyFill="1" applyBorder="1" applyAlignment="1">
      <alignment horizontal="left" vertical="top"/>
    </xf>
    <xf numFmtId="0" fontId="12" fillId="60" borderId="0" xfId="0" applyFont="1" applyFill="1" applyAlignment="1">
      <alignment horizontal="left" vertical="top"/>
    </xf>
    <xf numFmtId="0" fontId="12" fillId="0" borderId="0" xfId="0" applyFont="1" applyFill="1" applyAlignment="1">
      <alignment horizontal="left" vertical="top"/>
    </xf>
    <xf numFmtId="19" fontId="12" fillId="0" borderId="0" xfId="0" applyNumberFormat="1" applyFont="1" applyFill="1" applyBorder="1" applyAlignment="1">
      <alignment horizontal="left" vertical="top" wrapText="1"/>
    </xf>
    <xf numFmtId="177" fontId="12" fillId="0" borderId="0" xfId="0" applyNumberFormat="1" applyFont="1" applyFill="1" applyBorder="1" applyAlignment="1">
      <alignment horizontal="left" vertical="top" wrapText="1"/>
    </xf>
    <xf numFmtId="43" fontId="12" fillId="0" borderId="0" xfId="0" applyNumberFormat="1" applyFont="1" applyFill="1" applyBorder="1" applyAlignment="1">
      <alignment horizontal="left" vertical="top"/>
    </xf>
    <xf numFmtId="0" fontId="46" fillId="0" borderId="0" xfId="0" applyFont="1" applyFill="1" applyAlignment="1">
      <alignment horizontal="center" vertical="top"/>
    </xf>
    <xf numFmtId="1" fontId="46" fillId="0" borderId="0" xfId="0" applyNumberFormat="1" applyFont="1" applyFill="1" applyAlignment="1">
      <alignment horizontal="center" vertical="top"/>
    </xf>
    <xf numFmtId="43" fontId="46" fillId="0" borderId="0" xfId="0" applyNumberFormat="1" applyFont="1" applyFill="1" applyAlignment="1">
      <alignment horizontal="center" vertical="top"/>
    </xf>
    <xf numFmtId="167" fontId="47" fillId="0" borderId="0" xfId="0" applyNumberFormat="1" applyFont="1" applyFill="1" applyAlignment="1">
      <alignment horizontal="center" vertical="top" wrapText="1" readingOrder="1"/>
    </xf>
    <xf numFmtId="43" fontId="46" fillId="0" borderId="0" xfId="0" applyNumberFormat="1" applyFont="1" applyFill="1" applyBorder="1" applyAlignment="1">
      <alignment horizontal="center" vertical="top" wrapText="1" readingOrder="1"/>
    </xf>
    <xf numFmtId="0" fontId="46" fillId="0" borderId="0" xfId="0" applyFont="1" applyFill="1" applyBorder="1" applyAlignment="1">
      <alignment horizontal="left" vertical="top"/>
    </xf>
    <xf numFmtId="0" fontId="46" fillId="0" borderId="0" xfId="0" applyFont="1" applyFill="1" applyBorder="1" applyAlignment="1">
      <alignment horizontal="center" vertical="top"/>
    </xf>
    <xf numFmtId="0" fontId="46" fillId="60" borderId="0" xfId="0" applyFont="1" applyFill="1" applyAlignment="1">
      <alignment horizontal="center" vertical="top"/>
    </xf>
    <xf numFmtId="0" fontId="46" fillId="0" borderId="27" xfId="0" applyFont="1" applyFill="1" applyBorder="1" applyAlignment="1">
      <alignment horizontal="center" vertical="top" wrapText="1"/>
    </xf>
    <xf numFmtId="0" fontId="46" fillId="0" borderId="27" xfId="0" applyFont="1" applyFill="1" applyBorder="1" applyAlignment="1">
      <alignment horizontal="center" vertical="top" wrapText="1" readingOrder="1"/>
    </xf>
    <xf numFmtId="0" fontId="46" fillId="0" borderId="27" xfId="0" applyFont="1" applyFill="1" applyBorder="1" applyAlignment="1">
      <alignment horizontal="center" vertical="top"/>
    </xf>
    <xf numFmtId="1" fontId="46" fillId="0" borderId="27" xfId="0" applyNumberFormat="1" applyFont="1" applyFill="1" applyBorder="1" applyAlignment="1">
      <alignment horizontal="center" vertical="top" wrapText="1"/>
    </xf>
    <xf numFmtId="43" fontId="46" fillId="0" borderId="27" xfId="0" applyNumberFormat="1" applyFont="1" applyFill="1" applyBorder="1" applyAlignment="1">
      <alignment horizontal="center" vertical="top" wrapText="1" readingOrder="1"/>
    </xf>
    <xf numFmtId="1" fontId="46" fillId="0" borderId="27" xfId="0" applyNumberFormat="1" applyFont="1" applyFill="1" applyBorder="1" applyAlignment="1">
      <alignment horizontal="center" vertical="top" wrapText="1" readingOrder="1"/>
    </xf>
    <xf numFmtId="0" fontId="46" fillId="0" borderId="0" xfId="0" applyFont="1" applyFill="1" applyBorder="1" applyAlignment="1">
      <alignment horizontal="left" vertical="top" wrapText="1"/>
    </xf>
    <xf numFmtId="0" fontId="46" fillId="0" borderId="0" xfId="0" applyFont="1" applyFill="1" applyBorder="1" applyAlignment="1">
      <alignment horizontal="center" vertical="top" wrapText="1" readingOrder="1"/>
    </xf>
    <xf numFmtId="0" fontId="46" fillId="60" borderId="27" xfId="0" applyFont="1" applyFill="1" applyBorder="1" applyAlignment="1">
      <alignment horizontal="center" vertical="top"/>
    </xf>
    <xf numFmtId="0" fontId="48" fillId="0" borderId="0" xfId="0" applyFont="1" applyFill="1" applyBorder="1" applyAlignment="1">
      <alignment horizontal="center" vertical="top" wrapText="1"/>
    </xf>
    <xf numFmtId="0" fontId="49" fillId="0" borderId="0" xfId="0" applyFont="1" applyFill="1" applyBorder="1" applyAlignment="1">
      <alignment horizontal="left" vertical="top" wrapText="1"/>
    </xf>
    <xf numFmtId="43" fontId="45" fillId="0" borderId="0" xfId="0" applyNumberFormat="1" applyFont="1" applyFill="1" applyBorder="1" applyAlignment="1">
      <alignment horizontal="left" vertical="top" wrapText="1"/>
    </xf>
    <xf numFmtId="0" fontId="45" fillId="0" borderId="0" xfId="0" applyFont="1" applyFill="1" applyBorder="1" applyAlignment="1">
      <alignment horizontal="left" vertical="top" wrapText="1"/>
    </xf>
    <xf numFmtId="43" fontId="45" fillId="26" borderId="28" xfId="0" applyNumberFormat="1" applyFont="1" applyFill="1" applyBorder="1" applyAlignment="1">
      <alignment horizontal="left" vertical="top" wrapText="1"/>
    </xf>
    <xf numFmtId="0" fontId="6" fillId="0" borderId="0" xfId="0" quotePrefix="1" applyNumberFormat="1" applyFont="1" applyFill="1" applyAlignment="1">
      <alignment horizontal="center" vertical="top"/>
    </xf>
    <xf numFmtId="0" fontId="11" fillId="0" borderId="0" xfId="0" applyFont="1" applyFill="1" applyAlignment="1">
      <alignment horizontal="left" vertical="top"/>
    </xf>
    <xf numFmtId="14"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0" fontId="11" fillId="0" borderId="0" xfId="0" applyFont="1" applyFill="1" applyBorder="1" applyAlignment="1">
      <alignment horizontal="left" vertical="top"/>
    </xf>
    <xf numFmtId="43" fontId="11" fillId="0" borderId="0" xfId="0" applyNumberFormat="1" applyFont="1" applyFill="1" applyBorder="1" applyAlignment="1">
      <alignment horizontal="left"/>
    </xf>
    <xf numFmtId="43" fontId="11" fillId="0" borderId="0" xfId="0" applyNumberFormat="1" applyFont="1" applyFill="1" applyBorder="1" applyAlignment="1">
      <alignment horizontal="left" vertical="top"/>
    </xf>
    <xf numFmtId="43" fontId="45" fillId="60" borderId="0" xfId="0" applyNumberFormat="1" applyFont="1" applyFill="1" applyBorder="1" applyAlignment="1">
      <alignment horizontal="left" vertical="top"/>
    </xf>
    <xf numFmtId="0" fontId="45" fillId="60" borderId="0" xfId="0" applyFont="1" applyFill="1" applyBorder="1" applyAlignment="1">
      <alignment horizontal="left" vertical="top"/>
    </xf>
    <xf numFmtId="0" fontId="50" fillId="0" borderId="0" xfId="0" applyFont="1" applyFill="1" applyAlignment="1">
      <alignment horizontal="left" vertical="top"/>
    </xf>
    <xf numFmtId="43" fontId="11" fillId="0" borderId="0" xfId="57" applyNumberFormat="1" applyFont="1" applyFill="1" applyBorder="1" applyAlignment="1">
      <alignment horizontal="left"/>
    </xf>
    <xf numFmtId="3" fontId="12" fillId="0" borderId="0" xfId="0" applyNumberFormat="1" applyFont="1" applyFill="1" applyBorder="1" applyAlignment="1">
      <alignment horizontal="left" vertical="top" wrapText="1"/>
    </xf>
    <xf numFmtId="14" fontId="12" fillId="0" borderId="0" xfId="0" applyNumberFormat="1" applyFont="1" applyFill="1" applyBorder="1" applyAlignment="1">
      <alignment horizontal="center" vertical="top" wrapText="1"/>
    </xf>
    <xf numFmtId="43" fontId="12" fillId="0" borderId="0" xfId="0" applyNumberFormat="1" applyFont="1" applyFill="1" applyAlignment="1">
      <alignment horizontal="left" vertical="top" wrapText="1"/>
    </xf>
    <xf numFmtId="43" fontId="45" fillId="0" borderId="0" xfId="0" applyNumberFormat="1" applyFont="1" applyFill="1" applyAlignment="1">
      <alignment horizontal="left" vertical="top" wrapText="1"/>
    </xf>
    <xf numFmtId="4" fontId="12" fillId="0" borderId="0" xfId="0" applyNumberFormat="1" applyFont="1" applyFill="1" applyBorder="1" applyAlignment="1">
      <alignment horizontal="left" vertical="top" wrapText="1"/>
    </xf>
    <xf numFmtId="0" fontId="45" fillId="60" borderId="0" xfId="0" applyFont="1" applyFill="1" applyAlignment="1">
      <alignment horizontal="left" vertical="top"/>
    </xf>
    <xf numFmtId="0" fontId="45" fillId="0" borderId="0" xfId="0" applyFont="1" applyFill="1" applyAlignment="1">
      <alignment horizontal="left" vertical="top"/>
    </xf>
    <xf numFmtId="3" fontId="12" fillId="0" borderId="0" xfId="0" applyNumberFormat="1" applyFont="1" applyFill="1" applyAlignment="1">
      <alignment horizontal="left" vertical="top" wrapText="1"/>
    </xf>
    <xf numFmtId="0" fontId="12" fillId="0" borderId="0" xfId="0" applyFont="1" applyFill="1" applyAlignment="1">
      <alignment horizontal="center" vertical="top" wrapText="1"/>
    </xf>
    <xf numFmtId="43" fontId="45" fillId="60" borderId="28" xfId="0" applyNumberFormat="1" applyFont="1" applyFill="1" applyBorder="1" applyAlignment="1">
      <alignment horizontal="left" vertical="top" wrapText="1"/>
    </xf>
    <xf numFmtId="43" fontId="45" fillId="60" borderId="0" xfId="0" applyNumberFormat="1" applyFont="1" applyFill="1" applyAlignment="1">
      <alignment horizontal="left" vertical="top"/>
    </xf>
    <xf numFmtId="0" fontId="51" fillId="0" borderId="0" xfId="0" quotePrefix="1" applyNumberFormat="1" applyFont="1" applyFill="1" applyBorder="1" applyAlignment="1">
      <alignment horizontal="left" vertical="top"/>
    </xf>
    <xf numFmtId="1" fontId="12" fillId="0" borderId="0" xfId="0" applyNumberFormat="1" applyFont="1" applyFill="1" applyAlignment="1">
      <alignment horizontal="center" vertical="top" wrapText="1"/>
    </xf>
    <xf numFmtId="4" fontId="45" fillId="60" borderId="0" xfId="0" applyNumberFormat="1" applyFont="1" applyFill="1" applyBorder="1" applyAlignment="1">
      <alignment horizontal="left" vertical="top" wrapText="1"/>
    </xf>
    <xf numFmtId="0" fontId="12" fillId="0" borderId="0" xfId="0" applyFont="1" applyFill="1" applyBorder="1" applyAlignment="1">
      <alignment horizontal="left" vertical="top" wrapText="1" readingOrder="1"/>
    </xf>
    <xf numFmtId="4" fontId="45" fillId="0" borderId="0" xfId="0" applyNumberFormat="1" applyFont="1" applyFill="1" applyBorder="1" applyAlignment="1">
      <alignment horizontal="left" vertical="top" wrapText="1"/>
    </xf>
    <xf numFmtId="4" fontId="45" fillId="60" borderId="0" xfId="0" applyNumberFormat="1" applyFont="1" applyFill="1" applyAlignment="1">
      <alignment horizontal="left" vertical="top" wrapText="1"/>
    </xf>
    <xf numFmtId="0" fontId="51" fillId="0" borderId="0" xfId="0" quotePrefix="1" applyNumberFormat="1" applyFont="1" applyFill="1" applyBorder="1" applyAlignment="1">
      <alignment horizontal="left" vertical="top" wrapText="1"/>
    </xf>
    <xf numFmtId="166" fontId="79" fillId="0" borderId="0" xfId="57" quotePrefix="1" applyNumberFormat="1" applyFont="1" applyFill="1" applyBorder="1" applyAlignment="1">
      <alignment horizontal="right" vertical="top"/>
    </xf>
    <xf numFmtId="43" fontId="80" fillId="0" borderId="0" xfId="57" quotePrefix="1" applyNumberFormat="1" applyFont="1" applyFill="1" applyBorder="1" applyAlignment="1">
      <alignment horizontal="right" vertical="top"/>
    </xf>
    <xf numFmtId="0" fontId="47" fillId="0" borderId="0" xfId="0" applyFont="1" applyFill="1" applyBorder="1" applyAlignment="1">
      <alignment horizontal="left" vertical="top" wrapText="1"/>
    </xf>
    <xf numFmtId="0" fontId="47" fillId="0" borderId="0" xfId="0" applyFont="1" applyFill="1" applyBorder="1" applyAlignment="1">
      <alignment horizontal="center" vertical="top" wrapText="1"/>
    </xf>
    <xf numFmtId="1" fontId="47" fillId="0" borderId="0" xfId="0" applyNumberFormat="1" applyFont="1" applyFill="1" applyBorder="1" applyAlignment="1">
      <alignment horizontal="center" vertical="top" wrapText="1"/>
    </xf>
    <xf numFmtId="0" fontId="51" fillId="0" borderId="0" xfId="0" quotePrefix="1" applyNumberFormat="1" applyFont="1" applyFill="1" applyBorder="1" applyAlignment="1">
      <alignment horizontal="center" vertical="top" wrapText="1"/>
    </xf>
    <xf numFmtId="0" fontId="6" fillId="0" borderId="0" xfId="0" quotePrefix="1" applyNumberFormat="1" applyFont="1" applyFill="1" applyBorder="1" applyAlignment="1">
      <alignment horizontal="left" vertical="top" wrapText="1"/>
    </xf>
    <xf numFmtId="0" fontId="81" fillId="0" borderId="0" xfId="0" quotePrefix="1" applyNumberFormat="1" applyFont="1" applyFill="1" applyBorder="1" applyAlignment="1">
      <alignment horizontal="left" vertical="top" wrapText="1"/>
    </xf>
    <xf numFmtId="1" fontId="12" fillId="0" borderId="0" xfId="0" applyNumberFormat="1" applyFont="1" applyFill="1" applyBorder="1" applyAlignment="1">
      <alignment horizontal="center" vertical="top"/>
    </xf>
    <xf numFmtId="0" fontId="45" fillId="0" borderId="0" xfId="0" applyFont="1" applyFill="1" applyBorder="1" applyAlignment="1">
      <alignment horizontal="center" vertical="top" wrapText="1"/>
    </xf>
    <xf numFmtId="0" fontId="45" fillId="0" borderId="0" xfId="0" applyFont="1" applyFill="1" applyAlignment="1">
      <alignment horizontal="center" vertical="top"/>
    </xf>
    <xf numFmtId="1" fontId="45" fillId="0" borderId="0" xfId="0" applyNumberFormat="1" applyFont="1" applyFill="1" applyAlignment="1">
      <alignment horizontal="center" vertical="top"/>
    </xf>
    <xf numFmtId="1" fontId="45" fillId="0" borderId="0" xfId="0" applyNumberFormat="1" applyFont="1" applyFill="1" applyBorder="1" applyAlignment="1">
      <alignment horizontal="center" vertical="top" wrapText="1"/>
    </xf>
    <xf numFmtId="0" fontId="46" fillId="0" borderId="0" xfId="0" applyFont="1" applyFill="1" applyAlignment="1">
      <alignment horizontal="left" vertical="top"/>
    </xf>
    <xf numFmtId="43" fontId="45" fillId="60" borderId="0" xfId="57" applyFont="1" applyFill="1" applyAlignment="1">
      <alignment horizontal="left" vertical="top"/>
    </xf>
    <xf numFmtId="3" fontId="46" fillId="0" borderId="0" xfId="0" applyNumberFormat="1" applyFont="1" applyFill="1" applyBorder="1" applyAlignment="1">
      <alignment horizontal="left" vertical="top" wrapText="1"/>
    </xf>
    <xf numFmtId="43" fontId="45" fillId="26" borderId="29" xfId="0" applyNumberFormat="1" applyFont="1" applyFill="1" applyBorder="1" applyAlignment="1">
      <alignment horizontal="left" vertical="top" wrapText="1"/>
    </xf>
    <xf numFmtId="43" fontId="45" fillId="60" borderId="29" xfId="0" applyNumberFormat="1" applyFont="1" applyFill="1" applyBorder="1" applyAlignment="1">
      <alignment horizontal="left" vertical="top" wrapText="1"/>
    </xf>
    <xf numFmtId="43" fontId="11" fillId="0" borderId="0" xfId="0" applyNumberFormat="1" applyFont="1" applyFill="1" applyBorder="1" applyAlignment="1">
      <alignment horizontal="left" vertical="top" wrapText="1"/>
    </xf>
    <xf numFmtId="43" fontId="45" fillId="0" borderId="30" xfId="0" applyNumberFormat="1" applyFont="1" applyFill="1" applyBorder="1" applyAlignment="1">
      <alignment horizontal="left" vertical="top" wrapText="1"/>
    </xf>
    <xf numFmtId="1" fontId="45" fillId="0" borderId="0" xfId="0" applyNumberFormat="1" applyFont="1" applyFill="1" applyBorder="1" applyAlignment="1">
      <alignment horizontal="center" vertical="top"/>
    </xf>
    <xf numFmtId="177" fontId="11" fillId="0" borderId="0" xfId="0" applyNumberFormat="1" applyFont="1" applyFill="1" applyBorder="1" applyAlignment="1">
      <alignment horizontal="left" vertical="top" wrapText="1"/>
    </xf>
    <xf numFmtId="0" fontId="0" fillId="60" borderId="0" xfId="0" applyFill="1"/>
    <xf numFmtId="4" fontId="45" fillId="60" borderId="0" xfId="0" applyNumberFormat="1" applyFont="1" applyFill="1" applyBorder="1" applyAlignment="1">
      <alignment horizontal="right" vertical="top" wrapText="1"/>
    </xf>
    <xf numFmtId="0" fontId="45" fillId="60" borderId="0" xfId="0" applyFont="1" applyFill="1" applyAlignment="1">
      <alignment horizontal="right" vertical="top"/>
    </xf>
    <xf numFmtId="0" fontId="12" fillId="60" borderId="0" xfId="0" applyFont="1" applyFill="1" applyBorder="1" applyAlignment="1">
      <alignment horizontal="right" vertical="top"/>
    </xf>
    <xf numFmtId="0" fontId="46" fillId="60" borderId="27" xfId="0" applyFont="1" applyFill="1" applyBorder="1" applyAlignment="1">
      <alignment horizontal="right" vertical="top"/>
    </xf>
    <xf numFmtId="0" fontId="0" fillId="60" borderId="0" xfId="0" applyFill="1" applyAlignment="1">
      <alignment horizontal="right"/>
    </xf>
    <xf numFmtId="43" fontId="45" fillId="60" borderId="0" xfId="0" applyNumberFormat="1" applyFont="1" applyFill="1" applyBorder="1" applyAlignment="1">
      <alignment horizontal="right" vertical="top"/>
    </xf>
    <xf numFmtId="0" fontId="45" fillId="60" borderId="0" xfId="0" applyFont="1" applyFill="1" applyBorder="1" applyAlignment="1">
      <alignment horizontal="right" vertical="top"/>
    </xf>
    <xf numFmtId="43" fontId="45" fillId="60" borderId="28" xfId="0" applyNumberFormat="1" applyFont="1" applyFill="1" applyBorder="1" applyAlignment="1">
      <alignment horizontal="right" vertical="top" wrapText="1"/>
    </xf>
    <xf numFmtId="43" fontId="45" fillId="60" borderId="29" xfId="0" applyNumberFormat="1" applyFont="1" applyFill="1" applyBorder="1" applyAlignment="1">
      <alignment horizontal="right" vertical="top" wrapText="1"/>
    </xf>
    <xf numFmtId="43" fontId="12" fillId="0" borderId="0" xfId="55" applyFont="1" applyFill="1" applyBorder="1" applyAlignment="1">
      <alignment horizontal="center" vertical="top" wrapText="1"/>
    </xf>
    <xf numFmtId="43" fontId="45" fillId="0" borderId="0" xfId="0" applyNumberFormat="1" applyFont="1" applyFill="1" applyBorder="1" applyAlignment="1">
      <alignment horizontal="left" vertical="top" wrapText="1"/>
    </xf>
    <xf numFmtId="43" fontId="45" fillId="0" borderId="0" xfId="0" applyNumberFormat="1" applyFont="1" applyFill="1" applyAlignment="1">
      <alignment horizontal="left" vertical="top" wrapText="1"/>
    </xf>
    <xf numFmtId="43" fontId="45" fillId="0" borderId="0" xfId="0" applyNumberFormat="1" applyFont="1" applyFill="1" applyBorder="1" applyAlignment="1">
      <alignment horizontal="left" vertical="top" wrapText="1"/>
    </xf>
    <xf numFmtId="0" fontId="12" fillId="60" borderId="0" xfId="0" applyFont="1" applyFill="1" applyBorder="1" applyAlignment="1">
      <alignment horizontal="left" vertical="top"/>
    </xf>
    <xf numFmtId="0" fontId="46" fillId="60" borderId="0" xfId="0" applyFont="1" applyFill="1" applyAlignment="1">
      <alignment horizontal="center" vertical="top"/>
    </xf>
    <xf numFmtId="0" fontId="46" fillId="60" borderId="27" xfId="0" applyFont="1" applyFill="1" applyBorder="1" applyAlignment="1">
      <alignment horizontal="center" vertical="top"/>
    </xf>
    <xf numFmtId="43" fontId="45" fillId="60" borderId="0" xfId="0" applyNumberFormat="1" applyFont="1" applyFill="1" applyBorder="1" applyAlignment="1">
      <alignment horizontal="left" vertical="top"/>
    </xf>
    <xf numFmtId="0" fontId="45" fillId="60" borderId="0" xfId="0" applyFont="1" applyFill="1" applyBorder="1" applyAlignment="1">
      <alignment horizontal="left" vertical="top"/>
    </xf>
    <xf numFmtId="0" fontId="45" fillId="60" borderId="0" xfId="0" applyFont="1" applyFill="1" applyAlignment="1">
      <alignment horizontal="left" vertical="top"/>
    </xf>
    <xf numFmtId="43" fontId="45" fillId="60" borderId="0" xfId="0" applyNumberFormat="1" applyFont="1" applyFill="1" applyAlignment="1">
      <alignment horizontal="left" vertical="top"/>
    </xf>
    <xf numFmtId="43" fontId="45" fillId="60" borderId="30" xfId="0" applyNumberFormat="1" applyFont="1" applyFill="1" applyBorder="1" applyAlignment="1">
      <alignment horizontal="left" vertical="top" wrapText="1"/>
    </xf>
    <xf numFmtId="43" fontId="45" fillId="60" borderId="28" xfId="0" applyNumberFormat="1" applyFont="1" applyFill="1" applyBorder="1" applyAlignment="1">
      <alignment horizontal="left" vertical="top"/>
    </xf>
    <xf numFmtId="0" fontId="11" fillId="60" borderId="0" xfId="0" applyFont="1" applyFill="1" applyBorder="1" applyAlignment="1">
      <alignment horizontal="left" vertical="top"/>
    </xf>
    <xf numFmtId="43" fontId="0" fillId="60" borderId="0" xfId="0" applyNumberFormat="1" applyFill="1"/>
    <xf numFmtId="43" fontId="0" fillId="0" borderId="28" xfId="0" applyNumberFormat="1" applyBorder="1"/>
    <xf numFmtId="43" fontId="45" fillId="0" borderId="28" xfId="0" applyNumberFormat="1" applyFont="1" applyFill="1" applyBorder="1" applyAlignment="1">
      <alignment horizontal="right" vertical="top" wrapText="1"/>
    </xf>
    <xf numFmtId="43" fontId="4" fillId="0" borderId="29" xfId="0" applyNumberFormat="1" applyFont="1" applyFill="1" applyBorder="1" applyAlignment="1">
      <alignment horizontal="left" vertical="top" wrapText="1"/>
    </xf>
    <xf numFmtId="3" fontId="12" fillId="0" borderId="0" xfId="0" applyNumberFormat="1" applyFont="1" applyFill="1" applyBorder="1" applyAlignment="1">
      <alignment horizontal="left" vertical="top" wrapText="1" readingOrder="1"/>
    </xf>
    <xf numFmtId="43" fontId="0" fillId="0" borderId="28" xfId="55" applyFont="1" applyBorder="1"/>
    <xf numFmtId="0" fontId="0" fillId="0" borderId="14" xfId="0" applyBorder="1" applyAlignment="1">
      <alignment horizontal="center" vertical="center"/>
    </xf>
    <xf numFmtId="43" fontId="45" fillId="0" borderId="0" xfId="0" applyNumberFormat="1" applyFont="1" applyFill="1" applyBorder="1" applyAlignment="1">
      <alignment horizontal="left" vertical="top" wrapText="1"/>
    </xf>
    <xf numFmtId="0" fontId="45" fillId="0" borderId="0" xfId="0" applyFont="1" applyFill="1" applyAlignment="1">
      <alignment horizontal="left" vertical="top"/>
    </xf>
    <xf numFmtId="43" fontId="45" fillId="0" borderId="29" xfId="0" applyNumberFormat="1" applyFont="1" applyFill="1" applyBorder="1" applyAlignment="1">
      <alignment horizontal="left" vertical="top" wrapText="1"/>
    </xf>
    <xf numFmtId="43" fontId="45" fillId="0" borderId="30" xfId="0" applyNumberFormat="1" applyFont="1" applyFill="1" applyBorder="1" applyAlignment="1">
      <alignment horizontal="left" vertical="top" wrapText="1"/>
    </xf>
    <xf numFmtId="43" fontId="45" fillId="0" borderId="0" xfId="0" applyNumberFormat="1" applyFont="1" applyFill="1" applyAlignment="1">
      <alignment horizontal="left" vertical="top"/>
    </xf>
    <xf numFmtId="0" fontId="0" fillId="0" borderId="0" xfId="0" applyFill="1"/>
    <xf numFmtId="166" fontId="0" fillId="0" borderId="0" xfId="0" applyNumberFormat="1"/>
    <xf numFmtId="43" fontId="0" fillId="0" borderId="0" xfId="0" applyNumberFormat="1"/>
    <xf numFmtId="0" fontId="4" fillId="0" borderId="0" xfId="0" applyFont="1"/>
    <xf numFmtId="0" fontId="0" fillId="60" borderId="0" xfId="0" applyFill="1" applyBorder="1"/>
    <xf numFmtId="164" fontId="0" fillId="0" borderId="0" xfId="0" applyNumberFormat="1" applyAlignment="1">
      <alignment vertical="center"/>
    </xf>
    <xf numFmtId="37" fontId="4" fillId="0" borderId="0" xfId="0" applyNumberFormat="1" applyFont="1"/>
    <xf numFmtId="43" fontId="0" fillId="0" borderId="28" xfId="0" applyNumberFormat="1" applyBorder="1" applyAlignment="1">
      <alignment horizontal="right"/>
    </xf>
    <xf numFmtId="43" fontId="0" fillId="0" borderId="0" xfId="0" applyNumberFormat="1" applyFill="1"/>
    <xf numFmtId="0" fontId="0" fillId="0" borderId="0" xfId="0"/>
    <xf numFmtId="0" fontId="0" fillId="0" borderId="0" xfId="0" applyAlignment="1">
      <alignment vertical="center"/>
    </xf>
    <xf numFmtId="0" fontId="0" fillId="0" borderId="10" xfId="0" applyBorder="1" applyAlignment="1">
      <alignment horizontal="center"/>
    </xf>
    <xf numFmtId="0" fontId="0" fillId="0" borderId="0" xfId="0" applyAlignment="1">
      <alignment horizontal="center" vertical="center"/>
    </xf>
    <xf numFmtId="0" fontId="82" fillId="0" borderId="10" xfId="0" applyFont="1" applyBorder="1" applyAlignment="1">
      <alignment horizontal="center"/>
    </xf>
    <xf numFmtId="0" fontId="82" fillId="0" borderId="63" xfId="0" applyFont="1" applyBorder="1" applyAlignment="1">
      <alignment horizontal="center" vertical="center" wrapText="1"/>
    </xf>
    <xf numFmtId="0" fontId="82" fillId="0" borderId="62" xfId="0" applyFont="1" applyBorder="1" applyAlignment="1">
      <alignment horizontal="center" vertical="center" wrapText="1"/>
    </xf>
    <xf numFmtId="0" fontId="82" fillId="59" borderId="62" xfId="0" applyFont="1" applyFill="1" applyBorder="1" applyAlignment="1">
      <alignment horizontal="center" vertical="center" wrapText="1"/>
    </xf>
    <xf numFmtId="0" fontId="0" fillId="0" borderId="63" xfId="0" applyBorder="1" applyAlignment="1">
      <alignment horizontal="center" wrapText="1"/>
    </xf>
    <xf numFmtId="14" fontId="0" fillId="0" borderId="62" xfId="0" applyNumberFormat="1" applyBorder="1" applyAlignment="1">
      <alignment horizontal="center" wrapText="1"/>
    </xf>
    <xf numFmtId="0" fontId="0" fillId="0" borderId="62" xfId="0" applyNumberFormat="1" applyBorder="1" applyAlignment="1">
      <alignment horizontal="center" wrapText="1"/>
    </xf>
    <xf numFmtId="0" fontId="0" fillId="0" borderId="62" xfId="0" applyBorder="1" applyAlignment="1">
      <alignment horizontal="center" wrapText="1"/>
    </xf>
    <xf numFmtId="0" fontId="0" fillId="59" borderId="62" xfId="0" applyFill="1" applyBorder="1" applyAlignment="1">
      <alignment horizontal="center" wrapText="1"/>
    </xf>
    <xf numFmtId="10" fontId="0" fillId="0" borderId="62" xfId="0" applyNumberFormat="1" applyBorder="1" applyAlignment="1">
      <alignment horizontal="center" wrapText="1"/>
    </xf>
    <xf numFmtId="43" fontId="0" fillId="0" borderId="0" xfId="55" applyFont="1" applyAlignment="1"/>
    <xf numFmtId="39" fontId="0" fillId="0" borderId="0" xfId="0" applyNumberFormat="1" applyAlignment="1">
      <alignment horizontal="right"/>
    </xf>
    <xf numFmtId="1" fontId="12" fillId="0" borderId="0" xfId="0" applyNumberFormat="1" applyFont="1" applyFill="1" applyBorder="1" applyAlignment="1">
      <alignment horizontal="center" vertical="top" wrapText="1"/>
    </xf>
    <xf numFmtId="49" fontId="83" fillId="0" borderId="0" xfId="0" applyNumberFormat="1" applyFont="1"/>
    <xf numFmtId="178" fontId="83" fillId="0" borderId="0" xfId="0" applyNumberFormat="1" applyFont="1"/>
    <xf numFmtId="179" fontId="83" fillId="0" borderId="0" xfId="0" applyNumberFormat="1" applyFont="1"/>
    <xf numFmtId="49" fontId="84" fillId="0" borderId="0" xfId="0" applyNumberFormat="1" applyFont="1"/>
    <xf numFmtId="178" fontId="84" fillId="0" borderId="0" xfId="0" applyNumberFormat="1" applyFont="1"/>
    <xf numFmtId="49" fontId="84" fillId="0" borderId="0" xfId="0" applyNumberFormat="1" applyFont="1" applyAlignment="1">
      <alignment horizontal="centerContinuous"/>
    </xf>
    <xf numFmtId="179" fontId="84" fillId="0" borderId="0" xfId="0" applyNumberFormat="1" applyFont="1"/>
    <xf numFmtId="179" fontId="84" fillId="0" borderId="23" xfId="0" applyNumberFormat="1" applyFont="1" applyBorder="1"/>
    <xf numFmtId="179" fontId="84" fillId="0" borderId="0" xfId="0" applyNumberFormat="1" applyFont="1" applyBorder="1"/>
    <xf numFmtId="179" fontId="84" fillId="0" borderId="18" xfId="0" applyNumberFormat="1" applyFont="1" applyBorder="1"/>
    <xf numFmtId="179" fontId="84" fillId="0" borderId="65" xfId="0" applyNumberFormat="1" applyFont="1" applyBorder="1"/>
    <xf numFmtId="179" fontId="83" fillId="0" borderId="66" xfId="0" applyNumberFormat="1" applyFont="1" applyBorder="1"/>
    <xf numFmtId="0" fontId="83" fillId="0" borderId="0" xfId="0" applyFont="1"/>
    <xf numFmtId="49" fontId="0" fillId="0" borderId="0" xfId="0" applyNumberFormat="1" applyAlignment="1">
      <alignment horizontal="center"/>
    </xf>
    <xf numFmtId="49" fontId="83" fillId="0" borderId="64" xfId="0" applyNumberFormat="1" applyFont="1" applyBorder="1" applyAlignment="1">
      <alignment horizontal="center"/>
    </xf>
    <xf numFmtId="164" fontId="1" fillId="0" borderId="0" xfId="60" applyNumberFormat="1" applyFont="1" applyFill="1" applyBorder="1"/>
    <xf numFmtId="0" fontId="45" fillId="0" borderId="0" xfId="0" applyFont="1" applyFill="1" applyBorder="1" applyAlignment="1">
      <alignment horizontal="right" vertical="top"/>
    </xf>
    <xf numFmtId="43" fontId="45" fillId="0" borderId="0" xfId="57" applyFont="1" applyFill="1" applyAlignment="1">
      <alignment horizontal="left" vertical="top"/>
    </xf>
    <xf numFmtId="166" fontId="4" fillId="0" borderId="0" xfId="55" applyNumberFormat="1" applyFont="1" applyBorder="1"/>
    <xf numFmtId="0" fontId="33" fillId="0" borderId="23" xfId="84" applyNumberFormat="1" applyFont="1" applyBorder="1" applyAlignment="1" applyProtection="1">
      <protection locked="0"/>
    </xf>
    <xf numFmtId="43" fontId="85" fillId="60" borderId="0" xfId="0" applyNumberFormat="1" applyFont="1" applyFill="1" applyAlignment="1">
      <alignment horizontal="left" vertical="top"/>
    </xf>
    <xf numFmtId="0" fontId="33" fillId="0" borderId="0" xfId="0" applyNumberFormat="1" applyFont="1" applyAlignment="1"/>
    <xf numFmtId="0" fontId="33" fillId="0" borderId="0" xfId="0" applyNumberFormat="1" applyFont="1" applyAlignment="1">
      <alignment horizontal="right"/>
    </xf>
    <xf numFmtId="0" fontId="0" fillId="0" borderId="0" xfId="0" applyAlignment="1"/>
    <xf numFmtId="0" fontId="40" fillId="0" borderId="0" xfId="0" applyNumberFormat="1" applyFont="1" applyAlignment="1"/>
    <xf numFmtId="3" fontId="40" fillId="61" borderId="0" xfId="0" applyNumberFormat="1" applyFont="1" applyFill="1" applyAlignment="1"/>
    <xf numFmtId="3" fontId="40" fillId="0" borderId="67" xfId="0" applyNumberFormat="1" applyFont="1" applyBorder="1" applyAlignment="1"/>
    <xf numFmtId="170" fontId="40" fillId="0" borderId="0" xfId="0" applyNumberFormat="1" applyFont="1" applyAlignment="1" applyProtection="1">
      <protection locked="0"/>
    </xf>
    <xf numFmtId="171" fontId="40" fillId="0" borderId="0" xfId="0" applyNumberFormat="1" applyFont="1" applyFill="1" applyBorder="1" applyAlignment="1" applyProtection="1"/>
    <xf numFmtId="0" fontId="40" fillId="0" borderId="0" xfId="0" applyFont="1" applyAlignment="1">
      <alignment horizontal="right"/>
    </xf>
    <xf numFmtId="0" fontId="40" fillId="0" borderId="0" xfId="0" applyNumberFormat="1" applyFont="1" applyAlignment="1">
      <alignment horizontal="right"/>
    </xf>
    <xf numFmtId="3" fontId="40" fillId="0" borderId="0" xfId="0" applyNumberFormat="1" applyFont="1" applyAlignment="1"/>
    <xf numFmtId="3" fontId="40" fillId="0" borderId="0" xfId="0" applyNumberFormat="1" applyFont="1" applyProtection="1">
      <protection locked="0"/>
    </xf>
    <xf numFmtId="171" fontId="40" fillId="0" borderId="0" xfId="0" applyNumberFormat="1" applyFont="1" applyProtection="1">
      <protection locked="0"/>
    </xf>
    <xf numFmtId="0" fontId="40" fillId="0" borderId="0" xfId="0" applyFont="1" applyFill="1" applyAlignment="1" applyProtection="1"/>
    <xf numFmtId="3" fontId="40" fillId="0" borderId="0" xfId="0" applyNumberFormat="1" applyFont="1" applyFill="1" applyAlignment="1" applyProtection="1"/>
    <xf numFmtId="0" fontId="40" fillId="0" borderId="0" xfId="0" applyNumberFormat="1" applyFont="1" applyAlignment="1" applyProtection="1">
      <alignment horizontal="left" indent="8"/>
      <protection locked="0"/>
    </xf>
    <xf numFmtId="3" fontId="40" fillId="0" borderId="0" xfId="0" applyNumberFormat="1" applyFont="1" applyAlignment="1">
      <alignment horizontal="fill"/>
    </xf>
    <xf numFmtId="0" fontId="40" fillId="0" borderId="23" xfId="0" applyNumberFormat="1" applyFont="1" applyBorder="1" applyAlignment="1" applyProtection="1">
      <alignment horizontal="center"/>
      <protection locked="0"/>
    </xf>
    <xf numFmtId="0" fontId="40" fillId="0" borderId="0" xfId="0" applyNumberFormat="1" applyFont="1" applyFill="1" applyAlignment="1" applyProtection="1">
      <alignment horizontal="left" vertical="top" wrapText="1" indent="8"/>
      <protection locked="0"/>
    </xf>
    <xf numFmtId="0" fontId="40" fillId="0" borderId="0" xfId="0" applyNumberFormat="1" applyFont="1" applyFill="1" applyAlignment="1" applyProtection="1">
      <alignment vertical="top" wrapText="1"/>
      <protection locked="0"/>
    </xf>
    <xf numFmtId="10" fontId="40" fillId="25" borderId="0" xfId="0" applyNumberFormat="1" applyFont="1" applyFill="1" applyAlignment="1" applyProtection="1">
      <alignment vertical="top" wrapText="1"/>
      <protection locked="0"/>
    </xf>
    <xf numFmtId="3" fontId="40" fillId="0" borderId="0" xfId="0" applyNumberFormat="1" applyFont="1" applyAlignment="1">
      <alignment vertical="top" wrapText="1"/>
    </xf>
    <xf numFmtId="0" fontId="40" fillId="0" borderId="0" xfId="0" applyNumberFormat="1" applyFont="1" applyFill="1" applyAlignment="1">
      <alignment horizontal="left" vertical="top"/>
    </xf>
    <xf numFmtId="0" fontId="40" fillId="0" borderId="0" xfId="0" applyNumberFormat="1" applyFont="1" applyFill="1" applyAlignment="1">
      <alignment vertical="top"/>
    </xf>
    <xf numFmtId="0" fontId="0" fillId="0" borderId="0" xfId="0" applyFont="1" applyAlignment="1">
      <alignment horizontal="center"/>
    </xf>
    <xf numFmtId="0" fontId="40" fillId="0" borderId="0" xfId="0" applyNumberFormat="1" applyFont="1" applyFill="1"/>
    <xf numFmtId="0" fontId="4" fillId="0" borderId="0" xfId="0" applyFont="1" applyAlignment="1">
      <alignment vertical="center"/>
    </xf>
    <xf numFmtId="0" fontId="0" fillId="0" borderId="63" xfId="0" applyBorder="1" applyAlignment="1">
      <alignment horizontal="center"/>
    </xf>
    <xf numFmtId="14" fontId="0" fillId="0" borderId="62" xfId="0" applyNumberFormat="1" applyBorder="1" applyAlignment="1">
      <alignment horizontal="center"/>
    </xf>
    <xf numFmtId="0" fontId="0" fillId="0" borderId="62" xfId="0" applyBorder="1" applyAlignment="1">
      <alignment horizontal="center"/>
    </xf>
    <xf numFmtId="0" fontId="0" fillId="59" borderId="62" xfId="0" applyFill="1" applyBorder="1" applyAlignment="1">
      <alignment horizontal="center"/>
    </xf>
    <xf numFmtId="4" fontId="0" fillId="0" borderId="62" xfId="0" applyNumberFormat="1" applyBorder="1" applyAlignment="1">
      <alignment horizontal="center"/>
    </xf>
    <xf numFmtId="0" fontId="0" fillId="0" borderId="68" xfId="0" applyBorder="1" applyAlignment="1">
      <alignment horizontal="center"/>
    </xf>
    <xf numFmtId="14" fontId="0" fillId="0" borderId="69" xfId="0" applyNumberFormat="1" applyBorder="1" applyAlignment="1">
      <alignment horizontal="center"/>
    </xf>
    <xf numFmtId="0" fontId="0" fillId="0" borderId="69" xfId="0" applyNumberFormat="1" applyBorder="1" applyAlignment="1">
      <alignment horizontal="center" wrapText="1"/>
    </xf>
    <xf numFmtId="0" fontId="0" fillId="0" borderId="69" xfId="0" applyBorder="1" applyAlignment="1">
      <alignment horizontal="center"/>
    </xf>
    <xf numFmtId="0" fontId="0" fillId="59" borderId="69" xfId="0" applyFill="1" applyBorder="1" applyAlignment="1">
      <alignment horizontal="center"/>
    </xf>
    <xf numFmtId="4" fontId="0" fillId="0" borderId="69" xfId="0" applyNumberFormat="1" applyBorder="1" applyAlignment="1">
      <alignment horizontal="center"/>
    </xf>
    <xf numFmtId="14" fontId="0" fillId="0" borderId="10" xfId="0" applyNumberFormat="1" applyBorder="1" applyAlignment="1">
      <alignment horizontal="center"/>
    </xf>
    <xf numFmtId="0" fontId="0" fillId="0" borderId="10" xfId="0" applyNumberFormat="1" applyBorder="1" applyAlignment="1">
      <alignment horizontal="center" wrapText="1"/>
    </xf>
    <xf numFmtId="0" fontId="0" fillId="59" borderId="10" xfId="0" applyFill="1" applyBorder="1" applyAlignment="1">
      <alignment horizontal="center"/>
    </xf>
    <xf numFmtId="4" fontId="0" fillId="0" borderId="10" xfId="0" applyNumberFormat="1" applyBorder="1" applyAlignment="1">
      <alignment horizontal="center"/>
    </xf>
    <xf numFmtId="0" fontId="0" fillId="0" borderId="10" xfId="0" applyBorder="1" applyAlignment="1">
      <alignment horizontal="center" wrapText="1"/>
    </xf>
    <xf numFmtId="14" fontId="0" fillId="0" borderId="10" xfId="0" applyNumberFormat="1" applyBorder="1" applyAlignment="1">
      <alignment horizontal="center" wrapText="1"/>
    </xf>
    <xf numFmtId="0" fontId="0" fillId="59" borderId="10" xfId="0" applyFill="1" applyBorder="1" applyAlignment="1">
      <alignment horizontal="center" wrapText="1"/>
    </xf>
    <xf numFmtId="10" fontId="0" fillId="0" borderId="10" xfId="0" applyNumberFormat="1" applyBorder="1" applyAlignment="1">
      <alignment horizontal="center" wrapText="1"/>
    </xf>
    <xf numFmtId="0" fontId="33" fillId="0" borderId="0" xfId="0" applyFont="1" applyAlignment="1">
      <alignment horizontal="center"/>
    </xf>
    <xf numFmtId="1" fontId="12" fillId="0" borderId="0" xfId="0" applyNumberFormat="1" applyFont="1" applyFill="1" applyBorder="1" applyAlignment="1">
      <alignment horizontal="center" vertical="top" wrapText="1"/>
    </xf>
    <xf numFmtId="37" fontId="54" fillId="0" borderId="38" xfId="0" applyNumberFormat="1" applyFont="1" applyFill="1" applyBorder="1"/>
    <xf numFmtId="43" fontId="12" fillId="0" borderId="0" xfId="55" applyFont="1" applyFill="1" applyBorder="1" applyAlignment="1">
      <alignment horizontal="left" vertical="top" wrapText="1" readingOrder="1"/>
    </xf>
    <xf numFmtId="14" fontId="0" fillId="0" borderId="0" xfId="0" applyNumberFormat="1" applyFill="1" applyAlignment="1">
      <alignment horizontal="center"/>
    </xf>
    <xf numFmtId="43" fontId="11" fillId="0" borderId="0" xfId="55" applyFont="1" applyFill="1"/>
    <xf numFmtId="0" fontId="0" fillId="0" borderId="0" xfId="0" applyFill="1" applyAlignment="1">
      <alignment horizontal="center"/>
    </xf>
    <xf numFmtId="43" fontId="0" fillId="0" borderId="0" xfId="55" applyFont="1" applyFill="1"/>
    <xf numFmtId="43" fontId="11" fillId="60" borderId="0" xfId="0" applyNumberFormat="1" applyFont="1" applyFill="1" applyAlignment="1">
      <alignment horizontal="left" vertical="top"/>
    </xf>
    <xf numFmtId="0" fontId="4" fillId="0" borderId="10" xfId="0" applyFont="1" applyBorder="1" applyAlignment="1">
      <alignment wrapText="1"/>
    </xf>
    <xf numFmtId="43" fontId="4" fillId="0" borderId="0" xfId="0" applyNumberFormat="1" applyFont="1"/>
    <xf numFmtId="180" fontId="12" fillId="0" borderId="0" xfId="0" applyNumberFormat="1" applyFont="1" applyFill="1" applyBorder="1" applyAlignment="1">
      <alignment horizontal="center" vertical="top" wrapText="1" readingOrder="1"/>
    </xf>
    <xf numFmtId="3" fontId="12" fillId="0" borderId="0" xfId="0" applyNumberFormat="1" applyFont="1" applyFill="1" applyBorder="1" applyAlignment="1">
      <alignment horizontal="center" vertical="top" wrapText="1" readingOrder="1"/>
    </xf>
    <xf numFmtId="37" fontId="12" fillId="0" borderId="0" xfId="55" applyNumberFormat="1" applyFont="1" applyFill="1" applyBorder="1" applyAlignment="1">
      <alignment horizontal="center" vertical="top" wrapText="1" readingOrder="1"/>
    </xf>
    <xf numFmtId="166" fontId="0" fillId="0" borderId="0" xfId="55" applyNumberFormat="1" applyFont="1" applyFill="1"/>
    <xf numFmtId="37" fontId="4" fillId="0" borderId="33" xfId="0" applyNumberFormat="1" applyFont="1" applyFill="1" applyBorder="1"/>
    <xf numFmtId="0" fontId="3" fillId="0" borderId="0" xfId="0" applyNumberFormat="1" applyFont="1" applyFill="1" applyBorder="1" applyAlignment="1">
      <alignment horizontal="center"/>
    </xf>
    <xf numFmtId="0" fontId="4" fillId="0" borderId="0" xfId="0" applyFont="1" applyBorder="1" applyAlignment="1">
      <alignment horizontal="left"/>
    </xf>
    <xf numFmtId="43" fontId="45" fillId="59" borderId="28" xfId="0" applyNumberFormat="1" applyFont="1" applyFill="1" applyBorder="1" applyAlignment="1">
      <alignment horizontal="left" vertical="top" wrapText="1"/>
    </xf>
    <xf numFmtId="43" fontId="45" fillId="59" borderId="30" xfId="0" applyNumberFormat="1" applyFont="1" applyFill="1" applyBorder="1" applyAlignment="1">
      <alignment horizontal="left" vertical="top" wrapText="1"/>
    </xf>
    <xf numFmtId="1" fontId="12" fillId="0" borderId="0" xfId="0" applyNumberFormat="1" applyFont="1" applyFill="1" applyBorder="1" applyAlignment="1">
      <alignment horizontal="center" vertical="top" wrapText="1"/>
    </xf>
    <xf numFmtId="0" fontId="40" fillId="0" borderId="0" xfId="0" applyNumberFormat="1" applyFont="1" applyFill="1" applyAlignment="1">
      <alignment vertical="top" wrapText="1"/>
    </xf>
    <xf numFmtId="0" fontId="40" fillId="0" borderId="0" xfId="0" applyNumberFormat="1" applyFont="1" applyFill="1" applyAlignment="1" applyProtection="1">
      <alignment vertical="top" wrapText="1"/>
      <protection locked="0"/>
    </xf>
    <xf numFmtId="0" fontId="40" fillId="0" borderId="0" xfId="0" applyNumberFormat="1" applyFont="1" applyAlignment="1" applyProtection="1">
      <alignment vertical="top" wrapText="1"/>
      <protection locked="0"/>
    </xf>
    <xf numFmtId="0" fontId="33" fillId="0" borderId="0" xfId="0" applyNumberFormat="1" applyFont="1" applyAlignment="1"/>
    <xf numFmtId="0" fontId="33" fillId="0" borderId="0" xfId="0" applyNumberFormat="1" applyFont="1" applyAlignment="1">
      <alignment horizontal="right"/>
    </xf>
    <xf numFmtId="3" fontId="40" fillId="0" borderId="0" xfId="0" applyNumberFormat="1" applyFont="1" applyAlignment="1">
      <alignment horizontal="right"/>
    </xf>
    <xf numFmtId="171" fontId="40" fillId="0" borderId="0" xfId="0" applyNumberFormat="1" applyFont="1" applyAlignment="1" applyProtection="1">
      <alignment horizontal="center"/>
      <protection locked="0"/>
    </xf>
    <xf numFmtId="0" fontId="52" fillId="0" borderId="0" xfId="0" applyFont="1" applyAlignment="1">
      <alignment horizontal="center"/>
    </xf>
    <xf numFmtId="0" fontId="33" fillId="0" borderId="0" xfId="0" applyFont="1" applyAlignment="1">
      <alignment horizontal="center"/>
    </xf>
    <xf numFmtId="14" fontId="52" fillId="0" borderId="0" xfId="0" applyNumberFormat="1" applyFont="1" applyAlignment="1">
      <alignment horizontal="center"/>
    </xf>
    <xf numFmtId="0" fontId="53" fillId="0" borderId="27" xfId="0" applyFont="1" applyBorder="1" applyAlignment="1">
      <alignment horizontal="center"/>
    </xf>
    <xf numFmtId="14" fontId="33" fillId="0" borderId="0" xfId="0" applyNumberFormat="1" applyFont="1" applyAlignment="1">
      <alignment horizontal="center"/>
    </xf>
    <xf numFmtId="0" fontId="0" fillId="0" borderId="3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0" fillId="0" borderId="40" xfId="0" applyBorder="1" applyAlignment="1">
      <alignment horizontal="left"/>
    </xf>
    <xf numFmtId="0" fontId="0" fillId="0" borderId="52" xfId="0" applyBorder="1" applyAlignment="1">
      <alignment horizontal="left"/>
    </xf>
    <xf numFmtId="0" fontId="3" fillId="0" borderId="27" xfId="0" applyFont="1" applyBorder="1" applyAlignment="1">
      <alignment horizontal="center"/>
    </xf>
    <xf numFmtId="39" fontId="40" fillId="0" borderId="0" xfId="0" applyNumberFormat="1" applyFont="1" applyAlignment="1" applyProtection="1">
      <alignment horizontal="center"/>
    </xf>
    <xf numFmtId="0" fontId="48" fillId="0" borderId="52" xfId="0" applyFont="1" applyFill="1" applyBorder="1" applyAlignment="1">
      <alignment horizontal="center" vertical="top" wrapText="1"/>
    </xf>
    <xf numFmtId="0" fontId="46" fillId="60" borderId="0" xfId="0" applyFont="1" applyFill="1" applyBorder="1" applyAlignment="1">
      <alignment horizontal="center" vertical="top"/>
    </xf>
    <xf numFmtId="0" fontId="47" fillId="0" borderId="0" xfId="0" applyFont="1" applyFill="1" applyBorder="1" applyAlignment="1">
      <alignment horizontal="center" vertical="top" wrapText="1"/>
    </xf>
    <xf numFmtId="0" fontId="12" fillId="62" borderId="0" xfId="0" applyFont="1" applyFill="1" applyBorder="1" applyAlignment="1">
      <alignment horizontal="center" vertical="top" wrapText="1"/>
    </xf>
    <xf numFmtId="1" fontId="12" fillId="0" borderId="0" xfId="0" applyNumberFormat="1" applyFont="1" applyFill="1" applyBorder="1" applyAlignment="1">
      <alignment horizontal="center" vertical="top" wrapText="1"/>
    </xf>
    <xf numFmtId="0" fontId="0" fillId="0" borderId="0" xfId="0" applyAlignment="1"/>
    <xf numFmtId="14" fontId="12" fillId="0" borderId="0" xfId="0" applyNumberFormat="1" applyFont="1" applyFill="1" applyAlignment="1">
      <alignment horizontal="center" vertical="top"/>
    </xf>
    <xf numFmtId="43" fontId="45" fillId="0" borderId="0" xfId="55" applyFont="1" applyFill="1" applyAlignment="1">
      <alignment horizontal="left" vertical="top"/>
    </xf>
  </cellXfs>
  <cellStyles count="12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2 2" xfId="57"/>
    <cellStyle name="Comma 2 2 2" xfId="114"/>
    <cellStyle name="Comma 2 3" xfId="101"/>
    <cellStyle name="Comma 2 3 2" xfId="113"/>
    <cellStyle name="Comma 3" xfId="58"/>
    <cellStyle name="Comma 3 2" xfId="115"/>
    <cellStyle name="Comma 4" xfId="59"/>
    <cellStyle name="Comma 4 2" xfId="102"/>
    <cellStyle name="Comma 4 2 2" xfId="112"/>
    <cellStyle name="Comma 4 3" xfId="108"/>
    <cellStyle name="Currency" xfId="60" builtinId="4"/>
    <cellStyle name="Currency 2" xfId="61"/>
    <cellStyle name="Currency 2 2" xfId="116"/>
    <cellStyle name="Currency 3" xfId="62"/>
    <cellStyle name="Currency 3 2" xfId="63"/>
    <cellStyle name="Currency 3 2 2" xfId="118"/>
    <cellStyle name="Currency 3 3" xfId="103"/>
    <cellStyle name="Currency 3 3 2" xfId="117"/>
    <cellStyle name="Currency 4" xfId="64"/>
    <cellStyle name="Currency 4 2" xfId="104"/>
    <cellStyle name="Currency 4 2 2" xfId="111"/>
    <cellStyle name="Currency 4 3" xfId="107"/>
    <cellStyle name="Explanatory Text" xfId="65" builtinId="53" customBuiltin="1"/>
    <cellStyle name="Explanatory Text 2" xfId="66"/>
    <cellStyle name="Good" xfId="67" builtinId="26" customBuiltin="1"/>
    <cellStyle name="Good 2" xfId="68"/>
    <cellStyle name="Heading 1" xfId="69" builtinId="16" customBuiltin="1"/>
    <cellStyle name="Heading 1 2" xfId="70"/>
    <cellStyle name="Heading 2" xfId="71" builtinId="17" customBuiltin="1"/>
    <cellStyle name="Heading 2 2" xfId="72"/>
    <cellStyle name="Heading 3" xfId="73" builtinId="18" customBuiltin="1"/>
    <cellStyle name="Heading 3 2" xfId="74"/>
    <cellStyle name="Heading 4" xfId="75" builtinId="19" customBuiltin="1"/>
    <cellStyle name="Heading 4 2" xfId="76"/>
    <cellStyle name="Input" xfId="77" builtinId="20" customBuiltin="1"/>
    <cellStyle name="Input 2" xfId="78"/>
    <cellStyle name="Linked Cell" xfId="79" builtinId="24" customBuiltin="1"/>
    <cellStyle name="Linked Cell 2" xfId="80"/>
    <cellStyle name="Neutral" xfId="81" builtinId="28" customBuiltin="1"/>
    <cellStyle name="Neutral 2" xfId="82"/>
    <cellStyle name="Normal" xfId="0" builtinId="0"/>
    <cellStyle name="Normal 2" xfId="83"/>
    <cellStyle name="Normal 2 2" xfId="119"/>
    <cellStyle name="Normal 3" xfId="84"/>
    <cellStyle name="Normal 4" xfId="85"/>
    <cellStyle name="Normal 5" xfId="110"/>
    <cellStyle name="Note" xfId="86" builtinId="10" customBuiltin="1"/>
    <cellStyle name="Note 2" xfId="87"/>
    <cellStyle name="Output" xfId="88" builtinId="21" customBuiltin="1"/>
    <cellStyle name="Output 2" xfId="89"/>
    <cellStyle name="Percent" xfId="90" builtinId="5"/>
    <cellStyle name="Percent 2" xfId="91"/>
    <cellStyle name="Percent 2 2" xfId="120"/>
    <cellStyle name="Percent 3" xfId="92"/>
    <cellStyle name="Percent 3 2" xfId="93"/>
    <cellStyle name="Percent 3 2 2" xfId="122"/>
    <cellStyle name="Percent 3 3" xfId="105"/>
    <cellStyle name="Percent 3 3 2" xfId="121"/>
    <cellStyle name="Percent 4" xfId="94"/>
    <cellStyle name="Percent 4 2" xfId="106"/>
    <cellStyle name="Percent 4 2 2" xfId="123"/>
    <cellStyle name="Percent 4 3" xfId="109"/>
    <cellStyle name="Title" xfId="95" builtinId="15" customBuiltin="1"/>
    <cellStyle name="Title 2" xfId="96"/>
    <cellStyle name="Total" xfId="97" builtinId="25" customBuiltin="1"/>
    <cellStyle name="Total 2" xfId="98"/>
    <cellStyle name="Warning Text" xfId="99" builtinId="11" customBuiltin="1"/>
    <cellStyle name="Warning Text 2" xfId="1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314325</xdr:colOff>
      <xdr:row>28</xdr:row>
      <xdr:rowOff>19050</xdr:rowOff>
    </xdr:to>
    <xdr:pic>
      <xdr:nvPicPr>
        <xdr:cNvPr id="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58325" cy="455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114300</xdr:colOff>
          <xdr:row>1</xdr:row>
          <xdr:rowOff>57150</xdr:rowOff>
        </xdr:to>
        <xdr:sp macro="" textlink="">
          <xdr:nvSpPr>
            <xdr:cNvPr id="4101" name="FILTER" hidden="1">
              <a:extLst>
                <a:ext uri="{63B3BB69-23CF-44E3-9099-C40C66FF867C}">
                  <a14:compatExt spid="_x0000_s410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114300</xdr:colOff>
          <xdr:row>1</xdr:row>
          <xdr:rowOff>57150</xdr:rowOff>
        </xdr:to>
        <xdr:sp macro="" textlink="">
          <xdr:nvSpPr>
            <xdr:cNvPr id="4102" name="HEADER" hidden="1">
              <a:extLst>
                <a:ext uri="{63B3BB69-23CF-44E3-9099-C40C66FF867C}">
                  <a14:compatExt spid="_x0000_s410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611"/>
  <sheetViews>
    <sheetView showWhiteSpace="0" topLeftCell="B260" zoomScaleNormal="100" workbookViewId="0">
      <selection activeCell="I240" sqref="I240"/>
    </sheetView>
  </sheetViews>
  <sheetFormatPr defaultRowHeight="12.75"/>
  <cols>
    <col min="1" max="1" width="7.7109375" style="83" customWidth="1"/>
    <col min="2" max="2" width="51" style="83" customWidth="1"/>
    <col min="3" max="3" width="44.7109375" style="83" customWidth="1"/>
    <col min="4" max="4" width="17.85546875" style="83" customWidth="1"/>
    <col min="5" max="5" width="7.7109375" style="83" customWidth="1"/>
    <col min="6" max="6" width="7.28515625" style="83" customWidth="1"/>
    <col min="7" max="7" width="13.7109375" style="83" customWidth="1"/>
    <col min="8" max="8" width="7.42578125" style="83" customWidth="1"/>
    <col min="9" max="9" width="16.42578125" style="83" customWidth="1"/>
    <col min="10" max="10" width="4.42578125" style="83" customWidth="1"/>
    <col min="11" max="11" width="14.42578125" style="83" customWidth="1"/>
    <col min="12" max="12" width="3.85546875" style="83" customWidth="1"/>
    <col min="13" max="13" width="13" style="83" bestFit="1" customWidth="1"/>
    <col min="14" max="14" width="9.140625" style="83"/>
    <col min="15" max="15" width="21.5703125" style="83" customWidth="1"/>
    <col min="16" max="16384" width="9.140625" style="83"/>
  </cols>
  <sheetData>
    <row r="1" spans="1:64" ht="15">
      <c r="H1" s="688" t="s">
        <v>766</v>
      </c>
      <c r="I1" s="688"/>
      <c r="J1" s="688"/>
      <c r="K1" s="688"/>
      <c r="L1" s="688"/>
    </row>
    <row r="2" spans="1:64" ht="15">
      <c r="B2" s="86"/>
      <c r="C2" s="86"/>
      <c r="D2" s="88"/>
      <c r="E2" s="86"/>
      <c r="F2" s="86"/>
      <c r="G2" s="86"/>
      <c r="H2" s="87"/>
      <c r="I2" s="87"/>
      <c r="J2" s="87"/>
      <c r="K2" s="689" t="s">
        <v>165</v>
      </c>
      <c r="L2" s="689"/>
      <c r="M2" s="84"/>
      <c r="N2" s="85"/>
      <c r="O2" s="84"/>
      <c r="P2" s="84"/>
      <c r="Q2" s="84"/>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row>
    <row r="3" spans="1:64" ht="15">
      <c r="B3" s="86"/>
      <c r="C3" s="86"/>
      <c r="D3" s="88"/>
      <c r="E3" s="86"/>
      <c r="F3" s="86"/>
      <c r="G3" s="86"/>
      <c r="H3" s="87"/>
      <c r="I3" s="87"/>
      <c r="J3" s="87"/>
      <c r="K3" s="89"/>
      <c r="L3" s="89"/>
      <c r="M3" s="84"/>
      <c r="N3" s="85"/>
      <c r="O3" s="84"/>
      <c r="P3" s="84"/>
      <c r="Q3" s="84"/>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row>
    <row r="4" spans="1:64" ht="15">
      <c r="B4" s="86" t="s">
        <v>166</v>
      </c>
      <c r="C4" s="86"/>
      <c r="D4" s="88" t="s">
        <v>167</v>
      </c>
      <c r="E4" s="86"/>
      <c r="F4" s="86"/>
      <c r="G4" s="86"/>
      <c r="H4" s="87"/>
      <c r="I4" s="90" t="s">
        <v>836</v>
      </c>
      <c r="J4" s="90"/>
      <c r="K4" s="90"/>
      <c r="L4" s="382"/>
      <c r="M4" s="84"/>
      <c r="N4" s="85"/>
      <c r="O4" s="84"/>
      <c r="P4" s="84"/>
      <c r="Q4" s="84"/>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row>
    <row r="5" spans="1:64" ht="15">
      <c r="B5" s="86"/>
      <c r="C5" s="91" t="s">
        <v>157</v>
      </c>
      <c r="D5" s="91" t="s">
        <v>676</v>
      </c>
      <c r="E5" s="91"/>
      <c r="F5" s="91"/>
      <c r="G5" s="91"/>
      <c r="H5" s="87"/>
      <c r="I5" s="87"/>
      <c r="J5" s="87"/>
      <c r="K5" s="87"/>
      <c r="L5" s="84"/>
      <c r="M5" s="84"/>
      <c r="N5" s="85"/>
      <c r="O5" s="84"/>
      <c r="P5" s="84"/>
      <c r="Q5" s="84"/>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5">
      <c r="B6" s="87"/>
      <c r="C6" s="87"/>
      <c r="D6" s="87"/>
      <c r="E6" s="87"/>
      <c r="F6" s="87"/>
      <c r="G6" s="87"/>
      <c r="H6" s="87"/>
      <c r="I6" s="87"/>
      <c r="J6" s="87"/>
      <c r="K6" s="87"/>
      <c r="L6" s="84"/>
      <c r="M6" s="84"/>
      <c r="N6" s="85"/>
      <c r="O6" s="84"/>
      <c r="P6" s="84"/>
      <c r="Q6" s="84"/>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row>
    <row r="7" spans="1:64" ht="15">
      <c r="A7" s="92"/>
      <c r="B7" s="87"/>
      <c r="C7" s="87"/>
      <c r="D7" s="93" t="s">
        <v>159</v>
      </c>
      <c r="E7" s="90"/>
      <c r="F7" s="90"/>
      <c r="G7" s="90"/>
      <c r="H7" s="90"/>
      <c r="I7" s="87"/>
      <c r="J7" s="87"/>
      <c r="K7" s="87"/>
      <c r="L7" s="84"/>
      <c r="M7" s="84"/>
      <c r="N7" s="85"/>
      <c r="O7" s="84"/>
      <c r="P7" s="84"/>
      <c r="Q7" s="84"/>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row>
    <row r="8" spans="1:64" s="418" customFormat="1" ht="15">
      <c r="A8" s="426"/>
      <c r="B8" s="422"/>
      <c r="C8" s="422"/>
      <c r="D8" s="427"/>
      <c r="E8" s="424"/>
      <c r="F8" s="424"/>
      <c r="G8" s="424"/>
      <c r="H8" s="424"/>
      <c r="I8" s="422"/>
      <c r="J8" s="422"/>
      <c r="K8" s="422"/>
      <c r="L8" s="419"/>
      <c r="M8" s="419"/>
      <c r="N8" s="420"/>
      <c r="O8" s="419"/>
      <c r="P8" s="419"/>
      <c r="Q8" s="419"/>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row>
    <row r="9" spans="1:64" ht="15">
      <c r="A9" s="92" t="s">
        <v>168</v>
      </c>
      <c r="B9" s="87"/>
      <c r="C9" s="87"/>
      <c r="D9" s="94"/>
      <c r="E9" s="87"/>
      <c r="F9" s="87"/>
      <c r="G9" s="87"/>
      <c r="H9" s="87"/>
      <c r="I9" s="89" t="s">
        <v>169</v>
      </c>
      <c r="J9" s="87"/>
      <c r="K9" s="87"/>
      <c r="L9" s="84"/>
      <c r="M9" s="84"/>
      <c r="N9" s="85"/>
      <c r="O9" s="84"/>
      <c r="P9" s="84"/>
      <c r="Q9" s="84"/>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row>
    <row r="10" spans="1:64" ht="15.75" thickBot="1">
      <c r="A10" s="96" t="s">
        <v>170</v>
      </c>
      <c r="B10" s="87"/>
      <c r="C10" s="87"/>
      <c r="D10" s="87"/>
      <c r="E10" s="87"/>
      <c r="F10" s="87"/>
      <c r="G10" s="87"/>
      <c r="H10" s="87"/>
      <c r="I10" s="97" t="s">
        <v>153</v>
      </c>
      <c r="J10" s="87"/>
      <c r="K10" s="87"/>
      <c r="L10" s="84"/>
      <c r="M10" s="84"/>
      <c r="N10" s="85"/>
      <c r="O10" s="84"/>
      <c r="P10" s="84"/>
      <c r="Q10" s="84"/>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64" ht="15">
      <c r="A11" s="92">
        <v>1</v>
      </c>
      <c r="B11" s="87" t="s">
        <v>677</v>
      </c>
      <c r="C11" s="87"/>
      <c r="D11" s="98"/>
      <c r="E11" s="87"/>
      <c r="F11" s="87"/>
      <c r="G11" s="87"/>
      <c r="H11" s="87"/>
      <c r="I11" s="99">
        <f>+I192</f>
        <v>27012.766436565824</v>
      </c>
      <c r="J11" s="87"/>
      <c r="K11" s="87"/>
      <c r="L11" s="84"/>
      <c r="M11" s="84"/>
      <c r="N11" s="85"/>
      <c r="O11" s="84"/>
      <c r="P11" s="84"/>
      <c r="Q11" s="84"/>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64" ht="15">
      <c r="A12" s="92"/>
      <c r="B12" s="87"/>
      <c r="C12" s="87"/>
      <c r="D12" s="87"/>
      <c r="E12" s="87"/>
      <c r="F12" s="87"/>
      <c r="G12" s="87"/>
      <c r="H12" s="87"/>
      <c r="I12" s="98"/>
      <c r="J12" s="87"/>
      <c r="K12" s="87"/>
      <c r="L12" s="84"/>
      <c r="M12" s="84"/>
      <c r="N12" s="95"/>
      <c r="O12" s="84"/>
      <c r="P12" s="84"/>
      <c r="Q12" s="84"/>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row>
    <row r="13" spans="1:64" ht="15.75" thickBot="1">
      <c r="A13" s="92" t="s">
        <v>157</v>
      </c>
      <c r="B13" s="86" t="s">
        <v>171</v>
      </c>
      <c r="C13" s="91" t="s">
        <v>172</v>
      </c>
      <c r="D13" s="97" t="s">
        <v>7</v>
      </c>
      <c r="E13" s="91"/>
      <c r="F13" s="100" t="s">
        <v>173</v>
      </c>
      <c r="G13" s="100"/>
      <c r="H13" s="87"/>
      <c r="I13" s="98"/>
      <c r="J13" s="87"/>
      <c r="K13" s="87"/>
      <c r="L13" s="84"/>
      <c r="M13" s="84"/>
      <c r="N13" s="85"/>
      <c r="O13" s="84"/>
      <c r="P13" s="84"/>
      <c r="Q13" s="84"/>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row>
    <row r="14" spans="1:64" ht="15">
      <c r="A14" s="92">
        <v>2</v>
      </c>
      <c r="B14" s="86" t="s">
        <v>174</v>
      </c>
      <c r="C14" s="91" t="s">
        <v>175</v>
      </c>
      <c r="D14" s="91">
        <f>I261</f>
        <v>0</v>
      </c>
      <c r="E14" s="91"/>
      <c r="F14" s="91" t="s">
        <v>176</v>
      </c>
      <c r="G14" s="101">
        <f>I220</f>
        <v>1</v>
      </c>
      <c r="H14" s="91"/>
      <c r="I14" s="91">
        <f>+G14*D14</f>
        <v>0</v>
      </c>
      <c r="J14" s="87"/>
      <c r="K14" s="87"/>
      <c r="L14" s="84"/>
      <c r="M14" s="84"/>
      <c r="N14" s="85"/>
      <c r="O14" s="84"/>
      <c r="P14" s="84"/>
      <c r="Q14" s="84"/>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64" ht="15">
      <c r="A15" s="92">
        <v>3</v>
      </c>
      <c r="B15" s="86" t="s">
        <v>678</v>
      </c>
      <c r="C15" s="91" t="s">
        <v>177</v>
      </c>
      <c r="D15" s="91">
        <f>I268</f>
        <v>471.51000000000204</v>
      </c>
      <c r="E15" s="91"/>
      <c r="F15" s="91" t="str">
        <f>+F14</f>
        <v>TP</v>
      </c>
      <c r="G15" s="101">
        <f>+G14</f>
        <v>1</v>
      </c>
      <c r="H15" s="91"/>
      <c r="I15" s="91">
        <f>+G15*D15</f>
        <v>471.51000000000204</v>
      </c>
      <c r="J15" s="87"/>
      <c r="K15" s="87"/>
      <c r="P15" s="84"/>
      <c r="Q15" s="84"/>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row>
    <row r="16" spans="1:64" ht="15.75">
      <c r="A16" s="92">
        <v>4</v>
      </c>
      <c r="B16" s="86" t="s">
        <v>178</v>
      </c>
      <c r="C16" s="91"/>
      <c r="D16" s="105">
        <v>0</v>
      </c>
      <c r="E16" s="91"/>
      <c r="F16" s="91" t="s">
        <v>176</v>
      </c>
      <c r="G16" s="101">
        <f>+G14</f>
        <v>1</v>
      </c>
      <c r="H16" s="91"/>
      <c r="I16" s="91">
        <f>+G16*D16</f>
        <v>0</v>
      </c>
      <c r="J16" s="87"/>
      <c r="K16" s="87"/>
      <c r="L16" s="404" t="s">
        <v>731</v>
      </c>
      <c r="M16" s="84"/>
      <c r="N16" s="85"/>
      <c r="O16" s="84"/>
      <c r="P16" s="84"/>
      <c r="Q16" s="84"/>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64" ht="16.5" thickBot="1">
      <c r="A17" s="92">
        <v>5</v>
      </c>
      <c r="B17" s="86" t="s">
        <v>179</v>
      </c>
      <c r="C17" s="91"/>
      <c r="D17" s="105">
        <v>0</v>
      </c>
      <c r="E17" s="91"/>
      <c r="F17" s="91" t="s">
        <v>176</v>
      </c>
      <c r="G17" s="101">
        <f>+G14</f>
        <v>1</v>
      </c>
      <c r="H17" s="91"/>
      <c r="I17" s="107">
        <f>+G17*D17</f>
        <v>0</v>
      </c>
      <c r="J17" s="87"/>
      <c r="K17" s="87"/>
      <c r="L17" s="404" t="s">
        <v>732</v>
      </c>
      <c r="M17" s="84"/>
      <c r="N17" s="85"/>
      <c r="O17" s="84"/>
      <c r="P17" s="84"/>
      <c r="Q17" s="84"/>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row>
    <row r="18" spans="1:64" ht="15">
      <c r="A18" s="92">
        <v>6</v>
      </c>
      <c r="B18" s="86" t="s">
        <v>180</v>
      </c>
      <c r="C18" s="87"/>
      <c r="D18" s="108" t="s">
        <v>157</v>
      </c>
      <c r="E18" s="91"/>
      <c r="F18" s="91"/>
      <c r="G18" s="101"/>
      <c r="H18" s="91"/>
      <c r="I18" s="91">
        <f>SUM(I14:I17)</f>
        <v>471.51000000000204</v>
      </c>
      <c r="J18" s="87"/>
      <c r="K18" s="87"/>
      <c r="L18" s="84"/>
      <c r="M18" s="84"/>
      <c r="N18" s="85"/>
      <c r="O18" s="84"/>
      <c r="P18" s="84"/>
      <c r="Q18" s="84"/>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64" s="418" customFormat="1" ht="15">
      <c r="A19" s="426"/>
      <c r="B19" s="421"/>
      <c r="C19" s="422"/>
      <c r="D19" s="433"/>
      <c r="E19" s="425"/>
      <c r="F19" s="425"/>
      <c r="G19" s="428"/>
      <c r="H19" s="425"/>
      <c r="I19" s="425"/>
      <c r="J19" s="422"/>
      <c r="K19" s="422"/>
      <c r="L19" s="419"/>
      <c r="M19" s="419"/>
      <c r="N19" s="420"/>
      <c r="O19" s="419"/>
      <c r="P19" s="419"/>
      <c r="Q19" s="419"/>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row>
    <row r="20" spans="1:64" s="620" customFormat="1" ht="15.75">
      <c r="A20" s="368" t="s">
        <v>855</v>
      </c>
      <c r="B20" s="621" t="s">
        <v>856</v>
      </c>
      <c r="C20" s="441"/>
      <c r="D20" s="441"/>
      <c r="E20" s="441"/>
      <c r="F20" s="441"/>
      <c r="G20" s="441"/>
      <c r="H20" s="441"/>
      <c r="I20" s="622">
        <v>0</v>
      </c>
      <c r="J20" s="422"/>
      <c r="K20" s="422"/>
      <c r="L20" s="419"/>
      <c r="M20" s="419"/>
      <c r="N20" s="420"/>
      <c r="O20" s="419"/>
      <c r="P20" s="419"/>
      <c r="Q20" s="419"/>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row>
    <row r="21" spans="1:64" s="620" customFormat="1" ht="15.75">
      <c r="A21" s="368" t="s">
        <v>857</v>
      </c>
      <c r="B21" s="621" t="s">
        <v>858</v>
      </c>
      <c r="C21" s="441"/>
      <c r="D21" s="441"/>
      <c r="E21" s="441"/>
      <c r="F21" s="441"/>
      <c r="G21" s="441"/>
      <c r="H21" s="441"/>
      <c r="I21" s="622">
        <v>0</v>
      </c>
      <c r="J21" s="422"/>
      <c r="K21" s="422"/>
      <c r="L21" s="419"/>
      <c r="M21" s="419"/>
      <c r="N21" s="420"/>
      <c r="O21" s="419"/>
      <c r="P21" s="419"/>
      <c r="Q21" s="419"/>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row>
    <row r="22" spans="1:64" s="620" customFormat="1" ht="16.5" thickBot="1">
      <c r="A22" s="368" t="s">
        <v>859</v>
      </c>
      <c r="B22" s="621" t="s">
        <v>860</v>
      </c>
      <c r="C22" s="441"/>
      <c r="D22" s="441"/>
      <c r="E22" s="441"/>
      <c r="F22" s="441"/>
      <c r="G22" s="441"/>
      <c r="H22" s="441"/>
      <c r="I22" s="623">
        <f>I20+I21</f>
        <v>0</v>
      </c>
      <c r="J22" s="422"/>
      <c r="K22" s="422"/>
      <c r="L22" s="419"/>
      <c r="M22" s="419"/>
      <c r="N22" s="420"/>
      <c r="O22" s="419"/>
      <c r="P22" s="419"/>
      <c r="Q22" s="419"/>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0"/>
      <c r="BJ22" s="420"/>
      <c r="BK22" s="420"/>
      <c r="BL22" s="420"/>
    </row>
    <row r="23" spans="1:64" s="620" customFormat="1" ht="15">
      <c r="A23" s="426"/>
      <c r="B23" s="618"/>
      <c r="C23" s="422"/>
      <c r="D23" s="433"/>
      <c r="E23" s="425"/>
      <c r="F23" s="425"/>
      <c r="G23" s="428"/>
      <c r="H23" s="425"/>
      <c r="I23" s="425"/>
      <c r="J23" s="422"/>
      <c r="K23" s="422"/>
      <c r="L23" s="419"/>
      <c r="M23" s="419"/>
      <c r="N23" s="420"/>
      <c r="O23" s="419"/>
      <c r="P23" s="419"/>
      <c r="Q23" s="419"/>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row>
    <row r="24" spans="1:64" ht="15.75" thickBot="1">
      <c r="A24" s="92">
        <v>7</v>
      </c>
      <c r="B24" s="86" t="s">
        <v>181</v>
      </c>
      <c r="C24" s="87" t="s">
        <v>182</v>
      </c>
      <c r="D24" s="108" t="s">
        <v>157</v>
      </c>
      <c r="E24" s="91"/>
      <c r="F24" s="91"/>
      <c r="G24" s="91"/>
      <c r="H24" s="91"/>
      <c r="I24" s="110">
        <f>+I11-I18+I22</f>
        <v>26541.256436565822</v>
      </c>
      <c r="J24" s="87"/>
      <c r="K24" s="87"/>
      <c r="L24" s="84"/>
      <c r="M24" s="106"/>
      <c r="N24" s="103"/>
      <c r="O24" s="104"/>
      <c r="P24" s="104"/>
      <c r="Q24" s="104"/>
      <c r="R24" s="103"/>
      <c r="S24" s="103"/>
      <c r="T24" s="103"/>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row>
    <row r="25" spans="1:64" s="418" customFormat="1" ht="15.75" thickTop="1">
      <c r="A25" s="426"/>
      <c r="B25" s="421"/>
      <c r="C25" s="422"/>
      <c r="D25" s="433"/>
      <c r="E25" s="425"/>
      <c r="F25" s="425"/>
      <c r="G25" s="425"/>
      <c r="H25" s="425"/>
      <c r="I25" s="415"/>
      <c r="J25" s="422"/>
      <c r="K25" s="422"/>
      <c r="L25" s="419"/>
      <c r="M25" s="432"/>
      <c r="N25" s="430"/>
      <c r="O25" s="431"/>
      <c r="P25" s="431"/>
      <c r="Q25" s="431"/>
      <c r="R25" s="430"/>
      <c r="S25" s="430"/>
      <c r="T25" s="43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row>
    <row r="26" spans="1:64" ht="15">
      <c r="A26" s="92" t="s">
        <v>157</v>
      </c>
      <c r="B26" s="86" t="s">
        <v>183</v>
      </c>
      <c r="C26" s="87"/>
      <c r="D26" s="98"/>
      <c r="E26" s="87"/>
      <c r="F26" s="87"/>
      <c r="G26" s="87"/>
      <c r="H26" s="87"/>
      <c r="I26" s="98"/>
      <c r="J26" s="87"/>
      <c r="K26" s="87"/>
      <c r="L26" s="84"/>
      <c r="M26" s="104"/>
      <c r="N26" s="103"/>
      <c r="O26" s="104"/>
      <c r="P26" s="104"/>
      <c r="Q26" s="104"/>
      <c r="R26" s="103"/>
      <c r="S26" s="103"/>
      <c r="T26" s="103"/>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row>
    <row r="27" spans="1:64" ht="15">
      <c r="A27" s="92">
        <v>8</v>
      </c>
      <c r="B27" s="86" t="s">
        <v>184</v>
      </c>
      <c r="C27" s="109"/>
      <c r="D27" s="98"/>
      <c r="E27" s="87"/>
      <c r="F27" s="87"/>
      <c r="G27" s="87" t="s">
        <v>185</v>
      </c>
      <c r="H27" s="87"/>
      <c r="I27" s="105">
        <f>'ML8_13 CP Load Data'!T6*1000</f>
        <v>3243.7500000000005</v>
      </c>
      <c r="J27" s="87"/>
      <c r="K27" s="111"/>
      <c r="L27" s="84"/>
      <c r="M27" s="104"/>
      <c r="N27" s="103"/>
      <c r="O27" s="104"/>
      <c r="P27" s="104"/>
      <c r="Q27" s="104"/>
      <c r="R27" s="103"/>
      <c r="S27" s="103"/>
      <c r="T27" s="103"/>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row>
    <row r="28" spans="1:64" ht="15">
      <c r="A28" s="92">
        <v>9</v>
      </c>
      <c r="B28" s="86" t="s">
        <v>186</v>
      </c>
      <c r="C28" s="91"/>
      <c r="D28" s="91"/>
      <c r="E28" s="91"/>
      <c r="F28" s="91"/>
      <c r="G28" s="91" t="s">
        <v>187</v>
      </c>
      <c r="H28" s="91"/>
      <c r="I28" s="105">
        <v>0</v>
      </c>
      <c r="J28" s="87"/>
      <c r="K28" s="87"/>
      <c r="L28" s="84"/>
      <c r="M28" s="104"/>
      <c r="N28" s="103"/>
      <c r="O28" s="104"/>
      <c r="P28" s="104"/>
      <c r="Q28" s="104"/>
      <c r="R28" s="103"/>
      <c r="S28" s="103"/>
      <c r="T28" s="103"/>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64" ht="15">
      <c r="A29" s="92">
        <v>10</v>
      </c>
      <c r="B29" s="86" t="s">
        <v>188</v>
      </c>
      <c r="C29" s="87"/>
      <c r="D29" s="87"/>
      <c r="E29" s="87"/>
      <c r="F29" s="87"/>
      <c r="G29" s="87" t="s">
        <v>189</v>
      </c>
      <c r="H29" s="87"/>
      <c r="I29" s="105">
        <v>0</v>
      </c>
      <c r="J29" s="87"/>
      <c r="K29" s="87"/>
      <c r="L29" s="84"/>
      <c r="M29" s="104"/>
      <c r="N29" s="103"/>
      <c r="O29" s="104"/>
      <c r="P29" s="104"/>
      <c r="Q29" s="104"/>
      <c r="R29" s="103"/>
      <c r="S29" s="103"/>
      <c r="T29" s="103"/>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row>
    <row r="30" spans="1:64" ht="15">
      <c r="A30" s="92">
        <v>11</v>
      </c>
      <c r="B30" s="113" t="s">
        <v>190</v>
      </c>
      <c r="C30" s="87"/>
      <c r="D30" s="87"/>
      <c r="E30" s="87"/>
      <c r="F30" s="87"/>
      <c r="G30" s="87" t="s">
        <v>191</v>
      </c>
      <c r="H30" s="87"/>
      <c r="I30" s="105">
        <v>0</v>
      </c>
      <c r="J30" s="87"/>
      <c r="K30" s="87"/>
      <c r="L30" s="84"/>
      <c r="M30" s="104"/>
      <c r="N30" s="103"/>
      <c r="O30" s="104"/>
      <c r="P30" s="104"/>
      <c r="Q30" s="104"/>
      <c r="R30" s="103"/>
      <c r="S30" s="103"/>
      <c r="T30" s="103"/>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row>
    <row r="31" spans="1:64" ht="15">
      <c r="A31" s="92">
        <v>12</v>
      </c>
      <c r="B31" s="113" t="s">
        <v>192</v>
      </c>
      <c r="C31" s="87"/>
      <c r="D31" s="87"/>
      <c r="E31" s="87"/>
      <c r="F31" s="87"/>
      <c r="G31" s="87"/>
      <c r="H31" s="87"/>
      <c r="I31" s="105">
        <v>0</v>
      </c>
      <c r="J31" s="87"/>
      <c r="K31" s="87"/>
      <c r="L31" s="84"/>
      <c r="M31" s="112"/>
      <c r="N31" s="103"/>
      <c r="O31" s="102"/>
      <c r="P31" s="104"/>
      <c r="Q31" s="104"/>
      <c r="R31" s="103"/>
      <c r="S31" s="103"/>
      <c r="T31" s="103"/>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row>
    <row r="32" spans="1:64" ht="15">
      <c r="A32" s="92">
        <v>13</v>
      </c>
      <c r="B32" s="113" t="s">
        <v>193</v>
      </c>
      <c r="C32" s="87"/>
      <c r="D32" s="87"/>
      <c r="E32" s="87"/>
      <c r="F32" s="87"/>
      <c r="G32" s="87"/>
      <c r="H32" s="87"/>
      <c r="I32" s="114">
        <v>0</v>
      </c>
      <c r="J32" s="87"/>
      <c r="K32" s="87"/>
      <c r="L32" s="84"/>
      <c r="M32" s="104"/>
      <c r="N32" s="103"/>
      <c r="O32" s="102"/>
      <c r="P32" s="104"/>
      <c r="Q32" s="104"/>
      <c r="R32" s="103"/>
      <c r="S32" s="103"/>
      <c r="T32" s="103"/>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row>
    <row r="33" spans="1:64" ht="15.75" thickBot="1">
      <c r="A33" s="92">
        <v>14</v>
      </c>
      <c r="B33" s="86" t="s">
        <v>194</v>
      </c>
      <c r="C33" s="87"/>
      <c r="D33" s="87"/>
      <c r="E33" s="87"/>
      <c r="F33" s="87"/>
      <c r="G33" s="87"/>
      <c r="H33" s="87"/>
      <c r="I33" s="115">
        <v>0</v>
      </c>
      <c r="J33" s="87"/>
      <c r="K33" s="87"/>
      <c r="L33" s="84"/>
      <c r="M33" s="104"/>
      <c r="N33" s="103"/>
      <c r="O33" s="102"/>
      <c r="P33" s="104"/>
      <c r="Q33" s="104"/>
      <c r="R33" s="103"/>
      <c r="S33" s="103"/>
      <c r="T33" s="103"/>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row>
    <row r="34" spans="1:64" ht="15">
      <c r="A34" s="92">
        <v>15</v>
      </c>
      <c r="B34" s="86" t="s">
        <v>195</v>
      </c>
      <c r="C34" s="87"/>
      <c r="D34" s="87"/>
      <c r="E34" s="87"/>
      <c r="F34" s="87"/>
      <c r="G34" s="87"/>
      <c r="H34" s="87"/>
      <c r="I34" s="98">
        <f>SUM(I27:I33)</f>
        <v>3243.7500000000005</v>
      </c>
      <c r="J34" s="87"/>
      <c r="K34" s="87"/>
      <c r="L34" s="84"/>
      <c r="M34" s="104"/>
      <c r="N34" s="103"/>
      <c r="O34" s="102"/>
      <c r="P34" s="104"/>
      <c r="Q34" s="104"/>
      <c r="R34" s="103"/>
      <c r="S34" s="103"/>
      <c r="T34" s="103"/>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64" ht="15">
      <c r="A35" s="92"/>
      <c r="B35" s="86"/>
      <c r="C35" s="87"/>
      <c r="D35" s="87"/>
      <c r="E35" s="87"/>
      <c r="F35" s="87"/>
      <c r="G35" s="87"/>
      <c r="H35" s="87"/>
      <c r="I35" s="98"/>
      <c r="J35" s="87"/>
      <c r="K35" s="87"/>
      <c r="L35" s="84"/>
      <c r="M35" s="104"/>
      <c r="N35" s="103"/>
      <c r="O35" s="102"/>
      <c r="P35" s="104"/>
      <c r="Q35" s="104"/>
      <c r="R35" s="103"/>
      <c r="S35" s="103"/>
      <c r="T35" s="103"/>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row>
    <row r="36" spans="1:64" ht="15">
      <c r="A36" s="92">
        <v>16</v>
      </c>
      <c r="B36" s="86" t="s">
        <v>196</v>
      </c>
      <c r="C36" s="87" t="s">
        <v>197</v>
      </c>
      <c r="D36" s="116">
        <f>IF(I34&gt;0,I24/I34,0)</f>
        <v>8.1822755873805999</v>
      </c>
      <c r="E36" s="87"/>
      <c r="F36" s="87"/>
      <c r="G36" s="87"/>
      <c r="H36" s="87"/>
      <c r="I36" s="109"/>
      <c r="J36" s="87"/>
      <c r="K36" s="87"/>
      <c r="L36" s="84"/>
      <c r="M36" s="104"/>
      <c r="N36" s="103"/>
      <c r="O36" s="102"/>
      <c r="P36" s="104"/>
      <c r="Q36" s="104"/>
      <c r="R36" s="103"/>
      <c r="S36" s="103"/>
      <c r="T36" s="103"/>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row>
    <row r="37" spans="1:64" ht="15">
      <c r="A37" s="92">
        <v>17</v>
      </c>
      <c r="B37" s="86" t="s">
        <v>198</v>
      </c>
      <c r="C37" s="87"/>
      <c r="D37" s="116">
        <f>+D36/12</f>
        <v>0.68185629894838329</v>
      </c>
      <c r="E37" s="87"/>
      <c r="F37" s="87"/>
      <c r="G37" s="87"/>
      <c r="H37" s="87"/>
      <c r="I37" s="109"/>
      <c r="J37" s="87"/>
      <c r="K37" s="87"/>
      <c r="L37" s="84"/>
      <c r="M37" s="104"/>
      <c r="N37" s="103"/>
      <c r="O37" s="102"/>
      <c r="P37" s="104"/>
      <c r="Q37" s="104"/>
      <c r="R37" s="103"/>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64" s="418" customFormat="1" ht="15">
      <c r="A38" s="426"/>
      <c r="B38" s="421"/>
      <c r="C38" s="422"/>
      <c r="D38" s="435"/>
      <c r="E38" s="422"/>
      <c r="F38" s="422"/>
      <c r="G38" s="422"/>
      <c r="H38" s="422"/>
      <c r="I38" s="434"/>
      <c r="J38" s="422"/>
      <c r="K38" s="422"/>
      <c r="L38" s="419"/>
      <c r="M38" s="431"/>
      <c r="N38" s="430"/>
      <c r="O38" s="429"/>
      <c r="P38" s="431"/>
      <c r="Q38" s="431"/>
      <c r="R38" s="430"/>
      <c r="S38" s="430"/>
      <c r="T38" s="43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c r="AU38" s="420"/>
      <c r="AV38" s="420"/>
      <c r="AW38" s="420"/>
      <c r="AX38" s="420"/>
      <c r="AY38" s="420"/>
      <c r="AZ38" s="420"/>
      <c r="BA38" s="420"/>
      <c r="BB38" s="420"/>
      <c r="BC38" s="420"/>
      <c r="BD38" s="420"/>
      <c r="BE38" s="420"/>
      <c r="BF38" s="420"/>
      <c r="BG38" s="420"/>
      <c r="BH38" s="420"/>
      <c r="BI38" s="420"/>
      <c r="BJ38" s="420"/>
      <c r="BK38" s="420"/>
      <c r="BL38" s="420"/>
    </row>
    <row r="39" spans="1:64" ht="15">
      <c r="A39" s="92"/>
      <c r="B39" s="86"/>
      <c r="C39" s="87"/>
      <c r="D39" s="117" t="s">
        <v>199</v>
      </c>
      <c r="E39" s="87"/>
      <c r="F39" s="87"/>
      <c r="G39" s="87"/>
      <c r="H39" s="87"/>
      <c r="I39" s="118" t="s">
        <v>200</v>
      </c>
      <c r="J39" s="87"/>
      <c r="K39" s="87"/>
      <c r="L39" s="84"/>
      <c r="M39" s="104"/>
      <c r="N39" s="103"/>
      <c r="O39" s="104"/>
      <c r="P39" s="104"/>
      <c r="Q39" s="104"/>
      <c r="R39" s="103"/>
      <c r="S39" s="103"/>
      <c r="T39" s="103"/>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row>
    <row r="40" spans="1:64" ht="15">
      <c r="A40" s="92">
        <v>18</v>
      </c>
      <c r="B40" s="86" t="s">
        <v>201</v>
      </c>
      <c r="C40" s="87" t="s">
        <v>202</v>
      </c>
      <c r="D40" s="116">
        <f>+D36/52</f>
        <v>0.15735145360347308</v>
      </c>
      <c r="E40" s="87"/>
      <c r="F40" s="87"/>
      <c r="G40" s="87"/>
      <c r="H40" s="87"/>
      <c r="I40" s="119">
        <f>+D36/52</f>
        <v>0.15735145360347308</v>
      </c>
      <c r="J40" s="87"/>
      <c r="K40" s="87"/>
      <c r="L40" s="84"/>
      <c r="M40" s="104"/>
      <c r="N40" s="103"/>
      <c r="O40" s="104"/>
      <c r="P40" s="104"/>
      <c r="Q40" s="104"/>
      <c r="R40" s="103"/>
      <c r="S40" s="103"/>
      <c r="T40" s="103"/>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row>
    <row r="41" spans="1:64" ht="15">
      <c r="A41" s="92">
        <v>19</v>
      </c>
      <c r="B41" s="86" t="s">
        <v>203</v>
      </c>
      <c r="C41" s="87" t="s">
        <v>679</v>
      </c>
      <c r="D41" s="116">
        <f>D36/260</f>
        <v>3.1470290720694613E-2</v>
      </c>
      <c r="E41" s="87" t="s">
        <v>204</v>
      </c>
      <c r="F41" s="109"/>
      <c r="G41" s="87"/>
      <c r="H41" s="87"/>
      <c r="I41" s="119">
        <f>D36/365</f>
        <v>2.2417193390083835E-2</v>
      </c>
      <c r="J41" s="87"/>
      <c r="K41" s="87"/>
      <c r="L41" s="84"/>
      <c r="M41" s="104"/>
      <c r="N41" s="103"/>
      <c r="O41" s="104"/>
      <c r="P41" s="104"/>
      <c r="Q41" s="104"/>
      <c r="R41" s="103"/>
      <c r="S41" s="103"/>
      <c r="T41" s="103"/>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row>
    <row r="42" spans="1:64" ht="15">
      <c r="A42" s="92">
        <v>20</v>
      </c>
      <c r="B42" s="86" t="s">
        <v>205</v>
      </c>
      <c r="C42" s="87" t="s">
        <v>680</v>
      </c>
      <c r="D42" s="116">
        <f>D36/4160</f>
        <v>1.9668931700434133E-3</v>
      </c>
      <c r="E42" s="87" t="s">
        <v>206</v>
      </c>
      <c r="F42" s="109"/>
      <c r="G42" s="87"/>
      <c r="H42" s="87"/>
      <c r="I42" s="119">
        <f>D36/8760*1000</f>
        <v>0.93404972458682645</v>
      </c>
      <c r="J42" s="87"/>
      <c r="K42" s="87" t="s">
        <v>157</v>
      </c>
      <c r="L42" s="84"/>
      <c r="M42" s="104"/>
      <c r="N42" s="103"/>
      <c r="O42" s="104"/>
      <c r="P42" s="104"/>
      <c r="Q42" s="104"/>
      <c r="R42" s="103"/>
      <c r="S42" s="103"/>
      <c r="T42" s="103"/>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row>
    <row r="43" spans="1:64" ht="15">
      <c r="A43" s="92"/>
      <c r="B43" s="86"/>
      <c r="C43" s="87" t="s">
        <v>157</v>
      </c>
      <c r="D43" s="87"/>
      <c r="E43" s="87" t="s">
        <v>207</v>
      </c>
      <c r="F43" s="109"/>
      <c r="G43" s="87"/>
      <c r="H43" s="87"/>
      <c r="I43" s="109"/>
      <c r="J43" s="87"/>
      <c r="K43" s="87" t="s">
        <v>157</v>
      </c>
      <c r="L43" s="84"/>
      <c r="M43" s="104"/>
      <c r="N43" s="103"/>
      <c r="O43" s="104"/>
      <c r="P43" s="104"/>
      <c r="Q43" s="104"/>
      <c r="R43" s="103"/>
      <c r="S43" s="103"/>
      <c r="T43" s="103"/>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row>
    <row r="44" spans="1:64" ht="15">
      <c r="A44" s="92"/>
      <c r="B44" s="86"/>
      <c r="C44" s="87"/>
      <c r="D44" s="87"/>
      <c r="E44" s="87"/>
      <c r="F44" s="109"/>
      <c r="G44" s="87"/>
      <c r="H44" s="87"/>
      <c r="I44" s="109"/>
      <c r="J44" s="87"/>
      <c r="K44" s="87" t="s">
        <v>157</v>
      </c>
      <c r="L44" s="84"/>
      <c r="M44" s="104"/>
      <c r="N44" s="103"/>
      <c r="O44" s="104"/>
      <c r="P44" s="104"/>
      <c r="Q44" s="104"/>
      <c r="R44" s="103"/>
      <c r="S44" s="103"/>
      <c r="T44" s="103"/>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row>
    <row r="45" spans="1:64" ht="15">
      <c r="A45" s="92">
        <v>21</v>
      </c>
      <c r="B45" s="86" t="s">
        <v>208</v>
      </c>
      <c r="C45" s="87" t="s">
        <v>209</v>
      </c>
      <c r="D45" s="120">
        <v>0</v>
      </c>
      <c r="E45" s="121" t="s">
        <v>210</v>
      </c>
      <c r="F45" s="121"/>
      <c r="G45" s="121"/>
      <c r="H45" s="121"/>
      <c r="I45" s="121">
        <f>D45</f>
        <v>0</v>
      </c>
      <c r="J45" s="121" t="s">
        <v>210</v>
      </c>
      <c r="K45" s="87"/>
      <c r="L45" s="84"/>
      <c r="M45" s="104"/>
      <c r="N45" s="103"/>
      <c r="O45" s="104"/>
      <c r="P45" s="104"/>
      <c r="Q45" s="104"/>
      <c r="R45" s="103"/>
      <c r="S45" s="103"/>
      <c r="T45" s="103"/>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row>
    <row r="46" spans="1:64" ht="15">
      <c r="A46" s="92">
        <v>22</v>
      </c>
      <c r="B46" s="86"/>
      <c r="C46" s="87"/>
      <c r="D46" s="120">
        <v>0</v>
      </c>
      <c r="E46" s="121" t="s">
        <v>211</v>
      </c>
      <c r="F46" s="121"/>
      <c r="G46" s="121"/>
      <c r="H46" s="121"/>
      <c r="I46" s="121">
        <f>D46</f>
        <v>0</v>
      </c>
      <c r="J46" s="121" t="s">
        <v>211</v>
      </c>
      <c r="K46" s="87"/>
      <c r="L46" s="84"/>
      <c r="M46" s="104"/>
      <c r="N46" s="103"/>
      <c r="O46" s="104"/>
      <c r="P46" s="104"/>
      <c r="Q46" s="104"/>
      <c r="R46" s="103"/>
      <c r="S46" s="103"/>
      <c r="T46" s="103"/>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row>
    <row r="47" spans="1:64" ht="15">
      <c r="J47" s="122"/>
      <c r="K47" s="87"/>
      <c r="L47" s="84"/>
      <c r="M47" s="104"/>
      <c r="N47" s="103"/>
      <c r="O47" s="104"/>
      <c r="P47" s="104"/>
      <c r="Q47" s="104"/>
      <c r="R47" s="103"/>
      <c r="S47" s="103"/>
      <c r="T47" s="103"/>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row>
    <row r="48" spans="1:64" ht="15">
      <c r="J48" s="122"/>
      <c r="K48" s="87"/>
      <c r="L48" s="84"/>
      <c r="M48" s="104"/>
      <c r="N48" s="103"/>
      <c r="O48" s="104"/>
      <c r="P48" s="104"/>
      <c r="Q48" s="104"/>
      <c r="R48" s="103"/>
      <c r="S48" s="103"/>
      <c r="T48" s="103"/>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row>
    <row r="49" spans="1:64" ht="15">
      <c r="A49"/>
      <c r="B49"/>
      <c r="C49"/>
      <c r="D49"/>
      <c r="E49"/>
      <c r="F49"/>
      <c r="G49"/>
      <c r="H49"/>
      <c r="I49"/>
      <c r="J49"/>
      <c r="K49"/>
      <c r="L49"/>
      <c r="M49" s="104"/>
      <c r="N49" s="103"/>
      <c r="O49" s="104"/>
      <c r="P49" s="104"/>
      <c r="Q49" s="104"/>
      <c r="R49" s="103"/>
      <c r="S49" s="103"/>
      <c r="T49" s="103"/>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row>
    <row r="50" spans="1:64" ht="15">
      <c r="A50"/>
      <c r="B50"/>
      <c r="C50"/>
      <c r="D50"/>
      <c r="E50"/>
      <c r="F50"/>
      <c r="G50"/>
      <c r="H50"/>
      <c r="I50"/>
      <c r="J50"/>
      <c r="K50"/>
      <c r="L50"/>
      <c r="M50" s="104"/>
      <c r="N50" s="103"/>
      <c r="O50" s="104"/>
      <c r="P50" s="104"/>
      <c r="Q50" s="104"/>
      <c r="R50" s="103"/>
      <c r="S50" s="103"/>
      <c r="T50" s="103"/>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row>
    <row r="51" spans="1:64" ht="15">
      <c r="A51"/>
      <c r="B51"/>
      <c r="C51"/>
      <c r="D51"/>
      <c r="E51"/>
      <c r="F51"/>
      <c r="G51"/>
      <c r="H51"/>
      <c r="I51"/>
      <c r="J51"/>
      <c r="K51"/>
      <c r="L51"/>
      <c r="M51" s="104"/>
      <c r="N51" s="103"/>
      <c r="O51" s="104"/>
      <c r="P51" s="104"/>
      <c r="Q51" s="104"/>
      <c r="R51" s="103"/>
      <c r="S51" s="103"/>
      <c r="T51" s="103"/>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row>
    <row r="52" spans="1:64" ht="15">
      <c r="A52"/>
      <c r="B52"/>
      <c r="C52"/>
      <c r="D52"/>
      <c r="E52"/>
      <c r="F52"/>
      <c r="G52"/>
      <c r="H52"/>
      <c r="I52"/>
      <c r="J52"/>
      <c r="K52"/>
      <c r="L52"/>
      <c r="M52" s="104"/>
      <c r="N52" s="103"/>
      <c r="O52" s="104"/>
      <c r="P52" s="104"/>
      <c r="Q52" s="104"/>
      <c r="R52" s="103"/>
      <c r="S52" s="103"/>
      <c r="T52" s="103"/>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row>
    <row r="53" spans="1:64" ht="15">
      <c r="A53"/>
      <c r="B53"/>
      <c r="C53"/>
      <c r="D53"/>
      <c r="E53"/>
      <c r="F53"/>
      <c r="G53"/>
      <c r="H53"/>
      <c r="I53"/>
      <c r="J53"/>
      <c r="K53"/>
      <c r="L53"/>
      <c r="P53" s="104"/>
      <c r="Q53" s="104"/>
      <c r="R53" s="103"/>
      <c r="S53" s="103"/>
      <c r="T53" s="103"/>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row>
    <row r="54" spans="1:64" ht="15">
      <c r="A54"/>
      <c r="B54"/>
      <c r="C54"/>
      <c r="D54"/>
      <c r="E54"/>
      <c r="F54"/>
      <c r="G54"/>
      <c r="H54"/>
      <c r="I54"/>
      <c r="J54"/>
      <c r="K54"/>
      <c r="L54"/>
      <c r="M54" s="104"/>
      <c r="N54" s="103"/>
      <c r="O54" s="104"/>
      <c r="P54" s="104"/>
      <c r="Q54" s="104"/>
      <c r="R54" s="103"/>
      <c r="S54" s="103"/>
      <c r="T54" s="103"/>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row>
    <row r="55" spans="1:64" s="620" customFormat="1" ht="15">
      <c r="A55" s="580"/>
      <c r="B55" s="580"/>
      <c r="C55" s="580"/>
      <c r="D55" s="580"/>
      <c r="E55" s="580"/>
      <c r="F55" s="580"/>
      <c r="G55" s="580"/>
      <c r="H55" s="580"/>
      <c r="I55" s="580"/>
      <c r="J55" s="580"/>
      <c r="K55" s="580"/>
      <c r="L55" s="580"/>
      <c r="M55" s="431"/>
      <c r="N55" s="430"/>
      <c r="O55" s="431"/>
      <c r="P55" s="431"/>
      <c r="Q55" s="431"/>
      <c r="R55" s="430"/>
      <c r="S55" s="430"/>
      <c r="T55" s="43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420"/>
      <c r="AU55" s="420"/>
      <c r="AV55" s="420"/>
      <c r="AW55" s="420"/>
      <c r="AX55" s="420"/>
      <c r="AY55" s="420"/>
      <c r="AZ55" s="420"/>
      <c r="BA55" s="420"/>
      <c r="BB55" s="420"/>
      <c r="BC55" s="420"/>
      <c r="BD55" s="420"/>
      <c r="BE55" s="420"/>
      <c r="BF55" s="420"/>
      <c r="BG55" s="420"/>
      <c r="BH55" s="420"/>
      <c r="BI55" s="420"/>
      <c r="BJ55" s="420"/>
      <c r="BK55" s="420"/>
      <c r="BL55" s="420"/>
    </row>
    <row r="56" spans="1:64" s="620" customFormat="1" ht="15">
      <c r="A56" s="580"/>
      <c r="B56" s="580"/>
      <c r="C56" s="580"/>
      <c r="D56" s="580"/>
      <c r="E56" s="580"/>
      <c r="F56" s="580"/>
      <c r="G56" s="580"/>
      <c r="H56" s="580"/>
      <c r="I56" s="580"/>
      <c r="J56" s="580"/>
      <c r="K56" s="580"/>
      <c r="L56" s="580"/>
      <c r="M56" s="431"/>
      <c r="N56" s="430"/>
      <c r="O56" s="431"/>
      <c r="P56" s="431"/>
      <c r="Q56" s="431"/>
      <c r="R56" s="430"/>
      <c r="S56" s="430"/>
      <c r="T56" s="43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0"/>
      <c r="BJ56" s="420"/>
      <c r="BK56" s="420"/>
      <c r="BL56" s="420"/>
    </row>
    <row r="57" spans="1:64" s="620" customFormat="1" ht="15">
      <c r="A57" s="580"/>
      <c r="B57" s="580"/>
      <c r="C57" s="580"/>
      <c r="D57" s="580"/>
      <c r="E57" s="580"/>
      <c r="F57" s="580"/>
      <c r="G57" s="580"/>
      <c r="H57" s="580"/>
      <c r="I57" s="580"/>
      <c r="J57" s="580"/>
      <c r="K57" s="580"/>
      <c r="L57" s="580"/>
      <c r="M57" s="431"/>
      <c r="N57" s="430"/>
      <c r="O57" s="431"/>
      <c r="P57" s="431"/>
      <c r="Q57" s="431"/>
      <c r="R57" s="430"/>
      <c r="S57" s="430"/>
      <c r="T57" s="43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420"/>
      <c r="AU57" s="420"/>
      <c r="AV57" s="420"/>
      <c r="AW57" s="420"/>
      <c r="AX57" s="420"/>
      <c r="AY57" s="420"/>
      <c r="AZ57" s="420"/>
      <c r="BA57" s="420"/>
      <c r="BB57" s="420"/>
      <c r="BC57" s="420"/>
      <c r="BD57" s="420"/>
      <c r="BE57" s="420"/>
      <c r="BF57" s="420"/>
      <c r="BG57" s="420"/>
      <c r="BH57" s="420"/>
      <c r="BI57" s="420"/>
      <c r="BJ57" s="420"/>
      <c r="BK57" s="420"/>
      <c r="BL57" s="420"/>
    </row>
    <row r="58" spans="1:64" s="620" customFormat="1" ht="15">
      <c r="A58" s="580"/>
      <c r="B58" s="580"/>
      <c r="C58" s="580"/>
      <c r="D58" s="580"/>
      <c r="E58" s="580"/>
      <c r="F58" s="580"/>
      <c r="G58" s="580"/>
      <c r="H58" s="580"/>
      <c r="I58" s="580"/>
      <c r="J58" s="580"/>
      <c r="K58" s="580"/>
      <c r="L58" s="580"/>
      <c r="M58" s="431"/>
      <c r="N58" s="430"/>
      <c r="O58" s="431"/>
      <c r="P58" s="431"/>
      <c r="Q58" s="431"/>
      <c r="R58" s="430"/>
      <c r="S58" s="430"/>
      <c r="T58" s="43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row>
    <row r="59" spans="1:64" s="620" customFormat="1" ht="15">
      <c r="A59" s="580"/>
      <c r="B59" s="580"/>
      <c r="C59" s="580"/>
      <c r="D59" s="580"/>
      <c r="E59" s="580"/>
      <c r="F59" s="580"/>
      <c r="G59" s="580"/>
      <c r="H59" s="580"/>
      <c r="I59" s="580"/>
      <c r="J59" s="580"/>
      <c r="K59" s="580"/>
      <c r="L59" s="580"/>
      <c r="M59" s="431"/>
      <c r="N59" s="430"/>
      <c r="O59" s="431"/>
      <c r="P59" s="431"/>
      <c r="Q59" s="431"/>
      <c r="R59" s="430"/>
      <c r="S59" s="430"/>
      <c r="T59" s="43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0"/>
      <c r="BJ59" s="420"/>
      <c r="BK59" s="420"/>
      <c r="BL59" s="420"/>
    </row>
    <row r="60" spans="1:64" s="620" customFormat="1" ht="15">
      <c r="A60" s="580"/>
      <c r="B60" s="580"/>
      <c r="C60" s="580"/>
      <c r="D60" s="580"/>
      <c r="E60" s="580"/>
      <c r="F60" s="580"/>
      <c r="G60" s="580"/>
      <c r="H60" s="580"/>
      <c r="I60" s="580"/>
      <c r="J60" s="580"/>
      <c r="K60" s="580"/>
      <c r="L60" s="580"/>
      <c r="M60" s="431"/>
      <c r="N60" s="430"/>
      <c r="O60" s="431"/>
      <c r="P60" s="431"/>
      <c r="Q60" s="431"/>
      <c r="R60" s="430"/>
      <c r="S60" s="430"/>
      <c r="T60" s="43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0"/>
      <c r="AY60" s="420"/>
      <c r="AZ60" s="420"/>
      <c r="BA60" s="420"/>
      <c r="BB60" s="420"/>
      <c r="BC60" s="420"/>
      <c r="BD60" s="420"/>
      <c r="BE60" s="420"/>
      <c r="BF60" s="420"/>
      <c r="BG60" s="420"/>
      <c r="BH60" s="420"/>
      <c r="BI60" s="420"/>
      <c r="BJ60" s="420"/>
      <c r="BK60" s="420"/>
      <c r="BL60" s="420"/>
    </row>
    <row r="61" spans="1:64" s="620" customFormat="1" ht="15">
      <c r="A61" s="580"/>
      <c r="B61" s="580"/>
      <c r="C61" s="580"/>
      <c r="D61" s="580"/>
      <c r="E61" s="580"/>
      <c r="F61" s="580"/>
      <c r="G61" s="580"/>
      <c r="H61" s="580"/>
      <c r="I61" s="580"/>
      <c r="J61" s="580"/>
      <c r="K61" s="580"/>
      <c r="L61" s="580"/>
      <c r="M61" s="431"/>
      <c r="N61" s="430"/>
      <c r="O61" s="431"/>
      <c r="P61" s="431"/>
      <c r="Q61" s="431"/>
      <c r="R61" s="430"/>
      <c r="S61" s="430"/>
      <c r="T61" s="43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0"/>
      <c r="AZ61" s="420"/>
      <c r="BA61" s="420"/>
      <c r="BB61" s="420"/>
      <c r="BC61" s="420"/>
      <c r="BD61" s="420"/>
      <c r="BE61" s="420"/>
      <c r="BF61" s="420"/>
      <c r="BG61" s="420"/>
      <c r="BH61" s="420"/>
      <c r="BI61" s="420"/>
      <c r="BJ61" s="420"/>
      <c r="BK61" s="420"/>
      <c r="BL61" s="420"/>
    </row>
    <row r="62" spans="1:64" s="620" customFormat="1" ht="15">
      <c r="A62" s="580"/>
      <c r="B62" s="580"/>
      <c r="C62" s="580"/>
      <c r="D62" s="580"/>
      <c r="E62" s="580"/>
      <c r="F62" s="580"/>
      <c r="G62" s="580"/>
      <c r="H62" s="580"/>
      <c r="I62" s="580"/>
      <c r="J62" s="580"/>
      <c r="K62" s="580"/>
      <c r="L62" s="580"/>
      <c r="M62" s="431"/>
      <c r="N62" s="430"/>
      <c r="O62" s="431"/>
      <c r="P62" s="431"/>
      <c r="Q62" s="431"/>
      <c r="R62" s="430"/>
      <c r="S62" s="430"/>
      <c r="T62" s="43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0"/>
      <c r="AY62" s="420"/>
      <c r="AZ62" s="420"/>
      <c r="BA62" s="420"/>
      <c r="BB62" s="420"/>
      <c r="BC62" s="420"/>
      <c r="BD62" s="420"/>
      <c r="BE62" s="420"/>
      <c r="BF62" s="420"/>
      <c r="BG62" s="420"/>
      <c r="BH62" s="420"/>
      <c r="BI62" s="420"/>
      <c r="BJ62" s="420"/>
      <c r="BK62" s="420"/>
      <c r="BL62" s="420"/>
    </row>
    <row r="63" spans="1:64" s="620" customFormat="1" ht="15">
      <c r="A63" s="580"/>
      <c r="B63" s="580"/>
      <c r="C63" s="580"/>
      <c r="D63" s="580"/>
      <c r="E63" s="580"/>
      <c r="F63" s="580"/>
      <c r="G63" s="580"/>
      <c r="H63" s="580"/>
      <c r="I63" s="580"/>
      <c r="J63" s="580"/>
      <c r="K63" s="580"/>
      <c r="L63" s="580"/>
      <c r="M63" s="431"/>
      <c r="N63" s="430"/>
      <c r="O63" s="431"/>
      <c r="P63" s="431"/>
      <c r="Q63" s="431"/>
      <c r="R63" s="430"/>
      <c r="S63" s="430"/>
      <c r="T63" s="43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0"/>
      <c r="AY63" s="420"/>
      <c r="AZ63" s="420"/>
      <c r="BA63" s="420"/>
      <c r="BB63" s="420"/>
      <c r="BC63" s="420"/>
      <c r="BD63" s="420"/>
      <c r="BE63" s="420"/>
      <c r="BF63" s="420"/>
      <c r="BG63" s="420"/>
      <c r="BH63" s="420"/>
      <c r="BI63" s="420"/>
      <c r="BJ63" s="420"/>
      <c r="BK63" s="420"/>
      <c r="BL63" s="420"/>
    </row>
    <row r="64" spans="1:64" s="620" customFormat="1" ht="15">
      <c r="A64" s="580"/>
      <c r="B64" s="580"/>
      <c r="C64" s="580"/>
      <c r="D64" s="580"/>
      <c r="E64" s="580"/>
      <c r="F64" s="580"/>
      <c r="G64" s="580"/>
      <c r="H64" s="580"/>
      <c r="I64" s="580"/>
      <c r="J64" s="580"/>
      <c r="K64" s="580"/>
      <c r="L64" s="580"/>
      <c r="M64" s="431"/>
      <c r="N64" s="430"/>
      <c r="O64" s="431"/>
      <c r="P64" s="431"/>
      <c r="Q64" s="431"/>
      <c r="R64" s="430"/>
      <c r="S64" s="430"/>
      <c r="T64" s="43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20"/>
    </row>
    <row r="65" spans="1:64" s="620" customFormat="1" ht="15">
      <c r="A65" s="580"/>
      <c r="B65" s="580"/>
      <c r="C65" s="580"/>
      <c r="D65" s="580"/>
      <c r="E65" s="580"/>
      <c r="F65" s="580"/>
      <c r="G65" s="580"/>
      <c r="H65" s="580"/>
      <c r="I65" s="580"/>
      <c r="J65" s="580"/>
      <c r="K65" s="580"/>
      <c r="L65" s="580"/>
      <c r="M65" s="431"/>
      <c r="N65" s="430"/>
      <c r="O65" s="431"/>
      <c r="P65" s="431"/>
      <c r="Q65" s="431"/>
      <c r="R65" s="430"/>
      <c r="S65" s="430"/>
      <c r="T65" s="43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row>
    <row r="66" spans="1:64" s="620" customFormat="1" ht="15">
      <c r="A66" s="580"/>
      <c r="B66" s="580"/>
      <c r="C66" s="580"/>
      <c r="D66" s="580"/>
      <c r="E66" s="580"/>
      <c r="F66" s="580"/>
      <c r="G66" s="580"/>
      <c r="H66" s="580"/>
      <c r="I66" s="580"/>
      <c r="J66" s="580"/>
      <c r="K66" s="580"/>
      <c r="L66" s="580"/>
      <c r="M66" s="431"/>
      <c r="N66" s="430"/>
      <c r="O66" s="431"/>
      <c r="P66" s="431"/>
      <c r="Q66" s="431"/>
      <c r="R66" s="430"/>
      <c r="S66" s="430"/>
      <c r="T66" s="43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0"/>
      <c r="AY66" s="420"/>
      <c r="AZ66" s="420"/>
      <c r="BA66" s="420"/>
      <c r="BB66" s="420"/>
      <c r="BC66" s="420"/>
      <c r="BD66" s="420"/>
      <c r="BE66" s="420"/>
      <c r="BF66" s="420"/>
      <c r="BG66" s="420"/>
      <c r="BH66" s="420"/>
      <c r="BI66" s="420"/>
      <c r="BJ66" s="420"/>
      <c r="BK66" s="420"/>
      <c r="BL66" s="420"/>
    </row>
    <row r="67" spans="1:64" s="620" customFormat="1" ht="15">
      <c r="A67" s="580"/>
      <c r="B67" s="580"/>
      <c r="C67" s="580"/>
      <c r="D67" s="580"/>
      <c r="E67" s="580"/>
      <c r="F67" s="580"/>
      <c r="G67" s="580"/>
      <c r="H67" s="580"/>
      <c r="I67" s="580"/>
      <c r="J67" s="580"/>
      <c r="K67" s="580"/>
      <c r="L67" s="580"/>
      <c r="M67" s="431"/>
      <c r="N67" s="430"/>
      <c r="O67" s="431"/>
      <c r="P67" s="431"/>
      <c r="Q67" s="431"/>
      <c r="R67" s="430"/>
      <c r="S67" s="430"/>
      <c r="T67" s="43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0"/>
      <c r="AY67" s="420"/>
      <c r="AZ67" s="420"/>
      <c r="BA67" s="420"/>
      <c r="BB67" s="420"/>
      <c r="BC67" s="420"/>
      <c r="BD67" s="420"/>
      <c r="BE67" s="420"/>
      <c r="BF67" s="420"/>
      <c r="BG67" s="420"/>
      <c r="BH67" s="420"/>
      <c r="BI67" s="420"/>
      <c r="BJ67" s="420"/>
      <c r="BK67" s="420"/>
      <c r="BL67" s="420"/>
    </row>
    <row r="68" spans="1:64" s="620" customFormat="1" ht="15">
      <c r="A68" s="580"/>
      <c r="B68" s="580"/>
      <c r="C68" s="580"/>
      <c r="D68" s="580"/>
      <c r="E68" s="580"/>
      <c r="F68" s="580"/>
      <c r="G68" s="580"/>
      <c r="H68" s="580"/>
      <c r="I68" s="580"/>
      <c r="J68" s="580"/>
      <c r="K68" s="580"/>
      <c r="L68" s="580"/>
      <c r="M68" s="431"/>
      <c r="N68" s="430"/>
      <c r="O68" s="431"/>
      <c r="P68" s="431"/>
      <c r="Q68" s="431"/>
      <c r="R68" s="430"/>
      <c r="S68" s="430"/>
      <c r="T68" s="43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0"/>
      <c r="AY68" s="420"/>
      <c r="AZ68" s="420"/>
      <c r="BA68" s="420"/>
      <c r="BB68" s="420"/>
      <c r="BC68" s="420"/>
      <c r="BD68" s="420"/>
      <c r="BE68" s="420"/>
      <c r="BF68" s="420"/>
      <c r="BG68" s="420"/>
      <c r="BH68" s="420"/>
      <c r="BI68" s="420"/>
      <c r="BJ68" s="420"/>
      <c r="BK68" s="420"/>
      <c r="BL68" s="420"/>
    </row>
    <row r="69" spans="1:64" s="620" customFormat="1" ht="15">
      <c r="A69" s="580"/>
      <c r="B69" s="580"/>
      <c r="C69" s="580"/>
      <c r="D69" s="580"/>
      <c r="E69" s="580"/>
      <c r="F69" s="580"/>
      <c r="G69" s="580"/>
      <c r="H69" s="580"/>
      <c r="I69" s="580"/>
      <c r="J69" s="580"/>
      <c r="K69" s="580"/>
      <c r="L69" s="580"/>
      <c r="M69" s="431"/>
      <c r="N69" s="430"/>
      <c r="O69" s="431"/>
      <c r="P69" s="431"/>
      <c r="Q69" s="431"/>
      <c r="R69" s="430"/>
      <c r="S69" s="430"/>
      <c r="T69" s="430"/>
      <c r="U69" s="420"/>
      <c r="V69" s="420"/>
      <c r="W69" s="420"/>
      <c r="X69" s="420"/>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0"/>
      <c r="AY69" s="420"/>
      <c r="AZ69" s="420"/>
      <c r="BA69" s="420"/>
      <c r="BB69" s="420"/>
      <c r="BC69" s="420"/>
      <c r="BD69" s="420"/>
      <c r="BE69" s="420"/>
      <c r="BF69" s="420"/>
      <c r="BG69" s="420"/>
      <c r="BH69" s="420"/>
      <c r="BI69" s="420"/>
      <c r="BJ69" s="420"/>
      <c r="BK69" s="420"/>
      <c r="BL69" s="420"/>
    </row>
    <row r="70" spans="1:64" s="620" customFormat="1" ht="15">
      <c r="A70" s="580"/>
      <c r="B70" s="580"/>
      <c r="C70" s="580"/>
      <c r="D70" s="580"/>
      <c r="E70" s="580"/>
      <c r="F70" s="580"/>
      <c r="G70" s="580"/>
      <c r="H70" s="580"/>
      <c r="I70" s="580"/>
      <c r="J70" s="580"/>
      <c r="K70" s="580"/>
      <c r="L70" s="580"/>
      <c r="M70" s="431"/>
      <c r="N70" s="430"/>
      <c r="O70" s="431"/>
      <c r="P70" s="431"/>
      <c r="Q70" s="431"/>
      <c r="R70" s="430"/>
      <c r="S70" s="430"/>
      <c r="T70" s="43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c r="AX70" s="420"/>
      <c r="AY70" s="420"/>
      <c r="AZ70" s="420"/>
      <c r="BA70" s="420"/>
      <c r="BB70" s="420"/>
      <c r="BC70" s="420"/>
      <c r="BD70" s="420"/>
      <c r="BE70" s="420"/>
      <c r="BF70" s="420"/>
      <c r="BG70" s="420"/>
      <c r="BH70" s="420"/>
      <c r="BI70" s="420"/>
      <c r="BJ70" s="420"/>
      <c r="BK70" s="420"/>
      <c r="BL70" s="420"/>
    </row>
    <row r="71" spans="1:64" s="620" customFormat="1" ht="15">
      <c r="A71" s="580"/>
      <c r="B71" s="580"/>
      <c r="C71" s="580"/>
      <c r="D71" s="580"/>
      <c r="E71" s="580"/>
      <c r="F71" s="580"/>
      <c r="G71" s="580"/>
      <c r="H71" s="580"/>
      <c r="I71" s="580"/>
      <c r="J71" s="580"/>
      <c r="K71" s="580"/>
      <c r="L71" s="580"/>
      <c r="M71" s="431"/>
      <c r="N71" s="430"/>
      <c r="O71" s="431"/>
      <c r="P71" s="431"/>
      <c r="Q71" s="431"/>
      <c r="R71" s="430"/>
      <c r="S71" s="430"/>
      <c r="T71" s="43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0"/>
      <c r="AY71" s="420"/>
      <c r="AZ71" s="420"/>
      <c r="BA71" s="420"/>
      <c r="BB71" s="420"/>
      <c r="BC71" s="420"/>
      <c r="BD71" s="420"/>
      <c r="BE71" s="420"/>
      <c r="BF71" s="420"/>
      <c r="BG71" s="420"/>
      <c r="BH71" s="420"/>
      <c r="BI71" s="420"/>
      <c r="BJ71" s="420"/>
      <c r="BK71" s="420"/>
      <c r="BL71" s="420"/>
    </row>
    <row r="72" spans="1:64" ht="15">
      <c r="A72"/>
      <c r="B72"/>
      <c r="C72"/>
      <c r="D72"/>
      <c r="E72"/>
      <c r="F72"/>
      <c r="G72"/>
      <c r="H72" s="414" t="str">
        <f>H1</f>
        <v>Attachment O-EIA Non-Levelized Generic</v>
      </c>
      <c r="I72" s="414"/>
      <c r="J72" s="414"/>
      <c r="K72" s="414"/>
      <c r="L72"/>
      <c r="M72" s="104"/>
      <c r="N72" s="103"/>
      <c r="O72" s="104"/>
      <c r="P72" s="104"/>
      <c r="Q72" s="104"/>
      <c r="R72" s="103"/>
      <c r="S72" s="103"/>
      <c r="T72" s="103"/>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row>
    <row r="73" spans="1:64" ht="15">
      <c r="B73" s="86"/>
      <c r="C73" s="86"/>
      <c r="D73" s="88"/>
      <c r="E73" s="86"/>
      <c r="F73" s="86"/>
      <c r="G73" s="86"/>
      <c r="H73" s="87"/>
      <c r="I73" s="87"/>
      <c r="J73" s="87"/>
      <c r="K73" s="689" t="s">
        <v>212</v>
      </c>
      <c r="L73" s="689"/>
      <c r="M73" s="104"/>
      <c r="N73" s="103"/>
      <c r="O73" s="104"/>
      <c r="P73" s="104"/>
      <c r="Q73" s="104"/>
      <c r="R73" s="103"/>
      <c r="S73" s="103"/>
      <c r="T73" s="103"/>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row>
    <row r="74" spans="1:64" ht="15">
      <c r="B74" s="87"/>
      <c r="C74" s="87"/>
      <c r="D74" s="87"/>
      <c r="E74" s="87"/>
      <c r="F74" s="87"/>
      <c r="G74" s="87"/>
      <c r="H74" s="87"/>
      <c r="I74" s="87"/>
      <c r="J74" s="87"/>
      <c r="K74" s="87"/>
      <c r="L74" s="84"/>
      <c r="M74" s="104"/>
      <c r="N74" s="103"/>
      <c r="O74" s="104"/>
      <c r="P74" s="104"/>
      <c r="Q74" s="104"/>
      <c r="R74" s="103"/>
      <c r="S74" s="103"/>
      <c r="T74" s="103"/>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row>
    <row r="75" spans="1:64" ht="15">
      <c r="B75" s="86" t="str">
        <f>B4</f>
        <v xml:space="preserve">Formula Rate - Non-Levelized </v>
      </c>
      <c r="C75" s="86"/>
      <c r="D75" s="88" t="str">
        <f>D4</f>
        <v xml:space="preserve">   Rate Formula Template</v>
      </c>
      <c r="E75" s="86"/>
      <c r="F75" s="86"/>
      <c r="G75" s="86"/>
      <c r="H75" s="86"/>
      <c r="I75" s="86" t="str">
        <f>I4</f>
        <v>For the 12 months ended 12/31/14</v>
      </c>
      <c r="J75" s="86"/>
      <c r="K75" s="86"/>
      <c r="L75" s="123"/>
      <c r="M75" s="104"/>
      <c r="N75" s="103"/>
      <c r="O75" s="104"/>
      <c r="P75" s="104"/>
      <c r="Q75" s="104"/>
      <c r="R75" s="103"/>
      <c r="S75" s="103"/>
      <c r="T75" s="103"/>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row>
    <row r="76" spans="1:64" ht="15">
      <c r="B76" s="86"/>
      <c r="C76" s="91" t="s">
        <v>157</v>
      </c>
      <c r="D76" s="91" t="str">
        <f>D5</f>
        <v>Utilizing EIA Form 412 Data</v>
      </c>
      <c r="E76" s="91"/>
      <c r="F76" s="91"/>
      <c r="G76" s="91"/>
      <c r="H76" s="91"/>
      <c r="I76" s="91"/>
      <c r="J76" s="91"/>
      <c r="K76" s="91"/>
      <c r="L76" s="125"/>
      <c r="M76" s="104"/>
      <c r="N76" s="103"/>
      <c r="O76" s="104"/>
      <c r="P76" s="104"/>
      <c r="Q76" s="104"/>
      <c r="R76" s="103"/>
      <c r="S76" s="103"/>
      <c r="T76" s="103"/>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row>
    <row r="77" spans="1:64" ht="15">
      <c r="B77" s="86"/>
      <c r="C77" s="91" t="s">
        <v>157</v>
      </c>
      <c r="D77" s="91" t="s">
        <v>157</v>
      </c>
      <c r="E77" s="91"/>
      <c r="F77" s="91"/>
      <c r="G77" s="91" t="s">
        <v>157</v>
      </c>
      <c r="H77" s="91"/>
      <c r="I77" s="91"/>
      <c r="J77" s="91"/>
      <c r="K77" s="91"/>
      <c r="L77" s="125"/>
      <c r="M77" s="104"/>
      <c r="N77" s="103"/>
      <c r="O77" s="104"/>
      <c r="P77" s="104"/>
      <c r="Q77" s="104"/>
      <c r="R77" s="103"/>
      <c r="S77" s="103"/>
      <c r="T77" s="103"/>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row>
    <row r="78" spans="1:64" ht="15">
      <c r="B78" s="86"/>
      <c r="C78" s="87"/>
      <c r="D78" s="91" t="str">
        <f>D7</f>
        <v>Mountain Lake</v>
      </c>
      <c r="E78" s="91"/>
      <c r="F78" s="91"/>
      <c r="G78" s="91"/>
      <c r="H78" s="91"/>
      <c r="I78" s="91"/>
      <c r="J78" s="91"/>
      <c r="K78" s="91"/>
      <c r="L78" s="125"/>
      <c r="M78" s="104"/>
      <c r="N78" s="103"/>
      <c r="O78" s="104"/>
      <c r="P78" s="104"/>
      <c r="Q78" s="104"/>
      <c r="R78" s="103"/>
      <c r="S78" s="103"/>
      <c r="T78" s="103"/>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row>
    <row r="79" spans="1:64" ht="15">
      <c r="B79" s="89" t="s">
        <v>213</v>
      </c>
      <c r="C79" s="89" t="s">
        <v>214</v>
      </c>
      <c r="D79" s="89" t="s">
        <v>215</v>
      </c>
      <c r="E79" s="91" t="s">
        <v>157</v>
      </c>
      <c r="F79" s="91"/>
      <c r="G79" s="127" t="s">
        <v>216</v>
      </c>
      <c r="H79" s="91"/>
      <c r="I79" s="128" t="s">
        <v>217</v>
      </c>
      <c r="J79" s="91"/>
      <c r="K79" s="89"/>
      <c r="L79" s="125"/>
      <c r="M79" s="104"/>
      <c r="N79" s="103"/>
      <c r="O79" s="124"/>
      <c r="P79" s="124"/>
      <c r="Q79" s="124"/>
      <c r="R79" s="103"/>
      <c r="S79" s="103"/>
      <c r="T79" s="103"/>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row>
    <row r="80" spans="1:64" ht="15.75">
      <c r="A80" s="92" t="s">
        <v>168</v>
      </c>
      <c r="B80" s="421"/>
      <c r="C80" s="130" t="s">
        <v>695</v>
      </c>
      <c r="D80" s="91"/>
      <c r="E80" s="91"/>
      <c r="F80" s="91"/>
      <c r="G80" s="89"/>
      <c r="H80" s="91"/>
      <c r="I80" s="131" t="s">
        <v>5</v>
      </c>
      <c r="J80" s="91"/>
      <c r="K80" s="89"/>
      <c r="L80" s="125"/>
      <c r="M80" s="104"/>
      <c r="N80" s="103"/>
      <c r="O80" s="104"/>
      <c r="P80" s="126"/>
      <c r="Q80" s="124"/>
      <c r="R80" s="103"/>
      <c r="S80" s="103"/>
      <c r="T80" s="103"/>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row>
    <row r="81" spans="1:64" s="418" customFormat="1" ht="16.5" thickBot="1">
      <c r="A81" s="96" t="s">
        <v>170</v>
      </c>
      <c r="B81" s="135" t="s">
        <v>221</v>
      </c>
      <c r="C81" s="132" t="s">
        <v>696</v>
      </c>
      <c r="D81" s="131" t="s">
        <v>218</v>
      </c>
      <c r="E81" s="425"/>
      <c r="F81" s="131" t="s">
        <v>219</v>
      </c>
      <c r="G81" s="423"/>
      <c r="H81" s="425"/>
      <c r="I81" s="134" t="s">
        <v>220</v>
      </c>
      <c r="J81" s="425"/>
      <c r="K81" s="423"/>
      <c r="L81" s="437"/>
      <c r="M81" s="431"/>
      <c r="N81" s="430"/>
      <c r="O81" s="431"/>
      <c r="P81" s="438"/>
      <c r="Q81" s="436"/>
      <c r="R81" s="430"/>
      <c r="S81" s="430"/>
      <c r="T81" s="430"/>
      <c r="U81" s="420"/>
      <c r="V81" s="420"/>
      <c r="W81" s="420"/>
      <c r="X81" s="420"/>
      <c r="Y81" s="420"/>
      <c r="Z81" s="420"/>
      <c r="AA81" s="420"/>
      <c r="AB81" s="42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0"/>
      <c r="AY81" s="420"/>
      <c r="AZ81" s="420"/>
      <c r="BA81" s="420"/>
      <c r="BB81" s="420"/>
      <c r="BC81" s="420"/>
      <c r="BD81" s="420"/>
      <c r="BE81" s="420"/>
      <c r="BF81" s="420"/>
      <c r="BG81" s="420"/>
      <c r="BH81" s="420"/>
      <c r="BI81" s="420"/>
      <c r="BJ81" s="420"/>
      <c r="BK81" s="420"/>
      <c r="BL81" s="420"/>
    </row>
    <row r="82" spans="1:64" ht="15">
      <c r="A82" s="92"/>
      <c r="B82" s="86" t="s">
        <v>733</v>
      </c>
      <c r="C82" s="91"/>
      <c r="D82" s="91"/>
      <c r="E82" s="91"/>
      <c r="F82" s="91"/>
      <c r="G82" s="91"/>
      <c r="H82" s="91"/>
      <c r="I82" s="91"/>
      <c r="J82" s="91"/>
      <c r="K82" s="91"/>
      <c r="L82" s="84"/>
      <c r="M82" s="124"/>
      <c r="N82" s="103"/>
      <c r="O82" s="129"/>
      <c r="P82" s="129"/>
      <c r="Q82" s="124"/>
      <c r="R82" s="103"/>
      <c r="S82" s="103"/>
      <c r="T82" s="103"/>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row>
    <row r="83" spans="1:64" ht="15">
      <c r="A83" s="92">
        <v>1</v>
      </c>
      <c r="B83" s="86" t="s">
        <v>222</v>
      </c>
      <c r="C83" s="91" t="s">
        <v>697</v>
      </c>
      <c r="D83" s="136">
        <f>'EIA412 ELECTRIC PLANT'!G14</f>
        <v>3508506.5949999997</v>
      </c>
      <c r="E83" s="91"/>
      <c r="F83" s="91" t="s">
        <v>223</v>
      </c>
      <c r="G83" s="137" t="s">
        <v>157</v>
      </c>
      <c r="H83" s="91"/>
      <c r="I83" s="91" t="s">
        <v>157</v>
      </c>
      <c r="J83" s="91"/>
      <c r="K83" s="91"/>
      <c r="L83" s="84"/>
      <c r="M83" s="124"/>
      <c r="N83" s="103"/>
      <c r="O83" s="129"/>
      <c r="P83" s="129"/>
      <c r="Q83" s="124"/>
      <c r="R83" s="103"/>
      <c r="S83" s="103"/>
      <c r="T83" s="103"/>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row>
    <row r="84" spans="1:64" ht="15">
      <c r="A84" s="92">
        <v>2</v>
      </c>
      <c r="B84" s="86" t="s">
        <v>224</v>
      </c>
      <c r="C84" s="91" t="s">
        <v>698</v>
      </c>
      <c r="D84" s="136">
        <f>'EIA412 ELECTRIC PLANT'!G17</f>
        <v>449034</v>
      </c>
      <c r="E84" s="91"/>
      <c r="F84" s="91" t="s">
        <v>176</v>
      </c>
      <c r="G84" s="137">
        <f>I220</f>
        <v>1</v>
      </c>
      <c r="H84" s="91"/>
      <c r="I84" s="91">
        <f>+G84*D84</f>
        <v>449034</v>
      </c>
      <c r="J84" s="91"/>
      <c r="K84" s="91"/>
      <c r="L84" s="84"/>
      <c r="M84" s="124"/>
      <c r="N84" s="103"/>
      <c r="O84" s="126"/>
      <c r="P84" s="126"/>
      <c r="Q84" s="124"/>
      <c r="R84" s="103"/>
      <c r="S84" s="103"/>
      <c r="T84" s="103"/>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row>
    <row r="85" spans="1:64" ht="15">
      <c r="A85" s="92">
        <v>3</v>
      </c>
      <c r="B85" s="86" t="s">
        <v>225</v>
      </c>
      <c r="C85" s="91" t="s">
        <v>699</v>
      </c>
      <c r="D85" s="136">
        <f>'EIA412 ELECTRIC PLANT'!G18</f>
        <v>4914641.4950000001</v>
      </c>
      <c r="E85" s="91"/>
      <c r="F85" s="91" t="s">
        <v>223</v>
      </c>
      <c r="G85" s="137" t="s">
        <v>157</v>
      </c>
      <c r="H85" s="91"/>
      <c r="I85" s="91" t="s">
        <v>157</v>
      </c>
      <c r="J85" s="91"/>
      <c r="K85" s="91"/>
      <c r="L85" s="84"/>
      <c r="M85" s="124"/>
      <c r="N85" s="103"/>
      <c r="O85" s="126"/>
      <c r="P85" s="126"/>
      <c r="Q85" s="124"/>
      <c r="R85" s="103"/>
      <c r="S85" s="103"/>
      <c r="T85" s="103"/>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row>
    <row r="86" spans="1:64" ht="15">
      <c r="A86" s="92">
        <v>4</v>
      </c>
      <c r="B86" s="86" t="s">
        <v>226</v>
      </c>
      <c r="C86" s="91" t="s">
        <v>734</v>
      </c>
      <c r="D86" s="136">
        <f>'EIA412 ELECTRIC PLANT'!G19</f>
        <v>602309.53499999992</v>
      </c>
      <c r="E86" s="91"/>
      <c r="F86" s="91" t="s">
        <v>227</v>
      </c>
      <c r="G86" s="137">
        <f>I236</f>
        <v>0.02</v>
      </c>
      <c r="H86" s="91"/>
      <c r="I86" s="91">
        <f>+G86*D86</f>
        <v>12046.190699999999</v>
      </c>
      <c r="J86" s="91"/>
      <c r="K86" s="91"/>
      <c r="L86" s="125"/>
      <c r="M86" s="124"/>
      <c r="N86" s="103"/>
      <c r="O86" s="126"/>
      <c r="P86" s="126"/>
      <c r="Q86" s="124"/>
      <c r="R86" s="103"/>
      <c r="S86" s="103"/>
      <c r="T86" s="103"/>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row>
    <row r="87" spans="1:64" ht="15.75" thickBot="1">
      <c r="A87" s="92">
        <v>5</v>
      </c>
      <c r="B87" s="86" t="s">
        <v>228</v>
      </c>
      <c r="C87" s="91"/>
      <c r="D87" s="138">
        <v>0</v>
      </c>
      <c r="E87" s="91"/>
      <c r="F87" s="91" t="s">
        <v>229</v>
      </c>
      <c r="G87" s="137">
        <f>K240</f>
        <v>0.02</v>
      </c>
      <c r="H87" s="91"/>
      <c r="I87" s="107">
        <f>+G87*D87</f>
        <v>0</v>
      </c>
      <c r="J87" s="91"/>
      <c r="K87" s="91"/>
      <c r="L87" s="125"/>
      <c r="M87" s="124"/>
      <c r="N87" s="103"/>
      <c r="O87" s="102"/>
      <c r="P87" s="126"/>
      <c r="Q87" s="124"/>
      <c r="R87" s="103"/>
      <c r="S87" s="103"/>
      <c r="T87" s="103"/>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row>
    <row r="88" spans="1:64" ht="15">
      <c r="A88" s="92">
        <v>6</v>
      </c>
      <c r="B88" s="86" t="s">
        <v>230</v>
      </c>
      <c r="C88" s="91"/>
      <c r="D88" s="91">
        <f>SUM(D83:D87)</f>
        <v>9474491.625</v>
      </c>
      <c r="E88" s="91"/>
      <c r="F88" s="91" t="s">
        <v>231</v>
      </c>
      <c r="G88" s="139">
        <f>IF(I88&gt;0,I88/D88,0)</f>
        <v>4.8665428072506213E-2</v>
      </c>
      <c r="H88" s="91"/>
      <c r="I88" s="91">
        <f>SUM(I83:I87)</f>
        <v>461080.19069999998</v>
      </c>
      <c r="J88" s="91"/>
      <c r="K88" s="139"/>
      <c r="L88" s="84"/>
      <c r="M88" s="124"/>
      <c r="N88" s="103"/>
      <c r="O88" s="102"/>
      <c r="P88" s="126"/>
      <c r="Q88" s="124"/>
      <c r="R88" s="103"/>
      <c r="S88" s="103"/>
      <c r="T88" s="103"/>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row>
    <row r="89" spans="1:64" ht="15">
      <c r="B89" s="86"/>
      <c r="C89" s="91"/>
      <c r="D89" s="91"/>
      <c r="E89" s="91"/>
      <c r="F89" s="91"/>
      <c r="G89" s="139"/>
      <c r="H89" s="91"/>
      <c r="I89" s="91"/>
      <c r="J89" s="91"/>
      <c r="K89" s="139"/>
      <c r="L89" s="84"/>
      <c r="M89" s="124"/>
      <c r="N89" s="103"/>
      <c r="O89" s="102"/>
      <c r="P89" s="126"/>
      <c r="Q89" s="124"/>
      <c r="R89" s="103"/>
      <c r="S89" s="103"/>
      <c r="T89" s="103"/>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row>
    <row r="90" spans="1:64" ht="15">
      <c r="B90" s="86" t="s">
        <v>735</v>
      </c>
      <c r="C90" s="91"/>
      <c r="D90" s="91"/>
      <c r="E90" s="91"/>
      <c r="F90" s="91"/>
      <c r="G90" s="91"/>
      <c r="H90" s="91"/>
      <c r="I90" s="91"/>
      <c r="J90" s="91"/>
      <c r="K90" s="91"/>
      <c r="L90" s="84"/>
      <c r="M90" s="124"/>
      <c r="N90" s="103"/>
      <c r="O90" s="102"/>
      <c r="P90" s="129"/>
      <c r="Q90" s="124"/>
      <c r="R90" s="103"/>
      <c r="S90" s="103"/>
      <c r="T90" s="103"/>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row>
    <row r="91" spans="1:64" ht="15">
      <c r="A91" s="92">
        <v>7</v>
      </c>
      <c r="B91" s="86" t="str">
        <f>+B83</f>
        <v xml:space="preserve">  Production</v>
      </c>
      <c r="C91" s="109"/>
      <c r="D91" s="140">
        <f>'EIA412 ELECTRIC PLANT'!I15</f>
        <v>2852594.2180000003</v>
      </c>
      <c r="E91" s="91"/>
      <c r="F91" s="91" t="str">
        <f t="shared" ref="F91:G95" si="0">+F83</f>
        <v>NA</v>
      </c>
      <c r="G91" s="137" t="str">
        <f t="shared" si="0"/>
        <v xml:space="preserve"> </v>
      </c>
      <c r="H91" s="91"/>
      <c r="I91" s="91" t="s">
        <v>157</v>
      </c>
      <c r="J91" s="91"/>
      <c r="K91" s="91"/>
      <c r="L91" s="84"/>
      <c r="M91" s="124"/>
      <c r="N91" s="103"/>
      <c r="O91" s="102"/>
      <c r="P91" s="129"/>
      <c r="Q91" s="124"/>
      <c r="R91" s="103"/>
      <c r="S91" s="103"/>
      <c r="T91" s="103"/>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row>
    <row r="92" spans="1:64" ht="15">
      <c r="A92" s="92">
        <v>8</v>
      </c>
      <c r="B92" s="86" t="str">
        <f>+B84</f>
        <v xml:space="preserve">  Transmission</v>
      </c>
      <c r="C92" s="109"/>
      <c r="D92" s="140">
        <f>'EIA412 ELECTRIC PLANT'!I17</f>
        <v>375098.94800000003</v>
      </c>
      <c r="E92" s="91"/>
      <c r="F92" s="91" t="str">
        <f t="shared" si="0"/>
        <v>TP</v>
      </c>
      <c r="G92" s="137">
        <f t="shared" si="0"/>
        <v>1</v>
      </c>
      <c r="H92" s="91"/>
      <c r="I92" s="91">
        <f>+G92*D92</f>
        <v>375098.94800000003</v>
      </c>
      <c r="J92" s="91"/>
      <c r="K92" s="91"/>
      <c r="L92" s="84"/>
      <c r="M92" s="124"/>
      <c r="N92" s="103"/>
      <c r="O92" s="126"/>
      <c r="P92" s="126"/>
      <c r="Q92" s="124"/>
      <c r="R92" s="103"/>
      <c r="S92" s="103"/>
      <c r="T92" s="103"/>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row>
    <row r="93" spans="1:64" ht="15">
      <c r="A93" s="92">
        <v>9</v>
      </c>
      <c r="B93" s="86" t="str">
        <f>+B85</f>
        <v xml:space="preserve">  Distribution</v>
      </c>
      <c r="C93" s="109"/>
      <c r="D93" s="140">
        <f>'EIA412 ELECTRIC PLANT'!I18</f>
        <v>2367830.2099166671</v>
      </c>
      <c r="E93" s="91"/>
      <c r="F93" s="91" t="str">
        <f t="shared" si="0"/>
        <v>NA</v>
      </c>
      <c r="G93" s="137" t="str">
        <f t="shared" si="0"/>
        <v xml:space="preserve"> </v>
      </c>
      <c r="H93" s="91"/>
      <c r="I93" s="91" t="s">
        <v>157</v>
      </c>
      <c r="J93" s="91"/>
      <c r="K93" s="91"/>
      <c r="L93" s="84"/>
      <c r="M93" s="124"/>
      <c r="N93" s="103"/>
      <c r="O93" s="126"/>
      <c r="P93" s="126"/>
      <c r="Q93" s="124"/>
      <c r="R93" s="103"/>
      <c r="S93" s="103"/>
      <c r="T93" s="103"/>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row>
    <row r="94" spans="1:64" ht="15">
      <c r="A94" s="92">
        <v>10</v>
      </c>
      <c r="B94" s="86" t="str">
        <f>+B86</f>
        <v xml:space="preserve">  General &amp; Intangible</v>
      </c>
      <c r="C94" s="109"/>
      <c r="D94" s="140">
        <f>'EIA412 ELECTRIC PLANT'!I19</f>
        <v>439651.57966666657</v>
      </c>
      <c r="E94" s="91"/>
      <c r="F94" s="91" t="str">
        <f t="shared" si="0"/>
        <v>W/S</v>
      </c>
      <c r="G94" s="137">
        <f t="shared" si="0"/>
        <v>0.02</v>
      </c>
      <c r="H94" s="91"/>
      <c r="I94" s="91">
        <f>+G94*D94</f>
        <v>8793.0315933333313</v>
      </c>
      <c r="J94" s="91"/>
      <c r="K94" s="91"/>
      <c r="L94" s="84"/>
      <c r="M94" s="124"/>
      <c r="N94" s="103"/>
      <c r="O94" s="126"/>
      <c r="P94" s="126"/>
      <c r="Q94" s="124"/>
      <c r="R94" s="103"/>
      <c r="S94" s="103"/>
      <c r="T94" s="103"/>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row>
    <row r="95" spans="1:64" ht="15.75" thickBot="1">
      <c r="A95" s="92">
        <v>11</v>
      </c>
      <c r="B95" s="86" t="str">
        <f>+B87</f>
        <v xml:space="preserve">  Common</v>
      </c>
      <c r="C95" s="91"/>
      <c r="D95" s="138">
        <v>0</v>
      </c>
      <c r="E95" s="91"/>
      <c r="F95" s="91" t="str">
        <f t="shared" si="0"/>
        <v>CE</v>
      </c>
      <c r="G95" s="137">
        <f t="shared" si="0"/>
        <v>0.02</v>
      </c>
      <c r="H95" s="91"/>
      <c r="I95" s="107">
        <f>+G95*D95</f>
        <v>0</v>
      </c>
      <c r="J95" s="91"/>
      <c r="K95" s="91"/>
      <c r="L95" s="84"/>
      <c r="M95" s="124"/>
      <c r="N95" s="103"/>
      <c r="O95" s="126"/>
      <c r="P95" s="126"/>
      <c r="Q95" s="124"/>
      <c r="R95" s="103"/>
      <c r="S95" s="103"/>
      <c r="T95" s="103"/>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row>
    <row r="96" spans="1:64" ht="15">
      <c r="A96" s="92">
        <v>12</v>
      </c>
      <c r="B96" s="86" t="s">
        <v>233</v>
      </c>
      <c r="C96" s="91"/>
      <c r="D96" s="91">
        <f>SUM(D91:D95)</f>
        <v>6035174.955583334</v>
      </c>
      <c r="E96" s="91"/>
      <c r="F96" s="91"/>
      <c r="G96" s="91"/>
      <c r="H96" s="91"/>
      <c r="I96" s="91">
        <f>SUM(I91:I95)</f>
        <v>383891.97959333338</v>
      </c>
      <c r="J96" s="91"/>
      <c r="K96" s="91"/>
      <c r="L96" s="84"/>
      <c r="M96" s="124"/>
      <c r="N96" s="103"/>
      <c r="O96" s="126"/>
      <c r="P96" s="126"/>
      <c r="Q96" s="124"/>
      <c r="R96" s="103"/>
      <c r="S96" s="103"/>
      <c r="T96" s="103"/>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row>
    <row r="97" spans="1:64" ht="15">
      <c r="A97" s="92"/>
      <c r="C97" s="91" t="s">
        <v>157</v>
      </c>
      <c r="E97" s="91"/>
      <c r="F97" s="91"/>
      <c r="G97" s="139"/>
      <c r="H97" s="91"/>
      <c r="J97" s="91"/>
      <c r="K97" s="139"/>
      <c r="L97" s="84"/>
      <c r="M97" s="124"/>
      <c r="N97" s="103"/>
      <c r="O97" s="126"/>
      <c r="P97" s="126"/>
      <c r="Q97" s="124"/>
      <c r="R97" s="103"/>
      <c r="S97" s="103"/>
      <c r="T97" s="103"/>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row>
    <row r="98" spans="1:64" ht="15">
      <c r="A98" s="92"/>
      <c r="B98" s="86" t="s">
        <v>234</v>
      </c>
      <c r="C98" s="91"/>
      <c r="D98" s="91"/>
      <c r="E98" s="91"/>
      <c r="F98" s="91"/>
      <c r="G98" s="91"/>
      <c r="H98" s="91"/>
      <c r="I98" s="91"/>
      <c r="J98" s="91"/>
      <c r="K98" s="91"/>
      <c r="L98" s="84"/>
      <c r="M98" s="124"/>
      <c r="N98" s="103"/>
      <c r="O98" s="126"/>
      <c r="P98" s="129"/>
      <c r="Q98" s="124"/>
      <c r="R98" s="103"/>
      <c r="S98" s="103"/>
      <c r="T98" s="103"/>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row>
    <row r="99" spans="1:64" ht="15">
      <c r="A99" s="92">
        <v>13</v>
      </c>
      <c r="B99" s="86" t="str">
        <f>+B91</f>
        <v xml:space="preserve">  Production</v>
      </c>
      <c r="C99" s="91" t="s">
        <v>235</v>
      </c>
      <c r="D99" s="91">
        <f>D83-D91</f>
        <v>655912.3769999994</v>
      </c>
      <c r="E99" s="91"/>
      <c r="F99" s="91"/>
      <c r="G99" s="139"/>
      <c r="H99" s="91"/>
      <c r="I99" s="91" t="s">
        <v>157</v>
      </c>
      <c r="J99" s="91"/>
      <c r="K99" s="139"/>
      <c r="L99" s="84"/>
      <c r="M99" s="124"/>
      <c r="N99" s="103"/>
      <c r="O99" s="126"/>
      <c r="P99" s="129"/>
      <c r="Q99" s="124"/>
      <c r="R99" s="103"/>
      <c r="S99" s="103"/>
      <c r="T99" s="103"/>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row>
    <row r="100" spans="1:64" ht="15">
      <c r="A100" s="92">
        <v>14</v>
      </c>
      <c r="B100" s="86" t="str">
        <f>+B92</f>
        <v xml:space="preserve">  Transmission</v>
      </c>
      <c r="C100" s="91" t="s">
        <v>236</v>
      </c>
      <c r="D100" s="91">
        <f>D84-D92</f>
        <v>73935.051999999967</v>
      </c>
      <c r="E100" s="91"/>
      <c r="F100" s="91"/>
      <c r="G100" s="137"/>
      <c r="H100" s="91"/>
      <c r="I100" s="91">
        <f>I84-I92</f>
        <v>73935.051999999967</v>
      </c>
      <c r="J100" s="91"/>
      <c r="K100" s="139"/>
      <c r="L100" s="84"/>
      <c r="M100" s="124"/>
      <c r="N100" s="103"/>
      <c r="O100" s="141"/>
      <c r="P100" s="126"/>
      <c r="Q100" s="124"/>
      <c r="R100" s="103"/>
      <c r="S100" s="103"/>
      <c r="T100" s="103"/>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row>
    <row r="101" spans="1:64" ht="15">
      <c r="A101" s="92">
        <v>15</v>
      </c>
      <c r="B101" s="86" t="str">
        <f>+B93</f>
        <v xml:space="preserve">  Distribution</v>
      </c>
      <c r="C101" s="91" t="s">
        <v>237</v>
      </c>
      <c r="D101" s="91">
        <f>D85-D93</f>
        <v>2546811.285083333</v>
      </c>
      <c r="E101" s="91"/>
      <c r="F101" s="91"/>
      <c r="G101" s="139"/>
      <c r="H101" s="91"/>
      <c r="I101" s="91" t="s">
        <v>157</v>
      </c>
      <c r="J101" s="91"/>
      <c r="K101" s="139"/>
      <c r="L101" s="84"/>
      <c r="M101" s="124"/>
      <c r="N101" s="103"/>
      <c r="O101" s="126"/>
      <c r="P101" s="126"/>
      <c r="Q101" s="124"/>
      <c r="R101" s="103"/>
      <c r="S101" s="103"/>
      <c r="T101" s="103"/>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row>
    <row r="102" spans="1:64" ht="15">
      <c r="A102" s="92">
        <v>16</v>
      </c>
      <c r="B102" s="86" t="str">
        <f>+B94</f>
        <v xml:space="preserve">  General &amp; Intangible</v>
      </c>
      <c r="C102" s="91" t="s">
        <v>238</v>
      </c>
      <c r="D102" s="91">
        <f>D86-D94</f>
        <v>162657.95533333335</v>
      </c>
      <c r="E102" s="91"/>
      <c r="F102" s="91"/>
      <c r="G102" s="139"/>
      <c r="H102" s="91"/>
      <c r="I102" s="91">
        <f>I86-I94</f>
        <v>3253.1591066666679</v>
      </c>
      <c r="J102" s="91"/>
      <c r="K102" s="139"/>
      <c r="L102" s="84"/>
      <c r="M102" s="124"/>
      <c r="N102" s="103"/>
      <c r="O102" s="126"/>
      <c r="P102" s="126"/>
      <c r="Q102" s="124"/>
      <c r="R102" s="103"/>
      <c r="S102" s="103"/>
      <c r="T102" s="103"/>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row>
    <row r="103" spans="1:64" ht="15.75" thickBot="1">
      <c r="A103" s="92">
        <v>17</v>
      </c>
      <c r="B103" s="86" t="str">
        <f>+B95</f>
        <v xml:space="preserve">  Common</v>
      </c>
      <c r="C103" s="91" t="s">
        <v>239</v>
      </c>
      <c r="D103" s="107">
        <f>D87-D95</f>
        <v>0</v>
      </c>
      <c r="E103" s="91"/>
      <c r="F103" s="91"/>
      <c r="G103" s="139"/>
      <c r="H103" s="91"/>
      <c r="I103" s="107">
        <f>I87-I95</f>
        <v>0</v>
      </c>
      <c r="J103" s="91"/>
      <c r="K103" s="139"/>
      <c r="L103" s="84"/>
      <c r="M103" s="124"/>
      <c r="N103" s="103"/>
      <c r="O103" s="126"/>
      <c r="P103" s="126"/>
      <c r="Q103" s="124"/>
      <c r="R103" s="103"/>
      <c r="S103" s="103"/>
      <c r="T103" s="103"/>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row>
    <row r="104" spans="1:64" ht="15">
      <c r="A104" s="92">
        <v>18</v>
      </c>
      <c r="B104" s="86" t="s">
        <v>240</v>
      </c>
      <c r="C104" s="91"/>
      <c r="D104" s="91">
        <f>SUM(D99:D103)</f>
        <v>3439316.669416666</v>
      </c>
      <c r="E104" s="91"/>
      <c r="F104" s="91" t="s">
        <v>241</v>
      </c>
      <c r="G104" s="139">
        <f>IF(I104&gt;0,I104/D104,0)</f>
        <v>2.2442891575831063E-2</v>
      </c>
      <c r="H104" s="91"/>
      <c r="I104" s="91">
        <f>SUM(I99:I103)</f>
        <v>77188.21110666664</v>
      </c>
      <c r="J104" s="91"/>
      <c r="K104" s="91"/>
      <c r="L104" s="84"/>
      <c r="M104" s="124"/>
      <c r="N104" s="103"/>
      <c r="O104" s="126"/>
      <c r="P104" s="126"/>
      <c r="Q104" s="124"/>
      <c r="R104" s="103"/>
      <c r="S104" s="103"/>
      <c r="T104" s="103"/>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row>
    <row r="105" spans="1:64" ht="15">
      <c r="A105" s="92"/>
      <c r="C105" s="91"/>
      <c r="E105" s="91"/>
      <c r="H105" s="91"/>
      <c r="J105" s="91"/>
      <c r="K105" s="139"/>
      <c r="L105" s="84"/>
      <c r="M105" s="124"/>
      <c r="N105" s="103"/>
      <c r="O105" s="126"/>
      <c r="P105" s="126"/>
      <c r="Q105" s="124"/>
      <c r="R105" s="103"/>
      <c r="S105" s="103"/>
      <c r="T105" s="103"/>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row>
    <row r="106" spans="1:64" ht="15">
      <c r="A106" s="92"/>
      <c r="B106" s="86" t="s">
        <v>242</v>
      </c>
      <c r="C106" s="91"/>
      <c r="D106" s="91"/>
      <c r="E106" s="91"/>
      <c r="F106" s="91"/>
      <c r="G106" s="91"/>
      <c r="H106" s="91"/>
      <c r="I106" s="91"/>
      <c r="J106" s="91"/>
      <c r="K106" s="91"/>
      <c r="L106" s="84"/>
      <c r="M106" s="124"/>
      <c r="N106" s="103"/>
      <c r="O106" s="126"/>
      <c r="P106" s="129"/>
      <c r="Q106" s="124"/>
      <c r="R106" s="103"/>
      <c r="S106" s="103"/>
      <c r="T106" s="103"/>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row>
    <row r="107" spans="1:64" ht="15">
      <c r="A107" s="92">
        <v>19</v>
      </c>
      <c r="B107" s="86" t="s">
        <v>243</v>
      </c>
      <c r="C107" s="91"/>
      <c r="D107" s="140">
        <v>0</v>
      </c>
      <c r="E107" s="91"/>
      <c r="F107" s="91"/>
      <c r="G107" s="143" t="s">
        <v>244</v>
      </c>
      <c r="H107" s="91"/>
      <c r="I107" s="91">
        <v>0</v>
      </c>
      <c r="J107" s="91"/>
      <c r="K107" s="139"/>
      <c r="L107" s="84"/>
      <c r="M107" s="124"/>
      <c r="N107" s="103"/>
      <c r="O107" s="126"/>
      <c r="P107" s="129"/>
      <c r="Q107" s="124"/>
      <c r="R107" s="103"/>
      <c r="S107" s="103"/>
      <c r="T107" s="103"/>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row>
    <row r="108" spans="1:64" ht="15">
      <c r="A108" s="92">
        <v>20</v>
      </c>
      <c r="B108" s="86" t="s">
        <v>245</v>
      </c>
      <c r="C108" s="91"/>
      <c r="D108" s="140">
        <v>0</v>
      </c>
      <c r="E108" s="91"/>
      <c r="F108" s="91" t="s">
        <v>246</v>
      </c>
      <c r="G108" s="137">
        <f>+G104</f>
        <v>2.2442891575831063E-2</v>
      </c>
      <c r="H108" s="91"/>
      <c r="I108" s="91">
        <f>D108*G108</f>
        <v>0</v>
      </c>
      <c r="J108" s="91"/>
      <c r="K108" s="139"/>
      <c r="L108" s="84"/>
      <c r="M108" s="124"/>
      <c r="N108" s="103"/>
      <c r="O108" s="142"/>
      <c r="P108" s="126"/>
      <c r="Q108" s="124"/>
      <c r="R108" s="103"/>
      <c r="S108" s="103"/>
      <c r="T108" s="103"/>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row>
    <row r="109" spans="1:64" ht="15">
      <c r="A109" s="92">
        <v>21</v>
      </c>
      <c r="B109" s="86" t="s">
        <v>247</v>
      </c>
      <c r="C109" s="91"/>
      <c r="D109" s="136">
        <v>0</v>
      </c>
      <c r="E109" s="91"/>
      <c r="F109" s="91" t="s">
        <v>246</v>
      </c>
      <c r="G109" s="137">
        <f>+G108</f>
        <v>2.2442891575831063E-2</v>
      </c>
      <c r="H109" s="91"/>
      <c r="I109" s="91">
        <f>D109*G109</f>
        <v>0</v>
      </c>
      <c r="J109" s="91"/>
      <c r="K109" s="139"/>
      <c r="L109" s="84"/>
      <c r="M109" s="124"/>
      <c r="N109" s="103"/>
      <c r="O109" s="126"/>
      <c r="P109" s="126"/>
      <c r="Q109" s="124"/>
      <c r="R109" s="103"/>
      <c r="S109" s="103"/>
      <c r="T109" s="103"/>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row>
    <row r="110" spans="1:64" ht="15">
      <c r="A110" s="92">
        <v>22</v>
      </c>
      <c r="B110" s="86" t="s">
        <v>248</v>
      </c>
      <c r="C110" s="91"/>
      <c r="D110" s="136">
        <v>0</v>
      </c>
      <c r="E110" s="91"/>
      <c r="F110" s="91" t="str">
        <f>+F109</f>
        <v>NP</v>
      </c>
      <c r="G110" s="137">
        <f>+G109</f>
        <v>2.2442891575831063E-2</v>
      </c>
      <c r="H110" s="91"/>
      <c r="I110" s="91">
        <f>D110*G110</f>
        <v>0</v>
      </c>
      <c r="J110" s="91"/>
      <c r="K110" s="139"/>
      <c r="L110" s="84"/>
      <c r="M110" s="124"/>
      <c r="N110" s="103"/>
      <c r="O110" s="126"/>
      <c r="P110" s="126"/>
      <c r="Q110" s="124"/>
      <c r="R110" s="103"/>
      <c r="S110" s="103"/>
      <c r="T110" s="103"/>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row>
    <row r="111" spans="1:64" ht="15.75" thickBot="1">
      <c r="A111" s="92">
        <v>23</v>
      </c>
      <c r="B111" s="362" t="s">
        <v>249</v>
      </c>
      <c r="D111" s="138">
        <v>0</v>
      </c>
      <c r="E111" s="91"/>
      <c r="F111" s="91" t="s">
        <v>246</v>
      </c>
      <c r="G111" s="137">
        <f>+G109</f>
        <v>2.2442891575831063E-2</v>
      </c>
      <c r="H111" s="91"/>
      <c r="I111" s="107">
        <f>D111*G111</f>
        <v>0</v>
      </c>
      <c r="J111" s="91"/>
      <c r="K111" s="91"/>
      <c r="L111" s="84"/>
      <c r="M111" s="124"/>
      <c r="N111" s="103"/>
      <c r="O111" s="144"/>
      <c r="P111" s="129"/>
      <c r="Q111" s="124"/>
      <c r="R111" s="103"/>
      <c r="S111" s="103"/>
      <c r="T111" s="103"/>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row>
    <row r="112" spans="1:64" ht="15">
      <c r="A112" s="92">
        <v>24</v>
      </c>
      <c r="B112" s="86" t="s">
        <v>250</v>
      </c>
      <c r="C112" s="91"/>
      <c r="D112" s="91">
        <f>SUM(D107:D111)</f>
        <v>0</v>
      </c>
      <c r="E112" s="91"/>
      <c r="F112" s="91"/>
      <c r="G112" s="91"/>
      <c r="H112" s="91"/>
      <c r="I112" s="91">
        <f>SUM(I107:I111)</f>
        <v>0</v>
      </c>
      <c r="J112" s="91"/>
      <c r="K112" s="139"/>
      <c r="L112" s="84"/>
      <c r="M112" s="124"/>
      <c r="N112" s="103"/>
      <c r="O112" s="144"/>
      <c r="P112" s="129"/>
      <c r="Q112" s="124"/>
      <c r="R112" s="103"/>
      <c r="S112" s="103"/>
      <c r="T112" s="103"/>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row>
    <row r="113" spans="1:64" ht="15">
      <c r="A113" s="92"/>
      <c r="B113" s="86"/>
      <c r="C113" s="91"/>
      <c r="D113" s="91"/>
      <c r="E113" s="91"/>
      <c r="F113" s="91"/>
      <c r="G113" s="91"/>
      <c r="H113" s="91"/>
      <c r="I113" s="91"/>
      <c r="J113" s="91"/>
      <c r="K113" s="139"/>
      <c r="L113" s="84"/>
      <c r="M113" s="124"/>
      <c r="N113" s="103"/>
      <c r="O113" s="144"/>
      <c r="P113" s="129"/>
      <c r="Q113" s="124"/>
      <c r="R113" s="103"/>
      <c r="S113" s="103"/>
      <c r="T113" s="103"/>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row>
    <row r="114" spans="1:64" ht="15">
      <c r="A114" s="92">
        <v>25</v>
      </c>
      <c r="B114" s="86" t="s">
        <v>251</v>
      </c>
      <c r="C114" s="91" t="s">
        <v>681</v>
      </c>
      <c r="D114" s="140">
        <v>0</v>
      </c>
      <c r="E114" s="91"/>
      <c r="F114" s="91" t="str">
        <f>+F92</f>
        <v>TP</v>
      </c>
      <c r="G114" s="137">
        <f>+G92</f>
        <v>1</v>
      </c>
      <c r="H114" s="91"/>
      <c r="I114" s="91">
        <f>+G114*D114</f>
        <v>0</v>
      </c>
      <c r="J114" s="91"/>
      <c r="K114" s="91"/>
      <c r="L114" s="84"/>
      <c r="M114" s="124"/>
      <c r="N114" s="103"/>
      <c r="O114" s="144"/>
      <c r="P114" s="129"/>
      <c r="Q114" s="124"/>
      <c r="R114" s="103"/>
      <c r="S114" s="103"/>
      <c r="T114" s="103"/>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row>
    <row r="115" spans="1:64" ht="15">
      <c r="A115" s="92"/>
      <c r="B115" s="86"/>
      <c r="C115" s="91"/>
      <c r="D115" s="91"/>
      <c r="E115" s="91"/>
      <c r="F115" s="91"/>
      <c r="G115" s="91"/>
      <c r="H115" s="91"/>
      <c r="I115" s="91"/>
      <c r="J115" s="91"/>
      <c r="K115" s="91"/>
      <c r="L115" s="84"/>
      <c r="M115" s="124"/>
      <c r="N115" s="103"/>
      <c r="O115" s="141"/>
      <c r="P115" s="126"/>
      <c r="Q115" s="124"/>
      <c r="R115" s="103"/>
      <c r="S115" s="103"/>
      <c r="T115" s="103"/>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row>
    <row r="116" spans="1:64" ht="15">
      <c r="A116" s="92"/>
      <c r="B116" s="86" t="s">
        <v>252</v>
      </c>
      <c r="C116" s="91" t="s">
        <v>253</v>
      </c>
      <c r="D116" s="91"/>
      <c r="E116" s="91"/>
      <c r="F116" s="91"/>
      <c r="G116" s="91"/>
      <c r="H116" s="91"/>
      <c r="I116" s="91"/>
      <c r="J116" s="91"/>
      <c r="K116" s="91"/>
      <c r="L116" s="84"/>
      <c r="M116" s="124"/>
      <c r="N116" s="103"/>
      <c r="O116" s="126"/>
      <c r="P116" s="126"/>
      <c r="Q116" s="124"/>
      <c r="R116" s="103"/>
      <c r="S116" s="103"/>
      <c r="T116" s="103"/>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row>
    <row r="117" spans="1:64" ht="15">
      <c r="A117" s="92">
        <v>26</v>
      </c>
      <c r="B117" s="86" t="s">
        <v>254</v>
      </c>
      <c r="D117" s="91">
        <f>D158/8</f>
        <v>38539.026250000003</v>
      </c>
      <c r="E117" s="91"/>
      <c r="F117" s="91"/>
      <c r="G117" s="139"/>
      <c r="H117" s="91"/>
      <c r="I117" s="91">
        <f>I158/8</f>
        <v>1236.7962499999999</v>
      </c>
      <c r="J117" s="87"/>
      <c r="K117" s="139"/>
      <c r="L117" s="84"/>
      <c r="M117" s="124"/>
      <c r="N117" s="103"/>
      <c r="O117" s="126"/>
      <c r="P117" s="126"/>
      <c r="Q117" s="124"/>
      <c r="R117" s="103"/>
      <c r="S117" s="103"/>
      <c r="T117" s="103"/>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row>
    <row r="118" spans="1:64" ht="15">
      <c r="A118" s="92">
        <v>27</v>
      </c>
      <c r="B118" s="86" t="s">
        <v>255</v>
      </c>
      <c r="C118" s="109" t="s">
        <v>256</v>
      </c>
      <c r="D118" s="140">
        <v>0</v>
      </c>
      <c r="E118" s="91"/>
      <c r="F118" s="91" t="s">
        <v>257</v>
      </c>
      <c r="G118" s="137">
        <f>I229</f>
        <v>1</v>
      </c>
      <c r="H118" s="91"/>
      <c r="I118" s="91">
        <f>G118*D118</f>
        <v>0</v>
      </c>
      <c r="J118" s="91" t="s">
        <v>157</v>
      </c>
      <c r="K118" s="139"/>
      <c r="L118" s="84"/>
      <c r="M118" s="124"/>
      <c r="N118" s="103"/>
      <c r="O118" s="126"/>
      <c r="P118" s="126"/>
      <c r="Q118" s="124"/>
      <c r="R118" s="103"/>
      <c r="S118" s="103"/>
      <c r="T118" s="103"/>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row>
    <row r="119" spans="1:64" ht="15.75" thickBot="1">
      <c r="A119" s="92">
        <v>28</v>
      </c>
      <c r="B119" s="86" t="s">
        <v>258</v>
      </c>
      <c r="C119" s="147" t="s">
        <v>387</v>
      </c>
      <c r="D119" s="138">
        <f>'EIA412 BALANCE SHEET'!C46</f>
        <v>0</v>
      </c>
      <c r="E119" s="91"/>
      <c r="F119" s="91" t="s">
        <v>259</v>
      </c>
      <c r="G119" s="137">
        <f>+G88</f>
        <v>4.8665428072506213E-2</v>
      </c>
      <c r="H119" s="91"/>
      <c r="I119" s="107">
        <f>+G119*D119</f>
        <v>0</v>
      </c>
      <c r="J119" s="91"/>
      <c r="K119" s="139"/>
      <c r="L119" s="84"/>
      <c r="M119" s="124"/>
      <c r="N119" s="103"/>
      <c r="O119" s="126"/>
      <c r="P119" s="126"/>
      <c r="Q119" s="124"/>
      <c r="R119" s="103"/>
      <c r="S119" s="103"/>
      <c r="T119" s="103"/>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row>
    <row r="120" spans="1:64" ht="15">
      <c r="A120" s="92">
        <v>29</v>
      </c>
      <c r="B120" s="86" t="s">
        <v>260</v>
      </c>
      <c r="C120" s="87"/>
      <c r="D120" s="91">
        <f>D117+D118+D119</f>
        <v>38539.026250000003</v>
      </c>
      <c r="E120" s="87"/>
      <c r="F120" s="87"/>
      <c r="G120" s="87"/>
      <c r="H120" s="87"/>
      <c r="I120" s="91">
        <f>I117+I118+I119</f>
        <v>1236.7962499999999</v>
      </c>
      <c r="J120" s="87"/>
      <c r="K120" s="87"/>
      <c r="L120" s="84"/>
      <c r="M120" s="124"/>
      <c r="N120" s="103"/>
      <c r="O120" s="126"/>
      <c r="P120" s="126"/>
      <c r="Q120" s="124"/>
      <c r="R120" s="103"/>
      <c r="S120" s="103"/>
      <c r="T120" s="103"/>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row>
    <row r="121" spans="1:64" ht="15.75" thickBot="1">
      <c r="C121" s="91"/>
      <c r="D121" s="148"/>
      <c r="E121" s="91"/>
      <c r="F121" s="91"/>
      <c r="G121" s="91"/>
      <c r="H121" s="91"/>
      <c r="I121" s="148"/>
      <c r="J121" s="91"/>
      <c r="K121" s="91"/>
      <c r="L121" s="84"/>
      <c r="M121" s="124"/>
      <c r="N121" s="103"/>
      <c r="O121" s="145" t="s">
        <v>157</v>
      </c>
      <c r="P121" s="146"/>
      <c r="Q121" s="124"/>
      <c r="R121" s="103"/>
      <c r="S121" s="103"/>
      <c r="T121" s="103"/>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row>
    <row r="122" spans="1:64" ht="15.75" thickBot="1">
      <c r="A122" s="92">
        <v>30</v>
      </c>
      <c r="B122" s="86" t="s">
        <v>261</v>
      </c>
      <c r="C122" s="91"/>
      <c r="D122" s="149">
        <f>+D120+D114+D112+D104</f>
        <v>3477855.6956666661</v>
      </c>
      <c r="E122" s="91"/>
      <c r="F122" s="91"/>
      <c r="G122" s="139"/>
      <c r="H122" s="91"/>
      <c r="I122" s="149">
        <f>+I120+I114+I112+I104</f>
        <v>78425.00735666664</v>
      </c>
      <c r="J122" s="91"/>
      <c r="K122" s="139"/>
      <c r="L122" s="125"/>
      <c r="M122" s="124"/>
      <c r="N122" s="103"/>
      <c r="O122" s="145" t="s">
        <v>157</v>
      </c>
      <c r="P122" s="129"/>
      <c r="Q122" s="124"/>
      <c r="R122" s="103"/>
      <c r="S122" s="103"/>
      <c r="T122" s="103"/>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row>
    <row r="123" spans="1:64" ht="15.75" thickTop="1">
      <c r="A123" s="92"/>
      <c r="B123" s="86"/>
      <c r="C123" s="91"/>
      <c r="D123" s="91"/>
      <c r="E123" s="91"/>
      <c r="F123" s="91"/>
      <c r="G123" s="91"/>
      <c r="H123" s="91"/>
      <c r="I123" s="91"/>
      <c r="J123" s="91"/>
      <c r="K123" s="91"/>
      <c r="L123" s="125"/>
      <c r="M123" s="124"/>
      <c r="N123" s="103"/>
      <c r="O123" s="145" t="s">
        <v>157</v>
      </c>
      <c r="P123" s="129"/>
      <c r="Q123" s="124"/>
      <c r="R123" s="103"/>
      <c r="S123" s="103"/>
      <c r="T123" s="103"/>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row>
    <row r="124" spans="1:64" ht="15">
      <c r="A124" s="92"/>
      <c r="B124" s="86"/>
      <c r="C124" s="91"/>
      <c r="D124" s="91"/>
      <c r="E124" s="91"/>
      <c r="F124" s="91"/>
      <c r="G124" s="91"/>
      <c r="H124" s="91"/>
      <c r="I124" s="91"/>
      <c r="J124" s="91"/>
      <c r="K124" s="91"/>
      <c r="L124" s="125"/>
      <c r="M124" s="124"/>
      <c r="N124" s="103"/>
      <c r="O124" s="141" t="s">
        <v>157</v>
      </c>
      <c r="P124" s="126"/>
      <c r="Q124" s="124"/>
      <c r="R124" s="103"/>
      <c r="S124" s="103"/>
      <c r="T124" s="103"/>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row>
    <row r="125" spans="1:64" customFormat="1"/>
    <row r="126" spans="1:64" customFormat="1"/>
    <row r="127" spans="1:64" customFormat="1"/>
    <row r="128" spans="1:64" customFormat="1"/>
    <row r="129" spans="1:64" customFormat="1"/>
    <row r="130" spans="1:64" customFormat="1"/>
    <row r="131" spans="1:64" customFormat="1"/>
    <row r="132" spans="1:64" customFormat="1"/>
    <row r="133" spans="1:64" s="580" customFormat="1"/>
    <row r="134" spans="1:64" s="580" customFormat="1"/>
    <row r="135" spans="1:64" s="580" customFormat="1"/>
    <row r="136" spans="1:64" s="580" customFormat="1"/>
    <row r="137" spans="1:64" s="580" customFormat="1"/>
    <row r="138" spans="1:64" customFormat="1" ht="15">
      <c r="H138" s="414" t="str">
        <f>H1</f>
        <v>Attachment O-EIA Non-Levelized Generic</v>
      </c>
      <c r="I138" s="414"/>
      <c r="J138" s="414"/>
      <c r="K138" s="414"/>
    </row>
    <row r="139" spans="1:64" ht="15">
      <c r="B139" s="86"/>
      <c r="C139" s="86"/>
      <c r="D139" s="88"/>
      <c r="E139" s="86"/>
      <c r="F139" s="86"/>
      <c r="G139" s="86"/>
      <c r="H139" s="87"/>
      <c r="I139" s="87"/>
      <c r="J139" s="87"/>
      <c r="K139" s="689" t="s">
        <v>262</v>
      </c>
      <c r="L139" s="689"/>
      <c r="M139" s="104"/>
      <c r="N139" s="103"/>
      <c r="O139" s="104"/>
      <c r="P139" s="104"/>
      <c r="Q139" s="104"/>
      <c r="R139" s="103"/>
      <c r="S139" s="103"/>
      <c r="T139" s="103"/>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c r="BK139" s="85"/>
      <c r="BL139" s="85"/>
    </row>
    <row r="140" spans="1:64" ht="15">
      <c r="A140" s="92"/>
      <c r="B140" s="86"/>
      <c r="C140" s="91"/>
      <c r="D140" s="91"/>
      <c r="E140" s="91"/>
      <c r="F140" s="91"/>
      <c r="G140" s="91"/>
      <c r="H140" s="91"/>
      <c r="I140" s="91"/>
      <c r="J140" s="91"/>
      <c r="K140" s="91"/>
      <c r="L140" s="125"/>
      <c r="M140" s="104"/>
      <c r="N140" s="103"/>
      <c r="O140" s="104"/>
      <c r="P140" s="104"/>
      <c r="Q140" s="104"/>
      <c r="R140" s="103"/>
      <c r="S140" s="103"/>
      <c r="T140" s="103"/>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row>
    <row r="141" spans="1:64" ht="15">
      <c r="A141" s="92"/>
      <c r="B141" s="86" t="str">
        <f>B4</f>
        <v xml:space="preserve">Formula Rate - Non-Levelized </v>
      </c>
      <c r="C141" s="91"/>
      <c r="D141" s="91" t="str">
        <f>D4</f>
        <v xml:space="preserve">   Rate Formula Template</v>
      </c>
      <c r="E141" s="91"/>
      <c r="F141" s="91"/>
      <c r="G141" s="91"/>
      <c r="H141" s="91"/>
      <c r="I141" s="91" t="str">
        <f>I4</f>
        <v>For the 12 months ended 12/31/14</v>
      </c>
      <c r="J141" s="91"/>
      <c r="K141" s="91"/>
      <c r="L141" s="125"/>
      <c r="M141" s="104"/>
      <c r="N141" s="103"/>
      <c r="O141" s="104"/>
      <c r="P141" s="104"/>
      <c r="Q141" s="104"/>
      <c r="R141" s="103"/>
      <c r="S141" s="103"/>
      <c r="T141" s="103"/>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85"/>
      <c r="BK141" s="85"/>
      <c r="BL141" s="85"/>
    </row>
    <row r="142" spans="1:64" ht="15">
      <c r="A142" s="92"/>
      <c r="B142" s="86"/>
      <c r="C142" s="91"/>
      <c r="D142" s="91" t="str">
        <f>D5</f>
        <v>Utilizing EIA Form 412 Data</v>
      </c>
      <c r="E142" s="91"/>
      <c r="F142" s="91"/>
      <c r="G142" s="91"/>
      <c r="H142" s="91"/>
      <c r="I142" s="91"/>
      <c r="J142" s="91"/>
      <c r="K142" s="91"/>
      <c r="L142" s="125"/>
      <c r="M142" s="104"/>
      <c r="N142" s="103"/>
      <c r="O142" s="104"/>
      <c r="P142" s="104"/>
      <c r="Q142" s="104"/>
      <c r="R142" s="103"/>
      <c r="S142" s="103"/>
      <c r="T142" s="103"/>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85"/>
      <c r="BK142" s="85"/>
      <c r="BL142" s="85"/>
    </row>
    <row r="143" spans="1:64" ht="15">
      <c r="A143" s="92"/>
      <c r="C143" s="91"/>
      <c r="D143" s="91"/>
      <c r="E143" s="91"/>
      <c r="F143" s="91"/>
      <c r="G143" s="91"/>
      <c r="H143" s="91"/>
      <c r="I143" s="91"/>
      <c r="J143" s="91"/>
      <c r="K143" s="91"/>
      <c r="L143" s="125"/>
      <c r="M143" s="104"/>
      <c r="N143" s="103"/>
      <c r="O143" s="104"/>
      <c r="P143" s="104"/>
      <c r="Q143" s="104"/>
      <c r="R143" s="103"/>
      <c r="S143" s="103"/>
      <c r="T143" s="103"/>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85"/>
      <c r="BK143" s="85"/>
      <c r="BL143" s="85"/>
    </row>
    <row r="144" spans="1:64" ht="15">
      <c r="A144" s="92"/>
      <c r="C144" s="109"/>
      <c r="D144" s="109" t="str">
        <f>D7</f>
        <v>Mountain Lake</v>
      </c>
      <c r="E144" s="109"/>
      <c r="F144" s="109"/>
      <c r="G144" s="109"/>
      <c r="H144" s="109"/>
      <c r="I144" s="109"/>
      <c r="J144" s="91"/>
      <c r="K144" s="91"/>
      <c r="L144" s="125"/>
      <c r="M144" s="104"/>
      <c r="N144" s="103"/>
      <c r="O144" s="126"/>
      <c r="P144" s="126"/>
      <c r="Q144" s="124"/>
      <c r="R144" s="103"/>
      <c r="S144" s="103"/>
      <c r="T144" s="103"/>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row>
    <row r="145" spans="1:64" ht="15">
      <c r="A145" s="92"/>
      <c r="B145" s="89" t="s">
        <v>213</v>
      </c>
      <c r="C145" s="89" t="s">
        <v>214</v>
      </c>
      <c r="D145" s="89" t="s">
        <v>215</v>
      </c>
      <c r="E145" s="91" t="s">
        <v>157</v>
      </c>
      <c r="F145" s="91"/>
      <c r="G145" s="127" t="s">
        <v>216</v>
      </c>
      <c r="H145" s="91"/>
      <c r="I145" s="128" t="s">
        <v>217</v>
      </c>
      <c r="J145" s="91"/>
      <c r="K145" s="91"/>
      <c r="L145" s="125"/>
      <c r="M145" s="124"/>
      <c r="N145" s="103"/>
      <c r="O145" s="126"/>
      <c r="P145" s="126"/>
      <c r="Q145" s="124"/>
      <c r="R145" s="103"/>
      <c r="S145" s="103"/>
      <c r="T145" s="103"/>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row>
    <row r="146" spans="1:64" ht="15.75">
      <c r="A146" s="92" t="s">
        <v>168</v>
      </c>
      <c r="B146" s="89"/>
      <c r="C146" s="130" t="s">
        <v>695</v>
      </c>
      <c r="D146" s="91"/>
      <c r="E146" s="91"/>
      <c r="F146" s="91"/>
      <c r="G146" s="89"/>
      <c r="H146" s="91"/>
      <c r="I146" s="131" t="s">
        <v>5</v>
      </c>
      <c r="J146" s="75"/>
      <c r="K146" s="131"/>
      <c r="L146" s="75"/>
      <c r="M146" s="124"/>
      <c r="N146" s="103"/>
      <c r="O146" s="126"/>
      <c r="P146" s="126"/>
      <c r="Q146" s="124"/>
      <c r="R146" s="103"/>
      <c r="S146" s="103"/>
      <c r="T146" s="103"/>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row>
    <row r="147" spans="1:64" ht="16.5" thickBot="1">
      <c r="A147" s="96" t="s">
        <v>170</v>
      </c>
      <c r="B147" s="86"/>
      <c r="C147" s="132" t="s">
        <v>696</v>
      </c>
      <c r="D147" s="131" t="s">
        <v>218</v>
      </c>
      <c r="E147" s="133"/>
      <c r="F147" s="131" t="s">
        <v>219</v>
      </c>
      <c r="G147" s="109"/>
      <c r="H147" s="133"/>
      <c r="I147" s="134" t="s">
        <v>220</v>
      </c>
      <c r="J147" s="91"/>
      <c r="K147" s="131"/>
      <c r="L147" s="91"/>
      <c r="M147" s="124"/>
      <c r="N147" s="103"/>
      <c r="O147" s="126"/>
      <c r="P147" s="126"/>
      <c r="Q147" s="124"/>
      <c r="R147" s="103"/>
      <c r="S147" s="103"/>
      <c r="T147" s="103"/>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row>
    <row r="148" spans="1:64" ht="15">
      <c r="A148" s="92"/>
      <c r="B148" s="86" t="s">
        <v>736</v>
      </c>
      <c r="C148" s="91"/>
      <c r="D148" s="91"/>
      <c r="E148" s="91"/>
      <c r="F148" s="91"/>
      <c r="G148" s="91"/>
      <c r="H148" s="91"/>
      <c r="I148" s="91"/>
      <c r="J148" s="91"/>
      <c r="K148" s="91"/>
      <c r="L148" s="125"/>
      <c r="M148" s="124"/>
      <c r="N148" s="103"/>
      <c r="O148" s="150"/>
      <c r="P148" s="126"/>
      <c r="Q148" s="124"/>
      <c r="R148" s="103"/>
      <c r="S148" s="103"/>
      <c r="T148" s="103"/>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row>
    <row r="149" spans="1:64" ht="15">
      <c r="A149" s="92">
        <v>1</v>
      </c>
      <c r="B149" s="86" t="s">
        <v>263</v>
      </c>
      <c r="C149" s="109" t="s">
        <v>682</v>
      </c>
      <c r="D149" s="140">
        <f>'EIA412 OP &amp; MAINT'!F21</f>
        <v>3804.21</v>
      </c>
      <c r="E149" s="91"/>
      <c r="F149" s="91" t="s">
        <v>257</v>
      </c>
      <c r="G149" s="137">
        <f>I229</f>
        <v>1</v>
      </c>
      <c r="H149" s="91"/>
      <c r="I149" s="91">
        <f t="shared" ref="I149:I157" si="1">+G149*D149</f>
        <v>3804.21</v>
      </c>
      <c r="J149" s="87"/>
      <c r="K149" s="91"/>
      <c r="L149" s="125"/>
      <c r="M149" s="124"/>
      <c r="N149" s="103"/>
      <c r="O149" s="151"/>
      <c r="P149" s="126"/>
      <c r="Q149" s="124"/>
      <c r="R149" s="103"/>
      <c r="S149" s="103"/>
      <c r="T149" s="103"/>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row>
    <row r="150" spans="1:64" ht="15.75">
      <c r="A150" s="338" t="s">
        <v>634</v>
      </c>
      <c r="B150" s="339" t="s">
        <v>635</v>
      </c>
      <c r="C150" s="340"/>
      <c r="D150" s="140">
        <v>0</v>
      </c>
      <c r="E150" s="341"/>
      <c r="F150" s="341"/>
      <c r="G150" s="342">
        <v>1</v>
      </c>
      <c r="H150" s="341"/>
      <c r="I150" s="341">
        <f t="shared" si="1"/>
        <v>0</v>
      </c>
      <c r="J150" s="87"/>
      <c r="K150" s="91"/>
      <c r="L150" s="125"/>
      <c r="M150" s="126"/>
      <c r="N150" s="103"/>
      <c r="O150" s="152"/>
      <c r="P150" s="126"/>
      <c r="Q150" s="124"/>
      <c r="R150" s="103"/>
      <c r="S150" s="103"/>
      <c r="T150" s="103"/>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row>
    <row r="151" spans="1:64" ht="15">
      <c r="A151" s="92">
        <v>2</v>
      </c>
      <c r="B151" s="86" t="s">
        <v>264</v>
      </c>
      <c r="C151" s="109"/>
      <c r="D151" s="140">
        <v>0</v>
      </c>
      <c r="E151" s="91"/>
      <c r="F151" s="91" t="s">
        <v>223</v>
      </c>
      <c r="G151" s="137">
        <v>1</v>
      </c>
      <c r="H151" s="91"/>
      <c r="I151" s="91">
        <f t="shared" si="1"/>
        <v>0</v>
      </c>
      <c r="J151" s="87"/>
      <c r="K151" s="91"/>
      <c r="L151" s="125"/>
      <c r="M151" s="126"/>
      <c r="N151" s="103"/>
      <c r="O151" s="126"/>
      <c r="P151" s="126"/>
      <c r="Q151" s="124"/>
      <c r="R151" s="103"/>
      <c r="S151" s="103"/>
      <c r="T151" s="103"/>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row>
    <row r="152" spans="1:64" ht="15">
      <c r="A152" s="92">
        <v>3</v>
      </c>
      <c r="B152" s="86" t="s">
        <v>265</v>
      </c>
      <c r="C152" s="109" t="s">
        <v>683</v>
      </c>
      <c r="D152" s="140">
        <f>'EIA412 OP &amp; MAINT'!F29</f>
        <v>304508</v>
      </c>
      <c r="E152" s="91"/>
      <c r="F152" s="91" t="s">
        <v>227</v>
      </c>
      <c r="G152" s="137">
        <f>I236</f>
        <v>0.02</v>
      </c>
      <c r="H152" s="91"/>
      <c r="I152" s="91">
        <f t="shared" si="1"/>
        <v>6090.16</v>
      </c>
      <c r="J152" s="91"/>
      <c r="K152" s="91" t="s">
        <v>157</v>
      </c>
      <c r="L152" s="125"/>
      <c r="M152" s="124"/>
      <c r="N152" s="103"/>
      <c r="O152" s="126"/>
      <c r="P152" s="126"/>
      <c r="Q152" s="124"/>
      <c r="R152" s="103"/>
      <c r="S152" s="103"/>
      <c r="T152" s="103"/>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row>
    <row r="153" spans="1:64" ht="15">
      <c r="A153" s="92">
        <v>4</v>
      </c>
      <c r="B153" s="86" t="s">
        <v>266</v>
      </c>
      <c r="C153" s="91"/>
      <c r="D153" s="140">
        <v>0</v>
      </c>
      <c r="E153" s="91"/>
      <c r="F153" s="91" t="str">
        <f>+F152</f>
        <v>W/S</v>
      </c>
      <c r="G153" s="137">
        <f>I236</f>
        <v>0.02</v>
      </c>
      <c r="H153" s="91"/>
      <c r="I153" s="91">
        <f t="shared" si="1"/>
        <v>0</v>
      </c>
      <c r="J153" s="91"/>
      <c r="K153" s="91"/>
      <c r="L153" s="125"/>
      <c r="M153" s="124"/>
      <c r="N153" s="103"/>
      <c r="O153"/>
      <c r="P153" s="129"/>
      <c r="Q153" s="126"/>
      <c r="R153" s="103"/>
      <c r="S153" s="103"/>
      <c r="T153" s="103"/>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row>
    <row r="154" spans="1:64" ht="15">
      <c r="A154" s="92">
        <v>5</v>
      </c>
      <c r="B154" s="86" t="s">
        <v>684</v>
      </c>
      <c r="C154" s="91"/>
      <c r="D154" s="140">
        <v>0</v>
      </c>
      <c r="E154" s="91"/>
      <c r="F154" s="91" t="str">
        <f>+F153</f>
        <v>W/S</v>
      </c>
      <c r="G154" s="137">
        <f>I236</f>
        <v>0.02</v>
      </c>
      <c r="H154" s="91"/>
      <c r="I154" s="91">
        <f t="shared" si="1"/>
        <v>0</v>
      </c>
      <c r="J154" s="91"/>
      <c r="K154" s="91"/>
      <c r="L154" s="125"/>
      <c r="M154" s="124"/>
      <c r="N154" s="103"/>
      <c r="O154"/>
      <c r="P154" s="129"/>
      <c r="Q154" s="126"/>
      <c r="R154" s="103"/>
      <c r="S154" s="103"/>
      <c r="T154" s="103"/>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row>
    <row r="155" spans="1:64" ht="15">
      <c r="A155" s="92" t="s">
        <v>267</v>
      </c>
      <c r="B155" s="86" t="s">
        <v>268</v>
      </c>
      <c r="C155" s="91"/>
      <c r="D155" s="140">
        <v>0</v>
      </c>
      <c r="E155" s="91"/>
      <c r="F155" s="91" t="str">
        <f>+F149</f>
        <v>TE</v>
      </c>
      <c r="G155" s="137">
        <f>+G149</f>
        <v>1</v>
      </c>
      <c r="H155" s="91"/>
      <c r="I155" s="91">
        <f t="shared" si="1"/>
        <v>0</v>
      </c>
      <c r="J155" s="91"/>
      <c r="K155" s="91"/>
      <c r="L155" s="125"/>
      <c r="M155" s="124"/>
      <c r="N155" s="103"/>
      <c r="O155"/>
      <c r="P155" s="129"/>
      <c r="Q155" s="126"/>
      <c r="R155" s="103"/>
      <c r="S155" s="103"/>
      <c r="T155" s="103"/>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row>
    <row r="156" spans="1:64" ht="15">
      <c r="A156" s="92">
        <v>6</v>
      </c>
      <c r="B156" s="86" t="s">
        <v>228</v>
      </c>
      <c r="C156" s="91"/>
      <c r="D156" s="140">
        <v>0</v>
      </c>
      <c r="E156" s="91"/>
      <c r="F156" s="91" t="s">
        <v>229</v>
      </c>
      <c r="G156" s="137">
        <f>K240</f>
        <v>0.02</v>
      </c>
      <c r="H156" s="91"/>
      <c r="I156" s="91">
        <f t="shared" si="1"/>
        <v>0</v>
      </c>
      <c r="J156" s="91"/>
      <c r="K156" s="91"/>
      <c r="L156" s="125"/>
      <c r="M156" s="124"/>
      <c r="N156" s="103"/>
      <c r="O156"/>
      <c r="P156" s="129"/>
      <c r="Q156" s="124"/>
      <c r="R156" s="103"/>
      <c r="S156" s="103"/>
      <c r="T156" s="103"/>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row>
    <row r="157" spans="1:64" ht="15.75" thickBot="1">
      <c r="A157" s="92">
        <v>7</v>
      </c>
      <c r="B157" s="86" t="s">
        <v>269</v>
      </c>
      <c r="C157" s="91"/>
      <c r="D157" s="138">
        <v>0</v>
      </c>
      <c r="E157" s="91"/>
      <c r="F157" s="91" t="s">
        <v>223</v>
      </c>
      <c r="G157" s="137">
        <v>1</v>
      </c>
      <c r="H157" s="91"/>
      <c r="I157" s="107">
        <f t="shared" si="1"/>
        <v>0</v>
      </c>
      <c r="J157" s="91"/>
      <c r="K157" s="91"/>
      <c r="L157" s="125"/>
      <c r="M157" s="124"/>
      <c r="N157" s="103"/>
      <c r="O157"/>
      <c r="P157" s="129"/>
      <c r="Q157" s="124"/>
      <c r="R157" s="103"/>
      <c r="S157" s="103"/>
      <c r="T157" s="103"/>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row>
    <row r="158" spans="1:64" ht="15">
      <c r="A158" s="92">
        <v>8</v>
      </c>
      <c r="B158" s="86" t="s">
        <v>636</v>
      </c>
      <c r="C158" s="91"/>
      <c r="D158" s="91">
        <f>+D149-D150-D151+D152-D153-D154+D155+D156+D157</f>
        <v>308312.21000000002</v>
      </c>
      <c r="E158" s="91"/>
      <c r="F158" s="91"/>
      <c r="G158" s="91"/>
      <c r="H158" s="91"/>
      <c r="I158" s="91">
        <f>+I149-I150-I151+I152-I153-I154+I155+I156+I157</f>
        <v>9894.369999999999</v>
      </c>
      <c r="J158" s="91"/>
      <c r="K158" s="91"/>
      <c r="L158" s="125"/>
      <c r="M158" s="124"/>
      <c r="N158" s="103"/>
      <c r="O158"/>
      <c r="P158" s="129"/>
      <c r="Q158" s="124"/>
      <c r="R158" s="103"/>
      <c r="S158" s="103"/>
      <c r="T158" s="103"/>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row>
    <row r="159" spans="1:64" ht="15">
      <c r="A159" s="92"/>
      <c r="C159" s="91"/>
      <c r="E159" s="91"/>
      <c r="F159" s="91"/>
      <c r="G159" s="91"/>
      <c r="H159" s="91"/>
      <c r="J159" s="91"/>
      <c r="K159" s="91"/>
      <c r="L159" s="125"/>
      <c r="M159" s="124"/>
      <c r="N159" s="103"/>
      <c r="O159"/>
      <c r="P159" s="129"/>
      <c r="Q159" s="124"/>
      <c r="R159" s="103"/>
      <c r="S159" s="103"/>
      <c r="T159" s="103"/>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row>
    <row r="160" spans="1:64" ht="15">
      <c r="A160" s="92"/>
      <c r="B160" s="442" t="s">
        <v>767</v>
      </c>
      <c r="C160" s="91"/>
      <c r="D160" s="91"/>
      <c r="E160" s="91"/>
      <c r="F160" s="91"/>
      <c r="G160" s="91"/>
      <c r="H160" s="91"/>
      <c r="I160" s="91"/>
      <c r="J160" s="91"/>
      <c r="K160" s="91"/>
      <c r="L160" s="125"/>
      <c r="M160" s="124"/>
      <c r="N160" s="103"/>
      <c r="O160"/>
      <c r="P160" s="129"/>
      <c r="Q160" s="124"/>
      <c r="R160" s="103"/>
      <c r="S160" s="103"/>
      <c r="T160" s="103"/>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row>
    <row r="161" spans="1:64" ht="15">
      <c r="A161" s="92">
        <v>9</v>
      </c>
      <c r="B161" s="86" t="str">
        <f>+B149</f>
        <v xml:space="preserve">  Transmission </v>
      </c>
      <c r="C161" s="109" t="s">
        <v>157</v>
      </c>
      <c r="D161" s="140">
        <f>'EIA412 ELECTRIC PLANT'!J17</f>
        <v>3696.7839999999997</v>
      </c>
      <c r="E161" s="91"/>
      <c r="F161" s="91" t="s">
        <v>176</v>
      </c>
      <c r="G161" s="137">
        <f>+G114</f>
        <v>1</v>
      </c>
      <c r="H161" s="91"/>
      <c r="I161" s="91">
        <f>+G161*D161</f>
        <v>3696.7839999999997</v>
      </c>
      <c r="J161" s="91"/>
      <c r="K161" s="139"/>
      <c r="L161" s="125"/>
      <c r="M161" s="124"/>
      <c r="N161" s="103"/>
      <c r="O161"/>
      <c r="P161" s="146"/>
      <c r="Q161" s="124"/>
      <c r="R161" s="103"/>
      <c r="S161" s="103"/>
      <c r="T161" s="103"/>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row>
    <row r="162" spans="1:64" ht="15">
      <c r="A162" s="92">
        <v>10</v>
      </c>
      <c r="B162" s="86" t="s">
        <v>270</v>
      </c>
      <c r="C162" s="109" t="s">
        <v>157</v>
      </c>
      <c r="D162" s="140">
        <f>'EIA412 ELECTRIC PLANT'!J19</f>
        <v>29630.412880952375</v>
      </c>
      <c r="E162" s="91"/>
      <c r="F162" s="91" t="s">
        <v>227</v>
      </c>
      <c r="G162" s="137">
        <f>+G152</f>
        <v>0.02</v>
      </c>
      <c r="H162" s="91"/>
      <c r="I162" s="91">
        <f>+G162*D162</f>
        <v>592.60825761904755</v>
      </c>
      <c r="J162" s="91"/>
      <c r="K162" s="139"/>
      <c r="L162" s="125"/>
      <c r="M162" s="126"/>
      <c r="N162" s="103"/>
      <c r="O162"/>
      <c r="P162" s="153"/>
      <c r="Q162" s="124"/>
      <c r="R162" s="103"/>
      <c r="S162" s="103"/>
      <c r="T162" s="103"/>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row>
    <row r="163" spans="1:64" ht="15.75" thickBot="1">
      <c r="A163" s="92">
        <v>11</v>
      </c>
      <c r="B163" s="86" t="str">
        <f>+B156</f>
        <v xml:space="preserve">  Common</v>
      </c>
      <c r="C163" s="91"/>
      <c r="D163" s="138">
        <v>0</v>
      </c>
      <c r="E163" s="91"/>
      <c r="F163" s="91" t="s">
        <v>229</v>
      </c>
      <c r="G163" s="137">
        <f>+G156</f>
        <v>0.02</v>
      </c>
      <c r="H163" s="91"/>
      <c r="I163" s="107">
        <f>+G163*D163</f>
        <v>0</v>
      </c>
      <c r="J163" s="91"/>
      <c r="K163" s="139"/>
      <c r="L163" s="125"/>
      <c r="M163" s="126"/>
      <c r="N163" s="103"/>
      <c r="O163"/>
      <c r="P163" s="126"/>
      <c r="Q163" s="124"/>
      <c r="R163" s="103"/>
      <c r="S163" s="103"/>
      <c r="T163" s="103"/>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row>
    <row r="164" spans="1:64" ht="15">
      <c r="A164" s="92">
        <v>12</v>
      </c>
      <c r="B164" s="86" t="s">
        <v>271</v>
      </c>
      <c r="C164" s="91"/>
      <c r="D164" s="91">
        <f>SUM(D161:D163)</f>
        <v>33327.196880952375</v>
      </c>
      <c r="E164" s="91"/>
      <c r="F164" s="91"/>
      <c r="G164" s="91"/>
      <c r="H164" s="91"/>
      <c r="I164" s="91">
        <f>SUM(I161:I163)</f>
        <v>4289.3922576190471</v>
      </c>
      <c r="J164" s="91"/>
      <c r="K164" s="91"/>
      <c r="L164" s="125"/>
      <c r="M164" s="126"/>
      <c r="N164" s="103"/>
      <c r="O164"/>
      <c r="P164" s="126"/>
      <c r="Q164" s="124"/>
      <c r="R164" s="103"/>
      <c r="S164" s="103"/>
      <c r="T164" s="103"/>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row>
    <row r="165" spans="1:64" ht="15">
      <c r="A165" s="92"/>
      <c r="B165" s="86"/>
      <c r="C165" s="91"/>
      <c r="D165" s="91"/>
      <c r="E165" s="91"/>
      <c r="F165" s="91"/>
      <c r="G165" s="91"/>
      <c r="H165" s="91"/>
      <c r="I165" s="91"/>
      <c r="J165" s="91"/>
      <c r="K165" s="91"/>
      <c r="L165" s="125"/>
      <c r="M165" s="124"/>
      <c r="N165" s="103"/>
      <c r="O165"/>
      <c r="P165" s="129"/>
      <c r="Q165" s="126"/>
      <c r="R165" s="103"/>
      <c r="S165" s="103"/>
      <c r="T165" s="103"/>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85"/>
      <c r="BK165" s="85"/>
      <c r="BL165" s="85"/>
    </row>
    <row r="166" spans="1:64" ht="15">
      <c r="A166" s="92" t="s">
        <v>157</v>
      </c>
      <c r="B166" s="86" t="s">
        <v>272</v>
      </c>
      <c r="C166" s="109"/>
      <c r="D166" s="91"/>
      <c r="E166" s="91"/>
      <c r="F166" s="91"/>
      <c r="G166" s="91"/>
      <c r="H166" s="91"/>
      <c r="I166" s="91"/>
      <c r="J166" s="91"/>
      <c r="K166" s="91"/>
      <c r="L166" s="125"/>
      <c r="M166" s="124"/>
      <c r="N166" s="103"/>
      <c r="O166"/>
      <c r="P166" s="129"/>
      <c r="Q166" s="126"/>
      <c r="R166" s="103"/>
      <c r="S166" s="103"/>
      <c r="T166" s="103"/>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row>
    <row r="167" spans="1:64" ht="15">
      <c r="A167" s="92"/>
      <c r="B167" s="86" t="s">
        <v>273</v>
      </c>
      <c r="C167" s="109"/>
      <c r="D167" s="109"/>
      <c r="E167" s="91"/>
      <c r="F167" s="91"/>
      <c r="G167" s="109"/>
      <c r="H167" s="91"/>
      <c r="I167" s="109"/>
      <c r="J167" s="91"/>
      <c r="K167" s="139"/>
      <c r="L167" s="125"/>
      <c r="M167" s="124"/>
      <c r="N167" s="103"/>
      <c r="O167"/>
      <c r="P167" s="129"/>
      <c r="Q167" s="126"/>
      <c r="R167" s="103"/>
      <c r="S167" s="103"/>
      <c r="T167" s="103"/>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row>
    <row r="168" spans="1:64" ht="15">
      <c r="A168" s="92">
        <v>13</v>
      </c>
      <c r="B168" s="86" t="s">
        <v>274</v>
      </c>
      <c r="C168" s="91"/>
      <c r="D168" s="140">
        <v>0</v>
      </c>
      <c r="E168" s="91"/>
      <c r="F168" s="91" t="s">
        <v>227</v>
      </c>
      <c r="G168" s="101">
        <f>+G162</f>
        <v>0.02</v>
      </c>
      <c r="H168" s="91"/>
      <c r="I168" s="91">
        <f>+G168*D168</f>
        <v>0</v>
      </c>
      <c r="J168" s="91"/>
      <c r="K168" s="139"/>
      <c r="L168" s="125"/>
      <c r="M168" s="124"/>
      <c r="N168" s="103"/>
      <c r="O168"/>
      <c r="P168" s="126"/>
      <c r="Q168" s="124"/>
      <c r="R168" s="103"/>
      <c r="S168" s="103"/>
      <c r="T168" s="103"/>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row>
    <row r="169" spans="1:64" ht="15">
      <c r="A169" s="92">
        <v>14</v>
      </c>
      <c r="B169" s="86" t="s">
        <v>275</v>
      </c>
      <c r="C169" s="91"/>
      <c r="D169" s="140">
        <v>0</v>
      </c>
      <c r="E169" s="91"/>
      <c r="F169" s="91" t="str">
        <f>+F168</f>
        <v>W/S</v>
      </c>
      <c r="G169" s="101">
        <f>+G168</f>
        <v>0.02</v>
      </c>
      <c r="H169" s="91"/>
      <c r="I169" s="91">
        <f>+G169*D169</f>
        <v>0</v>
      </c>
      <c r="J169" s="91"/>
      <c r="K169" s="139"/>
      <c r="L169" s="125"/>
      <c r="M169" s="124"/>
      <c r="N169" s="103"/>
      <c r="O169"/>
      <c r="P169" s="126"/>
      <c r="Q169" s="124"/>
      <c r="R169" s="103"/>
      <c r="S169" s="103"/>
      <c r="T169" s="103"/>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row>
    <row r="170" spans="1:64" ht="15">
      <c r="A170" s="92">
        <v>15</v>
      </c>
      <c r="B170" s="86" t="s">
        <v>276</v>
      </c>
      <c r="C170" s="91"/>
      <c r="D170" s="109"/>
      <c r="E170" s="91"/>
      <c r="F170" s="91"/>
      <c r="G170" s="109"/>
      <c r="H170" s="91"/>
      <c r="I170" s="109"/>
      <c r="J170" s="91"/>
      <c r="K170" s="139"/>
      <c r="L170" s="125"/>
      <c r="M170" s="124"/>
      <c r="N170" s="103"/>
      <c r="O170"/>
      <c r="P170" s="126"/>
      <c r="Q170" s="124"/>
      <c r="R170" s="103"/>
      <c r="S170" s="103"/>
      <c r="T170" s="103"/>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row>
    <row r="171" spans="1:64" ht="15">
      <c r="A171" s="92">
        <v>16</v>
      </c>
      <c r="B171" s="86" t="s">
        <v>277</v>
      </c>
      <c r="C171" s="91"/>
      <c r="D171" s="140">
        <v>0</v>
      </c>
      <c r="E171" s="91"/>
      <c r="F171" s="91" t="s">
        <v>259</v>
      </c>
      <c r="G171" s="101">
        <f>+G88</f>
        <v>4.8665428072506213E-2</v>
      </c>
      <c r="H171" s="91"/>
      <c r="I171" s="91">
        <f>+G171*D171</f>
        <v>0</v>
      </c>
      <c r="J171" s="91"/>
      <c r="K171" s="139"/>
      <c r="L171" s="125"/>
      <c r="M171" s="124"/>
      <c r="N171" s="103"/>
      <c r="O171"/>
      <c r="P171" s="129"/>
      <c r="Q171" s="124"/>
      <c r="R171" s="103"/>
      <c r="S171" s="103"/>
      <c r="T171" s="103"/>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row>
    <row r="172" spans="1:64" ht="15">
      <c r="A172" s="92">
        <v>17</v>
      </c>
      <c r="B172" s="86" t="s">
        <v>278</v>
      </c>
      <c r="C172" s="91"/>
      <c r="D172" s="140">
        <v>0</v>
      </c>
      <c r="E172" s="91"/>
      <c r="F172" s="91" t="s">
        <v>223</v>
      </c>
      <c r="G172" s="154" t="s">
        <v>244</v>
      </c>
      <c r="H172" s="91"/>
      <c r="I172" s="91">
        <v>0</v>
      </c>
      <c r="J172" s="91"/>
      <c r="K172" s="139"/>
      <c r="L172" s="125"/>
      <c r="M172" s="124"/>
      <c r="N172" s="103"/>
      <c r="O172"/>
      <c r="P172" s="129"/>
      <c r="Q172" s="124"/>
      <c r="R172" s="103"/>
      <c r="S172" s="103"/>
      <c r="T172" s="103"/>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c r="BK172" s="85"/>
      <c r="BL172" s="85"/>
    </row>
    <row r="173" spans="1:64" ht="15">
      <c r="A173" s="92">
        <v>18</v>
      </c>
      <c r="B173" s="86" t="s">
        <v>279</v>
      </c>
      <c r="C173" s="91"/>
      <c r="D173" s="140">
        <v>0</v>
      </c>
      <c r="E173" s="91"/>
      <c r="F173" s="91" t="str">
        <f>+F171</f>
        <v>GP</v>
      </c>
      <c r="G173" s="101">
        <f>+G171</f>
        <v>4.8665428072506213E-2</v>
      </c>
      <c r="H173" s="91"/>
      <c r="I173" s="91">
        <f>+G173*D173</f>
        <v>0</v>
      </c>
      <c r="J173" s="91"/>
      <c r="K173" s="139"/>
      <c r="L173" s="125"/>
      <c r="M173" s="124"/>
      <c r="N173" s="103"/>
      <c r="O173"/>
      <c r="P173" s="129"/>
      <c r="Q173" s="124"/>
      <c r="R173" s="103"/>
      <c r="S173" s="103"/>
      <c r="T173" s="103"/>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row>
    <row r="174" spans="1:64" ht="15.75" thickBot="1">
      <c r="A174" s="92">
        <v>19</v>
      </c>
      <c r="B174" s="86" t="s">
        <v>280</v>
      </c>
      <c r="C174" s="91"/>
      <c r="D174" s="138">
        <f>'EIA412 TAXES'!C18</f>
        <v>120000</v>
      </c>
      <c r="E174" s="91"/>
      <c r="F174" s="91" t="s">
        <v>259</v>
      </c>
      <c r="G174" s="101">
        <f>+G173</f>
        <v>4.8665428072506213E-2</v>
      </c>
      <c r="H174" s="91"/>
      <c r="I174" s="107">
        <f>+G174*D174</f>
        <v>5839.8513687007453</v>
      </c>
      <c r="J174" s="91"/>
      <c r="K174" s="139"/>
      <c r="L174" s="125"/>
      <c r="M174" s="124"/>
      <c r="N174" s="103"/>
      <c r="O174"/>
      <c r="P174" s="129"/>
      <c r="Q174" s="124"/>
      <c r="R174" s="103"/>
      <c r="S174" s="103"/>
      <c r="T174" s="103"/>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85"/>
      <c r="BK174" s="85"/>
      <c r="BL174" s="85"/>
    </row>
    <row r="175" spans="1:64" ht="15">
      <c r="A175" s="92">
        <v>20</v>
      </c>
      <c r="B175" s="86" t="s">
        <v>281</v>
      </c>
      <c r="C175" s="91"/>
      <c r="D175" s="91">
        <f>SUM(D168:D174)</f>
        <v>120000</v>
      </c>
      <c r="E175" s="91"/>
      <c r="F175" s="91"/>
      <c r="G175" s="101"/>
      <c r="H175" s="91"/>
      <c r="I175" s="91">
        <f>SUM(I168:I174)</f>
        <v>5839.8513687007453</v>
      </c>
      <c r="J175" s="91"/>
      <c r="K175" s="91"/>
      <c r="L175" s="125"/>
      <c r="M175" s="124"/>
      <c r="N175" s="103"/>
      <c r="O175"/>
      <c r="P175" s="129"/>
      <c r="Q175" s="124"/>
      <c r="R175" s="103"/>
      <c r="S175" s="103"/>
      <c r="T175" s="103"/>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85"/>
      <c r="BK175" s="85"/>
      <c r="BL175" s="85"/>
    </row>
    <row r="176" spans="1:64" ht="15">
      <c r="A176" s="92"/>
      <c r="B176" s="86"/>
      <c r="C176" s="91"/>
      <c r="D176" s="91"/>
      <c r="E176" s="91"/>
      <c r="F176" s="91"/>
      <c r="G176" s="101"/>
      <c r="H176" s="91"/>
      <c r="I176" s="91"/>
      <c r="J176" s="91"/>
      <c r="K176" s="91"/>
      <c r="L176" s="125"/>
      <c r="M176" s="124"/>
      <c r="N176" s="103"/>
      <c r="O176"/>
      <c r="P176" s="129"/>
      <c r="Q176" s="124"/>
      <c r="R176" s="103"/>
      <c r="S176" s="103"/>
      <c r="T176" s="103"/>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row>
    <row r="177" spans="1:64" ht="15">
      <c r="A177" s="92" t="s">
        <v>157</v>
      </c>
      <c r="B177" s="86" t="s">
        <v>282</v>
      </c>
      <c r="C177" s="155" t="s">
        <v>283</v>
      </c>
      <c r="D177" s="91"/>
      <c r="E177" s="91"/>
      <c r="F177" s="91" t="s">
        <v>223</v>
      </c>
      <c r="G177" s="156"/>
      <c r="H177" s="91"/>
      <c r="I177" s="91"/>
      <c r="J177" s="91"/>
      <c r="K177" s="109"/>
      <c r="L177" s="125"/>
      <c r="M177" s="124"/>
      <c r="N177" s="103"/>
      <c r="O177"/>
      <c r="P177" s="129"/>
      <c r="Q177" s="124"/>
      <c r="R177" s="103"/>
      <c r="S177" s="103"/>
      <c r="T177" s="103"/>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row>
    <row r="178" spans="1:64" ht="15">
      <c r="A178" s="92">
        <v>21</v>
      </c>
      <c r="B178" s="157" t="s">
        <v>284</v>
      </c>
      <c r="C178" s="91"/>
      <c r="D178" s="158">
        <f>IF(D316&gt;0,1-(((1-D317)*(1-D316))/(1-D317*D316*D318)),0)</f>
        <v>0</v>
      </c>
      <c r="E178" s="91"/>
      <c r="G178" s="156"/>
      <c r="H178" s="91"/>
      <c r="J178" s="91"/>
      <c r="K178" s="109"/>
      <c r="L178" s="125"/>
      <c r="M178" s="126"/>
      <c r="N178" s="103"/>
      <c r="O178"/>
      <c r="P178" s="126"/>
      <c r="Q178" s="124"/>
      <c r="R178" s="103"/>
      <c r="S178" s="103"/>
      <c r="T178" s="103"/>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c r="BK178" s="85"/>
      <c r="BL178" s="85"/>
    </row>
    <row r="179" spans="1:64" ht="15">
      <c r="A179" s="92">
        <v>22</v>
      </c>
      <c r="B179" s="83" t="s">
        <v>285</v>
      </c>
      <c r="C179" s="91"/>
      <c r="D179" s="158">
        <f>IF(I250&gt;0,(D178/(1-D178))*(1-I248/I250),0)</f>
        <v>0</v>
      </c>
      <c r="E179" s="91"/>
      <c r="G179" s="156"/>
      <c r="H179" s="91"/>
      <c r="J179" s="91"/>
      <c r="K179" s="109"/>
      <c r="L179" s="125"/>
      <c r="M179" s="126"/>
      <c r="N179" s="103"/>
      <c r="O179" s="141"/>
      <c r="P179" s="126"/>
      <c r="Q179" s="124"/>
      <c r="R179" s="103"/>
      <c r="S179" s="103"/>
      <c r="T179" s="103"/>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row>
    <row r="180" spans="1:64" ht="15">
      <c r="A180" s="92"/>
      <c r="B180" s="86" t="s">
        <v>737</v>
      </c>
      <c r="C180" s="91"/>
      <c r="D180" s="91"/>
      <c r="E180" s="91"/>
      <c r="G180" s="156"/>
      <c r="H180" s="91"/>
      <c r="J180" s="91"/>
      <c r="K180" s="109"/>
      <c r="L180" s="125"/>
      <c r="M180" s="126"/>
      <c r="N180" s="103"/>
      <c r="O180" s="126"/>
      <c r="P180" s="126"/>
      <c r="Q180" s="124"/>
      <c r="R180" s="103"/>
      <c r="S180" s="103"/>
      <c r="T180" s="103"/>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c r="BK180" s="85"/>
      <c r="BL180" s="85"/>
    </row>
    <row r="181" spans="1:64" ht="15">
      <c r="A181" s="92"/>
      <c r="B181" s="86" t="s">
        <v>286</v>
      </c>
      <c r="C181" s="91"/>
      <c r="D181" s="91"/>
      <c r="E181" s="91"/>
      <c r="G181" s="156"/>
      <c r="H181" s="91"/>
      <c r="J181" s="91"/>
      <c r="K181" s="109"/>
      <c r="L181" s="125"/>
      <c r="M181" s="126"/>
      <c r="N181" s="103"/>
      <c r="O181" s="126"/>
      <c r="P181" s="146"/>
      <c r="Q181" s="126"/>
      <c r="R181" s="103"/>
      <c r="S181" s="103"/>
      <c r="T181" s="103"/>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85"/>
      <c r="BI181" s="85"/>
      <c r="BJ181" s="85"/>
      <c r="BK181" s="85"/>
      <c r="BL181" s="85"/>
    </row>
    <row r="182" spans="1:64" ht="15">
      <c r="A182" s="92">
        <v>23</v>
      </c>
      <c r="B182" s="157" t="s">
        <v>287</v>
      </c>
      <c r="C182" s="91"/>
      <c r="D182" s="159">
        <f>IF(D178&gt;0,1/(1-D178),0)</f>
        <v>0</v>
      </c>
      <c r="E182" s="91"/>
      <c r="G182" s="156"/>
      <c r="H182" s="91"/>
      <c r="J182" s="91"/>
      <c r="K182" s="109"/>
      <c r="L182" s="125"/>
      <c r="M182" s="126"/>
      <c r="N182" s="103"/>
      <c r="O182" s="126"/>
      <c r="P182" s="146"/>
      <c r="Q182" s="126"/>
      <c r="R182" s="103"/>
      <c r="S182" s="103"/>
      <c r="T182" s="103"/>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85"/>
      <c r="BK182" s="85"/>
      <c r="BL182" s="85"/>
    </row>
    <row r="183" spans="1:64" ht="15">
      <c r="A183" s="92">
        <v>24</v>
      </c>
      <c r="B183" s="86" t="s">
        <v>288</v>
      </c>
      <c r="C183" s="91"/>
      <c r="D183" s="140">
        <v>0</v>
      </c>
      <c r="E183" s="91"/>
      <c r="G183" s="156"/>
      <c r="H183" s="91"/>
      <c r="J183" s="91"/>
      <c r="K183" s="109"/>
      <c r="L183" s="125"/>
      <c r="M183" s="126"/>
      <c r="N183" s="103"/>
      <c r="O183" s="126"/>
      <c r="P183" s="129"/>
      <c r="Q183" s="126"/>
      <c r="R183" s="103"/>
      <c r="S183" s="103"/>
      <c r="T183" s="103"/>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row>
    <row r="184" spans="1:64" ht="15">
      <c r="A184" s="92"/>
      <c r="B184" s="86"/>
      <c r="C184" s="91"/>
      <c r="D184" s="91"/>
      <c r="E184" s="91"/>
      <c r="G184" s="156"/>
      <c r="H184" s="91"/>
      <c r="J184" s="91"/>
      <c r="K184" s="109"/>
      <c r="L184" s="125"/>
      <c r="M184" s="126"/>
      <c r="N184" s="103"/>
      <c r="O184" s="126"/>
      <c r="P184" s="129"/>
      <c r="Q184" s="126"/>
      <c r="R184" s="103"/>
      <c r="S184" s="103"/>
      <c r="T184" s="103"/>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85"/>
      <c r="BK184" s="85"/>
      <c r="BL184" s="85"/>
    </row>
    <row r="185" spans="1:64" ht="15">
      <c r="A185" s="92">
        <v>25</v>
      </c>
      <c r="B185" s="157" t="s">
        <v>289</v>
      </c>
      <c r="C185" s="155"/>
      <c r="D185" s="91">
        <f>D179*D189</f>
        <v>0</v>
      </c>
      <c r="E185" s="91"/>
      <c r="F185" s="91" t="s">
        <v>223</v>
      </c>
      <c r="G185" s="101"/>
      <c r="H185" s="91"/>
      <c r="I185" s="91">
        <f>D179*I189</f>
        <v>0</v>
      </c>
      <c r="J185" s="91"/>
      <c r="K185" s="109"/>
      <c r="L185" s="125"/>
      <c r="M185" s="126"/>
      <c r="N185" s="103"/>
      <c r="O185" s="126"/>
      <c r="P185" s="129"/>
      <c r="Q185" s="126"/>
      <c r="R185" s="103"/>
      <c r="S185" s="103"/>
      <c r="T185" s="103"/>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85"/>
      <c r="BK185" s="85"/>
      <c r="BL185" s="85"/>
    </row>
    <row r="186" spans="1:64" ht="15.75" thickBot="1">
      <c r="A186" s="92">
        <v>26</v>
      </c>
      <c r="B186" s="83" t="s">
        <v>290</v>
      </c>
      <c r="C186" s="155"/>
      <c r="D186" s="107">
        <f>D182*D183</f>
        <v>0</v>
      </c>
      <c r="E186" s="91"/>
      <c r="F186" s="83" t="s">
        <v>246</v>
      </c>
      <c r="G186" s="101">
        <f>G104</f>
        <v>2.2442891575831063E-2</v>
      </c>
      <c r="H186" s="91"/>
      <c r="I186" s="107">
        <f>G186*D186</f>
        <v>0</v>
      </c>
      <c r="J186" s="91"/>
      <c r="K186" s="109"/>
      <c r="L186" s="125"/>
      <c r="M186" s="124"/>
      <c r="N186" s="103"/>
      <c r="O186" s="126"/>
      <c r="P186" s="129"/>
      <c r="Q186" s="126"/>
      <c r="R186" s="103"/>
      <c r="S186" s="103"/>
      <c r="T186" s="103"/>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row>
    <row r="187" spans="1:64" ht="15">
      <c r="A187" s="92">
        <v>27</v>
      </c>
      <c r="B187" s="157" t="s">
        <v>291</v>
      </c>
      <c r="C187" s="83" t="s">
        <v>292</v>
      </c>
      <c r="D187" s="160">
        <f>+D185+D186</f>
        <v>0</v>
      </c>
      <c r="E187" s="91"/>
      <c r="F187" s="91" t="s">
        <v>157</v>
      </c>
      <c r="G187" s="101" t="s">
        <v>157</v>
      </c>
      <c r="H187" s="91"/>
      <c r="I187" s="160">
        <f>+I185+I186</f>
        <v>0</v>
      </c>
      <c r="J187" s="91"/>
      <c r="K187" s="109"/>
      <c r="L187" s="125"/>
      <c r="M187" s="124"/>
      <c r="N187" s="103"/>
      <c r="O187" s="126"/>
      <c r="P187" s="129"/>
      <c r="Q187" s="126"/>
      <c r="R187" s="103"/>
      <c r="S187" s="103"/>
      <c r="T187" s="103"/>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row>
    <row r="188" spans="1:64" ht="15">
      <c r="A188" s="92" t="s">
        <v>157</v>
      </c>
      <c r="C188" s="161"/>
      <c r="D188" s="91"/>
      <c r="E188" s="91"/>
      <c r="F188" s="91"/>
      <c r="G188" s="101"/>
      <c r="H188" s="91"/>
      <c r="I188" s="91"/>
      <c r="J188" s="91"/>
      <c r="K188" s="91"/>
      <c r="L188" s="125"/>
      <c r="M188" s="124"/>
      <c r="N188" s="103"/>
      <c r="O188" s="126"/>
      <c r="P188" s="129"/>
      <c r="Q188" s="126"/>
      <c r="R188" s="103"/>
      <c r="S188" s="103"/>
      <c r="T188" s="103"/>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row>
    <row r="189" spans="1:64" ht="15">
      <c r="A189" s="338">
        <v>28</v>
      </c>
      <c r="B189" s="339" t="s">
        <v>293</v>
      </c>
      <c r="C189" s="344"/>
      <c r="D189" s="91">
        <f>+$I250*D122</f>
        <v>309942.78136886365</v>
      </c>
      <c r="E189" s="91"/>
      <c r="F189" s="91" t="s">
        <v>223</v>
      </c>
      <c r="G189" s="156"/>
      <c r="H189" s="91"/>
      <c r="I189" s="91">
        <f>+$I250*I122</f>
        <v>6989.1528102460325</v>
      </c>
      <c r="J189" s="91"/>
      <c r="K189" s="109"/>
      <c r="L189" s="125"/>
      <c r="M189" s="124"/>
      <c r="N189" s="103"/>
      <c r="O189" s="126"/>
      <c r="P189" s="129"/>
      <c r="Q189" s="126"/>
      <c r="R189" s="103"/>
      <c r="S189" s="103"/>
      <c r="T189" s="103"/>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row>
    <row r="190" spans="1:64" ht="15">
      <c r="A190" s="338"/>
      <c r="B190" s="345" t="s">
        <v>294</v>
      </c>
      <c r="C190" s="346"/>
      <c r="D190" s="91"/>
      <c r="E190" s="91"/>
      <c r="F190" s="91"/>
      <c r="G190" s="156"/>
      <c r="H190" s="91"/>
      <c r="I190" s="91"/>
      <c r="J190" s="91"/>
      <c r="K190" s="139"/>
      <c r="L190" s="125"/>
      <c r="M190" s="126"/>
      <c r="N190" s="103"/>
      <c r="O190" s="126"/>
      <c r="P190" s="129"/>
      <c r="Q190" s="126"/>
      <c r="R190" s="103"/>
      <c r="S190" s="103"/>
      <c r="T190" s="103"/>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row>
    <row r="191" spans="1:64" ht="15">
      <c r="A191" s="338"/>
      <c r="B191" s="339"/>
      <c r="C191" s="346"/>
      <c r="D191" s="343"/>
      <c r="E191" s="91"/>
      <c r="F191" s="91"/>
      <c r="G191" s="156"/>
      <c r="H191" s="91"/>
      <c r="I191" s="343"/>
      <c r="J191" s="91"/>
      <c r="K191" s="139"/>
      <c r="L191" s="125"/>
      <c r="M191" s="126"/>
      <c r="N191" s="103"/>
      <c r="O191" s="126"/>
      <c r="P191" s="129"/>
      <c r="Q191" s="126"/>
      <c r="R191" s="103"/>
      <c r="S191" s="103"/>
      <c r="T191" s="103"/>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row>
    <row r="192" spans="1:64" ht="15">
      <c r="A192" s="338">
        <v>29</v>
      </c>
      <c r="B192" s="339" t="s">
        <v>295</v>
      </c>
      <c r="C192" s="341"/>
      <c r="D192" s="343">
        <f>+D189+D187+D175+D164+D158</f>
        <v>771582.18824981607</v>
      </c>
      <c r="E192" s="91"/>
      <c r="F192" s="91"/>
      <c r="G192" s="91"/>
      <c r="H192" s="91"/>
      <c r="I192" s="343">
        <f>+I189+I187+I175+I164+I158</f>
        <v>27012.766436565824</v>
      </c>
      <c r="J192" s="87"/>
      <c r="K192" s="87"/>
      <c r="L192" s="84"/>
      <c r="M192" s="126"/>
      <c r="N192" s="103"/>
      <c r="O192" s="126"/>
      <c r="P192" s="126"/>
      <c r="Q192" s="124"/>
      <c r="R192" s="103"/>
      <c r="S192" s="103"/>
      <c r="T192" s="103"/>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row>
    <row r="193" spans="1:64" ht="15">
      <c r="A193" s="338"/>
      <c r="B193" s="339"/>
      <c r="C193" s="341"/>
      <c r="D193" s="343"/>
      <c r="E193" s="91"/>
      <c r="F193" s="91"/>
      <c r="G193" s="91"/>
      <c r="H193" s="91"/>
      <c r="I193" s="343"/>
      <c r="J193" s="87"/>
      <c r="K193" s="87"/>
      <c r="L193" s="84"/>
      <c r="M193" s="124"/>
      <c r="N193" s="103"/>
      <c r="O193" s="126"/>
      <c r="P193" s="129"/>
      <c r="Q193" s="126"/>
      <c r="R193" s="103"/>
      <c r="S193" s="103"/>
      <c r="T193" s="103"/>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row>
    <row r="194" spans="1:64" ht="15">
      <c r="A194" s="338">
        <v>30</v>
      </c>
      <c r="B194" s="339" t="s">
        <v>637</v>
      </c>
      <c r="C194" s="341"/>
      <c r="D194" s="343">
        <v>0</v>
      </c>
      <c r="E194" s="91"/>
      <c r="F194" s="91"/>
      <c r="G194" s="91"/>
      <c r="H194" s="91"/>
      <c r="I194" s="343">
        <v>0</v>
      </c>
      <c r="J194" s="87"/>
      <c r="K194" s="87"/>
      <c r="L194" s="84"/>
      <c r="M194" s="104"/>
      <c r="N194" s="103"/>
      <c r="O194" s="126"/>
      <c r="P194" s="129"/>
      <c r="Q194" s="126"/>
      <c r="R194" s="103"/>
      <c r="S194" s="103"/>
      <c r="T194" s="103"/>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row>
    <row r="195" spans="1:64" ht="15">
      <c r="A195" s="338"/>
      <c r="B195" s="339" t="s">
        <v>685</v>
      </c>
      <c r="C195" s="341"/>
      <c r="D195" s="343"/>
      <c r="E195" s="91"/>
      <c r="F195" s="91"/>
      <c r="G195" s="91"/>
      <c r="H195" s="91"/>
      <c r="I195" s="343"/>
      <c r="J195" s="87"/>
      <c r="K195" s="87"/>
      <c r="L195" s="84"/>
      <c r="M195" s="104"/>
      <c r="N195" s="103"/>
      <c r="O195" s="126"/>
      <c r="P195" s="129"/>
      <c r="Q195" s="126"/>
      <c r="R195" s="103"/>
      <c r="S195" s="103"/>
      <c r="T195" s="103"/>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row>
    <row r="196" spans="1:64" ht="15">
      <c r="A196" s="338"/>
      <c r="B196" s="346" t="s">
        <v>638</v>
      </c>
      <c r="C196" s="346"/>
      <c r="D196" s="347"/>
      <c r="E196" s="341"/>
      <c r="F196" s="341"/>
      <c r="G196" s="341"/>
      <c r="H196" s="341"/>
      <c r="I196" s="347"/>
      <c r="J196" s="87"/>
      <c r="K196" s="87"/>
      <c r="L196" s="84"/>
      <c r="M196" s="104"/>
      <c r="N196" s="103"/>
      <c r="O196" s="104"/>
      <c r="P196" s="146"/>
      <c r="Q196" s="124"/>
      <c r="R196" s="103"/>
      <c r="S196" s="103"/>
      <c r="T196" s="103"/>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row>
    <row r="197" spans="1:64" ht="15">
      <c r="A197" s="338"/>
      <c r="B197" s="346"/>
      <c r="C197" s="346"/>
      <c r="D197" s="347"/>
      <c r="E197" s="341"/>
      <c r="F197" s="341"/>
      <c r="G197" s="341"/>
      <c r="H197" s="341"/>
      <c r="I197" s="347"/>
      <c r="J197" s="87"/>
      <c r="K197" s="87"/>
      <c r="L197" s="84"/>
      <c r="M197" s="104"/>
      <c r="N197" s="103"/>
      <c r="O197" s="104"/>
      <c r="P197" s="146"/>
      <c r="Q197" s="124"/>
      <c r="R197" s="103"/>
      <c r="S197" s="103"/>
      <c r="T197" s="103"/>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row>
    <row r="198" spans="1:64" ht="15.75">
      <c r="A198" s="406" t="s">
        <v>738</v>
      </c>
      <c r="B198" s="407" t="s">
        <v>739</v>
      </c>
      <c r="C198" s="405"/>
      <c r="D198" s="405"/>
      <c r="E198" s="346"/>
      <c r="F198" s="346"/>
      <c r="G198" s="346"/>
      <c r="H198" s="346"/>
      <c r="I198" s="346"/>
      <c r="J198" s="87"/>
      <c r="K198" s="87"/>
      <c r="L198" s="84"/>
      <c r="M198" s="104"/>
      <c r="N198" s="103"/>
      <c r="O198" s="104"/>
      <c r="P198" s="146"/>
      <c r="Q198" s="124"/>
      <c r="R198" s="103"/>
      <c r="S198" s="103"/>
      <c r="T198" s="103"/>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row>
    <row r="199" spans="1:64" ht="15.75">
      <c r="A199" s="338"/>
      <c r="B199" s="407" t="s">
        <v>740</v>
      </c>
      <c r="C199" s="405"/>
      <c r="D199" s="405"/>
      <c r="E199" s="405"/>
      <c r="F199" s="405"/>
      <c r="G199" s="405"/>
      <c r="H199" s="405"/>
      <c r="I199" s="405"/>
      <c r="J199" s="87"/>
      <c r="K199" s="87"/>
      <c r="L199" s="84"/>
      <c r="M199" s="104"/>
      <c r="N199" s="103"/>
      <c r="O199" s="104"/>
      <c r="P199" s="146"/>
      <c r="Q199" s="124"/>
      <c r="R199" s="103"/>
      <c r="S199" s="103"/>
      <c r="T199" s="103"/>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row>
    <row r="200" spans="1:64" ht="16.5" thickBot="1">
      <c r="A200" s="338"/>
      <c r="B200" s="407" t="s">
        <v>741</v>
      </c>
      <c r="C200" s="405"/>
      <c r="D200" s="409">
        <v>0</v>
      </c>
      <c r="E200" s="408"/>
      <c r="F200" s="408"/>
      <c r="G200" s="408"/>
      <c r="H200" s="408"/>
      <c r="I200" s="409">
        <v>0</v>
      </c>
      <c r="J200" s="87"/>
      <c r="K200" s="87"/>
      <c r="L200" s="84"/>
      <c r="M200" s="104"/>
      <c r="N200" s="103"/>
      <c r="O200" s="104"/>
      <c r="P200" s="146"/>
      <c r="Q200" s="124"/>
      <c r="R200" s="103"/>
      <c r="S200" s="103"/>
      <c r="T200" s="103"/>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row>
    <row r="201" spans="1:64" ht="15.75" thickBot="1">
      <c r="A201" s="338">
        <v>31</v>
      </c>
      <c r="B201" s="346" t="s">
        <v>639</v>
      </c>
      <c r="C201" s="346"/>
      <c r="D201" s="348">
        <f>D192-D194-D200</f>
        <v>771582.18824981607</v>
      </c>
      <c r="E201" s="346"/>
      <c r="F201" s="346"/>
      <c r="G201" s="346"/>
      <c r="H201" s="346"/>
      <c r="I201" s="348">
        <f>I192-I194-I200</f>
        <v>27012.766436565824</v>
      </c>
      <c r="J201" s="91"/>
      <c r="K201" s="91"/>
      <c r="L201" s="125"/>
      <c r="M201" s="104"/>
      <c r="N201" s="103"/>
      <c r="O201" s="104"/>
      <c r="P201" s="146"/>
      <c r="Q201" s="124"/>
      <c r="R201" s="103"/>
      <c r="S201" s="103"/>
      <c r="T201" s="103"/>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row>
    <row r="202" spans="1:64" ht="15.75" thickTop="1">
      <c r="A202" s="338"/>
      <c r="B202" s="346" t="s">
        <v>640</v>
      </c>
      <c r="C202" s="346"/>
      <c r="D202" s="109"/>
      <c r="E202" s="109"/>
      <c r="F202" s="109"/>
      <c r="G202" s="109"/>
      <c r="H202" s="109"/>
      <c r="I202" s="109"/>
      <c r="J202" s="91"/>
      <c r="K202" s="91"/>
      <c r="L202" s="125"/>
      <c r="M202" s="104"/>
      <c r="N202" s="103"/>
      <c r="O202" s="104"/>
      <c r="P202" s="146"/>
      <c r="Q202" s="124"/>
      <c r="R202" s="103"/>
      <c r="S202" s="103"/>
      <c r="T202" s="103"/>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row>
    <row r="203" spans="1:64" ht="15">
      <c r="A203" s="338"/>
      <c r="B203" s="346"/>
      <c r="C203" s="346"/>
      <c r="D203" s="109"/>
      <c r="E203" s="109"/>
      <c r="F203" s="109"/>
      <c r="G203" s="109"/>
      <c r="H203" s="109"/>
      <c r="I203" s="109"/>
      <c r="J203" s="91"/>
      <c r="K203" s="91"/>
      <c r="L203" s="125"/>
      <c r="M203" s="104"/>
      <c r="N203" s="103"/>
      <c r="O203" s="104"/>
      <c r="P203" s="146"/>
      <c r="Q203" s="124"/>
      <c r="R203" s="103"/>
      <c r="S203" s="103"/>
      <c r="T203" s="103"/>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row>
    <row r="204" spans="1:64" ht="15">
      <c r="A204"/>
      <c r="B204"/>
      <c r="C204"/>
      <c r="D204"/>
      <c r="E204"/>
      <c r="F204"/>
      <c r="G204"/>
      <c r="H204"/>
      <c r="I204"/>
      <c r="J204"/>
      <c r="K204"/>
      <c r="L204" s="125"/>
      <c r="M204" s="104"/>
      <c r="N204" s="103"/>
      <c r="O204" s="104"/>
      <c r="P204" s="146"/>
      <c r="Q204" s="124"/>
      <c r="R204" s="103"/>
      <c r="S204" s="103"/>
      <c r="T204" s="103"/>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row>
    <row r="205" spans="1:64" ht="15">
      <c r="A205"/>
      <c r="B205"/>
      <c r="C205"/>
      <c r="D205"/>
      <c r="E205"/>
      <c r="F205"/>
      <c r="G205"/>
      <c r="H205" s="414" t="str">
        <f>H1</f>
        <v>Attachment O-EIA Non-Levelized Generic</v>
      </c>
      <c r="I205" s="414"/>
      <c r="J205" s="414"/>
      <c r="K205" s="414"/>
      <c r="L205" s="125"/>
      <c r="M205" s="104"/>
      <c r="N205" s="103"/>
      <c r="O205" s="126"/>
      <c r="P205" s="129"/>
      <c r="Q205" s="126"/>
      <c r="R205" s="103"/>
      <c r="S205" s="103"/>
      <c r="T205" s="103"/>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row>
    <row r="206" spans="1:64" ht="15">
      <c r="B206" s="86"/>
      <c r="C206" s="86"/>
      <c r="D206" s="88"/>
      <c r="E206" s="86"/>
      <c r="F206" s="86"/>
      <c r="G206" s="86"/>
      <c r="H206" s="87"/>
      <c r="I206" s="87"/>
      <c r="J206" s="87"/>
      <c r="K206" s="689" t="s">
        <v>296</v>
      </c>
      <c r="L206" s="689"/>
      <c r="M206" s="104"/>
      <c r="N206" s="103"/>
      <c r="O206" s="126"/>
      <c r="P206" s="129"/>
      <c r="Q206" s="126"/>
      <c r="R206" s="103"/>
      <c r="S206" s="103"/>
      <c r="T206" s="103"/>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row>
    <row r="207" spans="1:64" ht="15">
      <c r="A207" s="92"/>
      <c r="B207" s="109"/>
      <c r="C207" s="109"/>
      <c r="D207" s="109"/>
      <c r="E207" s="109"/>
      <c r="F207" s="109"/>
      <c r="G207" s="109"/>
      <c r="H207" s="109"/>
      <c r="I207" s="109"/>
      <c r="J207" s="91"/>
      <c r="K207" s="91"/>
      <c r="L207" s="125"/>
      <c r="M207" s="104"/>
      <c r="N207" s="103"/>
      <c r="O207" s="126"/>
      <c r="P207" s="129"/>
      <c r="Q207" s="126"/>
      <c r="R207" s="103"/>
      <c r="S207" s="103"/>
      <c r="T207" s="103"/>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row>
    <row r="208" spans="1:64" ht="15">
      <c r="A208" s="92"/>
      <c r="B208" s="86" t="str">
        <f>B4</f>
        <v xml:space="preserve">Formula Rate - Non-Levelized </v>
      </c>
      <c r="C208" s="109"/>
      <c r="D208" s="109" t="str">
        <f>D4</f>
        <v xml:space="preserve">   Rate Formula Template</v>
      </c>
      <c r="E208" s="109"/>
      <c r="F208" s="109"/>
      <c r="G208" s="109"/>
      <c r="H208" s="109"/>
      <c r="I208" s="109" t="str">
        <f>I4</f>
        <v>For the 12 months ended 12/31/14</v>
      </c>
      <c r="J208" s="91"/>
      <c r="K208" s="91"/>
      <c r="L208" s="125"/>
      <c r="M208" s="104"/>
      <c r="N208" s="103"/>
      <c r="O208" s="126"/>
      <c r="P208" s="129"/>
      <c r="Q208" s="126"/>
      <c r="R208" s="103"/>
      <c r="S208" s="103"/>
      <c r="T208" s="103"/>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row>
    <row r="209" spans="1:64" ht="15">
      <c r="A209" s="92"/>
      <c r="B209" s="86"/>
      <c r="C209" s="109"/>
      <c r="D209" s="109" t="str">
        <f>D5</f>
        <v>Utilizing EIA Form 412 Data</v>
      </c>
      <c r="E209" s="109"/>
      <c r="F209" s="109"/>
      <c r="G209" s="109"/>
      <c r="H209" s="109"/>
      <c r="I209" s="109"/>
      <c r="J209" s="91"/>
      <c r="K209" s="91"/>
      <c r="L209" s="125"/>
      <c r="M209" s="104"/>
      <c r="N209" s="103"/>
      <c r="O209" s="126"/>
      <c r="P209" s="129"/>
      <c r="Q209" s="126"/>
      <c r="R209" s="103"/>
      <c r="S209" s="103"/>
      <c r="T209" s="103"/>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row>
    <row r="210" spans="1:64" ht="15">
      <c r="A210" s="92"/>
      <c r="B210" s="109"/>
      <c r="C210" s="109"/>
      <c r="D210" s="109"/>
      <c r="E210" s="109"/>
      <c r="F210" s="109"/>
      <c r="G210" s="109"/>
      <c r="H210" s="109"/>
      <c r="I210" s="109"/>
      <c r="J210" s="91"/>
      <c r="K210" s="91"/>
      <c r="L210" s="125"/>
      <c r="M210" s="104"/>
      <c r="N210" s="103"/>
      <c r="O210" s="104"/>
      <c r="P210" s="104"/>
      <c r="Q210" s="104"/>
      <c r="R210" s="103"/>
      <c r="S210" s="103"/>
      <c r="T210" s="103"/>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row>
    <row r="211" spans="1:64" ht="15">
      <c r="A211" s="92"/>
      <c r="C211" s="109"/>
      <c r="D211" s="109" t="str">
        <f>D7</f>
        <v>Mountain Lake</v>
      </c>
      <c r="E211" s="109"/>
      <c r="F211" s="109"/>
      <c r="G211" s="109"/>
      <c r="H211" s="109"/>
      <c r="I211" s="109"/>
      <c r="J211" s="91"/>
      <c r="K211" s="91"/>
      <c r="L211" s="125"/>
      <c r="M211" s="104"/>
      <c r="N211" s="103"/>
      <c r="O211" s="104"/>
      <c r="P211" s="104"/>
      <c r="Q211" s="104"/>
      <c r="R211" s="103"/>
      <c r="S211" s="103"/>
      <c r="T211" s="103"/>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row>
    <row r="212" spans="1:64" ht="15">
      <c r="A212" s="92" t="s">
        <v>168</v>
      </c>
      <c r="C212" s="86" t="s">
        <v>157</v>
      </c>
      <c r="D212" s="86"/>
      <c r="E212" s="86"/>
      <c r="F212" s="86"/>
      <c r="G212" s="86"/>
      <c r="H212" s="86"/>
      <c r="I212" s="86"/>
      <c r="J212" s="86"/>
      <c r="K212" s="86"/>
      <c r="L212" s="123"/>
      <c r="M212" s="104"/>
      <c r="N212" s="103"/>
      <c r="O212" s="104"/>
      <c r="P212" s="104"/>
      <c r="Q212" s="104"/>
      <c r="R212" s="103"/>
      <c r="S212" s="103"/>
      <c r="T212" s="103"/>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row>
    <row r="213" spans="1:64" ht="16.5" thickBot="1">
      <c r="A213" s="96" t="s">
        <v>170</v>
      </c>
      <c r="B213" s="109"/>
      <c r="C213" s="135" t="s">
        <v>297</v>
      </c>
      <c r="E213" s="87"/>
      <c r="F213" s="87"/>
      <c r="G213" s="87"/>
      <c r="H213" s="87"/>
      <c r="I213" s="87"/>
      <c r="J213" s="91"/>
      <c r="K213" s="91"/>
      <c r="L213" s="125"/>
      <c r="M213" s="124"/>
      <c r="N213" s="103"/>
      <c r="O213" s="104"/>
      <c r="P213" s="104"/>
      <c r="Q213" s="104"/>
      <c r="R213" s="103"/>
      <c r="S213" s="103"/>
      <c r="T213" s="103"/>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row>
    <row r="214" spans="1:64" ht="15">
      <c r="A214" s="92"/>
      <c r="B214" s="86" t="s">
        <v>298</v>
      </c>
      <c r="C214" s="87"/>
      <c r="D214" s="87"/>
      <c r="E214" s="87"/>
      <c r="F214" s="87"/>
      <c r="G214" s="87"/>
      <c r="H214" s="87"/>
      <c r="I214" s="87"/>
      <c r="J214" s="91"/>
      <c r="K214" s="91"/>
      <c r="L214" s="125"/>
      <c r="M214" s="124"/>
      <c r="N214" s="103"/>
      <c r="O214" s="126"/>
      <c r="P214" s="129"/>
      <c r="Q214" s="126"/>
      <c r="R214" s="103"/>
      <c r="S214" s="103"/>
      <c r="T214" s="103"/>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row>
    <row r="215" spans="1:64" ht="15">
      <c r="A215" s="92">
        <v>1</v>
      </c>
      <c r="B215" s="87" t="s">
        <v>299</v>
      </c>
      <c r="C215" s="87"/>
      <c r="D215" s="91"/>
      <c r="E215" s="91"/>
      <c r="F215" s="91"/>
      <c r="G215" s="91"/>
      <c r="H215" s="91"/>
      <c r="I215" s="91">
        <f>D84</f>
        <v>449034</v>
      </c>
      <c r="J215" s="91"/>
      <c r="K215" s="91"/>
      <c r="L215" s="125"/>
      <c r="M215" s="124"/>
      <c r="N215" s="103"/>
      <c r="O215" s="126"/>
      <c r="P215" s="126"/>
      <c r="Q215" s="124"/>
      <c r="R215" s="103"/>
      <c r="S215" s="103"/>
      <c r="T215" s="103"/>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row>
    <row r="216" spans="1:64" ht="15">
      <c r="A216" s="92">
        <v>2</v>
      </c>
      <c r="B216" s="87" t="s">
        <v>300</v>
      </c>
      <c r="C216" s="109"/>
      <c r="D216" s="109"/>
      <c r="E216" s="109"/>
      <c r="F216" s="109"/>
      <c r="G216" s="109"/>
      <c r="H216" s="109"/>
      <c r="I216" s="140">
        <v>0</v>
      </c>
      <c r="J216" s="91"/>
      <c r="K216" s="91"/>
      <c r="L216" s="125"/>
      <c r="M216" s="124"/>
      <c r="N216" s="103"/>
      <c r="O216" s="126"/>
      <c r="P216" s="126"/>
      <c r="Q216" s="124"/>
      <c r="R216" s="103"/>
      <c r="S216" s="103"/>
      <c r="T216" s="103"/>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row>
    <row r="217" spans="1:64" ht="15.75" thickBot="1">
      <c r="A217" s="92">
        <v>3</v>
      </c>
      <c r="B217" s="163" t="s">
        <v>301</v>
      </c>
      <c r="C217" s="163"/>
      <c r="D217" s="107"/>
      <c r="E217" s="91"/>
      <c r="F217" s="91"/>
      <c r="G217" s="164"/>
      <c r="H217" s="91"/>
      <c r="I217" s="138">
        <v>0</v>
      </c>
      <c r="J217" s="91"/>
      <c r="K217" s="91"/>
      <c r="L217" s="125"/>
      <c r="M217" s="124"/>
      <c r="N217" s="103"/>
      <c r="O217" s="126"/>
      <c r="P217" s="126"/>
      <c r="Q217" s="124"/>
      <c r="R217" s="103"/>
      <c r="S217" s="103"/>
      <c r="T217" s="103"/>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row>
    <row r="218" spans="1:64" ht="15.75">
      <c r="A218" s="92">
        <v>4</v>
      </c>
      <c r="B218" s="87" t="s">
        <v>302</v>
      </c>
      <c r="C218" s="87"/>
      <c r="D218" s="91"/>
      <c r="E218" s="91"/>
      <c r="F218" s="91"/>
      <c r="G218" s="164"/>
      <c r="H218" s="91"/>
      <c r="I218" s="91">
        <f>I215-I216-I217</f>
        <v>449034</v>
      </c>
      <c r="J218" s="91"/>
      <c r="K218" s="91"/>
      <c r="L218" s="125"/>
      <c r="M218" s="162"/>
      <c r="N218" s="103"/>
      <c r="O218" s="124"/>
      <c r="P218" s="124"/>
      <c r="Q218" s="124"/>
      <c r="R218" s="103"/>
      <c r="S218" s="103"/>
      <c r="T218" s="103"/>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row>
    <row r="219" spans="1:64" ht="15.75">
      <c r="A219" s="92"/>
      <c r="B219" s="109"/>
      <c r="C219" s="87"/>
      <c r="D219" s="91"/>
      <c r="E219" s="91"/>
      <c r="F219" s="91"/>
      <c r="G219" s="164"/>
      <c r="H219" s="91"/>
      <c r="J219" s="91"/>
      <c r="K219" s="91"/>
      <c r="L219" s="125"/>
      <c r="M219" s="162"/>
      <c r="N219" s="103"/>
      <c r="O219" s="104"/>
      <c r="P219" s="126"/>
      <c r="Q219" s="124"/>
      <c r="R219" s="103"/>
      <c r="S219" s="103"/>
      <c r="T219" s="103"/>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row>
    <row r="220" spans="1:64" ht="15">
      <c r="A220" s="92">
        <v>5</v>
      </c>
      <c r="B220" s="87" t="s">
        <v>303</v>
      </c>
      <c r="C220" s="94"/>
      <c r="D220" s="165"/>
      <c r="E220" s="165"/>
      <c r="F220" s="165"/>
      <c r="G220" s="128"/>
      <c r="H220" s="91" t="s">
        <v>304</v>
      </c>
      <c r="I220" s="143">
        <f>IF(I215&gt;0,I218/I215,0)</f>
        <v>1</v>
      </c>
      <c r="J220" s="91"/>
      <c r="K220" s="91"/>
      <c r="L220" s="125"/>
      <c r="M220" s="124"/>
      <c r="N220" s="103"/>
      <c r="O220" s="104"/>
      <c r="P220" s="126"/>
      <c r="Q220" s="124"/>
      <c r="R220" s="103"/>
      <c r="S220" s="103"/>
      <c r="T220" s="103"/>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row>
    <row r="221" spans="1:64" ht="15">
      <c r="J221" s="91"/>
      <c r="K221" s="91"/>
      <c r="L221" s="125"/>
      <c r="M221" s="124"/>
      <c r="N221" s="103"/>
      <c r="O221" s="104"/>
      <c r="P221" s="126"/>
      <c r="Q221" s="124"/>
      <c r="R221" s="103"/>
      <c r="S221" s="103"/>
      <c r="T221" s="103"/>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row>
    <row r="222" spans="1:64" ht="15">
      <c r="B222" s="86" t="s">
        <v>305</v>
      </c>
      <c r="J222" s="91"/>
      <c r="K222" s="91"/>
      <c r="L222" s="125"/>
      <c r="M222" s="124"/>
      <c r="N222" s="103"/>
      <c r="O222" s="104"/>
      <c r="P222" s="126"/>
      <c r="Q222" s="124"/>
      <c r="R222" s="103"/>
      <c r="S222" s="103"/>
      <c r="T222" s="103"/>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row>
    <row r="223" spans="1:64" ht="15">
      <c r="A223" s="92">
        <v>6</v>
      </c>
      <c r="B223" s="109" t="s">
        <v>306</v>
      </c>
      <c r="C223" s="109"/>
      <c r="D223" s="87"/>
      <c r="E223" s="87"/>
      <c r="F223" s="87"/>
      <c r="G223" s="89"/>
      <c r="H223" s="87"/>
      <c r="I223" s="91">
        <f>D149</f>
        <v>3804.21</v>
      </c>
      <c r="J223" s="91"/>
      <c r="K223" s="91"/>
      <c r="L223" s="125"/>
      <c r="M223" s="124"/>
      <c r="N223" s="103"/>
      <c r="O223" s="104"/>
      <c r="P223" s="126"/>
      <c r="Q223" s="124"/>
      <c r="R223" s="103"/>
      <c r="S223" s="103"/>
      <c r="T223" s="103"/>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row>
    <row r="224" spans="1:64" ht="15.75" thickBot="1">
      <c r="A224" s="92">
        <v>7</v>
      </c>
      <c r="B224" s="163" t="s">
        <v>307</v>
      </c>
      <c r="C224" s="163"/>
      <c r="D224" s="107"/>
      <c r="E224" s="107"/>
      <c r="F224" s="91"/>
      <c r="G224" s="91"/>
      <c r="H224" s="91"/>
      <c r="I224" s="138">
        <v>0</v>
      </c>
      <c r="J224" s="91"/>
      <c r="K224" s="91"/>
      <c r="L224" s="125"/>
      <c r="M224" s="124"/>
      <c r="N224" s="103"/>
      <c r="O224" s="104"/>
      <c r="P224" s="126"/>
      <c r="Q224" s="124"/>
      <c r="R224" s="103"/>
      <c r="S224" s="103"/>
      <c r="T224" s="103"/>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row>
    <row r="225" spans="1:64" ht="15">
      <c r="A225" s="92">
        <v>8</v>
      </c>
      <c r="B225" s="87" t="s">
        <v>686</v>
      </c>
      <c r="C225" s="94"/>
      <c r="D225" s="165"/>
      <c r="E225" s="165"/>
      <c r="F225" s="165"/>
      <c r="G225" s="128"/>
      <c r="H225" s="165"/>
      <c r="I225" s="91">
        <f>+I223-I224</f>
        <v>3804.21</v>
      </c>
      <c r="J225" s="91"/>
      <c r="K225" s="91"/>
      <c r="L225" s="125"/>
      <c r="M225" s="124"/>
      <c r="N225" s="103"/>
      <c r="O225" s="104"/>
      <c r="P225" s="126"/>
      <c r="Q225" s="124"/>
      <c r="R225" s="103"/>
      <c r="S225" s="103"/>
      <c r="T225" s="103"/>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row>
    <row r="226" spans="1:64" ht="15">
      <c r="A226" s="92"/>
      <c r="B226" s="87"/>
      <c r="C226" s="87"/>
      <c r="D226" s="91"/>
      <c r="E226" s="91"/>
      <c r="F226" s="91"/>
      <c r="G226" s="91"/>
      <c r="H226" s="109"/>
      <c r="J226" s="91"/>
      <c r="K226" s="91"/>
      <c r="L226" s="125"/>
      <c r="M226" s="102"/>
      <c r="N226" s="102"/>
      <c r="O226" s="104"/>
      <c r="P226" s="126"/>
      <c r="Q226" s="124"/>
      <c r="R226" s="103"/>
      <c r="S226" s="103"/>
      <c r="T226" s="103"/>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row>
    <row r="227" spans="1:64" ht="15">
      <c r="A227" s="92">
        <v>9</v>
      </c>
      <c r="B227" s="87" t="s">
        <v>308</v>
      </c>
      <c r="C227" s="87"/>
      <c r="D227" s="91"/>
      <c r="E227" s="91"/>
      <c r="F227" s="91"/>
      <c r="G227" s="91"/>
      <c r="H227" s="91"/>
      <c r="I227" s="137">
        <f>IF(I223&gt;0,I225/I223,0)</f>
        <v>1</v>
      </c>
      <c r="J227" s="91"/>
      <c r="K227" s="91"/>
      <c r="L227" s="125"/>
      <c r="M227" s="166"/>
      <c r="N227" s="103"/>
      <c r="O227" s="104"/>
      <c r="P227" s="126"/>
      <c r="Q227" s="124"/>
      <c r="R227" s="103"/>
      <c r="S227" s="103"/>
      <c r="T227" s="103"/>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row>
    <row r="228" spans="1:64" ht="15">
      <c r="A228" s="92">
        <v>10</v>
      </c>
      <c r="B228" s="87" t="s">
        <v>309</v>
      </c>
      <c r="C228" s="87"/>
      <c r="D228" s="91"/>
      <c r="E228" s="91"/>
      <c r="F228" s="91"/>
      <c r="G228" s="91"/>
      <c r="H228" s="87" t="s">
        <v>176</v>
      </c>
      <c r="I228" s="167">
        <f>I220</f>
        <v>1</v>
      </c>
      <c r="J228" s="91"/>
      <c r="K228" s="91"/>
      <c r="L228" s="125"/>
      <c r="M228"/>
      <c r="N228"/>
      <c r="O228"/>
      <c r="P228"/>
      <c r="Q228"/>
      <c r="R228"/>
      <c r="S228"/>
      <c r="T228" s="103"/>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row>
    <row r="229" spans="1:64" ht="15">
      <c r="A229" s="92">
        <v>11</v>
      </c>
      <c r="B229" s="87" t="s">
        <v>310</v>
      </c>
      <c r="C229" s="87"/>
      <c r="D229" s="87"/>
      <c r="E229" s="87"/>
      <c r="F229" s="87"/>
      <c r="G229" s="87"/>
      <c r="H229" s="87" t="s">
        <v>311</v>
      </c>
      <c r="I229" s="168">
        <f>+I228*I227</f>
        <v>1</v>
      </c>
      <c r="J229" s="91"/>
      <c r="K229" s="91"/>
      <c r="L229" s="125"/>
      <c r="M229"/>
      <c r="N229"/>
      <c r="O229"/>
      <c r="P229"/>
      <c r="Q229"/>
      <c r="R229"/>
      <c r="S229"/>
      <c r="T229" s="103"/>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c r="BD229" s="85"/>
      <c r="BE229" s="85"/>
      <c r="BF229" s="85"/>
      <c r="BG229" s="85"/>
      <c r="BH229" s="85"/>
      <c r="BI229" s="85"/>
      <c r="BJ229" s="85"/>
      <c r="BK229" s="85"/>
      <c r="BL229" s="85"/>
    </row>
    <row r="230" spans="1:64" s="418" customFormat="1" ht="15">
      <c r="A230" s="426"/>
      <c r="B230" s="422"/>
      <c r="C230" s="422"/>
      <c r="D230" s="422"/>
      <c r="E230" s="422"/>
      <c r="F230" s="422"/>
      <c r="G230" s="422"/>
      <c r="H230" s="422"/>
      <c r="I230" s="440"/>
      <c r="J230" s="425"/>
      <c r="K230" s="425"/>
      <c r="L230" s="437"/>
      <c r="M230"/>
      <c r="N230"/>
      <c r="O230"/>
      <c r="P230"/>
      <c r="Q230"/>
      <c r="R230"/>
      <c r="S230"/>
      <c r="T230" s="430"/>
      <c r="U230" s="420"/>
      <c r="V230" s="420"/>
      <c r="W230" s="420"/>
      <c r="X230" s="420"/>
      <c r="Y230" s="420"/>
      <c r="Z230" s="420"/>
      <c r="AA230" s="420"/>
      <c r="AB230" s="420"/>
      <c r="AC230" s="420"/>
      <c r="AD230" s="420"/>
      <c r="AE230" s="420"/>
      <c r="AF230" s="420"/>
      <c r="AG230" s="420"/>
      <c r="AH230" s="420"/>
      <c r="AI230" s="420"/>
      <c r="AJ230" s="420"/>
      <c r="AK230" s="420"/>
      <c r="AL230" s="420"/>
      <c r="AM230" s="420"/>
      <c r="AN230" s="420"/>
      <c r="AO230" s="420"/>
      <c r="AP230" s="420"/>
      <c r="AQ230" s="420"/>
      <c r="AR230" s="420"/>
      <c r="AS230" s="420"/>
      <c r="AT230" s="420"/>
      <c r="AU230" s="420"/>
      <c r="AV230" s="420"/>
      <c r="AW230" s="420"/>
      <c r="AX230" s="420"/>
      <c r="AY230" s="420"/>
      <c r="AZ230" s="420"/>
      <c r="BA230" s="420"/>
      <c r="BB230" s="420"/>
      <c r="BC230" s="420"/>
      <c r="BD230" s="420"/>
      <c r="BE230" s="420"/>
      <c r="BF230" s="420"/>
      <c r="BG230" s="420"/>
      <c r="BH230" s="420"/>
      <c r="BI230" s="420"/>
      <c r="BJ230" s="420"/>
      <c r="BK230" s="420"/>
      <c r="BL230" s="420"/>
    </row>
    <row r="231" spans="1:64" ht="15.75" thickBot="1">
      <c r="A231" s="92" t="s">
        <v>157</v>
      </c>
      <c r="B231" s="86" t="s">
        <v>312</v>
      </c>
      <c r="C231" s="107"/>
      <c r="D231" s="169" t="s">
        <v>313</v>
      </c>
      <c r="E231" s="169" t="s">
        <v>176</v>
      </c>
      <c r="F231" s="91"/>
      <c r="G231" s="169" t="s">
        <v>314</v>
      </c>
      <c r="H231" s="91"/>
      <c r="I231" s="91"/>
      <c r="J231" s="91"/>
      <c r="K231" s="91"/>
      <c r="L231" s="125"/>
      <c r="M231"/>
      <c r="N231"/>
      <c r="O231"/>
      <c r="P231"/>
      <c r="Q231"/>
      <c r="R231"/>
      <c r="S231"/>
      <c r="T231" s="103"/>
      <c r="U231" s="85"/>
      <c r="V231" s="85"/>
      <c r="W231" s="85"/>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c r="BH231" s="85"/>
      <c r="BI231" s="85"/>
      <c r="BJ231" s="85"/>
      <c r="BK231" s="85"/>
      <c r="BL231" s="85"/>
    </row>
    <row r="232" spans="1:64" ht="15">
      <c r="A232" s="92">
        <v>12</v>
      </c>
      <c r="B232" s="86" t="s">
        <v>222</v>
      </c>
      <c r="C232" s="91"/>
      <c r="D232" s="140">
        <f>'MLS1_Salary and Wages Allocator'!F7</f>
        <v>31556.07</v>
      </c>
      <c r="E232" s="170">
        <v>0</v>
      </c>
      <c r="F232" s="170"/>
      <c r="G232" s="91">
        <f>D232*E232</f>
        <v>0</v>
      </c>
      <c r="H232" s="91"/>
      <c r="I232" s="91"/>
      <c r="J232" s="91"/>
      <c r="K232" s="91"/>
      <c r="L232" s="125"/>
      <c r="M232"/>
      <c r="N232"/>
      <c r="O232"/>
      <c r="P232"/>
      <c r="Q232"/>
      <c r="R232"/>
      <c r="S232"/>
      <c r="T232" s="103"/>
      <c r="U232" s="85"/>
      <c r="V232" s="85"/>
      <c r="W232" s="85"/>
      <c r="X232" s="85"/>
      <c r="Y232" s="85"/>
      <c r="Z232" s="85"/>
      <c r="AA232" s="85"/>
      <c r="AB232" s="85"/>
      <c r="AC232" s="85"/>
      <c r="AD232" s="85"/>
      <c r="AE232" s="85"/>
      <c r="AF232" s="85"/>
      <c r="AG232" s="85"/>
      <c r="AH232" s="85"/>
      <c r="AI232" s="85"/>
      <c r="AJ232" s="85"/>
      <c r="AK232" s="85"/>
      <c r="AL232" s="85"/>
      <c r="AM232" s="85"/>
      <c r="AN232" s="85"/>
      <c r="AO232" s="85"/>
      <c r="AP232" s="85"/>
      <c r="AQ232" s="85"/>
      <c r="AR232" s="85"/>
      <c r="AS232" s="85"/>
      <c r="AT232" s="85"/>
      <c r="AU232" s="85"/>
      <c r="AV232" s="85"/>
      <c r="AW232" s="85"/>
      <c r="AX232" s="85"/>
      <c r="AY232" s="85"/>
      <c r="AZ232" s="85"/>
      <c r="BA232" s="85"/>
      <c r="BB232" s="85"/>
      <c r="BC232" s="85"/>
      <c r="BD232" s="85"/>
      <c r="BE232" s="85"/>
      <c r="BF232" s="85"/>
      <c r="BG232" s="85"/>
      <c r="BH232" s="85"/>
      <c r="BI232" s="85"/>
      <c r="BJ232" s="85"/>
      <c r="BK232" s="85"/>
      <c r="BL232" s="85"/>
    </row>
    <row r="233" spans="1:64" ht="15">
      <c r="A233" s="92">
        <v>13</v>
      </c>
      <c r="B233" s="86" t="s">
        <v>224</v>
      </c>
      <c r="C233" s="91"/>
      <c r="D233" s="140">
        <f>'MLS1_Salary and Wages Allocator'!F8</f>
        <v>3005.34</v>
      </c>
      <c r="E233" s="170">
        <f>+I220</f>
        <v>1</v>
      </c>
      <c r="F233" s="170"/>
      <c r="G233" s="91">
        <f>D233*E233</f>
        <v>3005.34</v>
      </c>
      <c r="H233" s="91"/>
      <c r="I233" s="91"/>
      <c r="J233" s="91"/>
      <c r="K233" s="91"/>
      <c r="L233" s="84"/>
      <c r="M233"/>
      <c r="N233"/>
      <c r="O233"/>
      <c r="P233"/>
      <c r="Q233"/>
      <c r="R233"/>
      <c r="S233"/>
      <c r="T233" s="103"/>
      <c r="U233" s="85"/>
      <c r="V233" s="85"/>
      <c r="W233" s="85"/>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c r="BD233" s="85"/>
      <c r="BE233" s="85"/>
      <c r="BF233" s="85"/>
      <c r="BG233" s="85"/>
      <c r="BH233" s="85"/>
      <c r="BI233" s="85"/>
      <c r="BJ233" s="85"/>
      <c r="BK233" s="85"/>
      <c r="BL233" s="85"/>
    </row>
    <row r="234" spans="1:64" ht="15">
      <c r="A234" s="92">
        <v>14</v>
      </c>
      <c r="B234" s="86" t="s">
        <v>225</v>
      </c>
      <c r="C234" s="91"/>
      <c r="D234" s="140">
        <f>'MLS1_Salary and Wages Allocator'!F9</f>
        <v>115705.59</v>
      </c>
      <c r="E234" s="170">
        <v>0</v>
      </c>
      <c r="F234" s="170"/>
      <c r="G234" s="91">
        <f>D234*E234</f>
        <v>0</v>
      </c>
      <c r="H234" s="91"/>
      <c r="I234" s="171" t="s">
        <v>315</v>
      </c>
      <c r="J234" s="91"/>
      <c r="K234" s="91"/>
      <c r="L234" s="125"/>
      <c r="M234"/>
      <c r="N234"/>
      <c r="O234"/>
      <c r="P234"/>
      <c r="Q234"/>
      <c r="R234"/>
      <c r="S234"/>
      <c r="T234" s="103"/>
      <c r="U234" s="85"/>
      <c r="V234" s="85"/>
      <c r="W234" s="85"/>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c r="BD234" s="85"/>
      <c r="BE234" s="85"/>
      <c r="BF234" s="85"/>
      <c r="BG234" s="85"/>
      <c r="BH234" s="85"/>
      <c r="BI234" s="85"/>
      <c r="BJ234" s="85"/>
      <c r="BK234" s="85"/>
      <c r="BL234" s="85"/>
    </row>
    <row r="235" spans="1:64" ht="15.75" thickBot="1">
      <c r="A235" s="92">
        <v>15</v>
      </c>
      <c r="B235" s="86" t="s">
        <v>316</v>
      </c>
      <c r="C235" s="91"/>
      <c r="D235" s="138">
        <v>0</v>
      </c>
      <c r="E235" s="170">
        <v>0</v>
      </c>
      <c r="F235" s="170"/>
      <c r="G235" s="107">
        <f>D235*E235</f>
        <v>0</v>
      </c>
      <c r="H235" s="91"/>
      <c r="I235" s="96" t="s">
        <v>317</v>
      </c>
      <c r="J235" s="91"/>
      <c r="K235" s="91"/>
      <c r="L235" s="125"/>
      <c r="M235"/>
      <c r="N235"/>
      <c r="O235"/>
      <c r="P235"/>
      <c r="Q235"/>
      <c r="R235"/>
      <c r="S235"/>
      <c r="T235" s="103"/>
      <c r="U235" s="85"/>
      <c r="V235" s="85"/>
      <c r="W235" s="85"/>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c r="BD235" s="85"/>
      <c r="BE235" s="85"/>
      <c r="BF235" s="85"/>
      <c r="BG235" s="85"/>
      <c r="BH235" s="85"/>
      <c r="BI235" s="85"/>
      <c r="BJ235" s="85"/>
      <c r="BK235" s="85"/>
      <c r="BL235" s="85"/>
    </row>
    <row r="236" spans="1:64" ht="15">
      <c r="A236" s="92">
        <v>16</v>
      </c>
      <c r="B236" s="86" t="s">
        <v>318</v>
      </c>
      <c r="C236" s="91"/>
      <c r="D236" s="91">
        <f>SUM(D232:D235)</f>
        <v>150267</v>
      </c>
      <c r="E236" s="91"/>
      <c r="F236" s="91"/>
      <c r="G236" s="91">
        <f>SUM(G232:G235)</f>
        <v>3005.34</v>
      </c>
      <c r="H236" s="89" t="s">
        <v>319</v>
      </c>
      <c r="I236" s="137">
        <f>IF(G236&gt;0,G233/D236,0)</f>
        <v>0.02</v>
      </c>
      <c r="J236" s="91" t="s">
        <v>320</v>
      </c>
      <c r="K236" s="91" t="s">
        <v>227</v>
      </c>
      <c r="L236" s="125"/>
      <c r="M236"/>
      <c r="N236"/>
      <c r="O236"/>
      <c r="P236"/>
      <c r="Q236"/>
      <c r="R236"/>
      <c r="S236"/>
      <c r="T236" s="103"/>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row>
    <row r="237" spans="1:64" s="418" customFormat="1" ht="15">
      <c r="A237" s="426"/>
      <c r="B237" s="421"/>
      <c r="C237" s="425"/>
      <c r="D237" s="425"/>
      <c r="E237" s="425"/>
      <c r="F237" s="425"/>
      <c r="G237" s="425"/>
      <c r="H237" s="425"/>
      <c r="I237" s="425"/>
      <c r="J237" s="425"/>
      <c r="K237" s="425"/>
      <c r="L237" s="437"/>
      <c r="M237"/>
      <c r="N237"/>
      <c r="O237"/>
      <c r="P237"/>
      <c r="Q237"/>
      <c r="R237"/>
      <c r="S237"/>
      <c r="T237" s="430"/>
      <c r="U237" s="420"/>
      <c r="V237" s="420"/>
      <c r="W237" s="420"/>
      <c r="X237" s="420"/>
      <c r="Y237" s="420"/>
      <c r="Z237" s="420"/>
      <c r="AA237" s="420"/>
      <c r="AB237" s="420"/>
      <c r="AC237" s="420"/>
      <c r="AD237" s="420"/>
      <c r="AE237" s="420"/>
      <c r="AF237" s="420"/>
      <c r="AG237" s="420"/>
      <c r="AH237" s="420"/>
      <c r="AI237" s="420"/>
      <c r="AJ237" s="420"/>
      <c r="AK237" s="420"/>
      <c r="AL237" s="420"/>
      <c r="AM237" s="420"/>
      <c r="AN237" s="420"/>
      <c r="AO237" s="420"/>
      <c r="AP237" s="420"/>
      <c r="AQ237" s="420"/>
      <c r="AR237" s="420"/>
      <c r="AS237" s="420"/>
      <c r="AT237" s="420"/>
      <c r="AU237" s="420"/>
      <c r="AV237" s="420"/>
      <c r="AW237" s="420"/>
      <c r="AX237" s="420"/>
      <c r="AY237" s="420"/>
      <c r="AZ237" s="420"/>
      <c r="BA237" s="420"/>
      <c r="BB237" s="420"/>
      <c r="BC237" s="420"/>
      <c r="BD237" s="420"/>
      <c r="BE237" s="420"/>
      <c r="BF237" s="420"/>
      <c r="BG237" s="420"/>
      <c r="BH237" s="420"/>
      <c r="BI237" s="420"/>
      <c r="BJ237" s="420"/>
      <c r="BK237" s="420"/>
      <c r="BL237" s="420"/>
    </row>
    <row r="238" spans="1:64" ht="15.75">
      <c r="A238" s="92"/>
      <c r="B238" s="86" t="s">
        <v>321</v>
      </c>
      <c r="C238" s="91"/>
      <c r="D238" s="130" t="s">
        <v>313</v>
      </c>
      <c r="E238" s="91"/>
      <c r="F238" s="91"/>
      <c r="G238" s="164" t="s">
        <v>322</v>
      </c>
      <c r="H238" s="156" t="s">
        <v>157</v>
      </c>
      <c r="I238" s="139" t="s">
        <v>323</v>
      </c>
      <c r="J238" s="91"/>
      <c r="K238" s="91"/>
      <c r="L238" s="125"/>
      <c r="M238"/>
      <c r="N238"/>
      <c r="O238"/>
      <c r="P238"/>
      <c r="Q238"/>
      <c r="R238"/>
      <c r="S238"/>
      <c r="T238" s="103"/>
      <c r="U238" s="85"/>
      <c r="V238" s="85"/>
      <c r="W238" s="85"/>
      <c r="X238" s="85"/>
      <c r="Y238" s="85"/>
      <c r="Z238" s="85"/>
      <c r="AA238" s="85"/>
      <c r="AB238" s="85"/>
      <c r="AC238" s="85"/>
      <c r="AD238" s="85"/>
      <c r="AE238" s="85"/>
      <c r="AF238" s="85"/>
      <c r="AG238" s="85"/>
      <c r="AH238" s="85"/>
      <c r="AI238" s="85"/>
      <c r="AJ238" s="85"/>
      <c r="AK238" s="85"/>
      <c r="AL238" s="85"/>
      <c r="AM238" s="85"/>
      <c r="AN238" s="85"/>
      <c r="AO238" s="85"/>
      <c r="AP238" s="85"/>
      <c r="AQ238" s="85"/>
      <c r="AR238" s="85"/>
      <c r="AS238" s="85"/>
      <c r="AT238" s="85"/>
      <c r="AU238" s="85"/>
      <c r="AV238" s="85"/>
      <c r="AW238" s="85"/>
      <c r="AX238" s="85"/>
      <c r="AY238" s="85"/>
      <c r="AZ238" s="85"/>
      <c r="BA238" s="85"/>
      <c r="BB238" s="85"/>
      <c r="BC238" s="85"/>
      <c r="BD238" s="85"/>
      <c r="BE238" s="85"/>
      <c r="BF238" s="85"/>
      <c r="BG238" s="85"/>
      <c r="BH238" s="85"/>
      <c r="BI238" s="85"/>
      <c r="BJ238" s="85"/>
      <c r="BK238" s="85"/>
      <c r="BL238" s="85"/>
    </row>
    <row r="239" spans="1:64" s="418" customFormat="1" ht="15">
      <c r="A239" s="92">
        <v>17</v>
      </c>
      <c r="B239" s="86" t="s">
        <v>324</v>
      </c>
      <c r="C239" s="91"/>
      <c r="D239" s="140">
        <f>D88</f>
        <v>9474491.625</v>
      </c>
      <c r="E239" s="425"/>
      <c r="F239" s="425"/>
      <c r="G239" s="92" t="s">
        <v>325</v>
      </c>
      <c r="H239" s="439"/>
      <c r="I239" s="92" t="s">
        <v>326</v>
      </c>
      <c r="J239" s="91"/>
      <c r="K239" s="89" t="s">
        <v>229</v>
      </c>
      <c r="L239" s="437"/>
      <c r="M239" s="436"/>
      <c r="N239" s="430"/>
      <c r="O239" s="438"/>
      <c r="P239" s="438"/>
      <c r="Q239" s="436"/>
      <c r="R239" s="430"/>
      <c r="S239" s="430"/>
      <c r="T239" s="430"/>
      <c r="U239" s="420"/>
      <c r="V239" s="420"/>
      <c r="W239" s="420"/>
      <c r="X239" s="420"/>
      <c r="Y239" s="420"/>
      <c r="Z239" s="420"/>
      <c r="AA239" s="420"/>
      <c r="AB239" s="420"/>
      <c r="AC239" s="420"/>
      <c r="AD239" s="420"/>
      <c r="AE239" s="420"/>
      <c r="AF239" s="420"/>
      <c r="AG239" s="420"/>
      <c r="AH239" s="420"/>
      <c r="AI239" s="420"/>
      <c r="AJ239" s="420"/>
      <c r="AK239" s="420"/>
      <c r="AL239" s="420"/>
      <c r="AM239" s="420"/>
      <c r="AN239" s="420"/>
      <c r="AO239" s="420"/>
      <c r="AP239" s="420"/>
      <c r="AQ239" s="420"/>
      <c r="AR239" s="420"/>
      <c r="AS239" s="420"/>
      <c r="AT239" s="420"/>
      <c r="AU239" s="420"/>
      <c r="AV239" s="420"/>
      <c r="AW239" s="420"/>
      <c r="AX239" s="420"/>
      <c r="AY239" s="420"/>
      <c r="AZ239" s="420"/>
      <c r="BA239" s="420"/>
      <c r="BB239" s="420"/>
      <c r="BC239" s="420"/>
      <c r="BD239" s="420"/>
      <c r="BE239" s="420"/>
      <c r="BF239" s="420"/>
      <c r="BG239" s="420"/>
      <c r="BH239" s="420"/>
      <c r="BI239" s="420"/>
      <c r="BJ239" s="420"/>
      <c r="BK239" s="420"/>
      <c r="BL239" s="420"/>
    </row>
    <row r="240" spans="1:64" ht="15">
      <c r="A240" s="92">
        <v>18</v>
      </c>
      <c r="B240" s="86" t="s">
        <v>327</v>
      </c>
      <c r="C240" s="91"/>
      <c r="D240" s="140">
        <v>0</v>
      </c>
      <c r="E240" s="91"/>
      <c r="F240" s="109"/>
      <c r="G240" s="101">
        <f>IF(D242&gt;0,D239/D242,0)</f>
        <v>1</v>
      </c>
      <c r="H240" s="164" t="s">
        <v>328</v>
      </c>
      <c r="I240" s="101">
        <f>I236</f>
        <v>0.02</v>
      </c>
      <c r="J240" s="156" t="s">
        <v>319</v>
      </c>
      <c r="K240" s="101">
        <f>I240*G240</f>
        <v>0.02</v>
      </c>
      <c r="L240" s="125"/>
      <c r="M240" s="124"/>
      <c r="N240" s="103"/>
      <c r="O240" s="126" t="s">
        <v>157</v>
      </c>
      <c r="P240" s="126"/>
      <c r="Q240" s="124"/>
      <c r="R240" s="103"/>
      <c r="S240" s="103"/>
      <c r="T240" s="103"/>
      <c r="U240" s="85"/>
      <c r="V240" s="85"/>
      <c r="W240" s="85"/>
      <c r="X240" s="85"/>
      <c r="Y240" s="85"/>
      <c r="Z240" s="85"/>
      <c r="AA240" s="85"/>
      <c r="AB240" s="85"/>
      <c r="AC240" s="85"/>
      <c r="AD240" s="85"/>
      <c r="AE240" s="85"/>
      <c r="AF240" s="85"/>
      <c r="AG240" s="85"/>
      <c r="AH240" s="85"/>
      <c r="AI240" s="85"/>
      <c r="AJ240" s="85"/>
      <c r="AK240" s="85"/>
      <c r="AL240" s="85"/>
      <c r="AM240" s="85"/>
      <c r="AN240" s="85"/>
      <c r="AO240" s="85"/>
      <c r="AP240" s="85"/>
      <c r="AQ240" s="85"/>
      <c r="AR240" s="85"/>
      <c r="AS240" s="85"/>
      <c r="AT240" s="85"/>
      <c r="AU240" s="85"/>
      <c r="AV240" s="85"/>
      <c r="AW240" s="85"/>
      <c r="AX240" s="85"/>
      <c r="AY240" s="85"/>
      <c r="AZ240" s="85"/>
      <c r="BA240" s="85"/>
      <c r="BB240" s="85"/>
      <c r="BC240" s="85"/>
      <c r="BD240" s="85"/>
      <c r="BE240" s="85"/>
      <c r="BF240" s="85"/>
      <c r="BG240" s="85"/>
      <c r="BH240" s="85"/>
      <c r="BI240" s="85"/>
      <c r="BJ240" s="85"/>
      <c r="BK240" s="85"/>
      <c r="BL240" s="85"/>
    </row>
    <row r="241" spans="1:64" ht="15.75" thickBot="1">
      <c r="A241" s="92">
        <v>19</v>
      </c>
      <c r="B241" s="172" t="s">
        <v>329</v>
      </c>
      <c r="C241" s="107"/>
      <c r="D241" s="138">
        <v>0</v>
      </c>
      <c r="E241" s="91"/>
      <c r="F241" s="109"/>
      <c r="L241" s="125"/>
      <c r="M241" s="124"/>
      <c r="N241" s="103"/>
      <c r="O241" s="126" t="s">
        <v>157</v>
      </c>
      <c r="P241" s="126"/>
      <c r="Q241" s="124"/>
      <c r="R241" s="103"/>
      <c r="S241" s="103"/>
      <c r="T241" s="103"/>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c r="BK241" s="85"/>
      <c r="BL241" s="85"/>
    </row>
    <row r="242" spans="1:64" ht="15">
      <c r="A242" s="92">
        <v>20</v>
      </c>
      <c r="B242" s="86" t="s">
        <v>330</v>
      </c>
      <c r="C242" s="91"/>
      <c r="D242" s="91">
        <f>D239+D240+D241</f>
        <v>9474491.625</v>
      </c>
      <c r="E242" s="91"/>
      <c r="F242" s="91"/>
      <c r="G242" s="91" t="s">
        <v>157</v>
      </c>
      <c r="H242" s="91"/>
      <c r="I242" s="91"/>
      <c r="J242" s="91"/>
      <c r="K242" s="91"/>
      <c r="L242" s="125"/>
      <c r="M242" s="124"/>
      <c r="N242" s="103"/>
      <c r="O242" s="126" t="s">
        <v>157</v>
      </c>
      <c r="P242" s="126"/>
      <c r="Q242" s="124"/>
      <c r="R242" s="103"/>
      <c r="S242" s="103"/>
      <c r="T242" s="103"/>
      <c r="U242" s="85"/>
      <c r="V242" s="85"/>
      <c r="W242" s="85"/>
      <c r="X242" s="85"/>
      <c r="Y242" s="85"/>
      <c r="Z242" s="85"/>
      <c r="AA242" s="85"/>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c r="BD242" s="85"/>
      <c r="BE242" s="85"/>
      <c r="BF242" s="85"/>
      <c r="BG242" s="85"/>
      <c r="BH242" s="85"/>
      <c r="BI242" s="85"/>
      <c r="BJ242" s="85"/>
      <c r="BK242" s="85"/>
      <c r="BL242" s="85"/>
    </row>
    <row r="243" spans="1:64" ht="15">
      <c r="E243" s="91"/>
      <c r="F243" s="91"/>
      <c r="G243" s="91"/>
      <c r="H243" s="91"/>
      <c r="I243" s="91"/>
      <c r="J243" s="91"/>
      <c r="K243" s="91"/>
      <c r="L243" s="125"/>
      <c r="M243" s="124"/>
      <c r="N243" s="103"/>
      <c r="O243" s="126" t="s">
        <v>157</v>
      </c>
      <c r="P243" s="126"/>
      <c r="Q243" s="124"/>
      <c r="R243" s="103"/>
      <c r="S243" s="103"/>
      <c r="T243" s="103"/>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c r="BH243" s="85"/>
      <c r="BI243" s="85"/>
      <c r="BJ243" s="85"/>
      <c r="BK243" s="85"/>
      <c r="BL243" s="85"/>
    </row>
    <row r="244" spans="1:64" ht="15.75" thickBot="1">
      <c r="A244" s="92"/>
      <c r="B244" s="86" t="s">
        <v>331</v>
      </c>
      <c r="C244" s="91"/>
      <c r="D244" s="169" t="s">
        <v>313</v>
      </c>
      <c r="E244" s="91"/>
      <c r="F244" s="91"/>
      <c r="G244" s="91"/>
      <c r="H244" s="91"/>
      <c r="J244" s="91"/>
      <c r="K244" s="91"/>
      <c r="L244" s="125"/>
      <c r="M244" s="124"/>
      <c r="N244" s="103"/>
      <c r="O244" s="126"/>
      <c r="P244" s="126"/>
      <c r="Q244" s="124"/>
      <c r="R244" s="103"/>
      <c r="S244" s="103"/>
      <c r="T244" s="103"/>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c r="BD244" s="85"/>
      <c r="BE244" s="85"/>
      <c r="BF244" s="85"/>
      <c r="BG244" s="85"/>
      <c r="BH244" s="85"/>
      <c r="BI244" s="85"/>
      <c r="BJ244" s="85"/>
      <c r="BK244" s="85"/>
      <c r="BL244" s="85"/>
    </row>
    <row r="245" spans="1:64" ht="15">
      <c r="A245" s="92">
        <v>21</v>
      </c>
      <c r="B245" s="91" t="s">
        <v>332</v>
      </c>
      <c r="C245" s="75" t="s">
        <v>687</v>
      </c>
      <c r="D245" s="173">
        <f>'EIA412 INCOME STATEMENT'!C23</f>
        <v>39413</v>
      </c>
      <c r="E245" s="91"/>
      <c r="F245" s="91"/>
      <c r="G245" s="91"/>
      <c r="H245" s="91"/>
      <c r="I245" s="91"/>
      <c r="J245" s="91"/>
      <c r="K245" s="91"/>
      <c r="L245" s="125"/>
      <c r="M245" s="124"/>
      <c r="N245" s="103"/>
      <c r="O245" s="126"/>
      <c r="P245" s="126"/>
      <c r="Q245" s="124"/>
      <c r="R245" s="103"/>
      <c r="S245" s="103"/>
      <c r="T245" s="103"/>
      <c r="U245" s="85"/>
      <c r="V245" s="85"/>
      <c r="W245" s="85"/>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c r="BD245" s="85"/>
      <c r="BE245" s="85"/>
      <c r="BF245" s="85"/>
      <c r="BG245" s="85"/>
      <c r="BH245" s="85"/>
      <c r="BI245" s="85"/>
      <c r="BJ245" s="85"/>
      <c r="BK245" s="85"/>
      <c r="BL245" s="85"/>
    </row>
    <row r="246" spans="1:64" ht="15">
      <c r="A246" s="92"/>
      <c r="B246" s="86"/>
      <c r="D246" s="91"/>
      <c r="E246" s="91"/>
      <c r="F246" s="91"/>
      <c r="G246" s="164" t="s">
        <v>333</v>
      </c>
      <c r="H246" s="91"/>
      <c r="I246" s="91"/>
      <c r="J246" s="91"/>
      <c r="K246" s="91"/>
      <c r="L246" s="125"/>
      <c r="M246" s="124"/>
      <c r="N246" s="103"/>
      <c r="O246" s="126"/>
      <c r="P246" s="126"/>
      <c r="Q246" s="124"/>
      <c r="R246" s="103"/>
      <c r="S246" s="103"/>
      <c r="T246" s="103"/>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c r="BK246" s="85"/>
      <c r="BL246" s="85"/>
    </row>
    <row r="247" spans="1:64" ht="15.75" thickBot="1">
      <c r="A247" s="92"/>
      <c r="B247" s="86"/>
      <c r="C247" s="75"/>
      <c r="D247" s="97" t="s">
        <v>313</v>
      </c>
      <c r="E247" s="97" t="s">
        <v>334</v>
      </c>
      <c r="F247" s="91"/>
      <c r="G247" s="97" t="s">
        <v>335</v>
      </c>
      <c r="H247" s="91"/>
      <c r="I247" s="97" t="s">
        <v>336</v>
      </c>
      <c r="J247" s="91"/>
      <c r="K247" s="91"/>
      <c r="L247" s="125"/>
      <c r="M247" s="124"/>
      <c r="N247" s="103"/>
      <c r="O247" s="126"/>
      <c r="P247" s="126"/>
      <c r="Q247" s="124"/>
      <c r="R247" s="103"/>
      <c r="S247" s="103"/>
      <c r="T247" s="103"/>
      <c r="U247" s="85"/>
      <c r="V247" s="85"/>
      <c r="W247" s="85"/>
      <c r="X247" s="85"/>
      <c r="Y247" s="85"/>
      <c r="Z247" s="85"/>
      <c r="AA247" s="85"/>
      <c r="AB247" s="85"/>
      <c r="AC247" s="85"/>
      <c r="AD247" s="85"/>
      <c r="AE247" s="85"/>
      <c r="AF247" s="85"/>
      <c r="AG247" s="85"/>
      <c r="AH247" s="85"/>
      <c r="AI247" s="85"/>
      <c r="AJ247" s="85"/>
      <c r="AK247" s="85"/>
      <c r="AL247" s="85"/>
      <c r="AM247" s="85"/>
      <c r="AN247" s="85"/>
      <c r="AO247" s="85"/>
      <c r="AP247" s="85"/>
      <c r="AQ247" s="85"/>
      <c r="AR247" s="85"/>
      <c r="AS247" s="85"/>
      <c r="AT247" s="85"/>
      <c r="AU247" s="85"/>
      <c r="AV247" s="85"/>
      <c r="AW247" s="85"/>
      <c r="AX247" s="85"/>
      <c r="AY247" s="85"/>
      <c r="AZ247" s="85"/>
      <c r="BA247" s="85"/>
      <c r="BB247" s="85"/>
      <c r="BC247" s="85"/>
      <c r="BD247" s="85"/>
      <c r="BE247" s="85"/>
      <c r="BF247" s="85"/>
      <c r="BG247" s="85"/>
      <c r="BH247" s="85"/>
      <c r="BI247" s="85"/>
      <c r="BJ247" s="85"/>
      <c r="BK247" s="85"/>
      <c r="BL247" s="85"/>
    </row>
    <row r="248" spans="1:64" ht="15">
      <c r="A248" s="92">
        <v>22</v>
      </c>
      <c r="B248" s="86" t="s">
        <v>337</v>
      </c>
      <c r="C248" s="84" t="s">
        <v>688</v>
      </c>
      <c r="D248" s="140">
        <f>'EIA412 BALANCE SHEET'!F32</f>
        <v>2033489</v>
      </c>
      <c r="E248" s="174">
        <f>D248/D250</f>
        <v>0.3321367525555558</v>
      </c>
      <c r="F248" s="175"/>
      <c r="G248" s="176">
        <f>IF(D248&gt;0,D245/D248,0)</f>
        <v>1.9381958791023703E-2</v>
      </c>
      <c r="I248" s="175">
        <f>G248*E248</f>
        <v>6.4374608510162192E-3</v>
      </c>
      <c r="J248" s="177" t="s">
        <v>338</v>
      </c>
      <c r="L248" s="125"/>
      <c r="M248" s="124"/>
      <c r="N248" s="103"/>
      <c r="O248" s="126"/>
      <c r="P248" s="126"/>
      <c r="Q248" s="124"/>
      <c r="R248" s="103"/>
      <c r="S248" s="103"/>
      <c r="T248" s="103"/>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c r="AY248" s="85"/>
      <c r="AZ248" s="85"/>
      <c r="BA248" s="85"/>
      <c r="BB248" s="85"/>
      <c r="BC248" s="85"/>
      <c r="BD248" s="85"/>
      <c r="BE248" s="85"/>
      <c r="BF248" s="85"/>
      <c r="BG248" s="85"/>
      <c r="BH248" s="85"/>
      <c r="BI248" s="85"/>
      <c r="BJ248" s="85"/>
      <c r="BK248" s="85"/>
      <c r="BL248" s="85"/>
    </row>
    <row r="249" spans="1:64" ht="15.75" thickBot="1">
      <c r="A249" s="92">
        <v>23</v>
      </c>
      <c r="B249" s="86" t="s">
        <v>339</v>
      </c>
      <c r="C249" s="84" t="s">
        <v>689</v>
      </c>
      <c r="D249" s="138">
        <f>'EIA412 BALANCE SHEET'!F15</f>
        <v>4088956</v>
      </c>
      <c r="E249" s="174">
        <f>D249/D250</f>
        <v>0.66786324744444414</v>
      </c>
      <c r="F249" s="175"/>
      <c r="G249" s="178">
        <f>I252</f>
        <v>0.12379999999999999</v>
      </c>
      <c r="I249" s="179">
        <f>G249*E249</f>
        <v>8.2681470033622181E-2</v>
      </c>
      <c r="J249" s="91"/>
      <c r="L249" s="125"/>
      <c r="M249" s="124"/>
      <c r="N249" s="103"/>
      <c r="O249" s="126"/>
      <c r="P249" s="126"/>
      <c r="Q249" s="124"/>
      <c r="R249" s="103"/>
      <c r="S249" s="103"/>
      <c r="T249" s="103"/>
      <c r="U249" s="85"/>
      <c r="V249" s="85"/>
      <c r="W249" s="85"/>
      <c r="X249" s="85"/>
      <c r="Y249" s="85"/>
      <c r="Z249" s="85"/>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c r="AY249" s="85"/>
      <c r="AZ249" s="85"/>
      <c r="BA249" s="85"/>
      <c r="BB249" s="85"/>
      <c r="BC249" s="85"/>
      <c r="BD249" s="85"/>
      <c r="BE249" s="85"/>
      <c r="BF249" s="85"/>
      <c r="BG249" s="85"/>
      <c r="BH249" s="85"/>
      <c r="BI249" s="85"/>
      <c r="BJ249" s="85"/>
      <c r="BK249" s="85"/>
      <c r="BL249" s="85"/>
    </row>
    <row r="250" spans="1:64" ht="15">
      <c r="A250" s="92">
        <v>24</v>
      </c>
      <c r="B250" s="86" t="s">
        <v>340</v>
      </c>
      <c r="C250" s="75"/>
      <c r="D250" s="91">
        <f>SUM(D248:D249)</f>
        <v>6122445</v>
      </c>
      <c r="E250" s="174">
        <f>SUM(E248:E249)</f>
        <v>1</v>
      </c>
      <c r="F250" s="175"/>
      <c r="G250" s="175"/>
      <c r="I250" s="175">
        <f>SUM(I248:I249)</f>
        <v>8.9118930884638403E-2</v>
      </c>
      <c r="J250" s="177" t="s">
        <v>341</v>
      </c>
      <c r="L250" s="125"/>
      <c r="M250" s="124"/>
      <c r="N250" s="103"/>
      <c r="O250" s="126"/>
      <c r="P250" s="126"/>
      <c r="Q250" s="124"/>
      <c r="R250" s="103"/>
      <c r="S250" s="103"/>
      <c r="T250" s="103"/>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c r="BD250" s="85"/>
      <c r="BE250" s="85"/>
      <c r="BF250" s="85"/>
      <c r="BG250" s="85"/>
      <c r="BH250" s="85"/>
      <c r="BI250" s="85"/>
      <c r="BJ250" s="85"/>
      <c r="BK250" s="85"/>
      <c r="BL250" s="85"/>
    </row>
    <row r="251" spans="1:64" ht="15">
      <c r="A251" s="92" t="s">
        <v>157</v>
      </c>
      <c r="B251" s="86"/>
      <c r="D251" s="91"/>
      <c r="E251" s="91" t="s">
        <v>157</v>
      </c>
      <c r="F251" s="91"/>
      <c r="G251" s="91"/>
      <c r="H251" s="91"/>
      <c r="I251" s="175"/>
      <c r="L251" s="125"/>
      <c r="M251" s="124"/>
      <c r="N251" s="103"/>
      <c r="O251" s="126"/>
      <c r="P251" s="126"/>
      <c r="Q251" s="124"/>
      <c r="R251" s="103"/>
      <c r="S251" s="103"/>
      <c r="T251" s="103"/>
      <c r="U251" s="85"/>
      <c r="V251" s="85"/>
      <c r="W251" s="85"/>
      <c r="X251" s="85"/>
      <c r="Y251" s="85"/>
      <c r="Z251" s="85"/>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5"/>
      <c r="AY251" s="85"/>
      <c r="AZ251" s="85"/>
      <c r="BA251" s="85"/>
      <c r="BB251" s="85"/>
      <c r="BC251" s="85"/>
      <c r="BD251" s="85"/>
      <c r="BE251" s="85"/>
      <c r="BF251" s="85"/>
      <c r="BG251" s="85"/>
      <c r="BH251" s="85"/>
      <c r="BI251" s="85"/>
      <c r="BJ251" s="85"/>
      <c r="BK251" s="85"/>
      <c r="BL251" s="85"/>
    </row>
    <row r="252" spans="1:64" ht="15">
      <c r="A252" s="92">
        <v>25</v>
      </c>
      <c r="D252" s="83" t="s">
        <v>342</v>
      </c>
      <c r="E252" s="91"/>
      <c r="F252" s="91"/>
      <c r="G252" s="91"/>
      <c r="H252" s="91"/>
      <c r="I252" s="180">
        <v>0.12379999999999999</v>
      </c>
      <c r="L252" s="125"/>
      <c r="M252" s="124"/>
      <c r="N252" s="103"/>
      <c r="O252" s="126"/>
      <c r="P252" s="126"/>
      <c r="Q252" s="124"/>
      <c r="R252" s="103"/>
      <c r="S252" s="103"/>
      <c r="T252" s="103"/>
      <c r="U252" s="85"/>
      <c r="V252" s="85"/>
      <c r="W252" s="85"/>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c r="BH252" s="85"/>
      <c r="BI252" s="85"/>
      <c r="BJ252" s="85"/>
      <c r="BK252" s="85"/>
      <c r="BL252" s="85"/>
    </row>
    <row r="253" spans="1:64" ht="15">
      <c r="A253" s="92">
        <v>26</v>
      </c>
      <c r="B253" s="109"/>
      <c r="D253" s="109"/>
      <c r="E253" s="109"/>
      <c r="F253" s="109"/>
      <c r="G253" s="109" t="s">
        <v>343</v>
      </c>
      <c r="H253" s="109"/>
      <c r="I253" s="170">
        <f>IF(G248&gt;0,I250/G248,0)</f>
        <v>4.5980353093058755</v>
      </c>
      <c r="J253" s="109"/>
      <c r="K253" s="91"/>
      <c r="L253" s="125"/>
      <c r="M253" s="124"/>
      <c r="N253" s="103"/>
      <c r="O253" s="126"/>
      <c r="P253" s="126"/>
      <c r="Q253" s="124"/>
      <c r="R253" s="103"/>
      <c r="S253" s="103"/>
      <c r="T253" s="103"/>
      <c r="U253" s="85"/>
      <c r="V253" s="85"/>
      <c r="W253" s="85"/>
      <c r="X253" s="85"/>
      <c r="Y253" s="85"/>
      <c r="Z253" s="85"/>
      <c r="AA253" s="85"/>
      <c r="AB253" s="85"/>
      <c r="AC253" s="85"/>
      <c r="AD253" s="85"/>
      <c r="AE253" s="85"/>
      <c r="AF253" s="85"/>
      <c r="AG253" s="85"/>
      <c r="AH253" s="85"/>
      <c r="AI253" s="85"/>
      <c r="AJ253" s="85"/>
      <c r="AK253" s="85"/>
      <c r="AL253" s="85"/>
      <c r="AM253" s="85"/>
      <c r="AN253" s="85"/>
      <c r="AO253" s="85"/>
      <c r="AP253" s="85"/>
      <c r="AQ253" s="85"/>
      <c r="AR253" s="85"/>
      <c r="AS253" s="85"/>
      <c r="AT253" s="85"/>
      <c r="AU253" s="85"/>
      <c r="AV253" s="85"/>
      <c r="AW253" s="85"/>
      <c r="AX253" s="85"/>
      <c r="AY253" s="85"/>
      <c r="AZ253" s="85"/>
      <c r="BA253" s="85"/>
      <c r="BB253" s="85"/>
      <c r="BC253" s="85"/>
      <c r="BD253" s="85"/>
      <c r="BE253" s="85"/>
      <c r="BF253" s="85"/>
      <c r="BG253" s="85"/>
      <c r="BH253" s="85"/>
      <c r="BI253" s="85"/>
      <c r="BJ253" s="85"/>
      <c r="BK253" s="85"/>
      <c r="BL253" s="85"/>
    </row>
    <row r="254" spans="1:64" ht="15">
      <c r="A254" s="92"/>
      <c r="B254" s="86" t="s">
        <v>344</v>
      </c>
      <c r="C254" s="87"/>
      <c r="D254" s="87"/>
      <c r="E254" s="87"/>
      <c r="F254" s="87"/>
      <c r="G254" s="87"/>
      <c r="H254" s="87"/>
      <c r="I254" s="87"/>
      <c r="J254" s="87"/>
      <c r="K254" s="87"/>
      <c r="L254" s="91"/>
      <c r="M254" s="124"/>
      <c r="N254" s="103"/>
      <c r="O254" s="126"/>
      <c r="P254" s="126"/>
      <c r="Q254" s="124"/>
      <c r="R254" s="103"/>
      <c r="S254" s="103"/>
      <c r="T254" s="103"/>
      <c r="U254" s="85"/>
      <c r="V254" s="85"/>
      <c r="W254" s="85"/>
      <c r="X254" s="85"/>
      <c r="Y254" s="85"/>
      <c r="Z254" s="85"/>
      <c r="AA254" s="85"/>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c r="BD254" s="85"/>
      <c r="BE254" s="85"/>
      <c r="BF254" s="85"/>
      <c r="BG254" s="85"/>
      <c r="BH254" s="85"/>
      <c r="BI254" s="85"/>
      <c r="BJ254" s="85"/>
      <c r="BK254" s="85"/>
      <c r="BL254" s="85"/>
    </row>
    <row r="255" spans="1:64" ht="15.75" thickBot="1">
      <c r="A255" s="92"/>
      <c r="B255" s="86"/>
      <c r="C255" s="86"/>
      <c r="D255" s="86"/>
      <c r="E255" s="86"/>
      <c r="F255" s="86"/>
      <c r="G255" s="86"/>
      <c r="H255" s="86"/>
      <c r="I255" s="97" t="s">
        <v>345</v>
      </c>
      <c r="J255" s="86"/>
      <c r="K255" s="86"/>
      <c r="L255" s="86"/>
      <c r="M255" s="124"/>
      <c r="N255" s="103"/>
      <c r="O255" s="126"/>
      <c r="P255" s="126"/>
      <c r="Q255" s="124"/>
      <c r="R255" s="103"/>
      <c r="S255" s="103"/>
      <c r="T255" s="103"/>
      <c r="U255" s="85"/>
      <c r="V255" s="85"/>
      <c r="W255" s="85"/>
      <c r="X255" s="85"/>
      <c r="Y255" s="85"/>
      <c r="Z255" s="85"/>
      <c r="AA255" s="85"/>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5"/>
      <c r="AX255" s="85"/>
      <c r="AY255" s="85"/>
      <c r="AZ255" s="85"/>
      <c r="BA255" s="85"/>
      <c r="BB255" s="85"/>
      <c r="BC255" s="85"/>
      <c r="BD255" s="85"/>
      <c r="BE255" s="85"/>
      <c r="BF255" s="85"/>
      <c r="BG255" s="85"/>
      <c r="BH255" s="85"/>
      <c r="BI255" s="85"/>
      <c r="BJ255" s="85"/>
      <c r="BK255" s="85"/>
      <c r="BL255" s="85"/>
    </row>
    <row r="256" spans="1:64" ht="15">
      <c r="A256" s="92"/>
      <c r="B256" s="86" t="s">
        <v>346</v>
      </c>
      <c r="C256" s="87"/>
      <c r="D256" s="87"/>
      <c r="E256" s="87"/>
      <c r="F256" s="87"/>
      <c r="G256" s="111" t="s">
        <v>157</v>
      </c>
      <c r="H256" s="183"/>
      <c r="I256" s="184"/>
      <c r="J256" s="86"/>
      <c r="K256" s="86"/>
      <c r="L256" s="86"/>
      <c r="M256" s="124"/>
      <c r="N256" s="103"/>
      <c r="O256" s="126"/>
      <c r="P256" s="126"/>
      <c r="Q256" s="124"/>
      <c r="R256" s="103"/>
      <c r="S256" s="103"/>
      <c r="T256" s="103"/>
      <c r="U256" s="85"/>
      <c r="V256" s="85"/>
      <c r="W256" s="85"/>
      <c r="X256" s="85"/>
      <c r="Y256" s="85"/>
      <c r="Z256" s="85"/>
      <c r="AA256" s="85"/>
      <c r="AB256" s="85"/>
      <c r="AC256" s="85"/>
      <c r="AD256" s="85"/>
      <c r="AE256" s="85"/>
      <c r="AF256" s="85"/>
      <c r="AG256" s="85"/>
      <c r="AH256" s="85"/>
      <c r="AI256" s="85"/>
      <c r="AJ256" s="85"/>
      <c r="AK256" s="85"/>
      <c r="AL256" s="85"/>
      <c r="AM256" s="85"/>
      <c r="AN256" s="85"/>
      <c r="AO256" s="85"/>
      <c r="AP256" s="85"/>
      <c r="AQ256" s="85"/>
      <c r="AR256" s="85"/>
      <c r="AS256" s="85"/>
      <c r="AT256" s="85"/>
      <c r="AU256" s="85"/>
      <c r="AV256" s="85"/>
      <c r="AW256" s="85"/>
      <c r="AX256" s="85"/>
      <c r="AY256" s="85"/>
      <c r="AZ256" s="85"/>
      <c r="BA256" s="85"/>
      <c r="BB256" s="85"/>
      <c r="BC256" s="85"/>
      <c r="BD256" s="85"/>
      <c r="BE256" s="85"/>
      <c r="BF256" s="85"/>
      <c r="BG256" s="85"/>
      <c r="BH256" s="85"/>
      <c r="BI256" s="85"/>
      <c r="BJ256" s="85"/>
      <c r="BK256" s="85"/>
      <c r="BL256" s="85"/>
    </row>
    <row r="257" spans="1:64" ht="15">
      <c r="A257" s="92">
        <v>27</v>
      </c>
      <c r="B257" s="83" t="s">
        <v>347</v>
      </c>
      <c r="C257" s="87"/>
      <c r="D257" s="87"/>
      <c r="E257" s="87" t="s">
        <v>348</v>
      </c>
      <c r="F257" s="87"/>
      <c r="G257" s="109"/>
      <c r="H257" s="183"/>
      <c r="I257" s="185">
        <v>0</v>
      </c>
      <c r="J257" s="86"/>
      <c r="K257" s="86"/>
      <c r="L257" s="86"/>
      <c r="M257" s="124"/>
      <c r="N257" s="103"/>
      <c r="O257" s="126"/>
      <c r="P257" s="126"/>
      <c r="Q257" s="124"/>
      <c r="R257" s="103"/>
      <c r="S257" s="103"/>
      <c r="T257" s="103"/>
      <c r="U257" s="85"/>
      <c r="V257" s="85"/>
      <c r="W257" s="85"/>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c r="BD257" s="85"/>
      <c r="BE257" s="85"/>
      <c r="BF257" s="85"/>
      <c r="BG257" s="85"/>
      <c r="BH257" s="85"/>
      <c r="BI257" s="85"/>
      <c r="BJ257" s="85"/>
      <c r="BK257" s="85"/>
      <c r="BL257" s="85"/>
    </row>
    <row r="258" spans="1:64" ht="15.75" thickBot="1">
      <c r="A258" s="92">
        <v>28</v>
      </c>
      <c r="B258" s="186" t="s">
        <v>349</v>
      </c>
      <c r="C258" s="163"/>
      <c r="D258" s="186"/>
      <c r="E258" s="163"/>
      <c r="F258" s="163"/>
      <c r="G258" s="163"/>
      <c r="H258" s="87"/>
      <c r="I258" s="187">
        <v>0</v>
      </c>
      <c r="J258" s="86"/>
      <c r="K258" s="86"/>
      <c r="L258" s="86"/>
      <c r="M258" s="124"/>
      <c r="N258" s="103"/>
      <c r="O258" s="126"/>
      <c r="P258" s="126"/>
      <c r="Q258" s="124"/>
      <c r="R258" s="103"/>
      <c r="S258" s="103"/>
      <c r="T258" s="103"/>
      <c r="U258" s="85"/>
      <c r="V258" s="85"/>
      <c r="W258" s="85"/>
      <c r="X258" s="85"/>
      <c r="Y258" s="85"/>
      <c r="Z258" s="85"/>
      <c r="AA258" s="85"/>
      <c r="AB258" s="85"/>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5"/>
      <c r="AY258" s="85"/>
      <c r="AZ258" s="85"/>
      <c r="BA258" s="85"/>
      <c r="BB258" s="85"/>
      <c r="BC258" s="85"/>
      <c r="BD258" s="85"/>
      <c r="BE258" s="85"/>
      <c r="BF258" s="85"/>
      <c r="BG258" s="85"/>
      <c r="BH258" s="85"/>
      <c r="BI258" s="85"/>
      <c r="BJ258" s="85"/>
      <c r="BK258" s="85"/>
      <c r="BL258" s="85"/>
    </row>
    <row r="259" spans="1:64" ht="15">
      <c r="A259" s="92">
        <v>29</v>
      </c>
      <c r="B259" s="109" t="s">
        <v>350</v>
      </c>
      <c r="C259" s="87"/>
      <c r="D259" s="109"/>
      <c r="E259" s="87"/>
      <c r="F259" s="87"/>
      <c r="G259" s="87"/>
      <c r="H259" s="87"/>
      <c r="I259" s="185">
        <f>+I257-I258</f>
        <v>0</v>
      </c>
      <c r="J259" s="86"/>
      <c r="K259" s="86"/>
      <c r="L259" s="86"/>
      <c r="M259" s="124"/>
      <c r="N259" s="103"/>
      <c r="O259" s="126"/>
      <c r="P259" s="126"/>
      <c r="Q259" s="124"/>
      <c r="R259" s="103"/>
      <c r="S259" s="103"/>
      <c r="T259" s="103"/>
      <c r="U259" s="85"/>
      <c r="V259" s="85"/>
      <c r="W259" s="85"/>
      <c r="X259" s="85"/>
      <c r="Y259" s="85"/>
      <c r="Z259" s="85"/>
      <c r="AA259" s="85"/>
      <c r="AB259" s="85"/>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5"/>
      <c r="AY259" s="85"/>
      <c r="AZ259" s="85"/>
      <c r="BA259" s="85"/>
      <c r="BB259" s="85"/>
      <c r="BC259" s="85"/>
      <c r="BD259" s="85"/>
      <c r="BE259" s="85"/>
      <c r="BF259" s="85"/>
      <c r="BG259" s="85"/>
      <c r="BH259" s="85"/>
      <c r="BI259" s="85"/>
      <c r="BJ259" s="85"/>
      <c r="BK259" s="85"/>
      <c r="BL259" s="85"/>
    </row>
    <row r="260" spans="1:64" ht="15">
      <c r="A260" s="92"/>
      <c r="B260" s="109"/>
      <c r="C260" s="87"/>
      <c r="D260" s="109"/>
      <c r="E260" s="87"/>
      <c r="F260" s="87"/>
      <c r="G260" s="87"/>
      <c r="H260" s="87"/>
      <c r="I260" s="188"/>
      <c r="J260" s="86"/>
      <c r="K260" s="86"/>
      <c r="L260" s="86"/>
      <c r="M260" s="124"/>
      <c r="N260" s="103"/>
      <c r="O260" s="126"/>
      <c r="P260" s="126"/>
      <c r="Q260" s="124"/>
      <c r="R260" s="103"/>
      <c r="S260" s="103"/>
      <c r="T260" s="103"/>
      <c r="U260" s="85"/>
      <c r="V260" s="85"/>
      <c r="W260" s="85"/>
      <c r="X260" s="85"/>
      <c r="Y260" s="85"/>
      <c r="Z260" s="85"/>
      <c r="AA260" s="85"/>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c r="BD260" s="85"/>
      <c r="BE260" s="85"/>
      <c r="BF260" s="85"/>
      <c r="BG260" s="85"/>
      <c r="BH260" s="85"/>
      <c r="BI260" s="85"/>
      <c r="BJ260" s="85"/>
      <c r="BK260" s="85"/>
      <c r="BL260" s="85"/>
    </row>
    <row r="261" spans="1:64" ht="15">
      <c r="A261" s="92">
        <v>30</v>
      </c>
      <c r="B261" s="86" t="s">
        <v>351</v>
      </c>
      <c r="C261" s="87"/>
      <c r="D261" s="109"/>
      <c r="E261" s="87"/>
      <c r="F261" s="87"/>
      <c r="G261" s="189"/>
      <c r="H261" s="87"/>
      <c r="I261" s="190">
        <v>0</v>
      </c>
      <c r="J261" s="86"/>
      <c r="K261" s="86"/>
      <c r="L261" s="86"/>
      <c r="M261" s="124"/>
      <c r="N261" s="103"/>
      <c r="O261" s="126"/>
      <c r="P261" s="126"/>
      <c r="Q261" s="124"/>
      <c r="R261" s="103"/>
      <c r="S261" s="103"/>
      <c r="T261" s="103"/>
      <c r="U261" s="85"/>
      <c r="V261" s="85"/>
      <c r="W261" s="85"/>
      <c r="X261" s="85"/>
      <c r="Y261" s="85"/>
      <c r="Z261" s="85"/>
      <c r="AA261" s="85"/>
      <c r="AB261" s="85"/>
      <c r="AC261" s="85"/>
      <c r="AD261" s="85"/>
      <c r="AE261" s="85"/>
      <c r="AF261" s="85"/>
      <c r="AG261" s="85"/>
      <c r="AH261" s="85"/>
      <c r="AI261" s="85"/>
      <c r="AJ261" s="85"/>
      <c r="AK261" s="85"/>
      <c r="AL261" s="85"/>
      <c r="AM261" s="85"/>
      <c r="AN261" s="85"/>
      <c r="AO261" s="85"/>
      <c r="AP261" s="85"/>
      <c r="AQ261" s="85"/>
      <c r="AR261" s="85"/>
      <c r="AS261" s="85"/>
      <c r="AT261" s="85"/>
      <c r="AU261" s="85"/>
      <c r="AV261" s="85"/>
      <c r="AW261" s="85"/>
      <c r="AX261" s="85"/>
      <c r="AY261" s="85"/>
      <c r="AZ261" s="85"/>
      <c r="BA261" s="85"/>
      <c r="BB261" s="85"/>
      <c r="BC261" s="85"/>
      <c r="BD261" s="85"/>
      <c r="BE261" s="85"/>
      <c r="BF261" s="85"/>
      <c r="BG261" s="85"/>
      <c r="BH261" s="85"/>
      <c r="BI261" s="85"/>
      <c r="BJ261" s="85"/>
      <c r="BK261" s="85"/>
      <c r="BL261" s="85"/>
    </row>
    <row r="262" spans="1:64" ht="15">
      <c r="A262" s="92"/>
      <c r="C262" s="87"/>
      <c r="D262" s="87"/>
      <c r="E262" s="87"/>
      <c r="F262" s="87"/>
      <c r="G262" s="87"/>
      <c r="H262" s="87"/>
      <c r="I262" s="188"/>
      <c r="J262" s="86"/>
      <c r="K262" s="86"/>
      <c r="L262" s="86"/>
      <c r="M262" s="124"/>
      <c r="N262" s="103"/>
      <c r="O262" s="181"/>
      <c r="P262" s="126"/>
      <c r="Q262" s="124"/>
      <c r="R262" s="103"/>
      <c r="S262" s="103"/>
      <c r="T262" s="103"/>
      <c r="U262" s="85"/>
      <c r="V262" s="85"/>
      <c r="W262" s="85"/>
      <c r="X262" s="85"/>
      <c r="Y262" s="85"/>
      <c r="Z262" s="85"/>
      <c r="AA262" s="85"/>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c r="BD262" s="85"/>
      <c r="BE262" s="85"/>
      <c r="BF262" s="85"/>
      <c r="BG262" s="85"/>
      <c r="BH262" s="85"/>
      <c r="BI262" s="85"/>
      <c r="BJ262" s="85"/>
      <c r="BK262" s="85"/>
      <c r="BL262" s="85"/>
    </row>
    <row r="263" spans="1:64" ht="15">
      <c r="B263" s="86" t="s">
        <v>690</v>
      </c>
      <c r="C263" s="87"/>
      <c r="D263" s="87"/>
      <c r="E263" s="87"/>
      <c r="F263" s="87"/>
      <c r="G263" s="87"/>
      <c r="H263" s="87"/>
      <c r="J263" s="86"/>
      <c r="K263" s="86"/>
      <c r="L263" s="86"/>
      <c r="M263" s="124"/>
      <c r="N263" s="103"/>
      <c r="O263" s="182"/>
      <c r="P263" s="126"/>
      <c r="Q263" s="124"/>
      <c r="R263" s="103"/>
      <c r="S263" s="103"/>
      <c r="T263" s="103"/>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row>
    <row r="264" spans="1:64" ht="15">
      <c r="A264" s="92">
        <v>31</v>
      </c>
      <c r="B264" s="86" t="s">
        <v>352</v>
      </c>
      <c r="C264" s="91"/>
      <c r="D264" s="91"/>
      <c r="E264" s="91"/>
      <c r="F264" s="91"/>
      <c r="G264" s="91"/>
      <c r="H264" s="91"/>
      <c r="I264" s="191">
        <f>'TARIFF REVENUE'!AA46</f>
        <v>26628.880000000001</v>
      </c>
      <c r="J264" s="86"/>
      <c r="K264" s="86"/>
      <c r="L264" s="86"/>
      <c r="M264" s="124"/>
      <c r="N264" s="103"/>
      <c r="O264" s="182"/>
      <c r="P264" s="126"/>
      <c r="Q264" s="124"/>
      <c r="R264" s="103"/>
      <c r="S264" s="103"/>
      <c r="T264" s="103"/>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c r="BH264" s="85"/>
      <c r="BI264" s="85"/>
      <c r="BJ264" s="85"/>
      <c r="BK264" s="85"/>
      <c r="BL264" s="85"/>
    </row>
    <row r="265" spans="1:64" ht="15">
      <c r="A265" s="92">
        <v>32</v>
      </c>
      <c r="B265" s="363" t="s">
        <v>353</v>
      </c>
      <c r="C265" s="364"/>
      <c r="D265" s="364"/>
      <c r="E265" s="364"/>
      <c r="F265" s="364"/>
      <c r="G265" s="87"/>
      <c r="H265" s="87"/>
      <c r="I265" s="191">
        <f>'TARIFF REVENUE'!AA45</f>
        <v>26157.37</v>
      </c>
      <c r="J265" s="86"/>
      <c r="K265" s="86"/>
      <c r="L265" s="86"/>
      <c r="M265" s="124"/>
      <c r="N265" s="103"/>
      <c r="O265" s="182"/>
      <c r="P265" s="126"/>
      <c r="Q265" s="124"/>
      <c r="R265" s="103"/>
      <c r="S265" s="103"/>
      <c r="T265" s="103"/>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c r="BD265" s="85"/>
      <c r="BE265" s="85"/>
      <c r="BF265" s="85"/>
      <c r="BG265" s="85"/>
      <c r="BH265" s="85"/>
      <c r="BI265" s="85"/>
      <c r="BJ265" s="85"/>
      <c r="BK265" s="85"/>
      <c r="BL265" s="85"/>
    </row>
    <row r="266" spans="1:64" ht="15">
      <c r="A266" s="92" t="s">
        <v>691</v>
      </c>
      <c r="B266" s="363" t="s">
        <v>831</v>
      </c>
      <c r="C266" s="364"/>
      <c r="D266" s="364"/>
      <c r="E266" s="364"/>
      <c r="F266" s="364"/>
      <c r="G266" s="87"/>
      <c r="H266" s="87"/>
      <c r="I266" s="191">
        <v>0</v>
      </c>
      <c r="J266" s="86"/>
      <c r="K266" s="86"/>
      <c r="L266" s="86"/>
      <c r="M266" s="102"/>
      <c r="N266" s="103"/>
      <c r="O266" s="182"/>
      <c r="P266" s="126"/>
      <c r="Q266" s="124"/>
      <c r="R266" s="103"/>
      <c r="S266" s="103"/>
      <c r="T266" s="103"/>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85"/>
      <c r="BL266" s="85"/>
    </row>
    <row r="267" spans="1:64" ht="15.75" thickBot="1">
      <c r="A267" s="92" t="s">
        <v>742</v>
      </c>
      <c r="B267" s="616" t="s">
        <v>832</v>
      </c>
      <c r="C267" s="364"/>
      <c r="D267" s="364"/>
      <c r="E267" s="364"/>
      <c r="F267" s="364"/>
      <c r="G267" s="87"/>
      <c r="H267" s="87"/>
      <c r="I267" s="192"/>
      <c r="J267" s="86"/>
      <c r="K267" s="86"/>
      <c r="L267" s="86"/>
      <c r="M267" s="102"/>
      <c r="N267" s="103"/>
      <c r="O267" s="182"/>
      <c r="P267" s="126"/>
      <c r="Q267" s="124"/>
      <c r="R267" s="103"/>
      <c r="S267" s="103"/>
      <c r="T267" s="103"/>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row>
    <row r="268" spans="1:64" ht="15">
      <c r="A268" s="92">
        <v>33</v>
      </c>
      <c r="B268" s="86" t="s">
        <v>743</v>
      </c>
      <c r="C268" s="89" t="s">
        <v>157</v>
      </c>
      <c r="D268" s="91"/>
      <c r="E268" s="91"/>
      <c r="F268" s="91"/>
      <c r="G268" s="91"/>
      <c r="H268" s="87"/>
      <c r="I268" s="193">
        <f>+I264-I265-I266-I267</f>
        <v>471.51000000000204</v>
      </c>
      <c r="J268" s="86"/>
      <c r="K268" s="86"/>
      <c r="L268" s="86"/>
      <c r="M268" s="102"/>
      <c r="N268" s="103"/>
      <c r="O268" s="182"/>
      <c r="P268" s="126"/>
      <c r="Q268" s="124"/>
      <c r="R268" s="103"/>
      <c r="S268" s="103"/>
      <c r="T268" s="103"/>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row>
    <row r="269" spans="1:64" ht="15">
      <c r="A269" s="92"/>
      <c r="B269" s="86"/>
      <c r="C269" s="89"/>
      <c r="D269" s="91"/>
      <c r="E269" s="91"/>
      <c r="F269" s="91"/>
      <c r="G269" s="91"/>
      <c r="H269" s="87"/>
      <c r="I269" s="193"/>
      <c r="J269" s="86"/>
      <c r="K269" s="86"/>
      <c r="L269" s="86"/>
      <c r="M269" s="102"/>
      <c r="N269" s="103"/>
      <c r="O269" s="182"/>
      <c r="P269" s="126"/>
      <c r="Q269" s="124"/>
      <c r="R269" s="103"/>
      <c r="S269" s="103"/>
      <c r="T269" s="103"/>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c r="BD269" s="85"/>
      <c r="BE269" s="85"/>
      <c r="BF269" s="85"/>
      <c r="BG269" s="85"/>
      <c r="BH269" s="85"/>
      <c r="BI269" s="85"/>
      <c r="BJ269" s="85"/>
      <c r="BK269" s="85"/>
      <c r="BL269" s="85"/>
    </row>
    <row r="270" spans="1:64" ht="15">
      <c r="A270"/>
      <c r="B270"/>
      <c r="C270"/>
      <c r="D270"/>
      <c r="E270"/>
      <c r="F270"/>
      <c r="G270"/>
      <c r="H270"/>
      <c r="I270"/>
      <c r="J270"/>
      <c r="K270"/>
      <c r="L270"/>
      <c r="M270"/>
      <c r="N270"/>
      <c r="O270"/>
      <c r="P270"/>
      <c r="Q270"/>
      <c r="R270"/>
      <c r="S270" s="103"/>
      <c r="T270" s="103"/>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row>
    <row r="271" spans="1:64" ht="15">
      <c r="A271"/>
      <c r="B271"/>
      <c r="C271"/>
      <c r="D271"/>
      <c r="E271"/>
      <c r="F271"/>
      <c r="G271"/>
      <c r="H271"/>
      <c r="I271"/>
      <c r="J271"/>
      <c r="K271"/>
      <c r="L271"/>
      <c r="M271"/>
      <c r="N271"/>
      <c r="O271"/>
      <c r="P271"/>
      <c r="Q271"/>
      <c r="R271"/>
      <c r="S271" s="103"/>
      <c r="T271" s="103"/>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c r="BH271" s="85"/>
      <c r="BI271" s="85"/>
      <c r="BJ271" s="85"/>
      <c r="BK271" s="85"/>
      <c r="BL271" s="85"/>
    </row>
    <row r="272" spans="1:64" s="418" customFormat="1" ht="15.75">
      <c r="A272" s="368"/>
      <c r="B272" s="624"/>
      <c r="C272" s="368"/>
      <c r="D272" s="366"/>
      <c r="E272" s="366"/>
      <c r="F272" s="366"/>
      <c r="G272" s="366"/>
      <c r="H272" s="379"/>
      <c r="I272" s="625"/>
      <c r="J272" s="378"/>
      <c r="K272" s="626" t="s">
        <v>766</v>
      </c>
      <c r="L272" s="580"/>
      <c r="M272" s="416"/>
      <c r="N272" s="416"/>
      <c r="O272" s="416"/>
      <c r="P272" s="416"/>
      <c r="Q272" s="416"/>
      <c r="R272" s="416"/>
      <c r="S272" s="430"/>
      <c r="T272" s="430"/>
      <c r="U272" s="420"/>
      <c r="V272" s="420"/>
      <c r="W272" s="420"/>
      <c r="X272" s="420"/>
      <c r="Y272" s="420"/>
      <c r="Z272" s="420"/>
      <c r="AA272" s="420"/>
      <c r="AB272" s="420"/>
      <c r="AC272" s="420"/>
      <c r="AD272" s="420"/>
      <c r="AE272" s="420"/>
      <c r="AF272" s="420"/>
      <c r="AG272" s="420"/>
      <c r="AH272" s="420"/>
      <c r="AI272" s="420"/>
      <c r="AJ272" s="420"/>
      <c r="AK272" s="420"/>
      <c r="AL272" s="420"/>
      <c r="AM272" s="420"/>
      <c r="AN272" s="420"/>
      <c r="AO272" s="420"/>
      <c r="AP272" s="420"/>
      <c r="AQ272" s="420"/>
      <c r="AR272" s="420"/>
      <c r="AS272" s="420"/>
      <c r="AT272" s="420"/>
      <c r="AU272" s="420"/>
      <c r="AV272" s="420"/>
      <c r="AW272" s="420"/>
      <c r="AX272" s="420"/>
      <c r="AY272" s="420"/>
      <c r="AZ272" s="420"/>
      <c r="BA272" s="420"/>
      <c r="BB272" s="420"/>
      <c r="BC272" s="420"/>
      <c r="BD272" s="420"/>
      <c r="BE272" s="420"/>
      <c r="BF272" s="420"/>
      <c r="BG272" s="420"/>
      <c r="BH272" s="420"/>
      <c r="BI272" s="420"/>
      <c r="BJ272" s="420"/>
      <c r="BK272" s="420"/>
      <c r="BL272" s="420"/>
    </row>
    <row r="273" spans="1:64" s="418" customFormat="1" ht="15.75">
      <c r="A273" s="441"/>
      <c r="B273" s="378"/>
      <c r="C273" s="378"/>
      <c r="D273" s="441"/>
      <c r="E273" s="378"/>
      <c r="F273" s="378"/>
      <c r="G273" s="378"/>
      <c r="H273" s="379"/>
      <c r="I273" s="379"/>
      <c r="J273" s="441"/>
      <c r="K273" s="627" t="s">
        <v>354</v>
      </c>
      <c r="L273" s="619"/>
      <c r="M273" s="416"/>
      <c r="N273" s="416"/>
      <c r="O273" s="416"/>
      <c r="P273" s="416"/>
      <c r="Q273" s="416"/>
      <c r="R273" s="416"/>
      <c r="S273" s="430"/>
      <c r="T273" s="430"/>
      <c r="U273" s="420"/>
      <c r="V273" s="420"/>
      <c r="W273" s="420"/>
      <c r="X273" s="420"/>
      <c r="Y273" s="420"/>
      <c r="Z273" s="420"/>
      <c r="AA273" s="420"/>
      <c r="AB273" s="420"/>
      <c r="AC273" s="420"/>
      <c r="AD273" s="420"/>
      <c r="AE273" s="420"/>
      <c r="AF273" s="420"/>
      <c r="AG273" s="420"/>
      <c r="AH273" s="420"/>
      <c r="AI273" s="420"/>
      <c r="AJ273" s="420"/>
      <c r="AK273" s="420"/>
      <c r="AL273" s="420"/>
      <c r="AM273" s="420"/>
      <c r="AN273" s="420"/>
      <c r="AO273" s="420"/>
      <c r="AP273" s="420"/>
      <c r="AQ273" s="420"/>
      <c r="AR273" s="420"/>
      <c r="AS273" s="420"/>
      <c r="AT273" s="420"/>
      <c r="AU273" s="420"/>
      <c r="AV273" s="420"/>
      <c r="AW273" s="420"/>
      <c r="AX273" s="420"/>
      <c r="AY273" s="420"/>
      <c r="AZ273" s="420"/>
      <c r="BA273" s="420"/>
      <c r="BB273" s="420"/>
      <c r="BC273" s="420"/>
      <c r="BD273" s="420"/>
      <c r="BE273" s="420"/>
      <c r="BF273" s="420"/>
      <c r="BG273" s="420"/>
      <c r="BH273" s="420"/>
      <c r="BI273" s="420"/>
      <c r="BJ273" s="420"/>
      <c r="BK273" s="420"/>
      <c r="BL273" s="420"/>
    </row>
    <row r="274" spans="1:64" s="418" customFormat="1" ht="15.75">
      <c r="A274" s="368"/>
      <c r="B274" s="624" t="str">
        <f>B4</f>
        <v xml:space="preserve">Formula Rate - Non-Levelized </v>
      </c>
      <c r="C274" s="690" t="str">
        <f>D4</f>
        <v xml:space="preserve">   Rate Formula Template</v>
      </c>
      <c r="D274" s="690"/>
      <c r="E274" s="628"/>
      <c r="F274" s="628"/>
      <c r="G274" s="628"/>
      <c r="H274" s="629"/>
      <c r="I274" s="691" t="str">
        <f>I4</f>
        <v>For the 12 months ended 12/31/14</v>
      </c>
      <c r="J274" s="691"/>
      <c r="K274" s="691"/>
      <c r="L274" s="417"/>
      <c r="M274" s="416"/>
      <c r="N274" s="416"/>
      <c r="O274" s="416"/>
      <c r="P274" s="416"/>
      <c r="Q274" s="416"/>
      <c r="R274" s="416"/>
      <c r="S274" s="430"/>
      <c r="T274" s="430"/>
      <c r="U274" s="420"/>
      <c r="V274" s="420"/>
      <c r="W274" s="420"/>
      <c r="X274" s="420"/>
      <c r="Y274" s="420"/>
      <c r="Z274" s="420"/>
      <c r="AA274" s="420"/>
      <c r="AB274" s="420"/>
      <c r="AC274" s="420"/>
      <c r="AD274" s="420"/>
      <c r="AE274" s="420"/>
      <c r="AF274" s="420"/>
      <c r="AG274" s="420"/>
      <c r="AH274" s="420"/>
      <c r="AI274" s="420"/>
      <c r="AJ274" s="420"/>
      <c r="AK274" s="420"/>
      <c r="AL274" s="420"/>
      <c r="AM274" s="420"/>
      <c r="AN274" s="420"/>
      <c r="AO274" s="420"/>
      <c r="AP274" s="420"/>
      <c r="AQ274" s="420"/>
      <c r="AR274" s="420"/>
      <c r="AS274" s="420"/>
      <c r="AT274" s="420"/>
      <c r="AU274" s="420"/>
      <c r="AV274" s="420"/>
      <c r="AW274" s="420"/>
      <c r="AX274" s="420"/>
      <c r="AY274" s="420"/>
      <c r="AZ274" s="420"/>
      <c r="BA274" s="420"/>
      <c r="BB274" s="420"/>
      <c r="BC274" s="420"/>
      <c r="BD274" s="420"/>
      <c r="BE274" s="420"/>
      <c r="BF274" s="420"/>
      <c r="BG274" s="420"/>
      <c r="BH274" s="420"/>
      <c r="BI274" s="420"/>
      <c r="BJ274" s="420"/>
      <c r="BK274" s="420"/>
      <c r="BL274" s="420"/>
    </row>
    <row r="275" spans="1:64" s="418" customFormat="1" ht="15.75">
      <c r="A275" s="368"/>
      <c r="B275" s="624"/>
      <c r="C275" s="368"/>
      <c r="D275" s="628" t="str">
        <f>D5</f>
        <v>Utilizing EIA Form 412 Data</v>
      </c>
      <c r="E275" s="628"/>
      <c r="F275" s="628"/>
      <c r="G275" s="628"/>
      <c r="H275" s="379"/>
      <c r="I275" s="630"/>
      <c r="J275" s="631"/>
      <c r="K275" s="632"/>
      <c r="L275" s="417"/>
      <c r="M275" s="416"/>
      <c r="N275" s="416"/>
      <c r="O275" s="416"/>
      <c r="P275" s="416"/>
      <c r="Q275" s="416"/>
      <c r="R275" s="416"/>
      <c r="S275" s="430"/>
      <c r="T275" s="430"/>
      <c r="U275" s="420"/>
      <c r="V275" s="420"/>
      <c r="W275" s="420"/>
      <c r="X275" s="420"/>
      <c r="Y275" s="420"/>
      <c r="Z275" s="420"/>
      <c r="AA275" s="420"/>
      <c r="AB275" s="420"/>
      <c r="AC275" s="420"/>
      <c r="AD275" s="420"/>
      <c r="AE275" s="420"/>
      <c r="AF275" s="420"/>
      <c r="AG275" s="420"/>
      <c r="AH275" s="420"/>
      <c r="AI275" s="420"/>
      <c r="AJ275" s="420"/>
      <c r="AK275" s="420"/>
      <c r="AL275" s="420"/>
      <c r="AM275" s="420"/>
      <c r="AN275" s="420"/>
      <c r="AO275" s="420"/>
      <c r="AP275" s="420"/>
      <c r="AQ275" s="420"/>
      <c r="AR275" s="420"/>
      <c r="AS275" s="420"/>
      <c r="AT275" s="420"/>
      <c r="AU275" s="420"/>
      <c r="AV275" s="420"/>
      <c r="AW275" s="420"/>
      <c r="AX275" s="420"/>
      <c r="AY275" s="420"/>
      <c r="AZ275" s="420"/>
      <c r="BA275" s="420"/>
      <c r="BB275" s="420"/>
      <c r="BC275" s="420"/>
      <c r="BD275" s="420"/>
      <c r="BE275" s="420"/>
      <c r="BF275" s="420"/>
      <c r="BG275" s="420"/>
      <c r="BH275" s="420"/>
      <c r="BI275" s="420"/>
      <c r="BJ275" s="420"/>
      <c r="BK275" s="420"/>
      <c r="BL275" s="420"/>
    </row>
    <row r="276" spans="1:64" ht="15.75">
      <c r="A276" s="368"/>
      <c r="B276" s="624"/>
      <c r="C276" s="368"/>
      <c r="D276" s="628" t="str">
        <f>D7</f>
        <v>Mountain Lake</v>
      </c>
      <c r="E276" s="628"/>
      <c r="F276" s="628"/>
      <c r="G276" s="628"/>
      <c r="H276" s="379"/>
      <c r="I276" s="630"/>
      <c r="J276" s="631"/>
      <c r="K276" s="632"/>
      <c r="L276" s="417"/>
      <c r="M276"/>
      <c r="N276"/>
      <c r="O276"/>
      <c r="P276"/>
      <c r="Q276"/>
      <c r="R276"/>
      <c r="S276" s="103"/>
      <c r="T276" s="103"/>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c r="BD276" s="85"/>
      <c r="BE276" s="85"/>
      <c r="BF276" s="85"/>
      <c r="BG276" s="85"/>
      <c r="BH276" s="85"/>
      <c r="BI276" s="85"/>
      <c r="BJ276" s="85"/>
      <c r="BK276" s="85"/>
      <c r="BL276" s="85"/>
    </row>
    <row r="277" spans="1:64" ht="20.25">
      <c r="A277" s="368"/>
      <c r="B277" s="378" t="s">
        <v>355</v>
      </c>
      <c r="C277" s="368"/>
      <c r="D277" s="628"/>
      <c r="E277" s="628"/>
      <c r="F277" s="628"/>
      <c r="G277" s="628"/>
      <c r="H277" s="379"/>
      <c r="I277" s="628"/>
      <c r="J277" s="631"/>
      <c r="K277" s="632"/>
      <c r="L277" s="195"/>
      <c r="M277"/>
      <c r="N277"/>
      <c r="O277"/>
      <c r="P277"/>
      <c r="Q277"/>
      <c r="R277"/>
      <c r="S277" s="103"/>
      <c r="T277" s="103"/>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row>
    <row r="278" spans="1:64" ht="20.25">
      <c r="A278" s="368"/>
      <c r="B278" s="633" t="s">
        <v>861</v>
      </c>
      <c r="C278" s="368"/>
      <c r="D278" s="628"/>
      <c r="E278" s="628"/>
      <c r="F278" s="628"/>
      <c r="G278" s="628"/>
      <c r="H278" s="379"/>
      <c r="I278" s="628"/>
      <c r="J278" s="379"/>
      <c r="K278" s="628"/>
      <c r="L278" s="195"/>
      <c r="M278"/>
      <c r="N278"/>
      <c r="O278"/>
      <c r="P278"/>
      <c r="Q278"/>
      <c r="R278"/>
      <c r="S278" s="103"/>
      <c r="T278" s="103"/>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c r="BD278" s="85"/>
      <c r="BE278" s="85"/>
      <c r="BF278" s="85"/>
      <c r="BG278" s="85"/>
      <c r="BH278" s="85"/>
      <c r="BI278" s="85"/>
      <c r="BJ278" s="85"/>
      <c r="BK278" s="85"/>
      <c r="BL278" s="85"/>
    </row>
    <row r="279" spans="1:64" ht="20.25">
      <c r="A279" s="441"/>
      <c r="B279" s="633" t="s">
        <v>862</v>
      </c>
      <c r="C279" s="368"/>
      <c r="D279" s="628"/>
      <c r="E279" s="628"/>
      <c r="F279" s="628"/>
      <c r="G279" s="628"/>
      <c r="H279" s="379"/>
      <c r="I279" s="628"/>
      <c r="J279" s="379"/>
      <c r="K279" s="628"/>
      <c r="L279" s="195"/>
      <c r="M279"/>
      <c r="N279"/>
      <c r="O279"/>
      <c r="P279"/>
      <c r="Q279"/>
      <c r="R279"/>
      <c r="S279" s="103"/>
      <c r="T279" s="103"/>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row>
    <row r="280" spans="1:64" ht="20.25">
      <c r="A280" s="368" t="s">
        <v>356</v>
      </c>
      <c r="B280" s="378" t="s">
        <v>863</v>
      </c>
      <c r="C280" s="379"/>
      <c r="D280" s="628"/>
      <c r="E280" s="628"/>
      <c r="F280" s="628"/>
      <c r="G280" s="634"/>
      <c r="H280" s="379"/>
      <c r="I280" s="628"/>
      <c r="J280" s="379"/>
      <c r="K280" s="628"/>
      <c r="L280" s="195"/>
      <c r="M280"/>
      <c r="N280"/>
      <c r="O280"/>
      <c r="P280"/>
      <c r="Q280"/>
      <c r="R280"/>
      <c r="S280" s="103"/>
      <c r="T280" s="103"/>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BD280" s="85"/>
      <c r="BE280" s="85"/>
      <c r="BF280" s="85"/>
      <c r="BG280" s="85"/>
      <c r="BH280" s="85"/>
      <c r="BI280" s="85"/>
      <c r="BJ280" s="85"/>
      <c r="BK280" s="85"/>
      <c r="BL280" s="85"/>
    </row>
    <row r="281" spans="1:64" ht="21" thickBot="1">
      <c r="A281" s="635" t="s">
        <v>357</v>
      </c>
      <c r="B281" s="441"/>
      <c r="C281" s="379"/>
      <c r="D281" s="628"/>
      <c r="E281" s="628"/>
      <c r="F281" s="628"/>
      <c r="G281" s="628"/>
      <c r="H281" s="379"/>
      <c r="I281" s="628"/>
      <c r="J281" s="379"/>
      <c r="K281" s="628"/>
      <c r="L281" s="195"/>
      <c r="M281"/>
      <c r="N281"/>
      <c r="O281"/>
      <c r="P281"/>
      <c r="Q281"/>
      <c r="R281"/>
      <c r="S281" s="103"/>
      <c r="T281" s="103"/>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c r="BD281" s="85"/>
      <c r="BE281" s="85"/>
      <c r="BF281" s="85"/>
      <c r="BG281" s="85"/>
      <c r="BH281" s="85"/>
      <c r="BI281" s="85"/>
      <c r="BJ281" s="85"/>
      <c r="BK281" s="85"/>
      <c r="BL281" s="85"/>
    </row>
    <row r="282" spans="1:64" ht="20.25">
      <c r="A282" s="410" t="s">
        <v>358</v>
      </c>
      <c r="B282" s="687" t="s">
        <v>864</v>
      </c>
      <c r="C282" s="687"/>
      <c r="D282" s="687"/>
      <c r="E282" s="687"/>
      <c r="F282" s="687"/>
      <c r="G282" s="687"/>
      <c r="H282" s="687"/>
      <c r="I282" s="687"/>
      <c r="J282" s="687"/>
      <c r="K282" s="687"/>
      <c r="L282" s="195"/>
      <c r="M282"/>
      <c r="N282"/>
      <c r="O282"/>
      <c r="P282"/>
      <c r="Q282"/>
      <c r="R282"/>
      <c r="S282" s="103"/>
      <c r="T282" s="103"/>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row>
    <row r="283" spans="1:64" ht="20.25">
      <c r="A283" s="410" t="s">
        <v>359</v>
      </c>
      <c r="B283" s="687" t="s">
        <v>865</v>
      </c>
      <c r="C283" s="687"/>
      <c r="D283" s="687"/>
      <c r="E283" s="687"/>
      <c r="F283" s="687"/>
      <c r="G283" s="687"/>
      <c r="H283" s="687"/>
      <c r="I283" s="687"/>
      <c r="J283" s="687"/>
      <c r="K283" s="687"/>
      <c r="L283" s="195"/>
      <c r="M283"/>
      <c r="N283"/>
      <c r="O283"/>
      <c r="P283"/>
      <c r="Q283"/>
      <c r="R283"/>
      <c r="S283" s="103"/>
      <c r="T283" s="103"/>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row>
    <row r="284" spans="1:64" ht="20.25">
      <c r="A284" s="410" t="s">
        <v>360</v>
      </c>
      <c r="B284" s="687" t="s">
        <v>866</v>
      </c>
      <c r="C284" s="687"/>
      <c r="D284" s="687"/>
      <c r="E284" s="687"/>
      <c r="F284" s="687"/>
      <c r="G284" s="687"/>
      <c r="H284" s="687"/>
      <c r="I284" s="687"/>
      <c r="J284" s="687"/>
      <c r="K284" s="687"/>
      <c r="L284" s="195"/>
      <c r="M284"/>
      <c r="N284"/>
      <c r="O284"/>
      <c r="P284"/>
      <c r="Q284" s="124"/>
      <c r="R284" s="103"/>
      <c r="S284" s="103"/>
      <c r="T284" s="103"/>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BD284" s="85"/>
      <c r="BE284" s="85"/>
      <c r="BF284" s="85"/>
      <c r="BG284" s="85"/>
      <c r="BH284" s="85"/>
      <c r="BI284" s="85"/>
      <c r="BJ284" s="85"/>
      <c r="BK284" s="85"/>
      <c r="BL284" s="85"/>
    </row>
    <row r="285" spans="1:64" ht="20.25">
      <c r="A285" s="410" t="s">
        <v>361</v>
      </c>
      <c r="B285" s="687" t="s">
        <v>866</v>
      </c>
      <c r="C285" s="687"/>
      <c r="D285" s="687"/>
      <c r="E285" s="687"/>
      <c r="F285" s="687"/>
      <c r="G285" s="687"/>
      <c r="H285" s="687"/>
      <c r="I285" s="687"/>
      <c r="J285" s="687"/>
      <c r="K285" s="687"/>
      <c r="L285" s="195"/>
      <c r="M285"/>
      <c r="N285"/>
      <c r="O285"/>
      <c r="P285"/>
      <c r="Q285" s="104"/>
      <c r="R285" s="103"/>
      <c r="S285" s="103"/>
      <c r="T285" s="103"/>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c r="BH285" s="85"/>
      <c r="BI285" s="85"/>
      <c r="BJ285" s="85"/>
      <c r="BK285" s="85"/>
      <c r="BL285" s="85"/>
    </row>
    <row r="286" spans="1:64" ht="20.25">
      <c r="A286" s="410" t="s">
        <v>362</v>
      </c>
      <c r="B286" s="687" t="s">
        <v>867</v>
      </c>
      <c r="C286" s="687"/>
      <c r="D286" s="687"/>
      <c r="E286" s="687"/>
      <c r="F286" s="687"/>
      <c r="G286" s="687"/>
      <c r="H286" s="687"/>
      <c r="I286" s="687"/>
      <c r="J286" s="687"/>
      <c r="K286" s="687"/>
      <c r="L286" s="195"/>
      <c r="M286"/>
      <c r="N286"/>
      <c r="O286"/>
      <c r="P286"/>
      <c r="Q286" s="104"/>
      <c r="R286" s="103"/>
      <c r="S286" s="103"/>
      <c r="T286" s="103"/>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5"/>
      <c r="AY286" s="85"/>
      <c r="AZ286" s="85"/>
      <c r="BA286" s="85"/>
      <c r="BB286" s="85"/>
      <c r="BC286" s="85"/>
      <c r="BD286" s="85"/>
      <c r="BE286" s="85"/>
      <c r="BF286" s="85"/>
      <c r="BG286" s="85"/>
      <c r="BH286" s="85"/>
      <c r="BI286" s="85"/>
      <c r="BJ286" s="85"/>
      <c r="BK286" s="85"/>
      <c r="BL286" s="85"/>
    </row>
    <row r="287" spans="1:64" ht="20.25">
      <c r="A287" s="410" t="s">
        <v>363</v>
      </c>
      <c r="B287" s="686" t="s">
        <v>868</v>
      </c>
      <c r="C287" s="686"/>
      <c r="D287" s="686"/>
      <c r="E287" s="686"/>
      <c r="F287" s="686"/>
      <c r="G287" s="686"/>
      <c r="H287" s="686"/>
      <c r="I287" s="686"/>
      <c r="J287" s="686"/>
      <c r="K287" s="686"/>
      <c r="L287" s="195"/>
      <c r="M287"/>
      <c r="N287"/>
      <c r="O287"/>
      <c r="P287"/>
      <c r="Q287" s="104"/>
      <c r="R287" s="103"/>
      <c r="S287" s="103"/>
      <c r="T287" s="103"/>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row>
    <row r="288" spans="1:64" ht="20.25">
      <c r="A288" s="410" t="s">
        <v>364</v>
      </c>
      <c r="B288" s="686" t="s">
        <v>365</v>
      </c>
      <c r="C288" s="686"/>
      <c r="D288" s="686"/>
      <c r="E288" s="686"/>
      <c r="F288" s="686"/>
      <c r="G288" s="686"/>
      <c r="H288" s="686"/>
      <c r="I288" s="686"/>
      <c r="J288" s="686"/>
      <c r="K288" s="686"/>
      <c r="L288" s="195"/>
      <c r="M288"/>
      <c r="N288"/>
      <c r="O288"/>
      <c r="P288"/>
      <c r="Q288" s="104"/>
      <c r="R288" s="103"/>
      <c r="S288" s="103"/>
      <c r="T288" s="103"/>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row>
    <row r="289" spans="1:64" ht="20.25">
      <c r="A289" s="410" t="s">
        <v>366</v>
      </c>
      <c r="B289" s="686" t="s">
        <v>869</v>
      </c>
      <c r="C289" s="686"/>
      <c r="D289" s="686"/>
      <c r="E289" s="686"/>
      <c r="F289" s="686"/>
      <c r="G289" s="686"/>
      <c r="H289" s="686"/>
      <c r="I289" s="686"/>
      <c r="J289" s="686"/>
      <c r="K289" s="686"/>
      <c r="L289" s="195"/>
      <c r="M289"/>
      <c r="N289"/>
      <c r="O289"/>
      <c r="P289"/>
      <c r="Q289" s="104"/>
      <c r="R289" s="103"/>
      <c r="S289" s="103"/>
      <c r="T289" s="103"/>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row>
    <row r="290" spans="1:64" ht="20.25">
      <c r="A290" s="410" t="s">
        <v>367</v>
      </c>
      <c r="B290" s="687" t="s">
        <v>870</v>
      </c>
      <c r="C290" s="687"/>
      <c r="D290" s="687"/>
      <c r="E290" s="687"/>
      <c r="F290" s="687"/>
      <c r="G290" s="687"/>
      <c r="H290" s="687"/>
      <c r="I290" s="687"/>
      <c r="J290" s="687"/>
      <c r="K290" s="687"/>
      <c r="L290" s="195"/>
      <c r="M290"/>
      <c r="N290"/>
      <c r="O290"/>
      <c r="P290"/>
      <c r="Q290" s="124"/>
      <c r="R290" s="103"/>
      <c r="S290" s="103"/>
      <c r="T290" s="103"/>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c r="BD290" s="85"/>
      <c r="BE290" s="85"/>
      <c r="BF290" s="85"/>
      <c r="BG290" s="85"/>
      <c r="BH290" s="85"/>
      <c r="BI290" s="85"/>
      <c r="BJ290" s="85"/>
      <c r="BK290" s="85"/>
      <c r="BL290" s="85"/>
    </row>
    <row r="291" spans="1:64" ht="20.25">
      <c r="A291" s="410" t="s">
        <v>368</v>
      </c>
      <c r="B291" s="686" t="s">
        <v>871</v>
      </c>
      <c r="C291" s="686"/>
      <c r="D291" s="686"/>
      <c r="E291" s="686"/>
      <c r="F291" s="686"/>
      <c r="G291" s="686"/>
      <c r="H291" s="686"/>
      <c r="I291" s="686"/>
      <c r="J291" s="686"/>
      <c r="K291" s="686"/>
      <c r="L291" s="195"/>
      <c r="M291"/>
      <c r="N291"/>
      <c r="O291"/>
      <c r="P291"/>
      <c r="Q291" s="124"/>
      <c r="R291" s="103"/>
      <c r="S291" s="103"/>
      <c r="T291" s="103"/>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c r="BH291" s="85"/>
      <c r="BI291" s="85"/>
      <c r="BJ291" s="85"/>
      <c r="BK291" s="85"/>
      <c r="BL291" s="85"/>
    </row>
    <row r="292" spans="1:64" ht="20.25">
      <c r="A292" s="410" t="s">
        <v>369</v>
      </c>
      <c r="B292" s="686" t="s">
        <v>872</v>
      </c>
      <c r="C292" s="686"/>
      <c r="D292" s="686"/>
      <c r="E292" s="686"/>
      <c r="F292" s="686"/>
      <c r="G292" s="686"/>
      <c r="H292" s="686"/>
      <c r="I292" s="686"/>
      <c r="J292" s="686"/>
      <c r="K292" s="686"/>
      <c r="L292" s="195"/>
      <c r="M292"/>
      <c r="N292"/>
      <c r="O292"/>
      <c r="P292"/>
      <c r="Q292" s="104"/>
      <c r="R292" s="103"/>
      <c r="S292" s="103"/>
      <c r="T292" s="103"/>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5"/>
      <c r="AY292" s="85"/>
      <c r="AZ292" s="85"/>
      <c r="BA292" s="85"/>
      <c r="BB292" s="85"/>
      <c r="BC292" s="85"/>
      <c r="BD292" s="85"/>
      <c r="BE292" s="85"/>
      <c r="BF292" s="85"/>
      <c r="BG292" s="85"/>
      <c r="BH292" s="85"/>
      <c r="BI292" s="85"/>
      <c r="BJ292" s="85"/>
      <c r="BK292" s="85"/>
      <c r="BL292" s="85"/>
    </row>
    <row r="293" spans="1:64" ht="20.25">
      <c r="A293" s="410" t="s">
        <v>157</v>
      </c>
      <c r="B293" s="636" t="s">
        <v>873</v>
      </c>
      <c r="C293" s="637" t="s">
        <v>370</v>
      </c>
      <c r="D293" s="638">
        <v>0</v>
      </c>
      <c r="E293" s="637"/>
      <c r="F293" s="639"/>
      <c r="G293" s="639"/>
      <c r="H293" s="369"/>
      <c r="I293" s="639"/>
      <c r="J293" s="369"/>
      <c r="K293" s="639"/>
      <c r="L293" s="195"/>
      <c r="M293"/>
      <c r="N293"/>
      <c r="O293"/>
      <c r="P293"/>
      <c r="Q293" s="104"/>
      <c r="R293" s="103"/>
      <c r="S293" s="103"/>
      <c r="T293" s="103"/>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c r="BG293" s="85"/>
      <c r="BH293" s="85"/>
      <c r="BI293" s="85"/>
      <c r="BJ293" s="85"/>
      <c r="BK293" s="85"/>
      <c r="BL293" s="85"/>
    </row>
    <row r="294" spans="1:64" ht="20.25">
      <c r="A294" s="410"/>
      <c r="B294" s="637"/>
      <c r="C294" s="637" t="s">
        <v>371</v>
      </c>
      <c r="D294" s="638">
        <v>0</v>
      </c>
      <c r="E294" s="686" t="s">
        <v>372</v>
      </c>
      <c r="F294" s="686"/>
      <c r="G294" s="686"/>
      <c r="H294" s="686"/>
      <c r="I294" s="686"/>
      <c r="J294" s="686"/>
      <c r="K294" s="686"/>
      <c r="L294" s="195"/>
      <c r="M294"/>
      <c r="N294"/>
      <c r="O294"/>
      <c r="P294"/>
      <c r="Q294" s="104"/>
      <c r="R294" s="103"/>
      <c r="S294" s="103"/>
      <c r="T294" s="103"/>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c r="BD294" s="85"/>
      <c r="BE294" s="85"/>
      <c r="BF294" s="85"/>
      <c r="BG294" s="85"/>
      <c r="BH294" s="85"/>
      <c r="BI294" s="85"/>
      <c r="BJ294" s="85"/>
      <c r="BK294" s="85"/>
      <c r="BL294" s="85"/>
    </row>
    <row r="295" spans="1:64" ht="20.25">
      <c r="A295" s="410"/>
      <c r="B295" s="637"/>
      <c r="C295" s="637" t="s">
        <v>373</v>
      </c>
      <c r="D295" s="638">
        <v>0</v>
      </c>
      <c r="E295" s="686" t="s">
        <v>374</v>
      </c>
      <c r="F295" s="686"/>
      <c r="G295" s="686"/>
      <c r="H295" s="686"/>
      <c r="I295" s="686"/>
      <c r="J295" s="686"/>
      <c r="K295" s="686"/>
      <c r="L295" s="195"/>
      <c r="M295"/>
      <c r="N295"/>
      <c r="O295"/>
      <c r="P295"/>
      <c r="Q295" s="104"/>
      <c r="R295" s="103"/>
      <c r="S295" s="103"/>
      <c r="T295" s="103"/>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BD295" s="85"/>
      <c r="BE295" s="85"/>
      <c r="BF295" s="85"/>
      <c r="BG295" s="85"/>
      <c r="BH295" s="85"/>
      <c r="BI295" s="85"/>
      <c r="BJ295" s="85"/>
      <c r="BK295" s="85"/>
      <c r="BL295" s="85"/>
    </row>
    <row r="296" spans="1:64" ht="20.25">
      <c r="A296" s="410" t="s">
        <v>375</v>
      </c>
      <c r="B296" s="686" t="s">
        <v>692</v>
      </c>
      <c r="C296" s="686"/>
      <c r="D296" s="686"/>
      <c r="E296" s="686"/>
      <c r="F296" s="686"/>
      <c r="G296" s="686"/>
      <c r="H296" s="686"/>
      <c r="I296" s="686"/>
      <c r="J296" s="686"/>
      <c r="K296" s="686"/>
      <c r="L296" s="195"/>
      <c r="M296"/>
      <c r="N296"/>
      <c r="O296"/>
      <c r="P296"/>
      <c r="Q296" s="104"/>
      <c r="R296" s="103"/>
      <c r="S296" s="103"/>
      <c r="T296" s="103"/>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c r="BD296" s="85"/>
      <c r="BE296" s="85"/>
      <c r="BF296" s="85"/>
      <c r="BG296" s="85"/>
      <c r="BH296" s="85"/>
      <c r="BI296" s="85"/>
      <c r="BJ296" s="85"/>
      <c r="BK296" s="85"/>
      <c r="BL296" s="85"/>
    </row>
    <row r="297" spans="1:64" ht="20.25">
      <c r="A297" s="410" t="s">
        <v>376</v>
      </c>
      <c r="B297" s="686" t="s">
        <v>874</v>
      </c>
      <c r="C297" s="686"/>
      <c r="D297" s="686"/>
      <c r="E297" s="686"/>
      <c r="F297" s="686"/>
      <c r="G297" s="686"/>
      <c r="H297" s="686"/>
      <c r="I297" s="686"/>
      <c r="J297" s="686"/>
      <c r="K297" s="686"/>
      <c r="L297" s="195"/>
      <c r="M297"/>
      <c r="N297"/>
      <c r="O297"/>
      <c r="P297"/>
      <c r="Q297" s="104"/>
      <c r="R297" s="103"/>
      <c r="S297" s="103"/>
      <c r="T297" s="103"/>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c r="BD297" s="85"/>
      <c r="BE297" s="85"/>
      <c r="BF297" s="85"/>
      <c r="BG297" s="85"/>
      <c r="BH297" s="85"/>
      <c r="BI297" s="85"/>
      <c r="BJ297" s="85"/>
      <c r="BK297" s="85"/>
      <c r="BL297" s="85"/>
    </row>
    <row r="298" spans="1:64" ht="20.25">
      <c r="A298" s="410" t="s">
        <v>377</v>
      </c>
      <c r="B298" s="686" t="s">
        <v>693</v>
      </c>
      <c r="C298" s="686"/>
      <c r="D298" s="686"/>
      <c r="E298" s="686"/>
      <c r="F298" s="686"/>
      <c r="G298" s="686"/>
      <c r="H298" s="686"/>
      <c r="I298" s="686"/>
      <c r="J298" s="686"/>
      <c r="K298" s="686"/>
      <c r="L298" s="195"/>
      <c r="M298"/>
      <c r="N298"/>
      <c r="O298"/>
      <c r="P298"/>
      <c r="Q298" s="104"/>
      <c r="R298" s="103"/>
      <c r="S298" s="103"/>
      <c r="T298" s="103"/>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c r="BH298" s="85"/>
      <c r="BI298" s="85"/>
      <c r="BJ298" s="85"/>
      <c r="BK298" s="85"/>
      <c r="BL298" s="85"/>
    </row>
    <row r="299" spans="1:64" ht="20.25">
      <c r="A299" s="410" t="s">
        <v>378</v>
      </c>
      <c r="B299" s="686" t="s">
        <v>379</v>
      </c>
      <c r="C299" s="686"/>
      <c r="D299" s="686"/>
      <c r="E299" s="686"/>
      <c r="F299" s="686"/>
      <c r="G299" s="686"/>
      <c r="H299" s="686"/>
      <c r="I299" s="686"/>
      <c r="J299" s="686"/>
      <c r="K299" s="686"/>
      <c r="L299" s="195"/>
      <c r="M299"/>
      <c r="N299"/>
      <c r="O299"/>
      <c r="P299"/>
      <c r="Q299" s="104"/>
      <c r="R299" s="103"/>
      <c r="S299" s="103"/>
      <c r="T299" s="103"/>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c r="BD299" s="85"/>
      <c r="BE299" s="85"/>
      <c r="BF299" s="85"/>
      <c r="BG299" s="85"/>
      <c r="BH299" s="85"/>
      <c r="BI299" s="85"/>
      <c r="BJ299" s="85"/>
      <c r="BK299" s="85"/>
      <c r="BL299" s="85"/>
    </row>
    <row r="300" spans="1:64" ht="126" customHeight="1">
      <c r="A300" s="410" t="s">
        <v>380</v>
      </c>
      <c r="B300" s="687" t="s">
        <v>875</v>
      </c>
      <c r="C300" s="687"/>
      <c r="D300" s="687"/>
      <c r="E300" s="687"/>
      <c r="F300" s="687"/>
      <c r="G300" s="687"/>
      <c r="H300" s="687"/>
      <c r="I300" s="687"/>
      <c r="J300" s="687"/>
      <c r="K300" s="687"/>
      <c r="L300" s="195"/>
      <c r="M300"/>
      <c r="N300"/>
      <c r="O300"/>
      <c r="P300"/>
      <c r="Q300" s="104"/>
      <c r="R300" s="103"/>
      <c r="S300" s="103"/>
      <c r="T300" s="103"/>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c r="BF300" s="85"/>
      <c r="BG300" s="85"/>
      <c r="BH300" s="85"/>
      <c r="BI300" s="85"/>
      <c r="BJ300" s="85"/>
      <c r="BK300" s="85"/>
      <c r="BL300" s="85"/>
    </row>
    <row r="301" spans="1:64" ht="20.25">
      <c r="A301" s="410" t="s">
        <v>381</v>
      </c>
      <c r="B301" s="686" t="s">
        <v>694</v>
      </c>
      <c r="C301" s="686"/>
      <c r="D301" s="686"/>
      <c r="E301" s="686"/>
      <c r="F301" s="686"/>
      <c r="G301" s="686"/>
      <c r="H301" s="686"/>
      <c r="I301" s="686"/>
      <c r="J301" s="686"/>
      <c r="K301" s="686"/>
      <c r="L301" s="195"/>
      <c r="M301"/>
      <c r="N301"/>
      <c r="O301"/>
      <c r="P301"/>
      <c r="Q301" s="104"/>
      <c r="R301" s="103"/>
      <c r="S301" s="103"/>
      <c r="T301" s="103"/>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c r="BD301" s="85"/>
      <c r="BE301" s="85"/>
      <c r="BF301" s="85"/>
      <c r="BG301" s="85"/>
      <c r="BH301" s="85"/>
      <c r="BI301" s="85"/>
      <c r="BJ301" s="85"/>
      <c r="BK301" s="85"/>
      <c r="BL301" s="85"/>
    </row>
    <row r="302" spans="1:64" ht="20.25">
      <c r="A302" s="410" t="s">
        <v>382</v>
      </c>
      <c r="B302" s="686" t="s">
        <v>383</v>
      </c>
      <c r="C302" s="686"/>
      <c r="D302" s="686"/>
      <c r="E302" s="686"/>
      <c r="F302" s="686"/>
      <c r="G302" s="686"/>
      <c r="H302" s="686"/>
      <c r="I302" s="686"/>
      <c r="J302" s="686"/>
      <c r="K302" s="686"/>
      <c r="L302" s="195"/>
      <c r="M302"/>
      <c r="N302"/>
      <c r="O302"/>
      <c r="P302"/>
      <c r="Q302" s="104"/>
      <c r="R302" s="103"/>
      <c r="S302" s="103"/>
      <c r="T302" s="103"/>
      <c r="U302" s="85"/>
      <c r="V302" s="85"/>
      <c r="W302" s="85"/>
      <c r="X302" s="85"/>
      <c r="Y302" s="85"/>
      <c r="Z302" s="85"/>
      <c r="AA302" s="85"/>
      <c r="AB302" s="85"/>
      <c r="AC302" s="85"/>
      <c r="AD302" s="85"/>
      <c r="AE302" s="85"/>
      <c r="AF302" s="85"/>
      <c r="AG302" s="85"/>
      <c r="AH302" s="85"/>
      <c r="AI302" s="85"/>
      <c r="AJ302" s="85"/>
      <c r="AK302" s="85"/>
      <c r="AL302" s="85"/>
      <c r="AM302" s="85"/>
      <c r="AN302" s="85"/>
      <c r="AO302" s="85"/>
      <c r="AP302" s="85"/>
      <c r="AQ302" s="85"/>
      <c r="AR302" s="85"/>
      <c r="AS302" s="85"/>
      <c r="AT302" s="85"/>
      <c r="AU302" s="85"/>
      <c r="AV302" s="85"/>
      <c r="AW302" s="85"/>
      <c r="AX302" s="85"/>
      <c r="AY302" s="85"/>
      <c r="AZ302" s="85"/>
      <c r="BA302" s="85"/>
      <c r="BB302" s="85"/>
      <c r="BC302" s="85"/>
      <c r="BD302" s="85"/>
      <c r="BE302" s="85"/>
      <c r="BF302" s="85"/>
      <c r="BG302" s="85"/>
      <c r="BH302" s="85"/>
      <c r="BI302" s="85"/>
      <c r="BJ302" s="85"/>
      <c r="BK302" s="85"/>
      <c r="BL302" s="85"/>
    </row>
    <row r="303" spans="1:64" ht="41.25" customHeight="1">
      <c r="A303" s="410" t="s">
        <v>384</v>
      </c>
      <c r="B303" s="686" t="s">
        <v>876</v>
      </c>
      <c r="C303" s="686"/>
      <c r="D303" s="686"/>
      <c r="E303" s="686"/>
      <c r="F303" s="686"/>
      <c r="G303" s="686"/>
      <c r="H303" s="686"/>
      <c r="I303" s="686"/>
      <c r="J303" s="686"/>
      <c r="K303" s="686"/>
      <c r="L303" s="195"/>
      <c r="M303"/>
      <c r="N303"/>
      <c r="O303"/>
      <c r="P303"/>
      <c r="Q303" s="104"/>
      <c r="R303" s="103"/>
      <c r="S303" s="103"/>
      <c r="T303" s="103"/>
      <c r="U303" s="85"/>
      <c r="V303" s="85"/>
      <c r="W303" s="85"/>
      <c r="X303" s="85"/>
      <c r="Y303" s="85"/>
      <c r="Z303" s="85"/>
      <c r="AA303" s="85"/>
      <c r="AB303" s="85"/>
      <c r="AC303" s="85"/>
      <c r="AD303" s="85"/>
      <c r="AE303" s="85"/>
      <c r="AF303" s="85"/>
      <c r="AG303" s="85"/>
      <c r="AH303" s="85"/>
      <c r="AI303" s="85"/>
      <c r="AJ303" s="85"/>
      <c r="AK303" s="85"/>
      <c r="AL303" s="85"/>
      <c r="AM303" s="85"/>
      <c r="AN303" s="85"/>
      <c r="AO303" s="85"/>
      <c r="AP303" s="85"/>
      <c r="AQ303" s="85"/>
      <c r="AR303" s="85"/>
      <c r="AS303" s="85"/>
      <c r="AT303" s="85"/>
      <c r="AU303" s="85"/>
      <c r="AV303" s="85"/>
      <c r="AW303" s="85"/>
      <c r="AX303" s="85"/>
      <c r="AY303" s="85"/>
      <c r="AZ303" s="85"/>
      <c r="BA303" s="85"/>
      <c r="BB303" s="85"/>
      <c r="BC303" s="85"/>
      <c r="BD303" s="85"/>
      <c r="BE303" s="85"/>
      <c r="BF303" s="85"/>
      <c r="BG303" s="85"/>
      <c r="BH303" s="85"/>
      <c r="BI303" s="85"/>
      <c r="BJ303" s="85"/>
      <c r="BK303" s="85"/>
      <c r="BL303" s="85"/>
    </row>
    <row r="304" spans="1:64" ht="63" customHeight="1">
      <c r="A304" s="370" t="s">
        <v>385</v>
      </c>
      <c r="B304" s="685" t="s">
        <v>0</v>
      </c>
      <c r="C304" s="685"/>
      <c r="D304" s="685"/>
      <c r="E304" s="685"/>
      <c r="F304" s="685"/>
      <c r="G304" s="685"/>
      <c r="H304" s="685"/>
      <c r="I304" s="685"/>
      <c r="J304" s="685"/>
      <c r="K304" s="685"/>
      <c r="L304" s="195"/>
      <c r="M304"/>
      <c r="N304"/>
      <c r="O304"/>
      <c r="P304"/>
      <c r="Q304" s="104"/>
      <c r="R304" s="103"/>
      <c r="S304" s="103"/>
      <c r="T304" s="103"/>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c r="BF304" s="85"/>
      <c r="BG304" s="85"/>
      <c r="BH304" s="85"/>
      <c r="BI304" s="85"/>
      <c r="BJ304" s="85"/>
      <c r="BK304" s="85"/>
      <c r="BL304" s="85"/>
    </row>
    <row r="305" spans="1:64" ht="20.25">
      <c r="A305" s="370" t="s">
        <v>386</v>
      </c>
      <c r="B305" s="685" t="s">
        <v>744</v>
      </c>
      <c r="C305" s="685"/>
      <c r="D305" s="685"/>
      <c r="E305" s="685"/>
      <c r="F305" s="685"/>
      <c r="G305" s="685"/>
      <c r="H305" s="685"/>
      <c r="I305" s="685"/>
      <c r="J305" s="685"/>
      <c r="K305" s="685"/>
      <c r="L305" s="195"/>
      <c r="M305"/>
      <c r="N305"/>
      <c r="O305"/>
      <c r="P305"/>
      <c r="Q305" s="104"/>
      <c r="R305" s="103"/>
      <c r="S305" s="103"/>
      <c r="T305" s="103"/>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c r="BF305" s="85"/>
      <c r="BG305" s="85"/>
      <c r="BH305" s="85"/>
      <c r="BI305" s="85"/>
      <c r="BJ305" s="85"/>
      <c r="BK305" s="85"/>
      <c r="BL305" s="85"/>
    </row>
    <row r="306" spans="1:64" ht="20.25">
      <c r="A306" s="411" t="s">
        <v>1</v>
      </c>
      <c r="B306" s="685" t="s">
        <v>745</v>
      </c>
      <c r="C306" s="685"/>
      <c r="D306" s="685"/>
      <c r="E306" s="685"/>
      <c r="F306" s="685"/>
      <c r="G306" s="685"/>
      <c r="H306" s="685"/>
      <c r="I306" s="685"/>
      <c r="J306" s="685"/>
      <c r="K306" s="685"/>
      <c r="L306" s="195"/>
      <c r="M306"/>
      <c r="N306"/>
      <c r="O306"/>
      <c r="P306"/>
      <c r="Q306" s="104"/>
      <c r="R306" s="103"/>
      <c r="S306" s="103"/>
      <c r="T306" s="103"/>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c r="BD306" s="85"/>
      <c r="BE306" s="85"/>
      <c r="BF306" s="85"/>
      <c r="BG306" s="85"/>
      <c r="BH306" s="85"/>
      <c r="BI306" s="85"/>
      <c r="BJ306" s="85"/>
      <c r="BK306" s="85"/>
      <c r="BL306" s="85"/>
    </row>
    <row r="307" spans="1:64" ht="20.25">
      <c r="A307" s="411" t="s">
        <v>2</v>
      </c>
      <c r="B307" s="685" t="s">
        <v>877</v>
      </c>
      <c r="C307" s="685"/>
      <c r="D307" s="685"/>
      <c r="E307" s="685"/>
      <c r="F307" s="685"/>
      <c r="G307" s="685"/>
      <c r="H307" s="685"/>
      <c r="I307" s="685"/>
      <c r="J307" s="685"/>
      <c r="K307" s="685"/>
      <c r="L307" s="195"/>
      <c r="M307"/>
      <c r="N307"/>
      <c r="O307"/>
      <c r="P307"/>
      <c r="Q307" s="104"/>
      <c r="R307" s="103"/>
      <c r="S307" s="103"/>
      <c r="T307" s="103"/>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c r="BD307" s="85"/>
      <c r="BE307" s="85"/>
      <c r="BF307" s="85"/>
      <c r="BG307" s="85"/>
      <c r="BH307" s="85"/>
      <c r="BI307" s="85"/>
      <c r="BJ307" s="85"/>
      <c r="BK307" s="85"/>
      <c r="BL307" s="85"/>
    </row>
    <row r="308" spans="1:64" ht="39.75" customHeight="1">
      <c r="A308" s="370" t="s">
        <v>3</v>
      </c>
      <c r="B308" s="685" t="s">
        <v>878</v>
      </c>
      <c r="C308" s="685"/>
      <c r="D308" s="685"/>
      <c r="E308" s="685"/>
      <c r="F308" s="685"/>
      <c r="G308" s="685"/>
      <c r="H308" s="685"/>
      <c r="I308" s="685"/>
      <c r="J308" s="685"/>
      <c r="K308" s="685"/>
      <c r="L308" s="195"/>
      <c r="M308"/>
      <c r="N308"/>
      <c r="O308"/>
      <c r="P308"/>
      <c r="Q308" s="104"/>
      <c r="R308" s="103"/>
      <c r="S308" s="103"/>
      <c r="T308" s="103"/>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c r="BD308" s="85"/>
      <c r="BE308" s="85"/>
      <c r="BF308" s="85"/>
      <c r="BG308" s="85"/>
      <c r="BH308" s="85"/>
      <c r="BI308" s="85"/>
      <c r="BJ308" s="85"/>
      <c r="BK308" s="85"/>
      <c r="BL308" s="85"/>
    </row>
    <row r="309" spans="1:64" ht="20.25">
      <c r="A309" s="411" t="s">
        <v>746</v>
      </c>
      <c r="B309" s="685" t="s">
        <v>879</v>
      </c>
      <c r="C309" s="685"/>
      <c r="D309" s="685"/>
      <c r="E309" s="685"/>
      <c r="F309" s="685"/>
      <c r="G309" s="685"/>
      <c r="H309" s="685"/>
      <c r="I309" s="685"/>
      <c r="J309" s="685"/>
      <c r="K309" s="685"/>
      <c r="L309" s="195"/>
      <c r="M309"/>
      <c r="N309"/>
      <c r="O309"/>
      <c r="P309"/>
      <c r="Q309" s="104"/>
      <c r="R309" s="103"/>
      <c r="S309" s="103"/>
      <c r="T309" s="103"/>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c r="BD309" s="85"/>
      <c r="BE309" s="85"/>
      <c r="BF309" s="85"/>
      <c r="BG309" s="85"/>
      <c r="BH309" s="85"/>
      <c r="BI309" s="85"/>
      <c r="BJ309" s="85"/>
      <c r="BK309" s="85"/>
      <c r="BL309" s="85"/>
    </row>
    <row r="310" spans="1:64" ht="33.75" customHeight="1">
      <c r="A310" s="370" t="s">
        <v>747</v>
      </c>
      <c r="B310" s="685" t="s">
        <v>880</v>
      </c>
      <c r="C310" s="685"/>
      <c r="D310" s="685"/>
      <c r="E310" s="685"/>
      <c r="F310" s="685"/>
      <c r="G310" s="685"/>
      <c r="H310" s="685"/>
      <c r="I310" s="685"/>
      <c r="J310" s="685"/>
      <c r="K310" s="685"/>
      <c r="L310" s="195"/>
      <c r="M310"/>
      <c r="N310"/>
      <c r="O310"/>
      <c r="P310"/>
      <c r="Q310" s="104"/>
      <c r="R310" s="103"/>
      <c r="S310" s="103"/>
      <c r="T310" s="103"/>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c r="AZ310" s="85"/>
      <c r="BA310" s="85"/>
      <c r="BB310" s="85"/>
      <c r="BC310" s="85"/>
      <c r="BD310" s="85"/>
      <c r="BE310" s="85"/>
      <c r="BF310" s="85"/>
      <c r="BG310" s="85"/>
      <c r="BH310" s="85"/>
      <c r="BI310" s="85"/>
      <c r="BJ310" s="85"/>
      <c r="BK310" s="85"/>
      <c r="BL310" s="85"/>
    </row>
    <row r="311" spans="1:64" ht="15.75">
      <c r="A311" s="370" t="s">
        <v>748</v>
      </c>
      <c r="B311" s="640" t="s">
        <v>749</v>
      </c>
      <c r="C311" s="374"/>
      <c r="D311" s="374"/>
      <c r="E311" s="374"/>
      <c r="F311" s="374"/>
      <c r="G311" s="374"/>
      <c r="H311" s="374"/>
      <c r="I311" s="374"/>
      <c r="J311" s="374"/>
      <c r="K311" s="374"/>
      <c r="L311" s="441"/>
      <c r="M311"/>
      <c r="N311"/>
      <c r="O311"/>
      <c r="P311"/>
      <c r="Q311" s="104"/>
      <c r="R311" s="103"/>
      <c r="S311" s="103"/>
      <c r="T311" s="103"/>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5"/>
      <c r="BD311" s="85"/>
      <c r="BE311" s="85"/>
      <c r="BF311" s="85"/>
      <c r="BG311" s="85"/>
      <c r="BH311" s="85"/>
      <c r="BI311" s="85"/>
      <c r="BJ311" s="85"/>
      <c r="BK311" s="85"/>
      <c r="BL311" s="85"/>
    </row>
    <row r="312" spans="1:64" ht="15.75">
      <c r="A312" s="370" t="s">
        <v>750</v>
      </c>
      <c r="B312" s="641" t="s">
        <v>751</v>
      </c>
      <c r="C312" s="374"/>
      <c r="D312" s="374"/>
      <c r="E312" s="374"/>
      <c r="F312" s="374"/>
      <c r="G312" s="374"/>
      <c r="H312" s="374"/>
      <c r="I312" s="374"/>
      <c r="J312" s="374"/>
      <c r="K312" s="374"/>
      <c r="L312" s="441"/>
      <c r="M312"/>
      <c r="N312"/>
      <c r="O312"/>
      <c r="P312"/>
      <c r="Q312" s="104"/>
      <c r="R312" s="103"/>
      <c r="S312" s="103"/>
      <c r="T312" s="103"/>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c r="BD312" s="85"/>
      <c r="BE312" s="85"/>
      <c r="BF312" s="85"/>
      <c r="BG312" s="85"/>
      <c r="BH312" s="85"/>
      <c r="BI312" s="85"/>
      <c r="BJ312" s="85"/>
      <c r="BK312" s="85"/>
      <c r="BL312" s="85"/>
    </row>
    <row r="313" spans="1:64" ht="15.75">
      <c r="A313" s="642" t="s">
        <v>881</v>
      </c>
      <c r="B313" s="643" t="s">
        <v>882</v>
      </c>
      <c r="C313" s="441"/>
      <c r="D313" s="369"/>
      <c r="E313" s="369"/>
      <c r="F313" s="369"/>
      <c r="G313" s="369"/>
      <c r="H313" s="369"/>
      <c r="I313" s="369"/>
      <c r="J313" s="369"/>
      <c r="K313" s="369"/>
      <c r="L313" s="441"/>
      <c r="M313"/>
      <c r="N313"/>
      <c r="O313"/>
      <c r="P313"/>
      <c r="Q313" s="104"/>
      <c r="R313" s="103"/>
      <c r="S313" s="103"/>
      <c r="T313" s="103"/>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c r="BD313" s="85"/>
      <c r="BE313" s="85"/>
      <c r="BF313" s="85"/>
      <c r="BG313" s="85"/>
      <c r="BH313" s="85"/>
      <c r="BI313" s="85"/>
      <c r="BJ313" s="85"/>
      <c r="BK313" s="85"/>
      <c r="BL313" s="85"/>
    </row>
    <row r="314" spans="1:64" ht="15.75">
      <c r="A314" s="642"/>
      <c r="B314" s="643" t="s">
        <v>883</v>
      </c>
      <c r="C314" s="441"/>
      <c r="D314" s="369"/>
      <c r="E314" s="369"/>
      <c r="F314" s="369"/>
      <c r="G314" s="369"/>
      <c r="H314" s="369"/>
      <c r="I314" s="369"/>
      <c r="J314" s="369"/>
      <c r="K314" s="369"/>
      <c r="L314" s="441"/>
      <c r="M314"/>
      <c r="N314"/>
      <c r="O314"/>
      <c r="P314"/>
      <c r="Q314" s="104"/>
      <c r="R314" s="103"/>
      <c r="S314" s="103"/>
      <c r="T314" s="103"/>
      <c r="U314" s="85"/>
      <c r="V314" s="85"/>
      <c r="W314" s="85"/>
      <c r="X314" s="85"/>
      <c r="Y314" s="85"/>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c r="AZ314" s="85"/>
      <c r="BA314" s="85"/>
      <c r="BB314" s="85"/>
      <c r="BC314" s="85"/>
      <c r="BD314" s="85"/>
      <c r="BE314" s="85"/>
      <c r="BF314" s="85"/>
      <c r="BG314" s="85"/>
      <c r="BH314" s="85"/>
      <c r="BI314" s="85"/>
      <c r="BJ314" s="85"/>
      <c r="BK314" s="85"/>
      <c r="BL314" s="85"/>
    </row>
    <row r="315" spans="1:64" ht="15.75">
      <c r="A315" s="642" t="s">
        <v>884</v>
      </c>
      <c r="B315" s="643" t="s">
        <v>885</v>
      </c>
      <c r="C315" s="441"/>
      <c r="D315" s="379"/>
      <c r="E315" s="379"/>
      <c r="F315" s="379"/>
      <c r="G315" s="379"/>
      <c r="H315" s="379"/>
      <c r="I315" s="379"/>
      <c r="J315" s="379"/>
      <c r="K315" s="379"/>
      <c r="L315" s="441"/>
      <c r="M315"/>
      <c r="N315"/>
      <c r="O315"/>
      <c r="P315"/>
      <c r="Q315" s="104"/>
      <c r="R315" s="103"/>
      <c r="S315" s="103"/>
      <c r="T315" s="103"/>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c r="BD315" s="85"/>
      <c r="BE315" s="85"/>
      <c r="BF315" s="85"/>
      <c r="BG315" s="85"/>
      <c r="BH315" s="85"/>
      <c r="BI315" s="85"/>
      <c r="BJ315" s="85"/>
      <c r="BK315" s="85"/>
      <c r="BL315" s="85"/>
    </row>
    <row r="316" spans="1:64" ht="15.75">
      <c r="A316" s="642"/>
      <c r="B316" s="643" t="s">
        <v>886</v>
      </c>
      <c r="C316" s="441"/>
      <c r="D316" s="379"/>
      <c r="E316" s="379"/>
      <c r="F316" s="379"/>
      <c r="G316" s="379"/>
      <c r="H316" s="379"/>
      <c r="I316" s="379"/>
      <c r="J316" s="379"/>
      <c r="K316" s="379"/>
      <c r="L316" s="441"/>
      <c r="M316"/>
      <c r="N316"/>
      <c r="O316"/>
      <c r="P316"/>
      <c r="Q316" s="104"/>
      <c r="R316" s="103"/>
      <c r="S316" s="103"/>
      <c r="T316" s="103"/>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c r="BD316" s="85"/>
      <c r="BE316" s="85"/>
      <c r="BF316" s="85"/>
      <c r="BG316" s="85"/>
      <c r="BH316" s="85"/>
      <c r="BI316" s="85"/>
      <c r="BJ316" s="85"/>
      <c r="BK316" s="85"/>
      <c r="BL316" s="85"/>
    </row>
    <row r="317" spans="1:64" ht="37.5" customHeight="1">
      <c r="A317" s="580"/>
      <c r="B317" s="580"/>
      <c r="C317" s="580"/>
      <c r="D317" s="580"/>
      <c r="E317" s="580"/>
      <c r="F317" s="580"/>
      <c r="G317" s="580"/>
      <c r="H317" s="580"/>
      <c r="I317" s="580"/>
      <c r="J317" s="580"/>
      <c r="K317" s="580"/>
      <c r="L317" s="580"/>
      <c r="M317"/>
      <c r="N317"/>
      <c r="O317"/>
      <c r="P317"/>
      <c r="Q317" s="104"/>
      <c r="R317" s="103"/>
      <c r="S317" s="103"/>
      <c r="T317" s="103"/>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c r="BD317" s="85"/>
      <c r="BE317" s="85"/>
      <c r="BF317" s="85"/>
      <c r="BG317" s="85"/>
      <c r="BH317" s="85"/>
      <c r="BI317" s="85"/>
      <c r="BJ317" s="85"/>
      <c r="BK317" s="85"/>
      <c r="BL317" s="85"/>
    </row>
    <row r="318" spans="1:64" ht="15">
      <c r="A318" s="580"/>
      <c r="B318" s="580"/>
      <c r="C318" s="580"/>
      <c r="D318" s="580"/>
      <c r="E318" s="580"/>
      <c r="F318" s="580"/>
      <c r="G318" s="580"/>
      <c r="H318" s="580"/>
      <c r="I318" s="580"/>
      <c r="J318" s="580"/>
      <c r="K318" s="580"/>
      <c r="L318" s="580"/>
      <c r="M318"/>
      <c r="N318"/>
      <c r="O318"/>
      <c r="P318"/>
      <c r="Q318" s="104"/>
      <c r="R318" s="103"/>
      <c r="S318" s="103"/>
      <c r="T318" s="103"/>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c r="BD318" s="85"/>
      <c r="BE318" s="85"/>
      <c r="BF318" s="85"/>
      <c r="BG318" s="85"/>
      <c r="BH318" s="85"/>
      <c r="BI318" s="85"/>
      <c r="BJ318" s="85"/>
      <c r="BK318" s="85"/>
      <c r="BL318" s="85"/>
    </row>
    <row r="319" spans="1:64" ht="37.5" customHeight="1">
      <c r="A319" s="580"/>
      <c r="B319" s="580"/>
      <c r="C319" s="580"/>
      <c r="D319" s="580"/>
      <c r="E319" s="580"/>
      <c r="F319" s="580"/>
      <c r="G319" s="580"/>
      <c r="H319" s="580"/>
      <c r="I319" s="580"/>
      <c r="J319" s="580"/>
      <c r="K319" s="580"/>
      <c r="L319" s="580"/>
      <c r="M319"/>
      <c r="N319"/>
      <c r="O319"/>
      <c r="P319"/>
      <c r="Q319" s="104"/>
      <c r="R319" s="103"/>
      <c r="S319" s="103"/>
      <c r="T319" s="103"/>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c r="AZ319" s="85"/>
      <c r="BA319" s="85"/>
      <c r="BB319" s="85"/>
      <c r="BC319" s="85"/>
      <c r="BD319" s="85"/>
      <c r="BE319" s="85"/>
      <c r="BF319" s="85"/>
      <c r="BG319" s="85"/>
      <c r="BH319" s="85"/>
      <c r="BI319" s="85"/>
      <c r="BJ319" s="85"/>
      <c r="BK319" s="85"/>
      <c r="BL319" s="85"/>
    </row>
    <row r="320" spans="1:64" ht="36.75" customHeight="1">
      <c r="A320"/>
      <c r="B320"/>
      <c r="C320"/>
      <c r="D320"/>
      <c r="E320"/>
      <c r="F320"/>
      <c r="G320"/>
      <c r="H320"/>
      <c r="I320"/>
      <c r="J320"/>
      <c r="K320"/>
      <c r="L320"/>
      <c r="M320"/>
      <c r="N320"/>
      <c r="O320"/>
      <c r="P320"/>
      <c r="Q320" s="104"/>
      <c r="R320" s="103"/>
      <c r="S320" s="103"/>
      <c r="T320" s="103"/>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c r="BD320" s="85"/>
      <c r="BE320" s="85"/>
      <c r="BF320" s="85"/>
      <c r="BG320" s="85"/>
      <c r="BH320" s="85"/>
      <c r="BI320" s="85"/>
      <c r="BJ320" s="85"/>
      <c r="BK320" s="85"/>
      <c r="BL320" s="85"/>
    </row>
    <row r="321" spans="1:64" ht="15">
      <c r="A321"/>
      <c r="B321"/>
      <c r="C321"/>
      <c r="D321"/>
      <c r="E321"/>
      <c r="F321"/>
      <c r="G321"/>
      <c r="H321"/>
      <c r="I321"/>
      <c r="J321"/>
      <c r="K321"/>
      <c r="L321"/>
      <c r="M321"/>
      <c r="N321"/>
      <c r="O321"/>
      <c r="P321"/>
      <c r="Q321" s="104"/>
      <c r="R321" s="103"/>
      <c r="S321" s="103"/>
      <c r="T321" s="103"/>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c r="BD321" s="85"/>
      <c r="BE321" s="85"/>
      <c r="BF321" s="85"/>
      <c r="BG321" s="85"/>
      <c r="BH321" s="85"/>
      <c r="BI321" s="85"/>
      <c r="BJ321" s="85"/>
      <c r="BK321" s="85"/>
      <c r="BL321" s="85"/>
    </row>
    <row r="322" spans="1:64" ht="37.5" customHeight="1">
      <c r="A322"/>
      <c r="B322"/>
      <c r="C322"/>
      <c r="D322"/>
      <c r="E322"/>
      <c r="F322"/>
      <c r="G322"/>
      <c r="H322"/>
      <c r="I322"/>
      <c r="J322"/>
      <c r="K322"/>
      <c r="L322"/>
      <c r="M322"/>
      <c r="N322"/>
      <c r="O322"/>
      <c r="P322"/>
      <c r="Q322" s="104"/>
      <c r="R322" s="103"/>
      <c r="S322" s="103"/>
      <c r="T322" s="103"/>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c r="BD322" s="85"/>
      <c r="BE322" s="85"/>
      <c r="BF322" s="85"/>
      <c r="BG322" s="85"/>
      <c r="BH322" s="85"/>
      <c r="BI322" s="85"/>
      <c r="BJ322" s="85"/>
      <c r="BK322" s="85"/>
      <c r="BL322" s="85"/>
    </row>
    <row r="323" spans="1:64" ht="15">
      <c r="A323"/>
      <c r="B323"/>
      <c r="C323"/>
      <c r="D323"/>
      <c r="E323"/>
      <c r="F323"/>
      <c r="G323"/>
      <c r="H323"/>
      <c r="I323"/>
      <c r="J323"/>
      <c r="K323"/>
      <c r="L323"/>
      <c r="M323"/>
      <c r="N323"/>
      <c r="O323"/>
      <c r="P323"/>
      <c r="Q323" s="104"/>
      <c r="R323" s="103"/>
      <c r="S323" s="103"/>
      <c r="T323" s="103"/>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5"/>
      <c r="BD323" s="85"/>
      <c r="BE323" s="85"/>
      <c r="BF323" s="85"/>
      <c r="BG323" s="85"/>
      <c r="BH323" s="85"/>
      <c r="BI323" s="85"/>
      <c r="BJ323" s="85"/>
      <c r="BK323" s="85"/>
      <c r="BL323" s="85"/>
    </row>
    <row r="324" spans="1:64" ht="15">
      <c r="A324"/>
      <c r="B324"/>
      <c r="C324"/>
      <c r="D324"/>
      <c r="E324"/>
      <c r="F324"/>
      <c r="G324"/>
      <c r="H324"/>
      <c r="I324"/>
      <c r="J324"/>
      <c r="K324"/>
      <c r="L324"/>
      <c r="M324"/>
      <c r="N324"/>
      <c r="O324"/>
      <c r="P324"/>
      <c r="Q324" s="104"/>
      <c r="R324" s="103"/>
      <c r="S324" s="103"/>
      <c r="T324" s="103"/>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c r="BD324" s="85"/>
      <c r="BE324" s="85"/>
      <c r="BF324" s="85"/>
      <c r="BG324" s="85"/>
      <c r="BH324" s="85"/>
      <c r="BI324" s="85"/>
      <c r="BJ324" s="85"/>
      <c r="BK324" s="85"/>
      <c r="BL324" s="85"/>
    </row>
    <row r="325" spans="1:64" ht="15">
      <c r="A325"/>
      <c r="B325"/>
      <c r="C325"/>
      <c r="D325"/>
      <c r="E325"/>
      <c r="F325"/>
      <c r="G325"/>
      <c r="H325"/>
      <c r="I325"/>
      <c r="J325"/>
      <c r="K325"/>
      <c r="L325"/>
      <c r="M325"/>
      <c r="N325"/>
      <c r="O325"/>
      <c r="P325"/>
      <c r="Q325" s="104"/>
      <c r="R325" s="103"/>
      <c r="S325" s="103"/>
      <c r="T325" s="103"/>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c r="BD325" s="85"/>
      <c r="BE325" s="85"/>
      <c r="BF325" s="85"/>
      <c r="BG325" s="85"/>
      <c r="BH325" s="85"/>
      <c r="BI325" s="85"/>
      <c r="BJ325" s="85"/>
      <c r="BK325" s="85"/>
      <c r="BL325" s="85"/>
    </row>
    <row r="326" spans="1:64" ht="15">
      <c r="A326"/>
      <c r="B326"/>
      <c r="C326"/>
      <c r="D326"/>
      <c r="E326"/>
      <c r="F326"/>
      <c r="G326"/>
      <c r="H326"/>
      <c r="I326"/>
      <c r="J326"/>
      <c r="K326"/>
      <c r="L326"/>
      <c r="M326"/>
      <c r="N326"/>
      <c r="O326"/>
      <c r="P326"/>
      <c r="Q326" s="104"/>
      <c r="R326" s="103"/>
      <c r="S326" s="103"/>
      <c r="T326" s="103"/>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5"/>
      <c r="BD326" s="85"/>
      <c r="BE326" s="85"/>
      <c r="BF326" s="85"/>
      <c r="BG326" s="85"/>
      <c r="BH326" s="85"/>
      <c r="BI326" s="85"/>
      <c r="BJ326" s="85"/>
      <c r="BK326" s="85"/>
      <c r="BL326" s="85"/>
    </row>
    <row r="327" spans="1:64" ht="38.25" customHeight="1">
      <c r="A327"/>
      <c r="B327"/>
      <c r="C327"/>
      <c r="D327"/>
      <c r="E327"/>
      <c r="F327"/>
      <c r="G327"/>
      <c r="H327"/>
      <c r="I327"/>
      <c r="J327"/>
      <c r="K327"/>
      <c r="L327"/>
      <c r="M327"/>
      <c r="N327"/>
      <c r="O327"/>
      <c r="P327"/>
      <c r="Q327" s="104"/>
      <c r="R327" s="103"/>
      <c r="S327" s="103"/>
      <c r="T327" s="103"/>
      <c r="U327" s="85"/>
      <c r="V327" s="85"/>
      <c r="W327" s="85"/>
      <c r="X327" s="85"/>
      <c r="Y327" s="85"/>
      <c r="Z327" s="85"/>
      <c r="AA327" s="85"/>
      <c r="AB327" s="85"/>
      <c r="AC327" s="85"/>
      <c r="AD327" s="85"/>
      <c r="AE327" s="85"/>
      <c r="AF327" s="85"/>
      <c r="AG327" s="85"/>
      <c r="AH327" s="85"/>
      <c r="AI327" s="85"/>
      <c r="AJ327" s="85"/>
      <c r="AK327" s="85"/>
      <c r="AL327" s="85"/>
      <c r="AM327" s="85"/>
      <c r="AN327" s="85"/>
      <c r="AO327" s="85"/>
      <c r="AP327" s="85"/>
      <c r="AQ327" s="85"/>
      <c r="AR327" s="85"/>
      <c r="AS327" s="85"/>
      <c r="AT327" s="85"/>
      <c r="AU327" s="85"/>
      <c r="AV327" s="85"/>
      <c r="AW327" s="85"/>
      <c r="AX327" s="85"/>
      <c r="AY327" s="85"/>
      <c r="AZ327" s="85"/>
      <c r="BA327" s="85"/>
      <c r="BB327" s="85"/>
      <c r="BC327" s="85"/>
      <c r="BD327" s="85"/>
      <c r="BE327" s="85"/>
      <c r="BF327" s="85"/>
      <c r="BG327" s="85"/>
      <c r="BH327" s="85"/>
      <c r="BI327" s="85"/>
      <c r="BJ327" s="85"/>
      <c r="BK327" s="85"/>
      <c r="BL327" s="85"/>
    </row>
    <row r="328" spans="1:64" ht="37.5" customHeight="1">
      <c r="A328"/>
      <c r="B328"/>
      <c r="C328"/>
      <c r="D328"/>
      <c r="E328"/>
      <c r="F328"/>
      <c r="G328"/>
      <c r="H328"/>
      <c r="I328"/>
      <c r="J328"/>
      <c r="K328"/>
      <c r="L328"/>
      <c r="M328"/>
      <c r="N328"/>
      <c r="O328"/>
      <c r="P328"/>
      <c r="Q328" s="104"/>
      <c r="R328" s="103"/>
      <c r="S328" s="103"/>
      <c r="T328" s="103"/>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c r="BD328" s="85"/>
      <c r="BE328" s="85"/>
      <c r="BF328" s="85"/>
      <c r="BG328" s="85"/>
      <c r="BH328" s="85"/>
      <c r="BI328" s="85"/>
      <c r="BJ328" s="85"/>
      <c r="BK328" s="85"/>
      <c r="BL328" s="85"/>
    </row>
    <row r="329" spans="1:64" ht="34.5" customHeight="1">
      <c r="A329"/>
      <c r="B329"/>
      <c r="C329"/>
      <c r="D329"/>
      <c r="E329"/>
      <c r="F329"/>
      <c r="G329"/>
      <c r="H329"/>
      <c r="I329"/>
      <c r="J329"/>
      <c r="K329"/>
      <c r="L329"/>
      <c r="M329"/>
      <c r="N329"/>
      <c r="O329"/>
      <c r="P329"/>
      <c r="Q329" s="104"/>
      <c r="R329" s="103"/>
      <c r="S329" s="103"/>
      <c r="T329" s="103"/>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c r="BD329" s="85"/>
      <c r="BE329" s="85"/>
      <c r="BF329" s="85"/>
      <c r="BG329" s="85"/>
      <c r="BH329" s="85"/>
      <c r="BI329" s="85"/>
      <c r="BJ329" s="85"/>
      <c r="BK329" s="85"/>
      <c r="BL329" s="85"/>
    </row>
    <row r="330" spans="1:64" ht="15">
      <c r="A330"/>
      <c r="B330"/>
      <c r="C330"/>
      <c r="D330"/>
      <c r="E330"/>
      <c r="F330"/>
      <c r="G330"/>
      <c r="H330"/>
      <c r="I330"/>
      <c r="J330"/>
      <c r="K330"/>
      <c r="L330"/>
      <c r="M330"/>
      <c r="N330"/>
      <c r="O330"/>
      <c r="P330"/>
      <c r="Q330" s="104"/>
      <c r="R330" s="103"/>
      <c r="S330" s="103"/>
      <c r="T330" s="103"/>
      <c r="U330" s="85"/>
      <c r="V330" s="85"/>
      <c r="W330" s="85"/>
      <c r="X330" s="85"/>
      <c r="Y330" s="85"/>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5"/>
      <c r="BD330" s="85"/>
      <c r="BE330" s="85"/>
      <c r="BF330" s="85"/>
      <c r="BG330" s="85"/>
      <c r="BH330" s="85"/>
      <c r="BI330" s="85"/>
      <c r="BJ330" s="85"/>
      <c r="BK330" s="85"/>
      <c r="BL330" s="85"/>
    </row>
    <row r="331" spans="1:64" ht="38.25" customHeight="1">
      <c r="A331"/>
      <c r="B331"/>
      <c r="C331"/>
      <c r="D331"/>
      <c r="E331"/>
      <c r="F331"/>
      <c r="G331"/>
      <c r="H331"/>
      <c r="I331"/>
      <c r="J331"/>
      <c r="K331"/>
      <c r="L331"/>
      <c r="M331"/>
      <c r="N331"/>
      <c r="O331"/>
      <c r="P331"/>
      <c r="Q331" s="104"/>
      <c r="R331" s="103"/>
      <c r="S331" s="103"/>
      <c r="T331" s="103"/>
      <c r="U331" s="85"/>
      <c r="V331" s="85"/>
      <c r="W331" s="85"/>
      <c r="X331" s="85"/>
      <c r="Y331" s="85"/>
      <c r="Z331" s="85"/>
      <c r="AA331" s="85"/>
      <c r="AB331" s="85"/>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c r="AY331" s="85"/>
      <c r="AZ331" s="85"/>
      <c r="BA331" s="85"/>
      <c r="BB331" s="85"/>
      <c r="BC331" s="85"/>
      <c r="BD331" s="85"/>
      <c r="BE331" s="85"/>
      <c r="BF331" s="85"/>
      <c r="BG331" s="85"/>
      <c r="BH331" s="85"/>
      <c r="BI331" s="85"/>
      <c r="BJ331" s="85"/>
      <c r="BK331" s="85"/>
      <c r="BL331" s="85"/>
    </row>
    <row r="332" spans="1:64" ht="30.75" customHeight="1">
      <c r="A332"/>
      <c r="B332"/>
      <c r="C332"/>
      <c r="D332"/>
      <c r="E332"/>
      <c r="F332"/>
      <c r="G332"/>
      <c r="H332"/>
      <c r="I332"/>
      <c r="J332"/>
      <c r="K332"/>
      <c r="L332"/>
      <c r="M332"/>
      <c r="N332"/>
      <c r="O332"/>
      <c r="P332"/>
      <c r="Q332" s="104"/>
      <c r="R332" s="103"/>
      <c r="S332" s="103"/>
      <c r="T332" s="103"/>
      <c r="U332" s="85"/>
      <c r="V332" s="85"/>
      <c r="W332" s="85"/>
      <c r="X332" s="85"/>
      <c r="Y332" s="85"/>
      <c r="Z332" s="85"/>
      <c r="AA332" s="85"/>
      <c r="AB332" s="85"/>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c r="BD332" s="85"/>
      <c r="BE332" s="85"/>
      <c r="BF332" s="85"/>
      <c r="BG332" s="85"/>
      <c r="BH332" s="85"/>
      <c r="BI332" s="85"/>
      <c r="BJ332" s="85"/>
      <c r="BK332" s="85"/>
      <c r="BL332" s="85"/>
    </row>
    <row r="333" spans="1:64" ht="26.25" customHeight="1">
      <c r="A333" s="373"/>
      <c r="B333" s="374"/>
      <c r="C333" s="374"/>
      <c r="D333" s="374"/>
      <c r="E333" s="374"/>
      <c r="F333" s="374"/>
      <c r="G333" s="374"/>
      <c r="H333" s="374"/>
      <c r="I333" s="374"/>
      <c r="J333" s="374"/>
      <c r="K333" s="375"/>
      <c r="L333" s="376"/>
      <c r="M333" s="368"/>
      <c r="N333" s="103"/>
      <c r="O333" s="196"/>
      <c r="P333" s="104"/>
      <c r="Q333" s="104"/>
      <c r="R333" s="103"/>
      <c r="S333" s="103"/>
      <c r="T333" s="103"/>
      <c r="U333" s="85"/>
      <c r="V333" s="85"/>
      <c r="W333" s="85"/>
      <c r="X333" s="85"/>
      <c r="Y333" s="85"/>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c r="BD333" s="85"/>
      <c r="BE333" s="85"/>
      <c r="BF333" s="85"/>
      <c r="BG333" s="85"/>
      <c r="BH333" s="85"/>
      <c r="BI333" s="85"/>
      <c r="BJ333" s="85"/>
      <c r="BK333" s="85"/>
      <c r="BL333" s="85"/>
    </row>
    <row r="334" spans="1:64" ht="38.25" customHeight="1">
      <c r="A334" s="373"/>
      <c r="B334" s="374"/>
      <c r="C334" s="374"/>
      <c r="D334" s="374"/>
      <c r="E334" s="374"/>
      <c r="F334" s="374"/>
      <c r="G334" s="374"/>
      <c r="H334" s="374"/>
      <c r="I334" s="374"/>
      <c r="J334" s="374"/>
      <c r="K334" s="375"/>
      <c r="L334" s="376"/>
      <c r="M334" s="368"/>
      <c r="N334" s="103"/>
      <c r="O334" s="196"/>
      <c r="P334" s="104"/>
      <c r="Q334" s="104"/>
      <c r="R334" s="103"/>
      <c r="S334" s="103"/>
      <c r="T334" s="103"/>
      <c r="U334" s="85"/>
      <c r="V334" s="85"/>
      <c r="W334" s="85"/>
      <c r="X334" s="85"/>
      <c r="Y334" s="85"/>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c r="BD334" s="85"/>
      <c r="BE334" s="85"/>
      <c r="BF334" s="85"/>
      <c r="BG334" s="85"/>
      <c r="BH334" s="85"/>
      <c r="BI334" s="85"/>
      <c r="BJ334" s="85"/>
      <c r="BK334" s="85"/>
      <c r="BL334" s="85"/>
    </row>
    <row r="335" spans="1:64" ht="52.5" customHeight="1">
      <c r="A335" s="373"/>
      <c r="B335" s="374"/>
      <c r="C335" s="374"/>
      <c r="D335" s="374"/>
      <c r="E335" s="374"/>
      <c r="F335" s="374"/>
      <c r="G335" s="374"/>
      <c r="H335" s="374"/>
      <c r="I335" s="374"/>
      <c r="J335" s="374"/>
      <c r="K335" s="375"/>
      <c r="L335" s="376"/>
      <c r="M335" s="368"/>
      <c r="N335" s="103"/>
      <c r="O335" s="196"/>
      <c r="P335" s="104"/>
      <c r="Q335" s="104"/>
      <c r="R335" s="103"/>
      <c r="S335" s="103"/>
      <c r="T335" s="103"/>
      <c r="U335" s="85"/>
      <c r="V335" s="85"/>
      <c r="W335" s="85"/>
      <c r="X335" s="85"/>
      <c r="Y335" s="85"/>
      <c r="Z335" s="85"/>
      <c r="AA335" s="85"/>
      <c r="AB335" s="85"/>
      <c r="AC335" s="85"/>
      <c r="AD335" s="85"/>
      <c r="AE335" s="85"/>
      <c r="AF335" s="85"/>
      <c r="AG335" s="85"/>
      <c r="AH335" s="85"/>
      <c r="AI335" s="85"/>
      <c r="AJ335" s="85"/>
      <c r="AK335" s="85"/>
      <c r="AL335" s="85"/>
      <c r="AM335" s="85"/>
      <c r="AN335" s="85"/>
      <c r="AO335" s="85"/>
      <c r="AP335" s="85"/>
      <c r="AQ335" s="85"/>
      <c r="AR335" s="85"/>
      <c r="AS335" s="85"/>
      <c r="AT335" s="85"/>
      <c r="AU335" s="85"/>
      <c r="AV335" s="85"/>
      <c r="AW335" s="85"/>
      <c r="AX335" s="85"/>
      <c r="AY335" s="85"/>
      <c r="AZ335" s="85"/>
      <c r="BA335" s="85"/>
      <c r="BB335" s="85"/>
      <c r="BC335" s="85"/>
      <c r="BD335" s="85"/>
      <c r="BE335" s="85"/>
      <c r="BF335" s="85"/>
      <c r="BG335" s="85"/>
      <c r="BH335" s="85"/>
      <c r="BI335" s="85"/>
      <c r="BJ335" s="85"/>
      <c r="BK335" s="85"/>
      <c r="BL335" s="85"/>
    </row>
    <row r="336" spans="1:64" ht="24" customHeight="1">
      <c r="A336" s="373"/>
      <c r="B336" s="374"/>
      <c r="C336" s="374"/>
      <c r="D336" s="374"/>
      <c r="E336" s="374"/>
      <c r="F336" s="374"/>
      <c r="G336" s="374"/>
      <c r="H336" s="374"/>
      <c r="I336" s="374"/>
      <c r="J336" s="374"/>
      <c r="K336" s="375"/>
      <c r="L336" s="376"/>
      <c r="M336" s="368"/>
      <c r="N336" s="103"/>
      <c r="O336" s="196"/>
      <c r="P336" s="104"/>
      <c r="Q336" s="104"/>
      <c r="R336" s="103"/>
      <c r="S336" s="103"/>
      <c r="T336" s="103"/>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c r="BD336" s="85"/>
      <c r="BE336" s="85"/>
      <c r="BF336" s="85"/>
      <c r="BG336" s="85"/>
      <c r="BH336" s="85"/>
      <c r="BI336" s="85"/>
      <c r="BJ336" s="85"/>
      <c r="BK336" s="85"/>
      <c r="BL336" s="85"/>
    </row>
    <row r="337" spans="1:64" ht="26.25" customHeight="1">
      <c r="A337" s="370"/>
      <c r="B337" s="369"/>
      <c r="C337" s="369"/>
      <c r="D337" s="369"/>
      <c r="E337" s="369"/>
      <c r="F337" s="369"/>
      <c r="G337" s="369"/>
      <c r="H337" s="369"/>
      <c r="I337" s="369"/>
      <c r="J337" s="369"/>
      <c r="K337" s="375"/>
      <c r="L337" s="376"/>
      <c r="M337" s="371"/>
      <c r="N337" s="103"/>
      <c r="O337" s="196"/>
      <c r="P337" s="104"/>
      <c r="Q337" s="104"/>
      <c r="R337" s="103"/>
      <c r="S337" s="103"/>
      <c r="T337" s="103"/>
      <c r="U337" s="85"/>
      <c r="V337" s="85"/>
      <c r="W337" s="85"/>
      <c r="X337" s="85"/>
      <c r="Y337" s="85"/>
      <c r="Z337" s="85"/>
      <c r="AA337" s="85"/>
      <c r="AB337" s="85"/>
      <c r="AC337" s="85"/>
      <c r="AD337" s="85"/>
      <c r="AE337" s="85"/>
      <c r="AF337" s="85"/>
      <c r="AG337" s="85"/>
      <c r="AH337" s="85"/>
      <c r="AI337" s="85"/>
      <c r="AJ337" s="85"/>
      <c r="AK337" s="85"/>
      <c r="AL337" s="85"/>
      <c r="AM337" s="85"/>
      <c r="AN337" s="85"/>
      <c r="AO337" s="85"/>
      <c r="AP337" s="85"/>
      <c r="AQ337" s="85"/>
      <c r="AR337" s="85"/>
      <c r="AS337" s="85"/>
      <c r="AT337" s="85"/>
      <c r="AU337" s="85"/>
      <c r="AV337" s="85"/>
      <c r="AW337" s="85"/>
      <c r="AX337" s="85"/>
      <c r="AY337" s="85"/>
      <c r="AZ337" s="85"/>
      <c r="BA337" s="85"/>
      <c r="BB337" s="85"/>
      <c r="BC337" s="85"/>
      <c r="BD337" s="85"/>
      <c r="BE337" s="85"/>
      <c r="BF337" s="85"/>
      <c r="BG337" s="85"/>
      <c r="BH337" s="85"/>
      <c r="BI337" s="85"/>
      <c r="BJ337" s="85"/>
      <c r="BK337" s="85"/>
      <c r="BL337" s="85"/>
    </row>
    <row r="338" spans="1:64" ht="32.25" customHeight="1">
      <c r="A338" s="370"/>
      <c r="B338" s="369"/>
      <c r="C338" s="369"/>
      <c r="D338" s="369"/>
      <c r="E338" s="369"/>
      <c r="F338" s="369"/>
      <c r="G338" s="369"/>
      <c r="H338" s="369"/>
      <c r="I338" s="369"/>
      <c r="J338" s="369"/>
      <c r="K338" s="367"/>
      <c r="L338" s="365"/>
      <c r="M338" s="371"/>
      <c r="N338" s="103"/>
      <c r="O338" s="196"/>
      <c r="P338" s="104"/>
      <c r="Q338" s="104"/>
      <c r="R338" s="103"/>
      <c r="S338" s="103"/>
      <c r="T338" s="103"/>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c r="BD338" s="85"/>
      <c r="BE338" s="85"/>
      <c r="BF338" s="85"/>
      <c r="BG338" s="85"/>
      <c r="BH338" s="85"/>
      <c r="BI338" s="85"/>
      <c r="BJ338" s="85"/>
      <c r="BK338" s="85"/>
      <c r="BL338" s="85"/>
    </row>
    <row r="339" spans="1:64" ht="36" customHeight="1">
      <c r="A339" s="370"/>
      <c r="B339" s="369"/>
      <c r="C339" s="369"/>
      <c r="D339" s="369"/>
      <c r="E339" s="369"/>
      <c r="F339" s="369"/>
      <c r="G339" s="369"/>
      <c r="H339" s="369"/>
      <c r="I339" s="369"/>
      <c r="J339" s="369"/>
      <c r="K339" s="367"/>
      <c r="L339" s="365"/>
      <c r="M339" s="372"/>
      <c r="N339" s="103"/>
      <c r="O339" s="196"/>
      <c r="P339" s="104"/>
      <c r="Q339" s="104"/>
      <c r="R339" s="103"/>
      <c r="S339" s="103"/>
      <c r="T339" s="103"/>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c r="BD339" s="85"/>
      <c r="BE339" s="85"/>
      <c r="BF339" s="85"/>
      <c r="BG339" s="85"/>
      <c r="BH339" s="85"/>
      <c r="BI339" s="85"/>
      <c r="BJ339" s="85"/>
      <c r="BK339" s="85"/>
      <c r="BL339" s="85"/>
    </row>
    <row r="340" spans="1:64" customFormat="1"/>
    <row r="341" spans="1:64" customFormat="1"/>
    <row r="342" spans="1:64" ht="18.75">
      <c r="A342" s="368"/>
      <c r="B342" s="379"/>
      <c r="C342" s="379"/>
      <c r="D342" s="379"/>
      <c r="E342" s="379"/>
      <c r="F342" s="379"/>
      <c r="G342" s="379"/>
      <c r="H342" s="379"/>
      <c r="I342" s="379"/>
      <c r="J342" s="379"/>
      <c r="K342" s="367"/>
      <c r="L342" s="365"/>
      <c r="M342" s="377"/>
      <c r="N342" s="198"/>
      <c r="O342" s="196"/>
      <c r="P342" s="104"/>
      <c r="Q342" s="104"/>
      <c r="R342" s="103"/>
      <c r="S342" s="103"/>
      <c r="T342" s="103"/>
      <c r="U342" s="85"/>
      <c r="V342" s="85"/>
      <c r="W342" s="85"/>
      <c r="X342" s="85"/>
      <c r="Y342" s="85"/>
      <c r="Z342" s="85"/>
      <c r="AA342" s="85"/>
      <c r="AB342" s="85"/>
      <c r="AC342" s="85"/>
      <c r="AD342" s="85"/>
      <c r="AE342" s="85"/>
      <c r="AF342" s="85"/>
      <c r="AG342" s="85"/>
      <c r="AH342" s="85"/>
      <c r="AI342" s="85"/>
      <c r="AJ342" s="85"/>
      <c r="AK342" s="85"/>
      <c r="AL342" s="85"/>
      <c r="AM342" s="85"/>
      <c r="AN342" s="85"/>
      <c r="AO342" s="85"/>
      <c r="AP342" s="85"/>
      <c r="AQ342" s="85"/>
      <c r="AR342" s="85"/>
      <c r="AS342" s="85"/>
      <c r="AT342" s="85"/>
      <c r="AU342" s="85"/>
      <c r="AV342" s="85"/>
      <c r="AW342" s="85"/>
      <c r="AX342" s="85"/>
      <c r="AY342" s="85"/>
      <c r="AZ342" s="85"/>
      <c r="BA342" s="85"/>
      <c r="BB342" s="85"/>
      <c r="BC342" s="85"/>
      <c r="BD342" s="85"/>
      <c r="BE342" s="85"/>
      <c r="BF342" s="85"/>
      <c r="BG342" s="85"/>
      <c r="BH342" s="85"/>
      <c r="BI342" s="85"/>
      <c r="BJ342" s="85"/>
      <c r="BK342" s="85"/>
      <c r="BL342" s="85"/>
    </row>
    <row r="343" spans="1:64" ht="18.75">
      <c r="A343" s="368"/>
      <c r="B343" s="379"/>
      <c r="C343" s="379"/>
      <c r="D343" s="379"/>
      <c r="E343" s="379"/>
      <c r="F343" s="379"/>
      <c r="G343" s="379"/>
      <c r="H343" s="379"/>
      <c r="I343" s="379"/>
      <c r="J343" s="379"/>
      <c r="K343" s="367"/>
      <c r="L343" s="365"/>
      <c r="M343" s="377"/>
      <c r="N343" s="198"/>
      <c r="O343" s="196"/>
      <c r="P343" s="104"/>
      <c r="Q343" s="104"/>
      <c r="R343" s="103"/>
      <c r="S343" s="103"/>
      <c r="T343" s="103"/>
      <c r="U343" s="85"/>
      <c r="V343" s="85"/>
      <c r="W343" s="85"/>
      <c r="X343" s="85"/>
      <c r="Y343" s="85"/>
      <c r="Z343" s="85"/>
      <c r="AA343" s="85"/>
      <c r="AB343" s="85"/>
      <c r="AC343" s="85"/>
      <c r="AD343" s="85"/>
      <c r="AE343" s="85"/>
      <c r="AF343" s="85"/>
      <c r="AG343" s="85"/>
      <c r="AH343" s="85"/>
      <c r="AI343" s="85"/>
      <c r="AJ343" s="85"/>
      <c r="AK343" s="85"/>
      <c r="AL343" s="85"/>
      <c r="AM343" s="85"/>
      <c r="AN343" s="85"/>
      <c r="AO343" s="85"/>
      <c r="AP343" s="85"/>
      <c r="AQ343" s="85"/>
      <c r="AR343" s="85"/>
      <c r="AS343" s="85"/>
      <c r="AT343" s="85"/>
      <c r="AU343" s="85"/>
      <c r="AV343" s="85"/>
      <c r="AW343" s="85"/>
      <c r="AX343" s="85"/>
      <c r="AY343" s="85"/>
      <c r="AZ343" s="85"/>
      <c r="BA343" s="85"/>
      <c r="BB343" s="85"/>
      <c r="BC343" s="85"/>
      <c r="BD343" s="85"/>
      <c r="BE343" s="85"/>
      <c r="BF343" s="85"/>
      <c r="BG343" s="85"/>
      <c r="BH343" s="85"/>
      <c r="BI343" s="85"/>
      <c r="BJ343" s="85"/>
      <c r="BK343" s="85"/>
      <c r="BL343" s="85"/>
    </row>
    <row r="344" spans="1:64" ht="18.75">
      <c r="A344" s="368"/>
      <c r="B344" s="379"/>
      <c r="C344" s="379"/>
      <c r="D344" s="379"/>
      <c r="E344" s="379"/>
      <c r="F344" s="379"/>
      <c r="G344" s="379"/>
      <c r="H344" s="379"/>
      <c r="I344" s="379"/>
      <c r="J344" s="379"/>
      <c r="K344" s="365"/>
      <c r="L344" s="365"/>
      <c r="M344" s="377"/>
      <c r="N344" s="198"/>
      <c r="O344" s="196"/>
      <c r="P344" s="104"/>
      <c r="Q344" s="104"/>
      <c r="R344" s="103"/>
      <c r="S344" s="103"/>
      <c r="T344" s="103"/>
      <c r="U344" s="85"/>
      <c r="V344" s="85"/>
      <c r="W344" s="85"/>
      <c r="X344" s="85"/>
      <c r="Y344" s="85"/>
      <c r="Z344" s="85"/>
      <c r="AA344" s="85"/>
      <c r="AB344" s="85"/>
      <c r="AC344" s="85"/>
      <c r="AD344" s="85"/>
      <c r="AE344" s="85"/>
      <c r="AF344" s="85"/>
      <c r="AG344" s="85"/>
      <c r="AH344" s="85"/>
      <c r="AI344" s="85"/>
      <c r="AJ344" s="85"/>
      <c r="AK344" s="85"/>
      <c r="AL344" s="85"/>
      <c r="AM344" s="85"/>
      <c r="AN344" s="85"/>
      <c r="AO344" s="85"/>
      <c r="AP344" s="85"/>
      <c r="AQ344" s="85"/>
      <c r="AR344" s="85"/>
      <c r="AS344" s="85"/>
      <c r="AT344" s="85"/>
      <c r="AU344" s="85"/>
      <c r="AV344" s="85"/>
      <c r="AW344" s="85"/>
      <c r="AX344" s="85"/>
      <c r="AY344" s="85"/>
      <c r="AZ344" s="85"/>
      <c r="BA344" s="85"/>
      <c r="BB344" s="85"/>
      <c r="BC344" s="85"/>
      <c r="BD344" s="85"/>
      <c r="BE344" s="85"/>
      <c r="BF344" s="85"/>
      <c r="BG344" s="85"/>
      <c r="BH344" s="85"/>
      <c r="BI344" s="85"/>
      <c r="BJ344" s="85"/>
      <c r="BK344" s="85"/>
      <c r="BL344" s="85"/>
    </row>
    <row r="345" spans="1:64" ht="20.25">
      <c r="A345" s="201"/>
      <c r="B345" s="200"/>
      <c r="C345" s="200"/>
      <c r="D345" s="200"/>
      <c r="E345" s="200"/>
      <c r="F345" s="200"/>
      <c r="G345" s="200"/>
      <c r="H345" s="200"/>
      <c r="I345" s="200"/>
      <c r="J345" s="195"/>
      <c r="K345" s="195"/>
      <c r="L345" s="195"/>
      <c r="M345" s="377"/>
      <c r="N345" s="198"/>
      <c r="O345" s="199"/>
      <c r="P345" s="104"/>
      <c r="Q345" s="104"/>
      <c r="R345" s="103"/>
      <c r="S345" s="103"/>
      <c r="T345" s="103"/>
      <c r="U345" s="85"/>
      <c r="V345" s="85"/>
      <c r="W345" s="85"/>
      <c r="X345" s="85"/>
      <c r="Y345" s="85"/>
      <c r="Z345" s="85"/>
      <c r="AA345" s="85"/>
      <c r="AB345" s="85"/>
      <c r="AC345" s="85"/>
      <c r="AD345" s="85"/>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5"/>
      <c r="BC345" s="85"/>
      <c r="BD345" s="85"/>
      <c r="BE345" s="85"/>
      <c r="BF345" s="85"/>
      <c r="BG345" s="85"/>
      <c r="BH345" s="85"/>
      <c r="BI345" s="85"/>
      <c r="BJ345" s="85"/>
      <c r="BK345" s="85"/>
      <c r="BL345" s="85"/>
    </row>
    <row r="346" spans="1:64" ht="20.25">
      <c r="A346" s="201"/>
      <c r="B346" s="200"/>
      <c r="C346" s="200"/>
      <c r="D346" s="200"/>
      <c r="E346" s="200"/>
      <c r="F346" s="200"/>
      <c r="G346" s="200"/>
      <c r="H346" s="200"/>
      <c r="I346" s="200"/>
      <c r="J346" s="195"/>
      <c r="K346" s="195"/>
      <c r="L346" s="195"/>
      <c r="M346" s="368"/>
      <c r="N346" s="198"/>
      <c r="O346" s="199"/>
      <c r="P346" s="104"/>
      <c r="Q346" s="104"/>
      <c r="R346" s="103"/>
      <c r="S346" s="103"/>
      <c r="T346" s="103"/>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BD346" s="85"/>
      <c r="BE346" s="85"/>
      <c r="BF346" s="85"/>
      <c r="BG346" s="85"/>
      <c r="BH346" s="85"/>
      <c r="BI346" s="85"/>
      <c r="BJ346" s="85"/>
      <c r="BK346" s="85"/>
      <c r="BL346" s="85"/>
    </row>
    <row r="347" spans="1:64" ht="20.25">
      <c r="A347" s="201"/>
      <c r="B347" s="200"/>
      <c r="C347" s="200"/>
      <c r="D347" s="200"/>
      <c r="E347" s="200"/>
      <c r="F347" s="200"/>
      <c r="G347" s="200"/>
      <c r="H347" s="200"/>
      <c r="I347" s="200"/>
      <c r="J347" s="195"/>
      <c r="K347" s="195"/>
      <c r="L347" s="195"/>
      <c r="M347" s="368"/>
      <c r="N347" s="198"/>
      <c r="O347" s="196"/>
      <c r="P347" s="104"/>
      <c r="Q347" s="104"/>
      <c r="R347" s="103"/>
      <c r="S347" s="103"/>
      <c r="T347" s="103"/>
      <c r="U347" s="85"/>
      <c r="V347" s="85"/>
      <c r="W347" s="85"/>
      <c r="X347" s="85"/>
      <c r="Y347" s="85"/>
      <c r="Z347" s="85"/>
      <c r="AA347" s="85"/>
      <c r="AB347" s="85"/>
      <c r="AC347" s="85"/>
      <c r="AD347" s="85"/>
      <c r="AE347" s="85"/>
      <c r="AF347" s="85"/>
      <c r="AG347" s="85"/>
      <c r="AH347" s="85"/>
      <c r="AI347" s="85"/>
      <c r="AJ347" s="85"/>
      <c r="AK347" s="85"/>
      <c r="AL347" s="85"/>
      <c r="AM347" s="85"/>
      <c r="AN347" s="85"/>
      <c r="AO347" s="85"/>
      <c r="AP347" s="85"/>
      <c r="AQ347" s="85"/>
      <c r="AR347" s="85"/>
      <c r="AS347" s="85"/>
      <c r="AT347" s="85"/>
      <c r="AU347" s="85"/>
      <c r="AV347" s="85"/>
      <c r="AW347" s="85"/>
      <c r="AX347" s="85"/>
      <c r="AY347" s="85"/>
      <c r="AZ347" s="85"/>
      <c r="BA347" s="85"/>
      <c r="BB347" s="85"/>
      <c r="BC347" s="85"/>
      <c r="BD347" s="85"/>
      <c r="BE347" s="85"/>
      <c r="BF347" s="85"/>
      <c r="BG347" s="85"/>
      <c r="BH347" s="85"/>
      <c r="BI347" s="85"/>
      <c r="BJ347" s="85"/>
      <c r="BK347" s="85"/>
      <c r="BL347" s="85"/>
    </row>
    <row r="348" spans="1:64" ht="20.25">
      <c r="A348" s="201"/>
      <c r="B348" s="200"/>
      <c r="C348" s="200"/>
      <c r="D348" s="200"/>
      <c r="E348" s="200"/>
      <c r="F348" s="200"/>
      <c r="G348" s="200"/>
      <c r="H348" s="200"/>
      <c r="I348" s="200"/>
      <c r="J348" s="195"/>
      <c r="K348" s="195"/>
      <c r="L348" s="195"/>
      <c r="M348" s="368"/>
      <c r="N348" s="198"/>
      <c r="O348" s="196"/>
      <c r="P348" s="104"/>
      <c r="Q348" s="104"/>
      <c r="R348" s="103"/>
      <c r="S348" s="103"/>
      <c r="T348" s="103"/>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5"/>
      <c r="AY348" s="85"/>
      <c r="AZ348" s="85"/>
      <c r="BA348" s="85"/>
      <c r="BB348" s="85"/>
      <c r="BC348" s="85"/>
      <c r="BD348" s="85"/>
      <c r="BE348" s="85"/>
      <c r="BF348" s="85"/>
      <c r="BG348" s="85"/>
      <c r="BH348" s="85"/>
      <c r="BI348" s="85"/>
      <c r="BJ348" s="85"/>
      <c r="BK348" s="85"/>
      <c r="BL348" s="85"/>
    </row>
    <row r="349" spans="1:64" ht="20.25">
      <c r="A349" s="201"/>
      <c r="B349" s="200"/>
      <c r="C349" s="200"/>
      <c r="D349" s="200"/>
      <c r="E349" s="200"/>
      <c r="F349" s="200"/>
      <c r="G349" s="200"/>
      <c r="H349" s="200"/>
      <c r="I349" s="200"/>
      <c r="J349" s="195"/>
      <c r="K349" s="195"/>
      <c r="L349" s="195"/>
      <c r="M349" s="378"/>
      <c r="N349" s="198"/>
      <c r="O349" s="196"/>
      <c r="P349" s="104"/>
      <c r="Q349" s="104"/>
      <c r="R349" s="103"/>
      <c r="S349" s="103"/>
      <c r="T349" s="103"/>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c r="BD349" s="85"/>
      <c r="BE349" s="85"/>
      <c r="BF349" s="85"/>
      <c r="BG349" s="85"/>
      <c r="BH349" s="85"/>
      <c r="BI349" s="85"/>
      <c r="BJ349" s="85"/>
      <c r="BK349" s="85"/>
      <c r="BL349" s="85"/>
    </row>
    <row r="350" spans="1:64" ht="20.25">
      <c r="A350" s="201"/>
      <c r="B350" s="200"/>
      <c r="C350" s="200"/>
      <c r="D350" s="200"/>
      <c r="E350" s="200"/>
      <c r="F350" s="200"/>
      <c r="G350" s="200"/>
      <c r="H350" s="200"/>
      <c r="I350" s="200"/>
      <c r="J350" s="195"/>
      <c r="K350" s="195"/>
      <c r="L350" s="195"/>
      <c r="M350" s="368"/>
      <c r="N350" s="198"/>
      <c r="O350" s="196"/>
      <c r="P350" s="104"/>
      <c r="Q350" s="104"/>
      <c r="R350" s="103"/>
      <c r="S350" s="103"/>
      <c r="T350" s="103"/>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c r="BD350" s="85"/>
      <c r="BE350" s="85"/>
      <c r="BF350" s="85"/>
      <c r="BG350" s="85"/>
      <c r="BH350" s="85"/>
      <c r="BI350" s="85"/>
      <c r="BJ350" s="85"/>
      <c r="BK350" s="85"/>
      <c r="BL350" s="85"/>
    </row>
    <row r="351" spans="1:64" ht="20.25">
      <c r="A351" s="201"/>
      <c r="B351" s="200"/>
      <c r="C351" s="200"/>
      <c r="D351" s="200"/>
      <c r="E351" s="200"/>
      <c r="F351" s="200"/>
      <c r="G351" s="200"/>
      <c r="H351" s="200"/>
      <c r="I351" s="200"/>
      <c r="J351" s="195"/>
      <c r="K351" s="195"/>
      <c r="L351" s="195"/>
      <c r="M351" s="367"/>
      <c r="N351" s="198"/>
      <c r="O351" s="196"/>
      <c r="P351" s="104"/>
      <c r="Q351" s="104"/>
      <c r="R351" s="103"/>
      <c r="S351" s="103"/>
      <c r="T351" s="103"/>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c r="BD351" s="85"/>
      <c r="BE351" s="85"/>
      <c r="BF351" s="85"/>
      <c r="BG351" s="85"/>
      <c r="BH351" s="85"/>
      <c r="BI351" s="85"/>
      <c r="BJ351" s="85"/>
      <c r="BK351" s="85"/>
      <c r="BL351" s="85"/>
    </row>
    <row r="352" spans="1:64" ht="20.25">
      <c r="A352" s="201"/>
      <c r="B352" s="200"/>
      <c r="C352" s="200"/>
      <c r="D352" s="200"/>
      <c r="E352" s="200"/>
      <c r="F352" s="200"/>
      <c r="G352" s="200"/>
      <c r="H352" s="200"/>
      <c r="I352" s="200"/>
      <c r="J352" s="195"/>
      <c r="K352" s="195"/>
      <c r="L352" s="195"/>
      <c r="M352" s="368"/>
      <c r="N352" s="198"/>
      <c r="O352" s="196"/>
      <c r="P352" s="104"/>
      <c r="Q352" s="104"/>
      <c r="R352" s="103"/>
      <c r="S352" s="103"/>
      <c r="T352" s="103"/>
      <c r="U352" s="85"/>
      <c r="V352" s="85"/>
      <c r="W352" s="85"/>
      <c r="X352" s="85"/>
      <c r="Y352" s="85"/>
      <c r="Z352" s="85"/>
      <c r="AA352" s="85"/>
      <c r="AB352" s="85"/>
      <c r="AC352" s="85"/>
      <c r="AD352" s="85"/>
      <c r="AE352" s="85"/>
      <c r="AF352" s="85"/>
      <c r="AG352" s="85"/>
      <c r="AH352" s="85"/>
      <c r="AI352" s="85"/>
      <c r="AJ352" s="85"/>
      <c r="AK352" s="85"/>
      <c r="AL352" s="85"/>
      <c r="AM352" s="85"/>
      <c r="AN352" s="85"/>
      <c r="AO352" s="85"/>
      <c r="AP352" s="85"/>
      <c r="AQ352" s="85"/>
      <c r="AR352" s="85"/>
      <c r="AS352" s="85"/>
      <c r="AT352" s="85"/>
      <c r="AU352" s="85"/>
      <c r="AV352" s="85"/>
      <c r="AW352" s="85"/>
      <c r="AX352" s="85"/>
      <c r="AY352" s="85"/>
      <c r="AZ352" s="85"/>
      <c r="BA352" s="85"/>
      <c r="BB352" s="85"/>
      <c r="BC352" s="85"/>
      <c r="BD352" s="85"/>
      <c r="BE352" s="85"/>
      <c r="BF352" s="85"/>
      <c r="BG352" s="85"/>
      <c r="BH352" s="85"/>
      <c r="BI352" s="85"/>
      <c r="BJ352" s="85"/>
      <c r="BK352" s="85"/>
      <c r="BL352" s="85"/>
    </row>
    <row r="353" spans="1:64" ht="20.25">
      <c r="A353" s="201"/>
      <c r="B353" s="200"/>
      <c r="C353" s="200"/>
      <c r="D353" s="200"/>
      <c r="E353" s="200"/>
      <c r="F353" s="200"/>
      <c r="G353" s="200"/>
      <c r="H353" s="200"/>
      <c r="I353" s="200"/>
      <c r="J353" s="195"/>
      <c r="K353" s="195"/>
      <c r="L353" s="195"/>
      <c r="M353" s="198"/>
      <c r="N353" s="198"/>
      <c r="O353" s="196"/>
      <c r="P353" s="104"/>
      <c r="Q353" s="104"/>
      <c r="R353" s="103"/>
      <c r="S353" s="103"/>
      <c r="T353" s="103"/>
      <c r="U353" s="85"/>
      <c r="V353" s="85"/>
      <c r="W353" s="85"/>
      <c r="X353" s="85"/>
      <c r="Y353" s="85"/>
      <c r="Z353" s="85"/>
      <c r="AA353" s="85"/>
      <c r="AB353" s="85"/>
      <c r="AC353" s="85"/>
      <c r="AD353" s="85"/>
      <c r="AE353" s="85"/>
      <c r="AF353" s="85"/>
      <c r="AG353" s="85"/>
      <c r="AH353" s="85"/>
      <c r="AI353" s="85"/>
      <c r="AJ353" s="85"/>
      <c r="AK353" s="85"/>
      <c r="AL353" s="85"/>
      <c r="AM353" s="85"/>
      <c r="AN353" s="85"/>
      <c r="AO353" s="85"/>
      <c r="AP353" s="85"/>
      <c r="AQ353" s="85"/>
      <c r="AR353" s="85"/>
      <c r="AS353" s="85"/>
      <c r="AT353" s="85"/>
      <c r="AU353" s="85"/>
      <c r="AV353" s="85"/>
      <c r="AW353" s="85"/>
      <c r="AX353" s="85"/>
      <c r="AY353" s="85"/>
      <c r="AZ353" s="85"/>
      <c r="BA353" s="85"/>
      <c r="BB353" s="85"/>
      <c r="BC353" s="85"/>
      <c r="BD353" s="85"/>
      <c r="BE353" s="85"/>
      <c r="BF353" s="85"/>
      <c r="BG353" s="85"/>
      <c r="BH353" s="85"/>
      <c r="BI353" s="85"/>
      <c r="BJ353" s="85"/>
      <c r="BK353" s="85"/>
      <c r="BL353" s="85"/>
    </row>
    <row r="354" spans="1:64" ht="20.25">
      <c r="A354" s="201"/>
      <c r="B354" s="200"/>
      <c r="C354" s="200"/>
      <c r="D354" s="200"/>
      <c r="E354" s="200"/>
      <c r="F354" s="200"/>
      <c r="G354" s="200"/>
      <c r="H354" s="200"/>
      <c r="I354" s="200"/>
      <c r="J354" s="195"/>
      <c r="K354" s="195"/>
      <c r="L354" s="195"/>
      <c r="M354" s="198"/>
      <c r="N354" s="198"/>
      <c r="O354" s="196"/>
      <c r="P354" s="104"/>
      <c r="Q354" s="104"/>
      <c r="R354" s="103"/>
      <c r="S354" s="103"/>
      <c r="T354" s="103"/>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row>
    <row r="355" spans="1:64" ht="20.25">
      <c r="A355" s="201"/>
      <c r="B355" s="200"/>
      <c r="C355" s="200"/>
      <c r="D355" s="200"/>
      <c r="E355" s="200"/>
      <c r="F355" s="200"/>
      <c r="G355" s="200"/>
      <c r="H355" s="200"/>
      <c r="I355" s="200"/>
      <c r="J355" s="195"/>
      <c r="K355" s="195"/>
      <c r="L355" s="195"/>
      <c r="M355" s="198"/>
      <c r="N355" s="198"/>
      <c r="O355" s="196"/>
      <c r="P355" s="104"/>
      <c r="Q355" s="104"/>
      <c r="R355" s="103"/>
      <c r="S355" s="103"/>
      <c r="T355" s="103"/>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row>
    <row r="356" spans="1:64" ht="20.25">
      <c r="A356" s="201"/>
      <c r="B356" s="200"/>
      <c r="C356" s="200"/>
      <c r="D356" s="200"/>
      <c r="E356" s="200"/>
      <c r="F356" s="200"/>
      <c r="G356" s="200"/>
      <c r="H356" s="200"/>
      <c r="I356" s="200"/>
      <c r="J356" s="195"/>
      <c r="K356" s="195"/>
      <c r="L356" s="195"/>
      <c r="M356" s="198"/>
      <c r="N356" s="198"/>
      <c r="O356" s="196"/>
      <c r="P356" s="104"/>
      <c r="Q356" s="104"/>
      <c r="R356" s="103"/>
      <c r="S356" s="103"/>
      <c r="T356" s="103"/>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row>
    <row r="357" spans="1:64" ht="20.25">
      <c r="A357" s="201"/>
      <c r="B357" s="200"/>
      <c r="C357" s="200"/>
      <c r="D357" s="200"/>
      <c r="E357" s="200"/>
      <c r="F357" s="200"/>
      <c r="G357" s="200"/>
      <c r="H357" s="200"/>
      <c r="I357" s="200"/>
      <c r="J357" s="195"/>
      <c r="K357" s="195"/>
      <c r="L357" s="195"/>
      <c r="M357" s="198"/>
      <c r="N357" s="198"/>
      <c r="O357" s="196"/>
      <c r="P357" s="104"/>
      <c r="Q357" s="104"/>
      <c r="R357" s="103"/>
      <c r="S357" s="103"/>
      <c r="T357" s="103"/>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row>
    <row r="358" spans="1:64" ht="20.25">
      <c r="A358" s="201"/>
      <c r="B358" s="200"/>
      <c r="C358" s="200"/>
      <c r="D358" s="200"/>
      <c r="E358" s="200"/>
      <c r="F358" s="200"/>
      <c r="G358" s="200"/>
      <c r="H358" s="200"/>
      <c r="I358" s="200"/>
      <c r="J358" s="195"/>
      <c r="K358" s="195"/>
      <c r="L358" s="195"/>
      <c r="M358" s="198"/>
      <c r="N358" s="198"/>
      <c r="O358" s="196"/>
      <c r="P358" s="104"/>
      <c r="Q358" s="104"/>
      <c r="R358" s="103"/>
      <c r="S358" s="103"/>
      <c r="T358" s="103"/>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c r="AQ358" s="85"/>
      <c r="AR358" s="85"/>
      <c r="AS358" s="85"/>
      <c r="AT358" s="85"/>
      <c r="AU358" s="85"/>
      <c r="AV358" s="85"/>
      <c r="AW358" s="85"/>
      <c r="AX358" s="85"/>
      <c r="AY358" s="85"/>
      <c r="AZ358" s="85"/>
      <c r="BA358" s="85"/>
      <c r="BB358" s="85"/>
      <c r="BC358" s="85"/>
      <c r="BD358" s="85"/>
      <c r="BE358" s="85"/>
      <c r="BF358" s="85"/>
      <c r="BG358" s="85"/>
      <c r="BH358" s="85"/>
      <c r="BI358" s="85"/>
      <c r="BJ358" s="85"/>
      <c r="BK358" s="85"/>
      <c r="BL358" s="85"/>
    </row>
    <row r="359" spans="1:64" ht="18.75">
      <c r="A359" s="92"/>
      <c r="B359" s="75"/>
      <c r="C359" s="75"/>
      <c r="D359" s="75"/>
      <c r="E359" s="75"/>
      <c r="F359" s="75"/>
      <c r="G359" s="75"/>
      <c r="H359" s="75"/>
      <c r="I359" s="75"/>
      <c r="J359" s="75"/>
      <c r="K359" s="75"/>
      <c r="L359" s="75"/>
      <c r="M359" s="198"/>
      <c r="N359" s="198"/>
      <c r="O359" s="196"/>
      <c r="P359" s="104"/>
      <c r="Q359" s="104"/>
      <c r="R359" s="103"/>
      <c r="S359" s="103"/>
      <c r="T359" s="103"/>
      <c r="U359" s="85"/>
      <c r="V359" s="85"/>
      <c r="W359" s="85"/>
      <c r="X359" s="85"/>
      <c r="Y359" s="85"/>
      <c r="Z359" s="85"/>
      <c r="AA359" s="85"/>
      <c r="AB359" s="85"/>
      <c r="AC359" s="85"/>
      <c r="AD359" s="85"/>
      <c r="AE359" s="85"/>
      <c r="AF359" s="85"/>
      <c r="AG359" s="85"/>
      <c r="AH359" s="85"/>
      <c r="AI359" s="85"/>
      <c r="AJ359" s="85"/>
      <c r="AK359" s="85"/>
      <c r="AL359" s="85"/>
      <c r="AM359" s="85"/>
      <c r="AN359" s="85"/>
      <c r="AO359" s="85"/>
      <c r="AP359" s="85"/>
      <c r="AQ359" s="85"/>
      <c r="AR359" s="85"/>
      <c r="AS359" s="85"/>
      <c r="AT359" s="85"/>
      <c r="AU359" s="85"/>
      <c r="AV359" s="85"/>
      <c r="AW359" s="85"/>
      <c r="AX359" s="85"/>
      <c r="AY359" s="85"/>
      <c r="AZ359" s="85"/>
      <c r="BA359" s="85"/>
      <c r="BB359" s="85"/>
      <c r="BC359" s="85"/>
      <c r="BD359" s="85"/>
      <c r="BE359" s="85"/>
      <c r="BF359" s="85"/>
      <c r="BG359" s="85"/>
      <c r="BH359" s="85"/>
      <c r="BI359" s="85"/>
      <c r="BJ359" s="85"/>
      <c r="BK359" s="85"/>
      <c r="BL359" s="85"/>
    </row>
    <row r="360" spans="1:64" ht="18.75">
      <c r="A360" s="92"/>
      <c r="B360" s="75"/>
      <c r="C360" s="75"/>
      <c r="D360" s="75"/>
      <c r="E360" s="75"/>
      <c r="F360" s="75"/>
      <c r="G360" s="75"/>
      <c r="H360" s="75"/>
      <c r="I360" s="75"/>
      <c r="J360" s="75"/>
      <c r="K360" s="75"/>
      <c r="L360" s="75"/>
      <c r="M360" s="198"/>
      <c r="N360" s="198"/>
      <c r="O360" s="196"/>
      <c r="P360" s="104"/>
      <c r="Q360" s="104"/>
      <c r="R360" s="103"/>
      <c r="S360" s="103"/>
      <c r="T360" s="103"/>
      <c r="U360" s="85"/>
      <c r="V360" s="85"/>
      <c r="W360" s="85"/>
      <c r="X360" s="85"/>
      <c r="Y360" s="85"/>
      <c r="Z360" s="85"/>
      <c r="AA360" s="85"/>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c r="BD360" s="85"/>
      <c r="BE360" s="85"/>
      <c r="BF360" s="85"/>
      <c r="BG360" s="85"/>
      <c r="BH360" s="85"/>
      <c r="BI360" s="85"/>
      <c r="BJ360" s="85"/>
      <c r="BK360" s="85"/>
      <c r="BL360" s="85"/>
    </row>
    <row r="361" spans="1:64" ht="18.75">
      <c r="B361" s="84"/>
      <c r="C361" s="84"/>
      <c r="D361" s="84"/>
      <c r="E361" s="84"/>
      <c r="F361" s="84"/>
      <c r="G361" s="84"/>
      <c r="H361" s="84"/>
      <c r="I361" s="84"/>
      <c r="J361" s="84"/>
      <c r="K361" s="84"/>
      <c r="L361" s="84"/>
      <c r="M361" s="198"/>
      <c r="N361" s="198"/>
      <c r="O361" s="196"/>
      <c r="P361" s="104"/>
      <c r="Q361" s="104"/>
      <c r="R361" s="103"/>
      <c r="S361" s="103"/>
      <c r="T361" s="103"/>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c r="BD361" s="85"/>
      <c r="BE361" s="85"/>
      <c r="BF361" s="85"/>
      <c r="BG361" s="85"/>
      <c r="BH361" s="85"/>
      <c r="BI361" s="85"/>
      <c r="BJ361" s="85"/>
      <c r="BK361" s="85"/>
      <c r="BL361" s="85"/>
    </row>
    <row r="362" spans="1:64" ht="18.75">
      <c r="B362" s="84"/>
      <c r="C362" s="84"/>
      <c r="D362" s="84"/>
      <c r="E362" s="84"/>
      <c r="F362" s="84"/>
      <c r="G362" s="84"/>
      <c r="H362" s="84"/>
      <c r="I362" s="84"/>
      <c r="J362" s="84"/>
      <c r="K362" s="84"/>
      <c r="L362" s="84"/>
      <c r="M362" s="198"/>
      <c r="N362" s="198"/>
      <c r="O362" s="196"/>
      <c r="P362" s="104"/>
      <c r="Q362" s="104"/>
      <c r="R362" s="103"/>
      <c r="S362" s="103"/>
      <c r="T362" s="103"/>
      <c r="U362" s="85"/>
      <c r="V362" s="85"/>
      <c r="W362" s="85"/>
      <c r="X362" s="85"/>
      <c r="Y362" s="85"/>
      <c r="Z362" s="85"/>
      <c r="AA362" s="85"/>
      <c r="AB362" s="85"/>
      <c r="AC362" s="85"/>
      <c r="AD362" s="85"/>
      <c r="AE362" s="85"/>
      <c r="AF362" s="85"/>
      <c r="AG362" s="85"/>
      <c r="AH362" s="85"/>
      <c r="AI362" s="85"/>
      <c r="AJ362" s="85"/>
      <c r="AK362" s="85"/>
      <c r="AL362" s="85"/>
      <c r="AM362" s="85"/>
      <c r="AN362" s="85"/>
      <c r="AO362" s="85"/>
      <c r="AP362" s="85"/>
      <c r="AQ362" s="85"/>
      <c r="AR362" s="85"/>
      <c r="AS362" s="85"/>
      <c r="AT362" s="85"/>
      <c r="AU362" s="85"/>
      <c r="AV362" s="85"/>
      <c r="AW362" s="85"/>
      <c r="AX362" s="85"/>
      <c r="AY362" s="85"/>
      <c r="AZ362" s="85"/>
      <c r="BA362" s="85"/>
      <c r="BB362" s="85"/>
      <c r="BC362" s="85"/>
      <c r="BD362" s="85"/>
      <c r="BE362" s="85"/>
      <c r="BF362" s="85"/>
      <c r="BG362" s="85"/>
      <c r="BH362" s="85"/>
      <c r="BI362" s="85"/>
      <c r="BJ362" s="85"/>
      <c r="BK362" s="85"/>
      <c r="BL362" s="85"/>
    </row>
    <row r="363" spans="1:64" ht="18.75">
      <c r="B363" s="84"/>
      <c r="C363" s="84"/>
      <c r="D363" s="84"/>
      <c r="E363" s="84"/>
      <c r="F363" s="84"/>
      <c r="G363" s="84"/>
      <c r="H363" s="84"/>
      <c r="I363" s="84"/>
      <c r="J363" s="84"/>
      <c r="K363" s="84"/>
      <c r="L363" s="84"/>
      <c r="M363" s="198"/>
      <c r="N363" s="198"/>
      <c r="O363" s="196"/>
      <c r="P363" s="104"/>
      <c r="Q363" s="104"/>
      <c r="R363" s="103"/>
      <c r="S363" s="103"/>
      <c r="T363" s="103"/>
      <c r="U363" s="85"/>
      <c r="V363" s="85"/>
      <c r="W363" s="85"/>
      <c r="X363" s="85"/>
      <c r="Y363" s="85"/>
      <c r="Z363" s="85"/>
      <c r="AA363" s="85"/>
      <c r="AB363" s="85"/>
      <c r="AC363" s="85"/>
      <c r="AD363" s="85"/>
      <c r="AE363" s="85"/>
      <c r="AF363" s="85"/>
      <c r="AG363" s="85"/>
      <c r="AH363" s="85"/>
      <c r="AI363" s="85"/>
      <c r="AJ363" s="85"/>
      <c r="AK363" s="85"/>
      <c r="AL363" s="85"/>
      <c r="AM363" s="85"/>
      <c r="AN363" s="85"/>
      <c r="AO363" s="85"/>
      <c r="AP363" s="85"/>
      <c r="AQ363" s="85"/>
      <c r="AR363" s="85"/>
      <c r="AS363" s="85"/>
      <c r="AT363" s="85"/>
      <c r="AU363" s="85"/>
      <c r="AV363" s="85"/>
      <c r="AW363" s="85"/>
      <c r="AX363" s="85"/>
      <c r="AY363" s="85"/>
      <c r="AZ363" s="85"/>
      <c r="BA363" s="85"/>
      <c r="BB363" s="85"/>
      <c r="BC363" s="85"/>
      <c r="BD363" s="85"/>
      <c r="BE363" s="85"/>
      <c r="BF363" s="85"/>
      <c r="BG363" s="85"/>
      <c r="BH363" s="85"/>
      <c r="BI363" s="85"/>
      <c r="BJ363" s="85"/>
      <c r="BK363" s="85"/>
      <c r="BL363" s="85"/>
    </row>
    <row r="364" spans="1:64" ht="18.75">
      <c r="B364" s="202"/>
      <c r="C364" s="202"/>
      <c r="D364" s="202"/>
      <c r="E364" s="202"/>
      <c r="F364" s="202"/>
      <c r="G364" s="202"/>
      <c r="H364" s="202"/>
      <c r="I364" s="202"/>
      <c r="J364" s="202"/>
      <c r="K364" s="202"/>
      <c r="L364" s="202"/>
      <c r="M364" s="198"/>
      <c r="N364" s="198"/>
      <c r="O364" s="196"/>
      <c r="P364" s="104"/>
      <c r="Q364" s="104"/>
      <c r="R364" s="103"/>
      <c r="S364" s="103"/>
      <c r="T364" s="103"/>
      <c r="U364" s="85"/>
      <c r="V364" s="85"/>
      <c r="W364" s="85"/>
      <c r="X364" s="85"/>
      <c r="Y364" s="85"/>
      <c r="Z364" s="85"/>
      <c r="AA364" s="85"/>
      <c r="AB364" s="85"/>
      <c r="AC364" s="85"/>
      <c r="AD364" s="85"/>
      <c r="AE364" s="85"/>
      <c r="AF364" s="85"/>
      <c r="AG364" s="85"/>
      <c r="AH364" s="85"/>
      <c r="AI364" s="85"/>
      <c r="AJ364" s="85"/>
      <c r="AK364" s="85"/>
      <c r="AL364" s="85"/>
      <c r="AM364" s="85"/>
      <c r="AN364" s="85"/>
      <c r="AO364" s="85"/>
      <c r="AP364" s="85"/>
      <c r="AQ364" s="85"/>
      <c r="AR364" s="85"/>
      <c r="AS364" s="85"/>
      <c r="AT364" s="85"/>
      <c r="AU364" s="85"/>
      <c r="AV364" s="85"/>
      <c r="AW364" s="85"/>
      <c r="AX364" s="85"/>
      <c r="AY364" s="85"/>
      <c r="AZ364" s="85"/>
      <c r="BA364" s="85"/>
      <c r="BB364" s="85"/>
      <c r="BC364" s="85"/>
      <c r="BD364" s="85"/>
      <c r="BE364" s="85"/>
      <c r="BF364" s="85"/>
      <c r="BG364" s="85"/>
      <c r="BH364" s="85"/>
      <c r="BI364" s="85"/>
      <c r="BJ364" s="85"/>
      <c r="BK364" s="85"/>
      <c r="BL364" s="85"/>
    </row>
    <row r="365" spans="1:64" ht="18.75">
      <c r="B365" s="202"/>
      <c r="C365" s="202"/>
      <c r="D365" s="202"/>
      <c r="E365" s="202"/>
      <c r="F365" s="202"/>
      <c r="G365" s="202"/>
      <c r="H365" s="202"/>
      <c r="I365" s="202"/>
      <c r="J365" s="202"/>
      <c r="K365" s="202"/>
      <c r="L365" s="202"/>
      <c r="M365" s="198"/>
      <c r="N365" s="198"/>
      <c r="O365" s="196"/>
      <c r="P365" s="104"/>
      <c r="Q365" s="104"/>
      <c r="R365" s="103"/>
      <c r="S365" s="103"/>
      <c r="T365" s="103"/>
      <c r="U365" s="85"/>
      <c r="V365" s="85"/>
      <c r="W365" s="85"/>
      <c r="X365" s="85"/>
      <c r="Y365" s="85"/>
      <c r="Z365" s="85"/>
      <c r="AA365" s="85"/>
      <c r="AB365" s="85"/>
      <c r="AC365" s="85"/>
      <c r="AD365" s="85"/>
      <c r="AE365" s="85"/>
      <c r="AF365" s="85"/>
      <c r="AG365" s="85"/>
      <c r="AH365" s="85"/>
      <c r="AI365" s="85"/>
      <c r="AJ365" s="85"/>
      <c r="AK365" s="85"/>
      <c r="AL365" s="85"/>
      <c r="AM365" s="85"/>
      <c r="AN365" s="85"/>
      <c r="AO365" s="85"/>
      <c r="AP365" s="85"/>
      <c r="AQ365" s="85"/>
      <c r="AR365" s="85"/>
      <c r="AS365" s="85"/>
      <c r="AT365" s="85"/>
      <c r="AU365" s="85"/>
      <c r="AV365" s="85"/>
      <c r="AW365" s="85"/>
      <c r="AX365" s="85"/>
      <c r="AY365" s="85"/>
      <c r="AZ365" s="85"/>
      <c r="BA365" s="85"/>
      <c r="BB365" s="85"/>
      <c r="BC365" s="85"/>
      <c r="BD365" s="85"/>
      <c r="BE365" s="85"/>
      <c r="BF365" s="85"/>
      <c r="BG365" s="85"/>
      <c r="BH365" s="85"/>
      <c r="BI365" s="85"/>
      <c r="BJ365" s="85"/>
      <c r="BK365" s="85"/>
      <c r="BL365" s="85"/>
    </row>
    <row r="366" spans="1:64" ht="18.75">
      <c r="B366" s="202"/>
      <c r="C366" s="202"/>
      <c r="D366" s="202"/>
      <c r="E366" s="202"/>
      <c r="F366" s="202"/>
      <c r="G366" s="202"/>
      <c r="H366" s="202"/>
      <c r="I366" s="202"/>
      <c r="J366" s="202"/>
      <c r="K366" s="202"/>
      <c r="L366" s="202"/>
      <c r="M366" s="198"/>
      <c r="N366" s="198"/>
      <c r="O366" s="196"/>
      <c r="P366" s="104"/>
      <c r="Q366" s="104"/>
      <c r="R366" s="103"/>
      <c r="S366" s="103"/>
      <c r="T366" s="103"/>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c r="BD366" s="85"/>
      <c r="BE366" s="85"/>
      <c r="BF366" s="85"/>
      <c r="BG366" s="85"/>
      <c r="BH366" s="85"/>
      <c r="BI366" s="85"/>
      <c r="BJ366" s="85"/>
      <c r="BK366" s="85"/>
      <c r="BL366" s="85"/>
    </row>
    <row r="367" spans="1:64" ht="15.75">
      <c r="B367" s="202"/>
      <c r="C367" s="202"/>
      <c r="D367" s="202"/>
      <c r="E367" s="202"/>
      <c r="F367" s="202"/>
      <c r="G367" s="202"/>
      <c r="H367" s="202"/>
      <c r="I367" s="202"/>
      <c r="J367" s="202"/>
      <c r="K367" s="202"/>
      <c r="L367" s="202"/>
      <c r="M367" s="198"/>
      <c r="N367" s="198"/>
      <c r="O367" s="194"/>
      <c r="P367" s="104"/>
      <c r="Q367" s="104"/>
      <c r="R367" s="103"/>
      <c r="S367" s="103"/>
      <c r="T367" s="103"/>
      <c r="U367" s="85"/>
      <c r="V367" s="85"/>
      <c r="W367" s="85"/>
      <c r="X367" s="85"/>
      <c r="Y367" s="85"/>
      <c r="Z367" s="85"/>
      <c r="AA367" s="85"/>
      <c r="AB367" s="85"/>
      <c r="AC367" s="85"/>
      <c r="AD367" s="85"/>
      <c r="AE367" s="85"/>
      <c r="AF367" s="85"/>
      <c r="AG367" s="85"/>
      <c r="AH367" s="85"/>
      <c r="AI367" s="85"/>
      <c r="AJ367" s="85"/>
      <c r="AK367" s="85"/>
      <c r="AL367" s="85"/>
      <c r="AM367" s="85"/>
      <c r="AN367" s="85"/>
      <c r="AO367" s="85"/>
      <c r="AP367" s="85"/>
      <c r="AQ367" s="85"/>
      <c r="AR367" s="85"/>
      <c r="AS367" s="85"/>
      <c r="AT367" s="85"/>
      <c r="AU367" s="85"/>
      <c r="AV367" s="85"/>
      <c r="AW367" s="85"/>
      <c r="AX367" s="85"/>
      <c r="AY367" s="85"/>
      <c r="AZ367" s="85"/>
      <c r="BA367" s="85"/>
      <c r="BB367" s="85"/>
      <c r="BC367" s="85"/>
      <c r="BD367" s="85"/>
      <c r="BE367" s="85"/>
      <c r="BF367" s="85"/>
      <c r="BG367" s="85"/>
      <c r="BH367" s="85"/>
      <c r="BI367" s="85"/>
      <c r="BJ367" s="85"/>
      <c r="BK367" s="85"/>
      <c r="BL367" s="85"/>
    </row>
    <row r="368" spans="1:64" ht="15.75">
      <c r="B368" s="202"/>
      <c r="C368" s="202"/>
      <c r="D368" s="202"/>
      <c r="E368" s="202"/>
      <c r="F368" s="202"/>
      <c r="G368" s="202"/>
      <c r="H368" s="202"/>
      <c r="I368" s="202"/>
      <c r="J368" s="202"/>
      <c r="K368" s="202"/>
      <c r="L368" s="202"/>
      <c r="M368" s="198"/>
      <c r="N368" s="198"/>
      <c r="O368" s="194"/>
      <c r="P368" s="104"/>
      <c r="Q368" s="104"/>
      <c r="R368" s="103"/>
      <c r="S368" s="103"/>
      <c r="T368" s="103"/>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5"/>
      <c r="AY368" s="85"/>
      <c r="AZ368" s="85"/>
      <c r="BA368" s="85"/>
      <c r="BB368" s="85"/>
      <c r="BC368" s="85"/>
      <c r="BD368" s="85"/>
      <c r="BE368" s="85"/>
      <c r="BF368" s="85"/>
      <c r="BG368" s="85"/>
      <c r="BH368" s="85"/>
      <c r="BI368" s="85"/>
      <c r="BJ368" s="85"/>
      <c r="BK368" s="85"/>
      <c r="BL368" s="85"/>
    </row>
    <row r="369" spans="2:64" ht="15">
      <c r="B369" s="202"/>
      <c r="C369" s="202"/>
      <c r="D369" s="202"/>
      <c r="E369" s="202"/>
      <c r="F369" s="202"/>
      <c r="G369" s="202"/>
      <c r="H369" s="202"/>
      <c r="I369" s="202"/>
      <c r="J369" s="202"/>
      <c r="K369" s="202"/>
      <c r="L369" s="202"/>
      <c r="M369" s="198"/>
      <c r="N369" s="198"/>
      <c r="O369" s="104"/>
      <c r="P369" s="104"/>
      <c r="Q369" s="104"/>
      <c r="R369" s="103"/>
      <c r="S369" s="103"/>
      <c r="T369" s="103"/>
      <c r="U369" s="85"/>
      <c r="V369" s="85"/>
      <c r="W369" s="85"/>
      <c r="X369" s="85"/>
      <c r="Y369" s="85"/>
      <c r="Z369" s="85"/>
      <c r="AA369" s="85"/>
      <c r="AB369" s="85"/>
      <c r="AC369" s="85"/>
      <c r="AD369" s="85"/>
      <c r="AE369" s="85"/>
      <c r="AF369" s="85"/>
      <c r="AG369" s="85"/>
      <c r="AH369" s="85"/>
      <c r="AI369" s="85"/>
      <c r="AJ369" s="85"/>
      <c r="AK369" s="85"/>
      <c r="AL369" s="85"/>
      <c r="AM369" s="85"/>
      <c r="AN369" s="85"/>
      <c r="AO369" s="85"/>
      <c r="AP369" s="85"/>
      <c r="AQ369" s="85"/>
      <c r="AR369" s="85"/>
      <c r="AS369" s="85"/>
      <c r="AT369" s="85"/>
      <c r="AU369" s="85"/>
      <c r="AV369" s="85"/>
      <c r="AW369" s="85"/>
      <c r="AX369" s="85"/>
      <c r="AY369" s="85"/>
      <c r="AZ369" s="85"/>
      <c r="BA369" s="85"/>
      <c r="BB369" s="85"/>
      <c r="BC369" s="85"/>
      <c r="BD369" s="85"/>
      <c r="BE369" s="85"/>
      <c r="BF369" s="85"/>
      <c r="BG369" s="85"/>
      <c r="BH369" s="85"/>
      <c r="BI369" s="85"/>
      <c r="BJ369" s="85"/>
      <c r="BK369" s="85"/>
      <c r="BL369" s="85"/>
    </row>
    <row r="370" spans="2:64" ht="15">
      <c r="B370" s="203"/>
      <c r="C370" s="203"/>
      <c r="D370" s="203"/>
      <c r="E370" s="203"/>
      <c r="F370" s="203"/>
      <c r="G370" s="203"/>
      <c r="H370" s="203"/>
      <c r="I370" s="203"/>
      <c r="J370" s="203"/>
      <c r="K370" s="203"/>
      <c r="L370" s="203"/>
      <c r="M370" s="198"/>
      <c r="N370" s="198"/>
      <c r="O370" s="104"/>
      <c r="P370" s="104"/>
      <c r="Q370" s="104"/>
      <c r="R370" s="103"/>
      <c r="S370" s="103"/>
      <c r="T370" s="103"/>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c r="BD370" s="85"/>
      <c r="BE370" s="85"/>
      <c r="BF370" s="85"/>
      <c r="BG370" s="85"/>
      <c r="BH370" s="85"/>
      <c r="BI370" s="85"/>
      <c r="BJ370" s="85"/>
      <c r="BK370" s="85"/>
      <c r="BL370" s="85"/>
    </row>
    <row r="371" spans="2:64" ht="15">
      <c r="B371" s="203"/>
      <c r="C371" s="203"/>
      <c r="D371" s="203"/>
      <c r="E371" s="203"/>
      <c r="F371" s="203"/>
      <c r="G371" s="203"/>
      <c r="H371" s="203"/>
      <c r="I371" s="203"/>
      <c r="J371" s="203"/>
      <c r="K371" s="203"/>
      <c r="L371" s="203"/>
      <c r="M371" s="198"/>
      <c r="N371" s="198"/>
      <c r="O371" s="104"/>
      <c r="P371" s="104"/>
      <c r="Q371" s="104"/>
      <c r="R371" s="103"/>
      <c r="S371" s="103"/>
      <c r="T371" s="103"/>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5"/>
      <c r="BD371" s="85"/>
      <c r="BE371" s="85"/>
      <c r="BF371" s="85"/>
      <c r="BG371" s="85"/>
      <c r="BH371" s="85"/>
      <c r="BI371" s="85"/>
      <c r="BJ371" s="85"/>
      <c r="BK371" s="85"/>
      <c r="BL371" s="85"/>
    </row>
    <row r="372" spans="2:64">
      <c r="B372" s="203"/>
      <c r="C372" s="203"/>
      <c r="D372" s="203"/>
      <c r="E372" s="203"/>
      <c r="F372" s="203"/>
      <c r="G372" s="203"/>
      <c r="H372" s="203"/>
      <c r="I372" s="203"/>
      <c r="J372" s="203"/>
      <c r="K372" s="203"/>
      <c r="L372" s="203"/>
      <c r="M372" s="198"/>
      <c r="N372" s="198"/>
      <c r="O372" s="197"/>
      <c r="P372" s="197"/>
      <c r="Q372" s="197"/>
      <c r="R372" s="198"/>
      <c r="S372" s="198"/>
      <c r="T372" s="198"/>
    </row>
    <row r="373" spans="2:64">
      <c r="B373" s="203"/>
      <c r="C373" s="203"/>
      <c r="D373" s="203"/>
      <c r="E373" s="203"/>
      <c r="F373" s="203"/>
      <c r="G373" s="203"/>
      <c r="H373" s="203"/>
      <c r="I373" s="203"/>
      <c r="J373" s="203"/>
      <c r="K373" s="203"/>
      <c r="L373" s="203"/>
      <c r="M373" s="198"/>
      <c r="N373" s="198"/>
      <c r="O373" s="197"/>
      <c r="P373" s="197"/>
      <c r="Q373" s="197"/>
      <c r="R373" s="198"/>
      <c r="S373" s="198"/>
      <c r="T373" s="198"/>
    </row>
    <row r="374" spans="2:64">
      <c r="B374" s="203"/>
      <c r="C374" s="203"/>
      <c r="D374" s="203"/>
      <c r="E374" s="203"/>
      <c r="F374" s="203"/>
      <c r="G374" s="203"/>
      <c r="H374" s="203"/>
      <c r="I374" s="203"/>
      <c r="J374" s="203"/>
      <c r="K374" s="203"/>
      <c r="L374" s="203"/>
      <c r="M374" s="198"/>
      <c r="N374" s="198"/>
      <c r="O374" s="197"/>
      <c r="P374" s="197"/>
      <c r="Q374" s="197"/>
      <c r="R374" s="198"/>
      <c r="S374" s="198"/>
      <c r="T374" s="198"/>
    </row>
    <row r="375" spans="2:64">
      <c r="B375" s="203"/>
      <c r="C375" s="203"/>
      <c r="D375" s="203"/>
      <c r="E375" s="203"/>
      <c r="F375" s="203"/>
      <c r="G375" s="203"/>
      <c r="H375" s="203"/>
      <c r="I375" s="203"/>
      <c r="J375" s="203"/>
      <c r="K375" s="203"/>
      <c r="L375" s="203"/>
      <c r="M375" s="198"/>
      <c r="N375" s="198"/>
      <c r="O375" s="197"/>
      <c r="P375" s="197"/>
      <c r="Q375" s="197"/>
      <c r="R375" s="198"/>
      <c r="S375" s="198"/>
      <c r="T375" s="198"/>
    </row>
    <row r="376" spans="2:64">
      <c r="B376" s="203"/>
      <c r="C376" s="203"/>
      <c r="D376" s="203"/>
      <c r="E376" s="203"/>
      <c r="F376" s="203"/>
      <c r="G376" s="203"/>
      <c r="H376" s="203"/>
      <c r="I376" s="203"/>
      <c r="J376" s="203"/>
      <c r="K376" s="203"/>
      <c r="L376" s="203"/>
      <c r="M376" s="198"/>
      <c r="N376" s="198"/>
      <c r="O376" s="197"/>
      <c r="P376" s="197"/>
      <c r="Q376" s="197"/>
      <c r="R376" s="198"/>
      <c r="S376" s="198"/>
      <c r="T376" s="198"/>
    </row>
    <row r="377" spans="2:64">
      <c r="B377" s="203"/>
      <c r="C377" s="203"/>
      <c r="D377" s="203"/>
      <c r="E377" s="203"/>
      <c r="F377" s="203"/>
      <c r="G377" s="203"/>
      <c r="H377" s="203"/>
      <c r="I377" s="203"/>
      <c r="J377" s="203"/>
      <c r="K377" s="203"/>
      <c r="L377" s="203"/>
      <c r="M377" s="198"/>
      <c r="N377" s="198"/>
      <c r="O377" s="197"/>
      <c r="P377" s="197"/>
      <c r="Q377" s="197"/>
      <c r="R377" s="198"/>
      <c r="S377" s="198"/>
      <c r="T377" s="198"/>
    </row>
    <row r="378" spans="2:64">
      <c r="B378" s="203"/>
      <c r="C378" s="203"/>
      <c r="D378" s="203"/>
      <c r="E378" s="203"/>
      <c r="F378" s="203"/>
      <c r="G378" s="203"/>
      <c r="H378" s="203"/>
      <c r="I378" s="203"/>
      <c r="J378" s="203"/>
      <c r="K378" s="203"/>
      <c r="L378" s="203"/>
      <c r="M378" s="198"/>
      <c r="N378" s="198"/>
      <c r="O378" s="198"/>
      <c r="P378" s="198"/>
      <c r="Q378" s="198"/>
      <c r="R378" s="198"/>
      <c r="S378" s="198"/>
      <c r="T378" s="198"/>
    </row>
    <row r="379" spans="2:64">
      <c r="B379" s="203"/>
      <c r="C379" s="203"/>
      <c r="D379" s="203"/>
      <c r="E379" s="203"/>
      <c r="F379" s="203"/>
      <c r="G379" s="203"/>
      <c r="H379" s="203"/>
      <c r="I379" s="203"/>
      <c r="J379" s="203"/>
      <c r="K379" s="203"/>
      <c r="L379" s="203"/>
      <c r="M379" s="198"/>
      <c r="N379" s="198"/>
      <c r="O379" s="198"/>
      <c r="P379" s="198"/>
      <c r="Q379" s="198"/>
      <c r="R379" s="198"/>
      <c r="S379" s="198"/>
      <c r="T379" s="198"/>
    </row>
    <row r="380" spans="2:64">
      <c r="B380" s="203"/>
      <c r="C380" s="203"/>
      <c r="D380" s="203"/>
      <c r="E380" s="203"/>
      <c r="F380" s="203"/>
      <c r="G380" s="203"/>
      <c r="H380" s="203"/>
      <c r="I380" s="203"/>
      <c r="J380" s="203"/>
      <c r="K380" s="203"/>
      <c r="L380" s="203"/>
      <c r="M380" s="198"/>
      <c r="N380" s="198"/>
      <c r="O380" s="198"/>
      <c r="P380" s="198"/>
      <c r="Q380" s="198"/>
      <c r="R380" s="198"/>
      <c r="S380" s="198"/>
      <c r="T380" s="198"/>
    </row>
    <row r="381" spans="2:64">
      <c r="B381" s="203"/>
      <c r="C381" s="203"/>
      <c r="D381" s="203"/>
      <c r="E381" s="203"/>
      <c r="F381" s="203"/>
      <c r="G381" s="203"/>
      <c r="H381" s="203"/>
      <c r="I381" s="203"/>
      <c r="J381" s="203"/>
      <c r="K381" s="203"/>
      <c r="L381" s="203"/>
      <c r="M381" s="198"/>
      <c r="N381" s="198"/>
      <c r="O381" s="198"/>
      <c r="P381" s="198"/>
      <c r="Q381" s="198"/>
      <c r="R381" s="198"/>
      <c r="S381" s="198"/>
      <c r="T381" s="198"/>
    </row>
    <row r="382" spans="2:64">
      <c r="B382" s="203"/>
      <c r="C382" s="203"/>
      <c r="D382" s="203"/>
      <c r="E382" s="203"/>
      <c r="F382" s="203"/>
      <c r="G382" s="203"/>
      <c r="H382" s="203"/>
      <c r="I382" s="203"/>
      <c r="J382" s="203"/>
      <c r="K382" s="203"/>
      <c r="L382" s="203"/>
      <c r="M382" s="198"/>
      <c r="N382" s="198"/>
      <c r="O382" s="198"/>
      <c r="P382" s="198"/>
      <c r="Q382" s="198"/>
      <c r="R382" s="198"/>
      <c r="S382" s="198"/>
      <c r="T382" s="198"/>
    </row>
    <row r="383" spans="2:64">
      <c r="B383" s="203"/>
      <c r="C383" s="203"/>
      <c r="D383" s="203"/>
      <c r="E383" s="203"/>
      <c r="F383" s="203"/>
      <c r="G383" s="203"/>
      <c r="H383" s="203"/>
      <c r="I383" s="203"/>
      <c r="J383" s="203"/>
      <c r="K383" s="203"/>
      <c r="L383" s="203"/>
      <c r="M383" s="198"/>
      <c r="N383" s="198"/>
      <c r="O383" s="198"/>
      <c r="P383" s="198"/>
      <c r="Q383" s="198"/>
      <c r="R383" s="198"/>
      <c r="S383" s="198"/>
      <c r="T383" s="198"/>
    </row>
    <row r="384" spans="2:64">
      <c r="B384" s="203"/>
      <c r="C384" s="203"/>
      <c r="D384" s="203"/>
      <c r="E384" s="203"/>
      <c r="F384" s="203"/>
      <c r="G384" s="203"/>
      <c r="H384" s="203"/>
      <c r="I384" s="203"/>
      <c r="J384" s="203"/>
      <c r="K384" s="203"/>
      <c r="L384" s="203"/>
      <c r="M384" s="198"/>
      <c r="N384" s="198"/>
      <c r="O384" s="198"/>
      <c r="P384" s="198"/>
      <c r="Q384" s="198"/>
      <c r="R384" s="198"/>
      <c r="S384" s="198"/>
      <c r="T384" s="198"/>
    </row>
    <row r="385" spans="2:20">
      <c r="B385" s="203"/>
      <c r="C385" s="203"/>
      <c r="D385" s="203"/>
      <c r="E385" s="203"/>
      <c r="F385" s="203"/>
      <c r="G385" s="203"/>
      <c r="H385" s="203"/>
      <c r="I385" s="203"/>
      <c r="J385" s="203"/>
      <c r="K385" s="203"/>
      <c r="L385" s="203"/>
      <c r="M385" s="198"/>
      <c r="N385" s="198"/>
      <c r="O385" s="198"/>
      <c r="P385" s="198"/>
      <c r="Q385" s="198"/>
      <c r="R385" s="198"/>
      <c r="S385" s="198"/>
      <c r="T385" s="198"/>
    </row>
    <row r="386" spans="2:20">
      <c r="B386" s="203"/>
      <c r="C386" s="203"/>
      <c r="D386" s="203"/>
      <c r="E386" s="203"/>
      <c r="F386" s="203"/>
      <c r="G386" s="203"/>
      <c r="H386" s="203"/>
      <c r="I386" s="203"/>
      <c r="J386" s="203"/>
      <c r="K386" s="203"/>
      <c r="L386" s="203"/>
      <c r="M386" s="198"/>
      <c r="N386" s="198"/>
      <c r="O386" s="198"/>
      <c r="P386" s="198"/>
      <c r="Q386" s="198"/>
      <c r="R386" s="198"/>
      <c r="S386" s="198"/>
      <c r="T386" s="198"/>
    </row>
    <row r="387" spans="2:20">
      <c r="B387" s="203"/>
      <c r="C387" s="203"/>
      <c r="D387" s="203"/>
      <c r="E387" s="203"/>
      <c r="F387" s="203"/>
      <c r="G387" s="203"/>
      <c r="H387" s="203"/>
      <c r="I387" s="203"/>
      <c r="J387" s="203"/>
      <c r="K387" s="203"/>
      <c r="L387" s="203"/>
      <c r="M387" s="198"/>
      <c r="N387" s="198"/>
      <c r="O387" s="198"/>
      <c r="P387" s="198"/>
      <c r="Q387" s="198"/>
      <c r="R387" s="198"/>
      <c r="S387" s="198"/>
      <c r="T387" s="198"/>
    </row>
    <row r="388" spans="2:20">
      <c r="B388" s="203"/>
      <c r="C388" s="203"/>
      <c r="D388" s="203"/>
      <c r="E388" s="203"/>
      <c r="F388" s="203"/>
      <c r="G388" s="203"/>
      <c r="H388" s="203"/>
      <c r="I388" s="203"/>
      <c r="J388" s="203"/>
      <c r="K388" s="203"/>
      <c r="L388" s="203"/>
      <c r="M388" s="198"/>
      <c r="N388" s="198"/>
      <c r="O388" s="198"/>
      <c r="P388" s="198"/>
      <c r="Q388" s="198"/>
      <c r="R388" s="198"/>
      <c r="S388" s="198"/>
      <c r="T388" s="198"/>
    </row>
    <row r="389" spans="2:20">
      <c r="B389" s="203"/>
      <c r="C389" s="203"/>
      <c r="D389" s="203"/>
      <c r="E389" s="203"/>
      <c r="F389" s="203"/>
      <c r="G389" s="203"/>
      <c r="H389" s="203"/>
      <c r="I389" s="203"/>
      <c r="J389" s="203"/>
      <c r="K389" s="203"/>
      <c r="L389" s="203"/>
      <c r="M389" s="198"/>
      <c r="N389" s="198"/>
      <c r="O389" s="198"/>
      <c r="P389" s="198"/>
      <c r="Q389" s="198"/>
      <c r="R389" s="198"/>
      <c r="S389" s="198"/>
      <c r="T389" s="198"/>
    </row>
    <row r="390" spans="2:20">
      <c r="B390" s="203"/>
      <c r="C390" s="203"/>
      <c r="D390" s="203"/>
      <c r="E390" s="203"/>
      <c r="F390" s="203"/>
      <c r="G390" s="203"/>
      <c r="H390" s="203"/>
      <c r="I390" s="203"/>
      <c r="J390" s="203"/>
      <c r="K390" s="203"/>
      <c r="L390" s="203"/>
      <c r="M390" s="198"/>
      <c r="N390" s="198"/>
      <c r="O390" s="198"/>
      <c r="P390" s="198"/>
      <c r="Q390" s="198"/>
      <c r="R390" s="198"/>
      <c r="S390" s="198"/>
      <c r="T390" s="198"/>
    </row>
    <row r="391" spans="2:20">
      <c r="B391" s="203"/>
      <c r="C391" s="203"/>
      <c r="D391" s="203"/>
      <c r="E391" s="203"/>
      <c r="F391" s="203"/>
      <c r="G391" s="203"/>
      <c r="H391" s="203"/>
      <c r="I391" s="203"/>
      <c r="J391" s="203"/>
      <c r="K391" s="203"/>
      <c r="L391" s="203"/>
      <c r="M391" s="198"/>
      <c r="N391" s="198"/>
      <c r="O391" s="198"/>
      <c r="P391" s="198"/>
      <c r="Q391" s="198"/>
      <c r="R391" s="198"/>
      <c r="S391" s="198"/>
      <c r="T391" s="198"/>
    </row>
    <row r="392" spans="2:20">
      <c r="B392" s="203"/>
      <c r="C392" s="203"/>
      <c r="D392" s="203"/>
      <c r="E392" s="203"/>
      <c r="F392" s="203"/>
      <c r="G392" s="203"/>
      <c r="H392" s="203"/>
      <c r="I392" s="203"/>
      <c r="J392" s="203"/>
      <c r="K392" s="203"/>
      <c r="L392" s="203"/>
      <c r="M392" s="198"/>
      <c r="N392" s="198"/>
      <c r="O392" s="198"/>
      <c r="P392" s="198"/>
      <c r="Q392" s="198"/>
      <c r="R392" s="198"/>
      <c r="S392" s="198"/>
      <c r="T392" s="198"/>
    </row>
    <row r="393" spans="2:20">
      <c r="B393" s="203"/>
      <c r="C393" s="203"/>
      <c r="D393" s="203"/>
      <c r="E393" s="203"/>
      <c r="F393" s="203"/>
      <c r="G393" s="203"/>
      <c r="H393" s="203"/>
      <c r="I393" s="203"/>
      <c r="J393" s="203"/>
      <c r="K393" s="203"/>
      <c r="L393" s="203"/>
      <c r="M393" s="198"/>
      <c r="N393" s="198"/>
      <c r="O393" s="198"/>
      <c r="P393" s="198"/>
      <c r="Q393" s="198"/>
      <c r="R393" s="198"/>
      <c r="S393" s="198"/>
      <c r="T393" s="198"/>
    </row>
    <row r="394" spans="2:20">
      <c r="B394" s="203"/>
      <c r="C394" s="203"/>
      <c r="D394" s="203"/>
      <c r="E394" s="203"/>
      <c r="F394" s="203"/>
      <c r="G394" s="203"/>
      <c r="H394" s="203"/>
      <c r="I394" s="203"/>
      <c r="J394" s="203"/>
      <c r="K394" s="203"/>
      <c r="L394" s="203"/>
      <c r="M394" s="198"/>
      <c r="N394" s="198"/>
      <c r="O394" s="198"/>
      <c r="P394" s="198"/>
      <c r="Q394" s="198"/>
      <c r="R394" s="198"/>
      <c r="S394" s="198"/>
      <c r="T394" s="198"/>
    </row>
    <row r="395" spans="2:20">
      <c r="B395" s="203"/>
      <c r="C395" s="203"/>
      <c r="D395" s="203"/>
      <c r="E395" s="203"/>
      <c r="F395" s="203"/>
      <c r="G395" s="203"/>
      <c r="H395" s="203"/>
      <c r="I395" s="203"/>
      <c r="J395" s="203"/>
      <c r="K395" s="203"/>
      <c r="L395" s="203"/>
      <c r="M395" s="198"/>
      <c r="N395" s="198"/>
      <c r="O395" s="198"/>
      <c r="P395" s="198"/>
      <c r="Q395" s="198"/>
      <c r="R395" s="198"/>
      <c r="S395" s="198"/>
      <c r="T395" s="198"/>
    </row>
    <row r="396" spans="2:20">
      <c r="B396" s="203"/>
      <c r="C396" s="203"/>
      <c r="D396" s="203"/>
      <c r="E396" s="203"/>
      <c r="F396" s="203"/>
      <c r="G396" s="203"/>
      <c r="H396" s="203"/>
      <c r="I396" s="203"/>
      <c r="J396" s="203"/>
      <c r="K396" s="203"/>
      <c r="L396" s="203"/>
      <c r="M396" s="198"/>
      <c r="N396" s="198"/>
      <c r="O396" s="198"/>
      <c r="P396" s="198"/>
      <c r="Q396" s="198"/>
      <c r="R396" s="198"/>
      <c r="S396" s="198"/>
      <c r="T396" s="198"/>
    </row>
    <row r="397" spans="2:20">
      <c r="B397" s="203"/>
      <c r="C397" s="203"/>
      <c r="D397" s="203"/>
      <c r="E397" s="203"/>
      <c r="F397" s="203"/>
      <c r="G397" s="203"/>
      <c r="H397" s="203"/>
      <c r="I397" s="203"/>
      <c r="J397" s="203"/>
      <c r="K397" s="203"/>
      <c r="L397" s="203"/>
      <c r="M397" s="198"/>
      <c r="N397" s="198"/>
      <c r="O397" s="198"/>
      <c r="P397" s="198"/>
      <c r="Q397" s="198"/>
      <c r="R397" s="198"/>
      <c r="S397" s="198"/>
      <c r="T397" s="198"/>
    </row>
    <row r="398" spans="2:20">
      <c r="B398" s="203"/>
      <c r="C398" s="203"/>
      <c r="D398" s="203"/>
      <c r="E398" s="203"/>
      <c r="F398" s="203"/>
      <c r="G398" s="203"/>
      <c r="H398" s="203"/>
      <c r="I398" s="203"/>
      <c r="J398" s="203"/>
      <c r="K398" s="203"/>
      <c r="L398" s="203"/>
      <c r="M398" s="198"/>
      <c r="N398" s="198"/>
      <c r="O398" s="198"/>
      <c r="P398" s="198"/>
      <c r="Q398" s="198"/>
      <c r="R398" s="198"/>
      <c r="S398" s="198"/>
      <c r="T398" s="198"/>
    </row>
    <row r="399" spans="2:20">
      <c r="B399" s="203"/>
      <c r="C399" s="203"/>
      <c r="D399" s="203"/>
      <c r="E399" s="203"/>
      <c r="F399" s="203"/>
      <c r="G399" s="203"/>
      <c r="H399" s="203"/>
      <c r="I399" s="203"/>
      <c r="J399" s="203"/>
      <c r="K399" s="203"/>
      <c r="L399" s="203"/>
      <c r="M399" s="198"/>
      <c r="N399" s="198"/>
      <c r="O399" s="198"/>
      <c r="P399" s="198"/>
      <c r="Q399" s="198"/>
      <c r="R399" s="198"/>
      <c r="S399" s="198"/>
      <c r="T399" s="198"/>
    </row>
    <row r="400" spans="2:20">
      <c r="B400" s="203"/>
      <c r="C400" s="203"/>
      <c r="D400" s="203"/>
      <c r="E400" s="203"/>
      <c r="F400" s="203"/>
      <c r="G400" s="203"/>
      <c r="H400" s="203"/>
      <c r="I400" s="203"/>
      <c r="J400" s="203"/>
      <c r="K400" s="203"/>
      <c r="L400" s="203"/>
      <c r="M400" s="198"/>
      <c r="N400" s="198"/>
      <c r="O400" s="198"/>
      <c r="P400" s="198"/>
      <c r="Q400" s="198"/>
      <c r="R400" s="198"/>
      <c r="S400" s="198"/>
      <c r="T400" s="198"/>
    </row>
    <row r="401" spans="2:20">
      <c r="B401" s="203"/>
      <c r="C401" s="203"/>
      <c r="D401" s="203"/>
      <c r="E401" s="203"/>
      <c r="F401" s="203"/>
      <c r="G401" s="203"/>
      <c r="H401" s="203"/>
      <c r="I401" s="203"/>
      <c r="J401" s="203"/>
      <c r="K401" s="203"/>
      <c r="L401" s="203"/>
      <c r="M401" s="198"/>
      <c r="N401" s="198"/>
      <c r="O401" s="198"/>
      <c r="P401" s="198"/>
      <c r="Q401" s="198"/>
      <c r="R401" s="198"/>
      <c r="S401" s="198"/>
      <c r="T401" s="198"/>
    </row>
    <row r="402" spans="2:20">
      <c r="B402" s="203"/>
      <c r="C402" s="203"/>
      <c r="D402" s="203"/>
      <c r="E402" s="203"/>
      <c r="F402" s="203"/>
      <c r="G402" s="203"/>
      <c r="H402" s="203"/>
      <c r="I402" s="203"/>
      <c r="J402" s="203"/>
      <c r="K402" s="203"/>
      <c r="L402" s="203"/>
      <c r="M402" s="198"/>
      <c r="N402" s="198"/>
      <c r="O402" s="198"/>
      <c r="P402" s="198"/>
      <c r="Q402" s="198"/>
      <c r="R402" s="198"/>
      <c r="S402" s="198"/>
      <c r="T402" s="198"/>
    </row>
    <row r="403" spans="2:20">
      <c r="B403" s="203"/>
      <c r="C403" s="203"/>
      <c r="D403" s="203"/>
      <c r="E403" s="203"/>
      <c r="F403" s="203"/>
      <c r="G403" s="203"/>
      <c r="H403" s="203"/>
      <c r="I403" s="203"/>
      <c r="J403" s="203"/>
      <c r="K403" s="203"/>
      <c r="L403" s="203"/>
      <c r="M403" s="198"/>
      <c r="N403" s="198"/>
      <c r="O403" s="198"/>
      <c r="P403" s="198"/>
      <c r="Q403" s="198"/>
      <c r="R403" s="198"/>
      <c r="S403" s="198"/>
      <c r="T403" s="198"/>
    </row>
    <row r="404" spans="2:20">
      <c r="B404" s="203"/>
      <c r="C404" s="203"/>
      <c r="D404" s="203"/>
      <c r="E404" s="203"/>
      <c r="F404" s="203"/>
      <c r="G404" s="203"/>
      <c r="H404" s="203"/>
      <c r="I404" s="203"/>
      <c r="J404" s="203"/>
      <c r="K404" s="203"/>
      <c r="L404" s="203"/>
      <c r="M404" s="203"/>
      <c r="N404" s="203"/>
      <c r="O404" s="203"/>
      <c r="P404" s="203"/>
      <c r="Q404" s="203"/>
      <c r="R404" s="203"/>
      <c r="S404" s="203"/>
      <c r="T404" s="203"/>
    </row>
    <row r="405" spans="2:20">
      <c r="B405" s="203"/>
      <c r="C405" s="203"/>
      <c r="D405" s="203"/>
      <c r="E405" s="203"/>
      <c r="F405" s="203"/>
      <c r="G405" s="203"/>
      <c r="H405" s="203"/>
      <c r="I405" s="203"/>
      <c r="J405" s="203"/>
      <c r="K405" s="203"/>
      <c r="L405" s="203"/>
      <c r="M405" s="203"/>
      <c r="N405" s="203"/>
      <c r="O405" s="203"/>
      <c r="P405" s="203"/>
      <c r="Q405" s="203"/>
      <c r="R405" s="203"/>
      <c r="S405" s="203"/>
      <c r="T405" s="203"/>
    </row>
    <row r="406" spans="2:20">
      <c r="B406" s="203"/>
      <c r="C406" s="203"/>
      <c r="D406" s="203"/>
      <c r="E406" s="203"/>
      <c r="F406" s="203"/>
      <c r="G406" s="203"/>
      <c r="H406" s="203"/>
      <c r="I406" s="203"/>
      <c r="J406" s="203"/>
      <c r="K406" s="203"/>
      <c r="L406" s="203"/>
      <c r="M406" s="203"/>
      <c r="N406" s="203"/>
      <c r="O406" s="203"/>
      <c r="P406" s="203"/>
      <c r="Q406" s="203"/>
      <c r="R406" s="203"/>
      <c r="S406" s="203"/>
      <c r="T406" s="203"/>
    </row>
    <row r="407" spans="2:20">
      <c r="B407" s="203"/>
      <c r="C407" s="203"/>
      <c r="D407" s="203"/>
      <c r="E407" s="203"/>
      <c r="F407" s="203"/>
      <c r="G407" s="203"/>
      <c r="H407" s="203"/>
      <c r="I407" s="203"/>
      <c r="J407" s="203"/>
      <c r="K407" s="203"/>
      <c r="L407" s="203"/>
      <c r="M407" s="203"/>
      <c r="N407" s="203"/>
      <c r="O407" s="203"/>
      <c r="P407" s="203"/>
      <c r="Q407" s="203"/>
      <c r="R407" s="203"/>
      <c r="S407" s="203"/>
      <c r="T407" s="203"/>
    </row>
    <row r="408" spans="2:20">
      <c r="B408" s="203"/>
      <c r="C408" s="203"/>
      <c r="D408" s="203"/>
      <c r="E408" s="203"/>
      <c r="F408" s="203"/>
      <c r="G408" s="203"/>
      <c r="H408" s="203"/>
      <c r="I408" s="203"/>
      <c r="J408" s="203"/>
      <c r="K408" s="203"/>
      <c r="L408" s="203"/>
      <c r="M408" s="203"/>
      <c r="N408" s="203"/>
      <c r="O408" s="203"/>
      <c r="P408" s="203"/>
      <c r="Q408" s="203"/>
      <c r="R408" s="203"/>
      <c r="S408" s="203"/>
      <c r="T408" s="203"/>
    </row>
    <row r="409" spans="2:20">
      <c r="B409" s="203"/>
      <c r="C409" s="203"/>
      <c r="D409" s="203"/>
      <c r="E409" s="203"/>
      <c r="F409" s="203"/>
      <c r="G409" s="203"/>
      <c r="H409" s="203"/>
      <c r="I409" s="203"/>
      <c r="J409" s="203"/>
      <c r="K409" s="203"/>
      <c r="L409" s="203"/>
      <c r="M409" s="203"/>
      <c r="N409" s="203"/>
      <c r="O409" s="203"/>
      <c r="P409" s="203"/>
      <c r="Q409" s="203"/>
      <c r="R409" s="203"/>
      <c r="S409" s="203"/>
      <c r="T409" s="203"/>
    </row>
    <row r="410" spans="2:20">
      <c r="B410" s="203"/>
      <c r="C410" s="203"/>
      <c r="D410" s="203"/>
      <c r="E410" s="203"/>
      <c r="F410" s="203"/>
      <c r="G410" s="203"/>
      <c r="H410" s="203"/>
      <c r="I410" s="203"/>
      <c r="J410" s="203"/>
      <c r="K410" s="203"/>
      <c r="L410" s="203"/>
      <c r="M410" s="203"/>
      <c r="N410" s="203"/>
      <c r="O410" s="203"/>
      <c r="P410" s="203"/>
      <c r="Q410" s="203"/>
      <c r="R410" s="203"/>
      <c r="S410" s="203"/>
      <c r="T410" s="203"/>
    </row>
    <row r="411" spans="2:20">
      <c r="B411" s="203"/>
      <c r="C411" s="203"/>
      <c r="D411" s="203"/>
      <c r="E411" s="203"/>
      <c r="F411" s="203"/>
      <c r="G411" s="203"/>
      <c r="H411" s="203"/>
      <c r="I411" s="203"/>
      <c r="J411" s="203"/>
      <c r="K411" s="203"/>
      <c r="L411" s="203"/>
      <c r="M411" s="203"/>
      <c r="N411" s="203"/>
      <c r="O411" s="203"/>
      <c r="P411" s="203"/>
      <c r="Q411" s="203"/>
      <c r="R411" s="203"/>
      <c r="S411" s="203"/>
      <c r="T411" s="203"/>
    </row>
    <row r="412" spans="2:20">
      <c r="B412" s="203"/>
      <c r="C412" s="203"/>
      <c r="D412" s="203"/>
      <c r="E412" s="203"/>
      <c r="F412" s="203"/>
      <c r="G412" s="203"/>
      <c r="H412" s="203"/>
      <c r="I412" s="203"/>
      <c r="J412" s="203"/>
      <c r="K412" s="203"/>
      <c r="L412" s="203"/>
      <c r="M412" s="203"/>
      <c r="N412" s="203"/>
      <c r="O412" s="203"/>
      <c r="P412" s="203"/>
      <c r="Q412" s="203"/>
      <c r="R412" s="203"/>
      <c r="S412" s="203"/>
      <c r="T412" s="203"/>
    </row>
    <row r="413" spans="2:20">
      <c r="B413" s="203"/>
      <c r="C413" s="203"/>
      <c r="D413" s="203"/>
      <c r="E413" s="203"/>
      <c r="F413" s="203"/>
      <c r="G413" s="203"/>
      <c r="H413" s="203"/>
      <c r="I413" s="203"/>
      <c r="J413" s="203"/>
      <c r="K413" s="203"/>
      <c r="L413" s="203"/>
      <c r="M413" s="203"/>
      <c r="N413" s="203"/>
      <c r="O413" s="203"/>
      <c r="P413" s="203"/>
      <c r="Q413" s="203"/>
      <c r="R413" s="203"/>
      <c r="S413" s="203"/>
      <c r="T413" s="203"/>
    </row>
    <row r="414" spans="2:20">
      <c r="B414" s="203"/>
      <c r="C414" s="203"/>
      <c r="D414" s="203"/>
      <c r="E414" s="203"/>
      <c r="F414" s="203"/>
      <c r="G414" s="203"/>
      <c r="H414" s="203"/>
      <c r="I414" s="203"/>
      <c r="J414" s="203"/>
      <c r="K414" s="203"/>
      <c r="L414" s="203"/>
      <c r="M414" s="203"/>
      <c r="N414" s="203"/>
      <c r="O414" s="203"/>
      <c r="P414" s="203"/>
      <c r="Q414" s="203"/>
      <c r="R414" s="203"/>
      <c r="S414" s="203"/>
      <c r="T414" s="203"/>
    </row>
    <row r="415" spans="2:20">
      <c r="B415" s="203"/>
      <c r="C415" s="203"/>
      <c r="D415" s="203"/>
      <c r="E415" s="203"/>
      <c r="F415" s="203"/>
      <c r="G415" s="203"/>
      <c r="H415" s="203"/>
      <c r="I415" s="203"/>
      <c r="J415" s="203"/>
      <c r="K415" s="203"/>
      <c r="L415" s="203"/>
      <c r="M415" s="203"/>
      <c r="N415" s="203"/>
      <c r="O415" s="203"/>
      <c r="P415" s="203"/>
      <c r="Q415" s="203"/>
      <c r="R415" s="203"/>
      <c r="S415" s="203"/>
      <c r="T415" s="203"/>
    </row>
    <row r="416" spans="2:20">
      <c r="B416" s="203"/>
      <c r="C416" s="203"/>
      <c r="D416" s="203"/>
      <c r="E416" s="203"/>
      <c r="F416" s="203"/>
      <c r="G416" s="203"/>
      <c r="H416" s="203"/>
      <c r="I416" s="203"/>
      <c r="J416" s="203"/>
      <c r="K416" s="203"/>
      <c r="L416" s="203"/>
      <c r="M416" s="203"/>
      <c r="N416" s="203"/>
      <c r="O416" s="203"/>
      <c r="P416" s="203"/>
      <c r="Q416" s="203"/>
      <c r="R416" s="203"/>
      <c r="S416" s="203"/>
      <c r="T416" s="203"/>
    </row>
    <row r="417" spans="2:20">
      <c r="B417" s="203"/>
      <c r="C417" s="203"/>
      <c r="D417" s="203"/>
      <c r="E417" s="203"/>
      <c r="F417" s="203"/>
      <c r="G417" s="203"/>
      <c r="H417" s="203"/>
      <c r="I417" s="203"/>
      <c r="J417" s="203"/>
      <c r="K417" s="203"/>
      <c r="L417" s="203"/>
      <c r="M417" s="203"/>
      <c r="N417" s="203"/>
      <c r="O417" s="203"/>
      <c r="P417" s="203"/>
      <c r="Q417" s="203"/>
      <c r="R417" s="203"/>
      <c r="S417" s="203"/>
      <c r="T417" s="203"/>
    </row>
    <row r="418" spans="2:20">
      <c r="B418" s="203"/>
      <c r="C418" s="203"/>
      <c r="D418" s="203"/>
      <c r="E418" s="203"/>
      <c r="F418" s="203"/>
      <c r="G418" s="203"/>
      <c r="H418" s="203"/>
      <c r="I418" s="203"/>
      <c r="J418" s="203"/>
      <c r="K418" s="203"/>
      <c r="L418" s="203"/>
      <c r="M418" s="203"/>
      <c r="N418" s="203"/>
      <c r="O418" s="203"/>
      <c r="P418" s="203"/>
      <c r="Q418" s="203"/>
      <c r="R418" s="203"/>
      <c r="S418" s="203"/>
      <c r="T418" s="203"/>
    </row>
    <row r="419" spans="2:20">
      <c r="B419" s="203"/>
      <c r="C419" s="203"/>
      <c r="D419" s="203"/>
      <c r="E419" s="203"/>
      <c r="F419" s="203"/>
      <c r="G419" s="203"/>
      <c r="H419" s="203"/>
      <c r="I419" s="203"/>
      <c r="J419" s="203"/>
      <c r="K419" s="203"/>
      <c r="L419" s="203"/>
      <c r="M419" s="203"/>
      <c r="N419" s="203"/>
      <c r="O419" s="203"/>
      <c r="P419" s="203"/>
      <c r="Q419" s="203"/>
      <c r="R419" s="203"/>
      <c r="S419" s="203"/>
      <c r="T419" s="203"/>
    </row>
    <row r="420" spans="2:20">
      <c r="B420" s="203"/>
      <c r="C420" s="203"/>
      <c r="D420" s="203"/>
      <c r="E420" s="203"/>
      <c r="F420" s="203"/>
      <c r="G420" s="203"/>
      <c r="H420" s="203"/>
      <c r="I420" s="203"/>
      <c r="J420" s="203"/>
      <c r="K420" s="203"/>
      <c r="L420" s="203"/>
      <c r="M420" s="203"/>
      <c r="N420" s="203"/>
      <c r="O420" s="203"/>
      <c r="P420" s="203"/>
      <c r="Q420" s="203"/>
      <c r="R420" s="203"/>
      <c r="S420" s="203"/>
      <c r="T420" s="203"/>
    </row>
    <row r="421" spans="2:20">
      <c r="B421" s="203"/>
      <c r="C421" s="203"/>
      <c r="D421" s="203"/>
      <c r="E421" s="203"/>
      <c r="F421" s="203"/>
      <c r="G421" s="203"/>
      <c r="H421" s="203"/>
      <c r="I421" s="203"/>
      <c r="J421" s="203"/>
      <c r="K421" s="203"/>
      <c r="L421" s="203"/>
      <c r="M421" s="203"/>
      <c r="N421" s="203"/>
      <c r="O421" s="203"/>
      <c r="P421" s="203"/>
      <c r="Q421" s="203"/>
      <c r="R421" s="203"/>
      <c r="S421" s="203"/>
      <c r="T421" s="203"/>
    </row>
    <row r="422" spans="2:20">
      <c r="B422" s="203"/>
      <c r="C422" s="203"/>
      <c r="D422" s="203"/>
      <c r="E422" s="203"/>
      <c r="F422" s="203"/>
      <c r="G422" s="203"/>
      <c r="H422" s="203"/>
      <c r="I422" s="203"/>
      <c r="J422" s="203"/>
      <c r="K422" s="203"/>
      <c r="L422" s="203"/>
      <c r="M422" s="203"/>
      <c r="N422" s="203"/>
      <c r="O422" s="203"/>
      <c r="P422" s="203"/>
      <c r="Q422" s="203"/>
      <c r="R422" s="203"/>
      <c r="S422" s="203"/>
      <c r="T422" s="203"/>
    </row>
    <row r="423" spans="2:20">
      <c r="B423" s="203"/>
      <c r="C423" s="203"/>
      <c r="D423" s="203"/>
      <c r="E423" s="203"/>
      <c r="F423" s="203"/>
      <c r="G423" s="203"/>
      <c r="H423" s="203"/>
      <c r="I423" s="203"/>
      <c r="J423" s="203"/>
      <c r="K423" s="203"/>
      <c r="L423" s="203"/>
      <c r="M423" s="203"/>
      <c r="N423" s="203"/>
      <c r="O423" s="203"/>
      <c r="P423" s="203"/>
      <c r="Q423" s="203"/>
      <c r="R423" s="203"/>
      <c r="S423" s="203"/>
      <c r="T423" s="203"/>
    </row>
    <row r="424" spans="2:20">
      <c r="B424" s="203"/>
      <c r="C424" s="203"/>
      <c r="D424" s="203"/>
      <c r="E424" s="203"/>
      <c r="F424" s="203"/>
      <c r="G424" s="203"/>
      <c r="H424" s="203"/>
      <c r="I424" s="203"/>
      <c r="J424" s="203"/>
      <c r="K424" s="203"/>
      <c r="L424" s="203"/>
      <c r="M424" s="203"/>
      <c r="N424" s="203"/>
      <c r="O424" s="203"/>
      <c r="P424" s="203"/>
      <c r="Q424" s="203"/>
      <c r="R424" s="203"/>
      <c r="S424" s="203"/>
      <c r="T424" s="203"/>
    </row>
    <row r="425" spans="2:20">
      <c r="B425" s="203"/>
      <c r="C425" s="203"/>
      <c r="D425" s="203"/>
      <c r="E425" s="203"/>
      <c r="F425" s="203"/>
      <c r="G425" s="203"/>
      <c r="H425" s="203"/>
      <c r="I425" s="203"/>
      <c r="J425" s="203"/>
      <c r="K425" s="203"/>
      <c r="L425" s="203"/>
      <c r="M425" s="203"/>
      <c r="N425" s="203"/>
      <c r="O425" s="203"/>
      <c r="P425" s="203"/>
      <c r="Q425" s="203"/>
      <c r="R425" s="203"/>
      <c r="S425" s="203"/>
      <c r="T425" s="203"/>
    </row>
    <row r="426" spans="2:20">
      <c r="B426" s="203"/>
      <c r="C426" s="203"/>
      <c r="D426" s="203"/>
      <c r="E426" s="203"/>
      <c r="F426" s="203"/>
      <c r="G426" s="203"/>
      <c r="H426" s="203"/>
      <c r="I426" s="203"/>
      <c r="J426" s="203"/>
      <c r="K426" s="203"/>
      <c r="L426" s="203"/>
      <c r="M426" s="203"/>
      <c r="N426" s="203"/>
      <c r="O426" s="203"/>
      <c r="P426" s="203"/>
      <c r="Q426" s="203"/>
      <c r="R426" s="203"/>
      <c r="S426" s="203"/>
      <c r="T426" s="203"/>
    </row>
    <row r="427" spans="2:20">
      <c r="B427" s="203"/>
      <c r="C427" s="203"/>
      <c r="D427" s="203"/>
      <c r="E427" s="203"/>
      <c r="F427" s="203"/>
      <c r="G427" s="203"/>
      <c r="H427" s="203"/>
      <c r="I427" s="203"/>
      <c r="J427" s="203"/>
      <c r="K427" s="203"/>
      <c r="L427" s="203"/>
      <c r="M427" s="203"/>
      <c r="N427" s="203"/>
      <c r="O427" s="203"/>
      <c r="P427" s="203"/>
      <c r="Q427" s="203"/>
      <c r="R427" s="203"/>
      <c r="S427" s="203"/>
      <c r="T427" s="203"/>
    </row>
    <row r="428" spans="2:20">
      <c r="B428" s="203"/>
      <c r="C428" s="203"/>
      <c r="D428" s="203"/>
      <c r="E428" s="203"/>
      <c r="F428" s="203"/>
      <c r="G428" s="203"/>
      <c r="H428" s="203"/>
      <c r="I428" s="203"/>
      <c r="J428" s="203"/>
      <c r="K428" s="203"/>
      <c r="L428" s="203"/>
      <c r="M428" s="203"/>
      <c r="N428" s="203"/>
      <c r="O428" s="203"/>
      <c r="P428" s="203"/>
      <c r="Q428" s="203"/>
      <c r="R428" s="203"/>
      <c r="S428" s="203"/>
      <c r="T428" s="203"/>
    </row>
    <row r="429" spans="2:20">
      <c r="B429" s="203"/>
      <c r="C429" s="203"/>
      <c r="D429" s="203"/>
      <c r="E429" s="203"/>
      <c r="F429" s="203"/>
      <c r="G429" s="203"/>
      <c r="H429" s="203"/>
      <c r="I429" s="203"/>
      <c r="J429" s="203"/>
      <c r="K429" s="203"/>
      <c r="L429" s="203"/>
      <c r="M429" s="203"/>
      <c r="N429" s="203"/>
      <c r="O429" s="203"/>
      <c r="P429" s="203"/>
      <c r="Q429" s="203"/>
      <c r="R429" s="203"/>
      <c r="S429" s="203"/>
      <c r="T429" s="203"/>
    </row>
    <row r="430" spans="2:20">
      <c r="B430" s="203"/>
      <c r="C430" s="203"/>
      <c r="D430" s="203"/>
      <c r="E430" s="203"/>
      <c r="F430" s="203"/>
      <c r="G430" s="203"/>
      <c r="H430" s="203"/>
      <c r="I430" s="203"/>
      <c r="J430" s="203"/>
      <c r="K430" s="203"/>
      <c r="L430" s="203"/>
      <c r="M430" s="203"/>
      <c r="N430" s="203"/>
      <c r="O430" s="203"/>
      <c r="P430" s="203"/>
      <c r="Q430" s="203"/>
      <c r="R430" s="203"/>
      <c r="S430" s="203"/>
      <c r="T430" s="203"/>
    </row>
    <row r="431" spans="2:20">
      <c r="B431" s="203"/>
      <c r="C431" s="203"/>
      <c r="D431" s="203"/>
      <c r="E431" s="203"/>
      <c r="F431" s="203"/>
      <c r="G431" s="203"/>
      <c r="H431" s="203"/>
      <c r="I431" s="203"/>
      <c r="J431" s="203"/>
      <c r="K431" s="203"/>
      <c r="L431" s="203"/>
      <c r="M431" s="203"/>
      <c r="N431" s="203"/>
      <c r="O431" s="203"/>
      <c r="P431" s="203"/>
      <c r="Q431" s="203"/>
      <c r="R431" s="203"/>
      <c r="S431" s="203"/>
      <c r="T431" s="203"/>
    </row>
    <row r="432" spans="2:20">
      <c r="B432" s="203"/>
      <c r="C432" s="203"/>
      <c r="D432" s="203"/>
      <c r="E432" s="203"/>
      <c r="F432" s="203"/>
      <c r="G432" s="203"/>
      <c r="H432" s="203"/>
      <c r="I432" s="203"/>
      <c r="J432" s="203"/>
      <c r="K432" s="203"/>
      <c r="L432" s="203"/>
      <c r="M432" s="203"/>
      <c r="N432" s="203"/>
      <c r="O432" s="203"/>
      <c r="P432" s="203"/>
      <c r="Q432" s="203"/>
      <c r="R432" s="203"/>
      <c r="S432" s="203"/>
      <c r="T432" s="203"/>
    </row>
    <row r="433" spans="2:20">
      <c r="B433" s="203"/>
      <c r="C433" s="203"/>
      <c r="D433" s="203"/>
      <c r="E433" s="203"/>
      <c r="F433" s="203"/>
      <c r="G433" s="203"/>
      <c r="H433" s="203"/>
      <c r="I433" s="203"/>
      <c r="J433" s="203"/>
      <c r="K433" s="203"/>
      <c r="L433" s="203"/>
      <c r="M433" s="203"/>
      <c r="N433" s="203"/>
      <c r="O433" s="203"/>
      <c r="P433" s="203"/>
      <c r="Q433" s="203"/>
      <c r="R433" s="203"/>
      <c r="S433" s="203"/>
      <c r="T433" s="203"/>
    </row>
    <row r="434" spans="2:20">
      <c r="B434" s="203"/>
      <c r="C434" s="203"/>
      <c r="D434" s="203"/>
      <c r="E434" s="203"/>
      <c r="F434" s="203"/>
      <c r="G434" s="203"/>
      <c r="H434" s="203"/>
      <c r="I434" s="203"/>
      <c r="J434" s="203"/>
      <c r="K434" s="203"/>
      <c r="L434" s="203"/>
      <c r="M434" s="203"/>
      <c r="N434" s="203"/>
      <c r="O434" s="203"/>
      <c r="P434" s="203"/>
      <c r="Q434" s="203"/>
      <c r="R434" s="203"/>
      <c r="S434" s="203"/>
      <c r="T434" s="203"/>
    </row>
    <row r="435" spans="2:20">
      <c r="B435" s="203"/>
      <c r="C435" s="203"/>
      <c r="D435" s="203"/>
      <c r="E435" s="203"/>
      <c r="F435" s="203"/>
      <c r="G435" s="203"/>
      <c r="H435" s="203"/>
      <c r="I435" s="203"/>
      <c r="J435" s="203"/>
      <c r="K435" s="203"/>
      <c r="L435" s="203"/>
      <c r="M435" s="203"/>
      <c r="N435" s="203"/>
      <c r="O435" s="203"/>
      <c r="P435" s="203"/>
      <c r="Q435" s="203"/>
      <c r="R435" s="203"/>
      <c r="S435" s="203"/>
      <c r="T435" s="203"/>
    </row>
    <row r="436" spans="2:20">
      <c r="B436" s="203"/>
      <c r="C436" s="203"/>
      <c r="D436" s="203"/>
      <c r="E436" s="203"/>
      <c r="F436" s="203"/>
      <c r="G436" s="203"/>
      <c r="H436" s="203"/>
      <c r="I436" s="203"/>
      <c r="J436" s="203"/>
      <c r="K436" s="203"/>
      <c r="L436" s="203"/>
      <c r="M436" s="203"/>
      <c r="N436" s="203"/>
      <c r="O436" s="203"/>
      <c r="P436" s="203"/>
      <c r="Q436" s="203"/>
      <c r="R436" s="203"/>
      <c r="S436" s="203"/>
      <c r="T436" s="203"/>
    </row>
    <row r="437" spans="2:20">
      <c r="B437" s="203"/>
      <c r="C437" s="203"/>
      <c r="D437" s="203"/>
      <c r="E437" s="203"/>
      <c r="F437" s="203"/>
      <c r="G437" s="203"/>
      <c r="H437" s="203"/>
      <c r="I437" s="203"/>
      <c r="J437" s="203"/>
      <c r="K437" s="203"/>
      <c r="L437" s="203"/>
      <c r="M437" s="203"/>
      <c r="N437" s="203"/>
      <c r="O437" s="203"/>
      <c r="P437" s="203"/>
      <c r="Q437" s="203"/>
      <c r="R437" s="203"/>
      <c r="S437" s="203"/>
      <c r="T437" s="203"/>
    </row>
    <row r="438" spans="2:20">
      <c r="B438" s="203"/>
      <c r="C438" s="203"/>
      <c r="D438" s="203"/>
      <c r="E438" s="203"/>
      <c r="F438" s="203"/>
      <c r="G438" s="203"/>
      <c r="H438" s="203"/>
      <c r="I438" s="203"/>
      <c r="J438" s="203"/>
      <c r="K438" s="203"/>
      <c r="L438" s="203"/>
      <c r="M438" s="203"/>
      <c r="N438" s="203"/>
      <c r="O438" s="203"/>
      <c r="P438" s="203"/>
      <c r="Q438" s="203"/>
      <c r="R438" s="203"/>
      <c r="S438" s="203"/>
      <c r="T438" s="203"/>
    </row>
    <row r="439" spans="2:20">
      <c r="B439" s="203"/>
      <c r="C439" s="203"/>
      <c r="D439" s="203"/>
      <c r="E439" s="203"/>
      <c r="F439" s="203"/>
      <c r="G439" s="203"/>
      <c r="H439" s="203"/>
      <c r="I439" s="203"/>
      <c r="J439" s="203"/>
      <c r="K439" s="203"/>
      <c r="L439" s="203"/>
      <c r="M439" s="203"/>
      <c r="N439" s="203"/>
      <c r="O439" s="203"/>
      <c r="P439" s="203"/>
      <c r="Q439" s="203"/>
      <c r="R439" s="203"/>
      <c r="S439" s="203"/>
      <c r="T439" s="203"/>
    </row>
    <row r="440" spans="2:20">
      <c r="B440" s="203"/>
      <c r="C440" s="203"/>
      <c r="D440" s="203"/>
      <c r="E440" s="203"/>
      <c r="F440" s="203"/>
      <c r="G440" s="203"/>
      <c r="H440" s="203"/>
      <c r="I440" s="203"/>
      <c r="J440" s="203"/>
      <c r="K440" s="203"/>
      <c r="L440" s="203"/>
      <c r="M440" s="203"/>
      <c r="N440" s="203"/>
      <c r="O440" s="203"/>
      <c r="P440" s="203"/>
      <c r="Q440" s="203"/>
      <c r="R440" s="203"/>
      <c r="S440" s="203"/>
      <c r="T440" s="203"/>
    </row>
    <row r="441" spans="2:20">
      <c r="B441" s="203"/>
      <c r="C441" s="203"/>
      <c r="D441" s="203"/>
      <c r="E441" s="203"/>
      <c r="F441" s="203"/>
      <c r="G441" s="203"/>
      <c r="H441" s="203"/>
      <c r="I441" s="203"/>
      <c r="J441" s="203"/>
      <c r="K441" s="203"/>
      <c r="L441" s="203"/>
      <c r="M441" s="203"/>
      <c r="N441" s="203"/>
      <c r="O441" s="203"/>
      <c r="P441" s="203"/>
      <c r="Q441" s="203"/>
      <c r="R441" s="203"/>
      <c r="S441" s="203"/>
      <c r="T441" s="203"/>
    </row>
    <row r="442" spans="2:20">
      <c r="B442" s="203"/>
      <c r="C442" s="203"/>
      <c r="D442" s="203"/>
      <c r="E442" s="203"/>
      <c r="F442" s="203"/>
      <c r="G442" s="203"/>
      <c r="H442" s="203"/>
      <c r="I442" s="203"/>
      <c r="J442" s="203"/>
      <c r="K442" s="203"/>
      <c r="L442" s="203"/>
      <c r="M442" s="203"/>
      <c r="N442" s="203"/>
      <c r="O442" s="203"/>
      <c r="P442" s="203"/>
      <c r="Q442" s="203"/>
      <c r="R442" s="203"/>
      <c r="S442" s="203"/>
      <c r="T442" s="203"/>
    </row>
    <row r="443" spans="2:20">
      <c r="B443" s="203"/>
      <c r="C443" s="203"/>
      <c r="D443" s="203"/>
      <c r="E443" s="203"/>
      <c r="F443" s="203"/>
      <c r="G443" s="203"/>
      <c r="H443" s="203"/>
      <c r="I443" s="203"/>
      <c r="J443" s="203"/>
      <c r="K443" s="203"/>
      <c r="L443" s="203"/>
      <c r="M443" s="203"/>
      <c r="N443" s="203"/>
      <c r="O443" s="203"/>
      <c r="P443" s="203"/>
      <c r="Q443" s="203"/>
      <c r="R443" s="203"/>
      <c r="S443" s="203"/>
      <c r="T443" s="203"/>
    </row>
    <row r="444" spans="2:20">
      <c r="B444" s="203"/>
      <c r="C444" s="203"/>
      <c r="D444" s="203"/>
      <c r="E444" s="203"/>
      <c r="F444" s="203"/>
      <c r="G444" s="203"/>
      <c r="H444" s="203"/>
      <c r="I444" s="203"/>
      <c r="J444" s="203"/>
      <c r="K444" s="203"/>
      <c r="L444" s="203"/>
      <c r="M444" s="203"/>
      <c r="N444" s="203"/>
      <c r="O444" s="203"/>
      <c r="P444" s="203"/>
      <c r="Q444" s="203"/>
      <c r="R444" s="203"/>
      <c r="S444" s="203"/>
      <c r="T444" s="203"/>
    </row>
    <row r="445" spans="2:20">
      <c r="B445" s="203"/>
      <c r="C445" s="203"/>
      <c r="D445" s="203"/>
      <c r="E445" s="203"/>
      <c r="F445" s="203"/>
      <c r="G445" s="203"/>
      <c r="H445" s="203"/>
      <c r="I445" s="203"/>
      <c r="J445" s="203"/>
      <c r="K445" s="203"/>
      <c r="L445" s="203"/>
      <c r="M445" s="203"/>
      <c r="N445" s="203"/>
      <c r="O445" s="203"/>
      <c r="P445" s="203"/>
      <c r="Q445" s="203"/>
      <c r="R445" s="203"/>
      <c r="S445" s="203"/>
      <c r="T445" s="203"/>
    </row>
    <row r="446" spans="2:20">
      <c r="B446" s="203"/>
      <c r="C446" s="203"/>
      <c r="D446" s="203"/>
      <c r="E446" s="203"/>
      <c r="F446" s="203"/>
      <c r="G446" s="203"/>
      <c r="H446" s="203"/>
      <c r="I446" s="203"/>
      <c r="J446" s="203"/>
      <c r="K446" s="203"/>
      <c r="L446" s="203"/>
      <c r="M446" s="203"/>
      <c r="N446" s="203"/>
      <c r="O446" s="203"/>
      <c r="P446" s="203"/>
      <c r="Q446" s="203"/>
      <c r="R446" s="203"/>
      <c r="S446" s="203"/>
      <c r="T446" s="203"/>
    </row>
    <row r="447" spans="2:20">
      <c r="B447" s="203"/>
      <c r="C447" s="203"/>
      <c r="D447" s="203"/>
      <c r="E447" s="203"/>
      <c r="F447" s="203"/>
      <c r="G447" s="203"/>
      <c r="H447" s="203"/>
      <c r="I447" s="203"/>
      <c r="J447" s="203"/>
      <c r="K447" s="203"/>
      <c r="L447" s="203"/>
      <c r="M447" s="203"/>
      <c r="N447" s="203"/>
      <c r="O447" s="203"/>
      <c r="P447" s="203"/>
      <c r="Q447" s="203"/>
      <c r="R447" s="203"/>
      <c r="S447" s="203"/>
      <c r="T447" s="203"/>
    </row>
    <row r="448" spans="2:20">
      <c r="B448" s="203"/>
      <c r="C448" s="203"/>
      <c r="D448" s="203"/>
      <c r="E448" s="203"/>
      <c r="F448" s="203"/>
      <c r="G448" s="203"/>
      <c r="H448" s="203"/>
      <c r="I448" s="203"/>
      <c r="J448" s="203"/>
      <c r="K448" s="203"/>
      <c r="L448" s="203"/>
      <c r="M448" s="203"/>
      <c r="N448" s="203"/>
      <c r="O448" s="203"/>
      <c r="P448" s="203"/>
      <c r="Q448" s="203"/>
      <c r="R448" s="203"/>
      <c r="S448" s="203"/>
      <c r="T448" s="203"/>
    </row>
    <row r="449" spans="2:20">
      <c r="B449" s="203"/>
      <c r="C449" s="203"/>
      <c r="D449" s="203"/>
      <c r="E449" s="203"/>
      <c r="F449" s="203"/>
      <c r="G449" s="203"/>
      <c r="H449" s="203"/>
      <c r="I449" s="203"/>
      <c r="J449" s="203"/>
      <c r="K449" s="203"/>
      <c r="L449" s="203"/>
      <c r="M449" s="203"/>
      <c r="N449" s="203"/>
      <c r="O449" s="203"/>
      <c r="P449" s="203"/>
      <c r="Q449" s="203"/>
      <c r="R449" s="203"/>
      <c r="S449" s="203"/>
      <c r="T449" s="203"/>
    </row>
    <row r="450" spans="2:20">
      <c r="B450" s="203"/>
      <c r="C450" s="203"/>
      <c r="D450" s="203"/>
      <c r="E450" s="203"/>
      <c r="F450" s="203"/>
      <c r="G450" s="203"/>
      <c r="H450" s="203"/>
      <c r="I450" s="203"/>
      <c r="J450" s="203"/>
      <c r="K450" s="203"/>
      <c r="L450" s="203"/>
      <c r="M450" s="203"/>
      <c r="N450" s="203"/>
      <c r="O450" s="203"/>
      <c r="P450" s="203"/>
      <c r="Q450" s="203"/>
      <c r="R450" s="203"/>
      <c r="S450" s="203"/>
      <c r="T450" s="203"/>
    </row>
    <row r="451" spans="2:20">
      <c r="B451" s="203"/>
      <c r="C451" s="203"/>
      <c r="D451" s="203"/>
      <c r="E451" s="203"/>
      <c r="F451" s="203"/>
      <c r="G451" s="203"/>
      <c r="H451" s="203"/>
      <c r="I451" s="203"/>
      <c r="J451" s="203"/>
      <c r="K451" s="203"/>
      <c r="L451" s="203"/>
      <c r="M451" s="203"/>
      <c r="N451" s="203"/>
      <c r="O451" s="203"/>
      <c r="P451" s="203"/>
      <c r="Q451" s="203"/>
      <c r="R451" s="203"/>
      <c r="S451" s="203"/>
      <c r="T451" s="203"/>
    </row>
    <row r="452" spans="2:20">
      <c r="B452" s="203"/>
      <c r="C452" s="203"/>
      <c r="D452" s="203"/>
      <c r="E452" s="203"/>
      <c r="F452" s="203"/>
      <c r="G452" s="203"/>
      <c r="H452" s="203"/>
      <c r="I452" s="203"/>
      <c r="J452" s="203"/>
      <c r="K452" s="203"/>
      <c r="L452" s="203"/>
      <c r="M452" s="203"/>
      <c r="N452" s="203"/>
      <c r="O452" s="203"/>
      <c r="P452" s="203"/>
      <c r="Q452" s="203"/>
      <c r="R452" s="203"/>
      <c r="S452" s="203"/>
      <c r="T452" s="203"/>
    </row>
    <row r="453" spans="2:20">
      <c r="B453" s="203"/>
      <c r="C453" s="203"/>
      <c r="D453" s="203"/>
      <c r="E453" s="203"/>
      <c r="F453" s="203"/>
      <c r="G453" s="203"/>
      <c r="H453" s="203"/>
      <c r="I453" s="203"/>
      <c r="J453" s="203"/>
      <c r="K453" s="203"/>
      <c r="L453" s="203"/>
      <c r="M453" s="203"/>
      <c r="N453" s="203"/>
      <c r="O453" s="203"/>
      <c r="P453" s="203"/>
      <c r="Q453" s="203"/>
      <c r="R453" s="203"/>
      <c r="S453" s="203"/>
      <c r="T453" s="203"/>
    </row>
    <row r="454" spans="2:20">
      <c r="B454" s="203"/>
      <c r="C454" s="203"/>
      <c r="D454" s="203"/>
      <c r="E454" s="203"/>
      <c r="F454" s="203"/>
      <c r="G454" s="203"/>
      <c r="H454" s="203"/>
      <c r="I454" s="203"/>
      <c r="J454" s="203"/>
      <c r="K454" s="203"/>
      <c r="L454" s="203"/>
      <c r="M454" s="203"/>
      <c r="N454" s="203"/>
      <c r="O454" s="203"/>
      <c r="P454" s="203"/>
      <c r="Q454" s="203"/>
      <c r="R454" s="203"/>
      <c r="S454" s="203"/>
      <c r="T454" s="203"/>
    </row>
    <row r="455" spans="2:20">
      <c r="B455" s="203"/>
      <c r="C455" s="203"/>
      <c r="D455" s="203"/>
      <c r="E455" s="203"/>
      <c r="F455" s="203"/>
      <c r="G455" s="203"/>
      <c r="H455" s="203"/>
      <c r="I455" s="203"/>
      <c r="J455" s="203"/>
      <c r="K455" s="203"/>
      <c r="L455" s="203"/>
      <c r="M455" s="203"/>
      <c r="N455" s="203"/>
      <c r="O455" s="203"/>
      <c r="P455" s="203"/>
      <c r="Q455" s="203"/>
      <c r="R455" s="203"/>
      <c r="S455" s="203"/>
      <c r="T455" s="203"/>
    </row>
    <row r="456" spans="2:20">
      <c r="B456" s="203"/>
      <c r="C456" s="203"/>
      <c r="D456" s="203"/>
      <c r="E456" s="203"/>
      <c r="F456" s="203"/>
      <c r="G456" s="203"/>
      <c r="H456" s="203"/>
      <c r="I456" s="203"/>
      <c r="J456" s="203"/>
      <c r="K456" s="203"/>
      <c r="L456" s="203"/>
      <c r="M456" s="203"/>
      <c r="N456" s="203"/>
      <c r="O456" s="203"/>
      <c r="P456" s="203"/>
      <c r="Q456" s="203"/>
      <c r="R456" s="203"/>
      <c r="S456" s="203"/>
      <c r="T456" s="203"/>
    </row>
    <row r="457" spans="2:20">
      <c r="B457" s="203"/>
      <c r="C457" s="203"/>
      <c r="D457" s="203"/>
      <c r="E457" s="203"/>
      <c r="F457" s="203"/>
      <c r="G457" s="203"/>
      <c r="H457" s="203"/>
      <c r="I457" s="203"/>
      <c r="J457" s="203"/>
      <c r="K457" s="203"/>
      <c r="L457" s="203"/>
      <c r="M457" s="203"/>
      <c r="N457" s="203"/>
      <c r="O457" s="203"/>
      <c r="P457" s="203"/>
      <c r="Q457" s="203"/>
      <c r="R457" s="203"/>
      <c r="S457" s="203"/>
      <c r="T457" s="203"/>
    </row>
    <row r="458" spans="2:20">
      <c r="B458" s="203"/>
      <c r="C458" s="203"/>
      <c r="D458" s="203"/>
      <c r="E458" s="203"/>
      <c r="F458" s="203"/>
      <c r="G458" s="203"/>
      <c r="H458" s="203"/>
      <c r="I458" s="203"/>
      <c r="J458" s="203"/>
      <c r="K458" s="203"/>
      <c r="L458" s="203"/>
      <c r="M458" s="203"/>
      <c r="N458" s="203"/>
      <c r="O458" s="203"/>
      <c r="P458" s="203"/>
      <c r="Q458" s="203"/>
      <c r="R458" s="203"/>
      <c r="S458" s="203"/>
      <c r="T458" s="203"/>
    </row>
    <row r="459" spans="2:20">
      <c r="B459" s="203"/>
      <c r="C459" s="203"/>
      <c r="D459" s="203"/>
      <c r="E459" s="203"/>
      <c r="F459" s="203"/>
      <c r="G459" s="203"/>
      <c r="H459" s="203"/>
      <c r="I459" s="203"/>
      <c r="J459" s="203"/>
      <c r="K459" s="203"/>
      <c r="L459" s="203"/>
      <c r="M459" s="203"/>
      <c r="N459" s="203"/>
      <c r="O459" s="203"/>
      <c r="P459" s="203"/>
      <c r="Q459" s="203"/>
      <c r="R459" s="203"/>
      <c r="S459" s="203"/>
      <c r="T459" s="203"/>
    </row>
    <row r="460" spans="2:20">
      <c r="B460" s="203"/>
      <c r="C460" s="203"/>
      <c r="D460" s="203"/>
      <c r="E460" s="203"/>
      <c r="F460" s="203"/>
      <c r="G460" s="203"/>
      <c r="H460" s="203"/>
      <c r="I460" s="203"/>
      <c r="J460" s="203"/>
      <c r="K460" s="203"/>
      <c r="L460" s="203"/>
      <c r="M460" s="203"/>
      <c r="N460" s="203"/>
      <c r="O460" s="203"/>
      <c r="P460" s="203"/>
      <c r="Q460" s="203"/>
      <c r="R460" s="203"/>
      <c r="S460" s="203"/>
      <c r="T460" s="203"/>
    </row>
    <row r="461" spans="2:20">
      <c r="B461" s="203"/>
      <c r="C461" s="203"/>
      <c r="D461" s="203"/>
      <c r="E461" s="203"/>
      <c r="F461" s="203"/>
      <c r="G461" s="203"/>
      <c r="H461" s="203"/>
      <c r="I461" s="203"/>
      <c r="J461" s="203"/>
      <c r="K461" s="203"/>
      <c r="L461" s="203"/>
      <c r="M461" s="203"/>
      <c r="N461" s="203"/>
      <c r="O461" s="203"/>
      <c r="P461" s="203"/>
      <c r="Q461" s="203"/>
      <c r="R461" s="203"/>
      <c r="S461" s="203"/>
      <c r="T461" s="203"/>
    </row>
    <row r="462" spans="2:20">
      <c r="B462" s="203"/>
      <c r="C462" s="203"/>
      <c r="D462" s="203"/>
      <c r="E462" s="203"/>
      <c r="F462" s="203"/>
      <c r="G462" s="203"/>
      <c r="H462" s="203"/>
      <c r="I462" s="203"/>
      <c r="J462" s="203"/>
      <c r="K462" s="203"/>
      <c r="L462" s="203"/>
      <c r="M462" s="203"/>
      <c r="N462" s="203"/>
      <c r="O462" s="203"/>
      <c r="P462" s="203"/>
      <c r="Q462" s="203"/>
      <c r="R462" s="203"/>
      <c r="S462" s="203"/>
      <c r="T462" s="203"/>
    </row>
    <row r="463" spans="2:20">
      <c r="B463" s="203"/>
      <c r="C463" s="203"/>
      <c r="D463" s="203"/>
      <c r="E463" s="203"/>
      <c r="F463" s="203"/>
      <c r="G463" s="203"/>
      <c r="H463" s="203"/>
      <c r="I463" s="203"/>
      <c r="J463" s="203"/>
      <c r="K463" s="203"/>
      <c r="L463" s="203"/>
      <c r="M463" s="203"/>
      <c r="N463" s="203"/>
      <c r="O463" s="203"/>
      <c r="P463" s="203"/>
      <c r="Q463" s="203"/>
      <c r="R463" s="203"/>
      <c r="S463" s="203"/>
      <c r="T463" s="203"/>
    </row>
    <row r="464" spans="2:20">
      <c r="B464" s="203"/>
      <c r="C464" s="203"/>
      <c r="D464" s="203"/>
      <c r="E464" s="203"/>
      <c r="F464" s="203"/>
      <c r="G464" s="203"/>
      <c r="H464" s="203"/>
      <c r="I464" s="203"/>
      <c r="J464" s="203"/>
      <c r="K464" s="203"/>
      <c r="L464" s="203"/>
      <c r="M464" s="203"/>
      <c r="N464" s="203"/>
      <c r="O464" s="203"/>
      <c r="P464" s="203"/>
      <c r="Q464" s="203"/>
      <c r="R464" s="203"/>
      <c r="S464" s="203"/>
      <c r="T464" s="203"/>
    </row>
    <row r="465" spans="2:20">
      <c r="B465" s="203"/>
      <c r="C465" s="203"/>
      <c r="D465" s="203"/>
      <c r="E465" s="203"/>
      <c r="F465" s="203"/>
      <c r="G465" s="203"/>
      <c r="H465" s="203"/>
      <c r="I465" s="203"/>
      <c r="J465" s="203"/>
      <c r="K465" s="203"/>
      <c r="L465" s="203"/>
      <c r="M465" s="203"/>
      <c r="N465" s="203"/>
      <c r="O465" s="203"/>
      <c r="P465" s="203"/>
      <c r="Q465" s="203"/>
      <c r="R465" s="203"/>
      <c r="S465" s="203"/>
      <c r="T465" s="203"/>
    </row>
    <row r="466" spans="2:20">
      <c r="B466" s="203"/>
      <c r="C466" s="203"/>
      <c r="D466" s="203"/>
      <c r="E466" s="203"/>
      <c r="F466" s="203"/>
      <c r="G466" s="203"/>
      <c r="H466" s="203"/>
      <c r="I466" s="203"/>
      <c r="J466" s="203"/>
      <c r="K466" s="203"/>
      <c r="L466" s="203"/>
      <c r="M466" s="203"/>
      <c r="N466" s="203"/>
      <c r="O466" s="203"/>
      <c r="P466" s="203"/>
      <c r="Q466" s="203"/>
      <c r="R466" s="203"/>
      <c r="S466" s="203"/>
      <c r="T466" s="203"/>
    </row>
    <row r="467" spans="2:20">
      <c r="B467" s="203"/>
      <c r="C467" s="203"/>
      <c r="D467" s="203"/>
      <c r="E467" s="203"/>
      <c r="F467" s="203"/>
      <c r="G467" s="203"/>
      <c r="H467" s="203"/>
      <c r="I467" s="203"/>
      <c r="J467" s="203"/>
      <c r="K467" s="203"/>
      <c r="L467" s="203"/>
      <c r="M467" s="203"/>
      <c r="N467" s="203"/>
      <c r="O467" s="203"/>
      <c r="P467" s="203"/>
      <c r="Q467" s="203"/>
      <c r="R467" s="203"/>
      <c r="S467" s="203"/>
      <c r="T467" s="203"/>
    </row>
    <row r="468" spans="2:20">
      <c r="B468" s="203"/>
      <c r="C468" s="203"/>
      <c r="D468" s="203"/>
      <c r="E468" s="203"/>
      <c r="F468" s="203"/>
      <c r="G468" s="203"/>
      <c r="H468" s="203"/>
      <c r="I468" s="203"/>
      <c r="J468" s="203"/>
      <c r="K468" s="203"/>
      <c r="L468" s="203"/>
      <c r="M468" s="203"/>
      <c r="N468" s="203"/>
      <c r="O468" s="203"/>
      <c r="P468" s="203"/>
      <c r="Q468" s="203"/>
      <c r="R468" s="203"/>
      <c r="S468" s="203"/>
      <c r="T468" s="203"/>
    </row>
    <row r="469" spans="2:20">
      <c r="B469" s="203"/>
      <c r="C469" s="203"/>
      <c r="D469" s="203"/>
      <c r="E469" s="203"/>
      <c r="F469" s="203"/>
      <c r="G469" s="203"/>
      <c r="H469" s="203"/>
      <c r="I469" s="203"/>
      <c r="J469" s="203"/>
      <c r="K469" s="203"/>
      <c r="L469" s="203"/>
      <c r="M469" s="203"/>
      <c r="N469" s="203"/>
      <c r="O469" s="203"/>
      <c r="P469" s="203"/>
      <c r="Q469" s="203"/>
      <c r="R469" s="203"/>
      <c r="S469" s="203"/>
      <c r="T469" s="203"/>
    </row>
    <row r="470" spans="2:20">
      <c r="B470" s="203"/>
      <c r="C470" s="203"/>
      <c r="D470" s="203"/>
      <c r="E470" s="203"/>
      <c r="F470" s="203"/>
      <c r="G470" s="203"/>
      <c r="H470" s="203"/>
      <c r="I470" s="203"/>
      <c r="J470" s="203"/>
      <c r="K470" s="203"/>
      <c r="L470" s="203"/>
      <c r="M470" s="203"/>
      <c r="N470" s="203"/>
      <c r="O470" s="203"/>
      <c r="P470" s="203"/>
      <c r="Q470" s="203"/>
      <c r="R470" s="203"/>
      <c r="S470" s="203"/>
      <c r="T470" s="203"/>
    </row>
    <row r="471" spans="2:20">
      <c r="B471" s="203"/>
      <c r="C471" s="203"/>
      <c r="D471" s="203"/>
      <c r="E471" s="203"/>
      <c r="F471" s="203"/>
      <c r="G471" s="203"/>
      <c r="H471" s="203"/>
      <c r="I471" s="203"/>
      <c r="J471" s="203"/>
      <c r="K471" s="203"/>
      <c r="L471" s="203"/>
      <c r="M471" s="203"/>
      <c r="N471" s="203"/>
      <c r="O471" s="203"/>
      <c r="P471" s="203"/>
      <c r="Q471" s="203"/>
      <c r="R471" s="203"/>
      <c r="S471" s="203"/>
      <c r="T471" s="203"/>
    </row>
    <row r="472" spans="2:20">
      <c r="B472" s="203"/>
      <c r="C472" s="203"/>
      <c r="D472" s="203"/>
      <c r="E472" s="203"/>
      <c r="F472" s="203"/>
      <c r="G472" s="203"/>
      <c r="H472" s="203"/>
      <c r="I472" s="203"/>
      <c r="J472" s="203"/>
      <c r="K472" s="203"/>
      <c r="L472" s="203"/>
      <c r="M472" s="203"/>
      <c r="N472" s="203"/>
      <c r="O472" s="203"/>
      <c r="P472" s="203"/>
      <c r="Q472" s="203"/>
      <c r="R472" s="203"/>
      <c r="S472" s="203"/>
      <c r="T472" s="203"/>
    </row>
    <row r="473" spans="2:20">
      <c r="B473" s="203"/>
      <c r="C473" s="203"/>
      <c r="D473" s="203"/>
      <c r="E473" s="203"/>
      <c r="F473" s="203"/>
      <c r="G473" s="203"/>
      <c r="H473" s="203"/>
      <c r="I473" s="203"/>
      <c r="J473" s="203"/>
      <c r="K473" s="203"/>
      <c r="L473" s="203"/>
      <c r="M473" s="203"/>
      <c r="N473" s="203"/>
      <c r="O473" s="203"/>
      <c r="P473" s="203"/>
      <c r="Q473" s="203"/>
      <c r="R473" s="203"/>
      <c r="S473" s="203"/>
      <c r="T473" s="203"/>
    </row>
    <row r="474" spans="2:20">
      <c r="B474" s="203"/>
      <c r="C474" s="203"/>
      <c r="D474" s="203"/>
      <c r="E474" s="203"/>
      <c r="F474" s="203"/>
      <c r="G474" s="203"/>
      <c r="H474" s="203"/>
      <c r="I474" s="203"/>
      <c r="J474" s="203"/>
      <c r="K474" s="203"/>
      <c r="L474" s="203"/>
      <c r="M474" s="203"/>
      <c r="N474" s="203"/>
      <c r="O474" s="203"/>
      <c r="P474" s="203"/>
      <c r="Q474" s="203"/>
      <c r="R474" s="203"/>
      <c r="S474" s="203"/>
      <c r="T474" s="203"/>
    </row>
    <row r="475" spans="2:20">
      <c r="B475" s="203"/>
      <c r="C475" s="203"/>
      <c r="D475" s="203"/>
      <c r="E475" s="203"/>
      <c r="F475" s="203"/>
      <c r="G475" s="203"/>
      <c r="H475" s="203"/>
      <c r="I475" s="203"/>
      <c r="J475" s="203"/>
      <c r="K475" s="203"/>
      <c r="L475" s="203"/>
      <c r="M475" s="203"/>
      <c r="N475" s="203"/>
      <c r="O475" s="203"/>
      <c r="P475" s="203"/>
      <c r="Q475" s="203"/>
      <c r="R475" s="203"/>
      <c r="S475" s="203"/>
      <c r="T475" s="203"/>
    </row>
    <row r="476" spans="2:20">
      <c r="B476" s="203"/>
      <c r="C476" s="203"/>
      <c r="D476" s="203"/>
      <c r="E476" s="203"/>
      <c r="F476" s="203"/>
      <c r="G476" s="203"/>
      <c r="H476" s="203"/>
      <c r="I476" s="203"/>
      <c r="J476" s="203"/>
      <c r="K476" s="203"/>
      <c r="L476" s="203"/>
      <c r="M476" s="203"/>
      <c r="N476" s="203"/>
      <c r="O476" s="203"/>
      <c r="P476" s="203"/>
      <c r="Q476" s="203"/>
      <c r="R476" s="203"/>
      <c r="S476" s="203"/>
      <c r="T476" s="203"/>
    </row>
    <row r="477" spans="2:20">
      <c r="B477" s="203"/>
      <c r="C477" s="203"/>
      <c r="D477" s="203"/>
      <c r="E477" s="203"/>
      <c r="F477" s="203"/>
      <c r="G477" s="203"/>
      <c r="H477" s="203"/>
      <c r="I477" s="203"/>
      <c r="J477" s="203"/>
      <c r="K477" s="203"/>
      <c r="L477" s="203"/>
      <c r="M477" s="203"/>
      <c r="N477" s="203"/>
      <c r="O477" s="203"/>
      <c r="P477" s="203"/>
      <c r="Q477" s="203"/>
      <c r="R477" s="203"/>
      <c r="S477" s="203"/>
      <c r="T477" s="203"/>
    </row>
    <row r="478" spans="2:20">
      <c r="B478" s="203"/>
      <c r="C478" s="203"/>
      <c r="D478" s="203"/>
      <c r="E478" s="203"/>
      <c r="F478" s="203"/>
      <c r="G478" s="203"/>
      <c r="H478" s="203"/>
      <c r="I478" s="203"/>
      <c r="J478" s="203"/>
      <c r="K478" s="203"/>
      <c r="L478" s="203"/>
      <c r="M478" s="203"/>
      <c r="N478" s="203"/>
      <c r="O478" s="203"/>
      <c r="P478" s="203"/>
      <c r="Q478" s="203"/>
      <c r="R478" s="203"/>
      <c r="S478" s="203"/>
      <c r="T478" s="203"/>
    </row>
    <row r="479" spans="2:20">
      <c r="B479" s="203"/>
      <c r="C479" s="203"/>
      <c r="D479" s="203"/>
      <c r="E479" s="203"/>
      <c r="F479" s="203"/>
      <c r="G479" s="203"/>
      <c r="H479" s="203"/>
      <c r="I479" s="203"/>
      <c r="J479" s="203"/>
      <c r="K479" s="203"/>
      <c r="L479" s="203"/>
      <c r="M479" s="203"/>
      <c r="N479" s="203"/>
      <c r="O479" s="203"/>
      <c r="P479" s="203"/>
      <c r="Q479" s="203"/>
      <c r="R479" s="203"/>
      <c r="S479" s="203"/>
      <c r="T479" s="203"/>
    </row>
    <row r="480" spans="2:20">
      <c r="B480" s="203"/>
      <c r="C480" s="203"/>
      <c r="D480" s="203"/>
      <c r="E480" s="203"/>
      <c r="F480" s="203"/>
      <c r="G480" s="203"/>
      <c r="H480" s="203"/>
      <c r="I480" s="203"/>
      <c r="J480" s="203"/>
      <c r="K480" s="203"/>
      <c r="L480" s="203"/>
      <c r="M480" s="203"/>
      <c r="N480" s="203"/>
      <c r="O480" s="203"/>
      <c r="P480" s="203"/>
      <c r="Q480" s="203"/>
      <c r="R480" s="203"/>
      <c r="S480" s="203"/>
      <c r="T480" s="203"/>
    </row>
    <row r="481" spans="2:20">
      <c r="B481" s="203"/>
      <c r="C481" s="203"/>
      <c r="D481" s="203"/>
      <c r="E481" s="203"/>
      <c r="F481" s="203"/>
      <c r="G481" s="203"/>
      <c r="H481" s="203"/>
      <c r="I481" s="203"/>
      <c r="J481" s="203"/>
      <c r="K481" s="203"/>
      <c r="L481" s="203"/>
      <c r="M481" s="203"/>
      <c r="N481" s="203"/>
      <c r="O481" s="203"/>
      <c r="P481" s="203"/>
      <c r="Q481" s="203"/>
      <c r="R481" s="203"/>
      <c r="S481" s="203"/>
      <c r="T481" s="203"/>
    </row>
    <row r="482" spans="2:20">
      <c r="B482" s="203"/>
      <c r="C482" s="203"/>
      <c r="D482" s="203"/>
      <c r="E482" s="203"/>
      <c r="F482" s="203"/>
      <c r="G482" s="203"/>
      <c r="H482" s="203"/>
      <c r="I482" s="203"/>
      <c r="J482" s="203"/>
      <c r="K482" s="203"/>
      <c r="L482" s="203"/>
      <c r="M482" s="203"/>
      <c r="N482" s="203"/>
      <c r="O482" s="203"/>
      <c r="P482" s="203"/>
      <c r="Q482" s="203"/>
      <c r="R482" s="203"/>
      <c r="S482" s="203"/>
      <c r="T482" s="203"/>
    </row>
    <row r="483" spans="2:20">
      <c r="B483" s="203"/>
      <c r="C483" s="203"/>
      <c r="D483" s="203"/>
      <c r="E483" s="203"/>
      <c r="F483" s="203"/>
      <c r="G483" s="203"/>
      <c r="H483" s="203"/>
      <c r="I483" s="203"/>
      <c r="J483" s="203"/>
      <c r="K483" s="203"/>
      <c r="L483" s="203"/>
      <c r="M483" s="203"/>
      <c r="N483" s="203"/>
      <c r="O483" s="203"/>
      <c r="P483" s="203"/>
      <c r="Q483" s="203"/>
      <c r="R483" s="203"/>
      <c r="S483" s="203"/>
      <c r="T483" s="203"/>
    </row>
    <row r="484" spans="2:20">
      <c r="B484" s="203"/>
      <c r="C484" s="203"/>
      <c r="D484" s="203"/>
      <c r="E484" s="203"/>
      <c r="F484" s="203"/>
      <c r="G484" s="203"/>
      <c r="H484" s="203"/>
      <c r="I484" s="203"/>
      <c r="J484" s="203"/>
      <c r="K484" s="203"/>
      <c r="L484" s="203"/>
      <c r="M484" s="203"/>
      <c r="N484" s="203"/>
      <c r="O484" s="203"/>
      <c r="P484" s="203"/>
      <c r="Q484" s="203"/>
      <c r="R484" s="203"/>
      <c r="S484" s="203"/>
      <c r="T484" s="203"/>
    </row>
    <row r="485" spans="2:20">
      <c r="B485" s="203"/>
      <c r="C485" s="203"/>
      <c r="D485" s="203"/>
      <c r="E485" s="203"/>
      <c r="F485" s="203"/>
      <c r="G485" s="203"/>
      <c r="H485" s="203"/>
      <c r="I485" s="203"/>
      <c r="J485" s="203"/>
      <c r="K485" s="203"/>
      <c r="L485" s="203"/>
      <c r="M485" s="203"/>
      <c r="N485" s="203"/>
      <c r="O485" s="203"/>
      <c r="P485" s="203"/>
      <c r="Q485" s="203"/>
      <c r="R485" s="203"/>
      <c r="S485" s="203"/>
      <c r="T485" s="203"/>
    </row>
    <row r="486" spans="2:20">
      <c r="B486" s="203"/>
      <c r="C486" s="203"/>
      <c r="D486" s="203"/>
      <c r="E486" s="203"/>
      <c r="F486" s="203"/>
      <c r="G486" s="203"/>
      <c r="H486" s="203"/>
      <c r="I486" s="203"/>
      <c r="J486" s="203"/>
      <c r="K486" s="203"/>
      <c r="L486" s="203"/>
      <c r="M486" s="203"/>
      <c r="N486" s="203"/>
      <c r="O486" s="203"/>
      <c r="P486" s="203"/>
      <c r="Q486" s="203"/>
      <c r="R486" s="203"/>
      <c r="S486" s="203"/>
      <c r="T486" s="203"/>
    </row>
    <row r="487" spans="2:20">
      <c r="B487" s="203"/>
      <c r="C487" s="203"/>
      <c r="D487" s="203"/>
      <c r="E487" s="203"/>
      <c r="F487" s="203"/>
      <c r="G487" s="203"/>
      <c r="H487" s="203"/>
      <c r="I487" s="203"/>
      <c r="J487" s="203"/>
      <c r="K487" s="203"/>
      <c r="L487" s="203"/>
      <c r="M487" s="203"/>
      <c r="N487" s="203"/>
      <c r="O487" s="203"/>
      <c r="P487" s="203"/>
      <c r="Q487" s="203"/>
      <c r="R487" s="203"/>
      <c r="S487" s="203"/>
      <c r="T487" s="203"/>
    </row>
    <row r="488" spans="2:20">
      <c r="B488" s="203"/>
      <c r="C488" s="203"/>
      <c r="D488" s="203"/>
      <c r="E488" s="203"/>
      <c r="F488" s="203"/>
      <c r="G488" s="203"/>
      <c r="H488" s="203"/>
      <c r="I488" s="203"/>
      <c r="J488" s="203"/>
      <c r="K488" s="203"/>
      <c r="L488" s="203"/>
      <c r="M488" s="203"/>
      <c r="N488" s="203"/>
      <c r="O488" s="203"/>
      <c r="P488" s="203"/>
      <c r="Q488" s="203"/>
      <c r="R488" s="203"/>
      <c r="S488" s="203"/>
      <c r="T488" s="203"/>
    </row>
    <row r="489" spans="2:20">
      <c r="B489" s="203"/>
      <c r="C489" s="203"/>
      <c r="D489" s="203"/>
      <c r="E489" s="203"/>
      <c r="F489" s="203"/>
      <c r="G489" s="203"/>
      <c r="H489" s="203"/>
      <c r="I489" s="203"/>
      <c r="J489" s="203"/>
      <c r="K489" s="203"/>
      <c r="L489" s="203"/>
      <c r="M489" s="203"/>
      <c r="N489" s="203"/>
      <c r="O489" s="203"/>
      <c r="P489" s="203"/>
      <c r="Q489" s="203"/>
      <c r="R489" s="203"/>
      <c r="S489" s="203"/>
      <c r="T489" s="203"/>
    </row>
    <row r="490" spans="2:20">
      <c r="B490" s="203"/>
      <c r="C490" s="203"/>
      <c r="D490" s="203"/>
      <c r="E490" s="203"/>
      <c r="F490" s="203"/>
      <c r="G490" s="203"/>
      <c r="H490" s="203"/>
      <c r="I490" s="203"/>
      <c r="J490" s="203"/>
      <c r="K490" s="203"/>
      <c r="L490" s="203"/>
      <c r="M490" s="203"/>
      <c r="N490" s="203"/>
      <c r="O490" s="203"/>
      <c r="P490" s="203"/>
      <c r="Q490" s="203"/>
      <c r="R490" s="203"/>
      <c r="S490" s="203"/>
      <c r="T490" s="203"/>
    </row>
    <row r="491" spans="2:20">
      <c r="B491" s="203"/>
      <c r="C491" s="203"/>
      <c r="D491" s="203"/>
      <c r="E491" s="203"/>
      <c r="F491" s="203"/>
      <c r="G491" s="203"/>
      <c r="H491" s="203"/>
      <c r="I491" s="203"/>
      <c r="J491" s="203"/>
      <c r="K491" s="203"/>
      <c r="L491" s="203"/>
      <c r="M491" s="203"/>
      <c r="N491" s="203"/>
      <c r="O491" s="203"/>
      <c r="P491" s="203"/>
      <c r="Q491" s="203"/>
      <c r="R491" s="203"/>
      <c r="S491" s="203"/>
      <c r="T491" s="203"/>
    </row>
    <row r="492" spans="2:20">
      <c r="B492" s="203"/>
      <c r="C492" s="203"/>
      <c r="D492" s="203"/>
      <c r="E492" s="203"/>
      <c r="F492" s="203"/>
      <c r="G492" s="203"/>
      <c r="H492" s="203"/>
      <c r="I492" s="203"/>
      <c r="J492" s="203"/>
      <c r="K492" s="203"/>
      <c r="L492" s="203"/>
      <c r="M492" s="203"/>
      <c r="N492" s="203"/>
      <c r="O492" s="203"/>
      <c r="P492" s="203"/>
      <c r="Q492" s="203"/>
      <c r="R492" s="203"/>
      <c r="S492" s="203"/>
      <c r="T492" s="203"/>
    </row>
    <row r="493" spans="2:20">
      <c r="B493" s="203"/>
      <c r="C493" s="203"/>
      <c r="D493" s="203"/>
      <c r="E493" s="203"/>
      <c r="F493" s="203"/>
      <c r="G493" s="203"/>
      <c r="H493" s="203"/>
      <c r="I493" s="203"/>
      <c r="J493" s="203"/>
      <c r="K493" s="203"/>
      <c r="L493" s="203"/>
      <c r="M493" s="203"/>
      <c r="N493" s="203"/>
      <c r="O493" s="203"/>
      <c r="P493" s="203"/>
      <c r="Q493" s="203"/>
      <c r="R493" s="203"/>
      <c r="S493" s="203"/>
      <c r="T493" s="203"/>
    </row>
    <row r="494" spans="2:20">
      <c r="B494" s="203"/>
      <c r="C494" s="203"/>
      <c r="D494" s="203"/>
      <c r="E494" s="203"/>
      <c r="F494" s="203"/>
      <c r="G494" s="203"/>
      <c r="H494" s="203"/>
      <c r="I494" s="203"/>
      <c r="J494" s="203"/>
      <c r="K494" s="203"/>
      <c r="L494" s="203"/>
      <c r="M494" s="203"/>
      <c r="N494" s="203"/>
      <c r="O494" s="203"/>
      <c r="P494" s="203"/>
      <c r="Q494" s="203"/>
      <c r="R494" s="203"/>
      <c r="S494" s="203"/>
      <c r="T494" s="203"/>
    </row>
    <row r="495" spans="2:20">
      <c r="B495" s="203"/>
      <c r="C495" s="203"/>
      <c r="D495" s="203"/>
      <c r="E495" s="203"/>
      <c r="F495" s="203"/>
      <c r="G495" s="203"/>
      <c r="H495" s="203"/>
      <c r="I495" s="203"/>
      <c r="J495" s="203"/>
      <c r="K495" s="203"/>
      <c r="L495" s="203"/>
      <c r="M495" s="203"/>
      <c r="N495" s="203"/>
      <c r="O495" s="203"/>
      <c r="P495" s="203"/>
      <c r="Q495" s="203"/>
      <c r="R495" s="203"/>
      <c r="S495" s="203"/>
      <c r="T495" s="203"/>
    </row>
    <row r="496" spans="2:20">
      <c r="B496" s="203"/>
      <c r="C496" s="203"/>
      <c r="D496" s="203"/>
      <c r="E496" s="203"/>
      <c r="F496" s="203"/>
      <c r="G496" s="203"/>
      <c r="H496" s="203"/>
      <c r="I496" s="203"/>
      <c r="J496" s="203"/>
      <c r="K496" s="203"/>
      <c r="L496" s="203"/>
      <c r="M496" s="203"/>
      <c r="N496" s="203"/>
      <c r="O496" s="203"/>
      <c r="P496" s="203"/>
      <c r="Q496" s="203"/>
      <c r="R496" s="203"/>
      <c r="S496" s="203"/>
      <c r="T496" s="203"/>
    </row>
    <row r="497" spans="2:20">
      <c r="B497" s="203"/>
      <c r="C497" s="203"/>
      <c r="D497" s="203"/>
      <c r="E497" s="203"/>
      <c r="F497" s="203"/>
      <c r="G497" s="203"/>
      <c r="H497" s="203"/>
      <c r="I497" s="203"/>
      <c r="J497" s="203"/>
      <c r="K497" s="203"/>
      <c r="L497" s="203"/>
      <c r="M497" s="203"/>
      <c r="N497" s="203"/>
      <c r="O497" s="203"/>
      <c r="P497" s="203"/>
      <c r="Q497" s="203"/>
      <c r="R497" s="203"/>
      <c r="S497" s="203"/>
      <c r="T497" s="203"/>
    </row>
    <row r="498" spans="2:20">
      <c r="B498" s="203"/>
      <c r="C498" s="203"/>
      <c r="D498" s="203"/>
      <c r="E498" s="203"/>
      <c r="F498" s="203"/>
      <c r="G498" s="203"/>
      <c r="H498" s="203"/>
      <c r="I498" s="203"/>
      <c r="J498" s="203"/>
      <c r="K498" s="203"/>
      <c r="L498" s="203"/>
      <c r="M498" s="203"/>
      <c r="N498" s="203"/>
      <c r="O498" s="203"/>
      <c r="P498" s="203"/>
      <c r="Q498" s="203"/>
      <c r="R498" s="203"/>
      <c r="S498" s="203"/>
      <c r="T498" s="203"/>
    </row>
    <row r="499" spans="2:20">
      <c r="B499" s="203"/>
      <c r="C499" s="203"/>
      <c r="D499" s="203"/>
      <c r="E499" s="203"/>
      <c r="F499" s="203"/>
      <c r="G499" s="203"/>
      <c r="H499" s="203"/>
      <c r="I499" s="203"/>
      <c r="J499" s="203"/>
      <c r="K499" s="203"/>
      <c r="L499" s="203"/>
      <c r="M499" s="203"/>
      <c r="N499" s="203"/>
      <c r="O499" s="203"/>
      <c r="P499" s="203"/>
      <c r="Q499" s="203"/>
      <c r="R499" s="203"/>
      <c r="S499" s="203"/>
      <c r="T499" s="203"/>
    </row>
    <row r="500" spans="2:20">
      <c r="B500" s="203"/>
      <c r="C500" s="203"/>
      <c r="D500" s="203"/>
      <c r="E500" s="203"/>
      <c r="F500" s="203"/>
      <c r="G500" s="203"/>
      <c r="H500" s="203"/>
      <c r="I500" s="203"/>
      <c r="J500" s="203"/>
      <c r="K500" s="203"/>
      <c r="L500" s="203"/>
      <c r="M500" s="203"/>
      <c r="N500" s="203"/>
      <c r="O500" s="203"/>
      <c r="P500" s="203"/>
      <c r="Q500" s="203"/>
      <c r="R500" s="203"/>
      <c r="S500" s="203"/>
      <c r="T500" s="203"/>
    </row>
    <row r="501" spans="2:20">
      <c r="B501" s="203"/>
      <c r="C501" s="203"/>
      <c r="D501" s="203"/>
      <c r="E501" s="203"/>
      <c r="F501" s="203"/>
      <c r="G501" s="203"/>
      <c r="H501" s="203"/>
      <c r="I501" s="203"/>
      <c r="J501" s="203"/>
      <c r="K501" s="203"/>
      <c r="L501" s="203"/>
      <c r="M501" s="203"/>
      <c r="N501" s="203"/>
      <c r="O501" s="203"/>
      <c r="P501" s="203"/>
      <c r="Q501" s="203"/>
      <c r="R501" s="203"/>
      <c r="S501" s="203"/>
      <c r="T501" s="203"/>
    </row>
    <row r="502" spans="2:20">
      <c r="B502" s="203"/>
      <c r="C502" s="203"/>
      <c r="D502" s="203"/>
      <c r="E502" s="203"/>
      <c r="F502" s="203"/>
      <c r="G502" s="203"/>
      <c r="H502" s="203"/>
      <c r="I502" s="203"/>
      <c r="J502" s="203"/>
      <c r="K502" s="203"/>
      <c r="L502" s="203"/>
      <c r="M502" s="203"/>
      <c r="N502" s="203"/>
      <c r="O502" s="203"/>
      <c r="P502" s="203"/>
      <c r="Q502" s="203"/>
      <c r="R502" s="203"/>
      <c r="S502" s="203"/>
      <c r="T502" s="203"/>
    </row>
    <row r="503" spans="2:20">
      <c r="B503" s="203"/>
      <c r="C503" s="203"/>
      <c r="D503" s="203"/>
      <c r="E503" s="203"/>
      <c r="F503" s="203"/>
      <c r="G503" s="203"/>
      <c r="H503" s="203"/>
      <c r="I503" s="203"/>
      <c r="J503" s="203"/>
      <c r="K503" s="203"/>
      <c r="L503" s="203"/>
      <c r="M503" s="203"/>
      <c r="N503" s="203"/>
      <c r="O503" s="203"/>
      <c r="P503" s="203"/>
      <c r="Q503" s="203"/>
      <c r="R503" s="203"/>
      <c r="S503" s="203"/>
      <c r="T503" s="203"/>
    </row>
    <row r="504" spans="2:20">
      <c r="B504" s="203"/>
      <c r="C504" s="203"/>
      <c r="D504" s="203"/>
      <c r="E504" s="203"/>
      <c r="F504" s="203"/>
      <c r="G504" s="203"/>
      <c r="H504" s="203"/>
      <c r="I504" s="203"/>
      <c r="J504" s="203"/>
      <c r="K504" s="203"/>
      <c r="L504" s="203"/>
      <c r="M504" s="203"/>
      <c r="N504" s="203"/>
      <c r="O504" s="203"/>
      <c r="P504" s="203"/>
      <c r="Q504" s="203"/>
      <c r="R504" s="203"/>
      <c r="S504" s="203"/>
      <c r="T504" s="203"/>
    </row>
    <row r="505" spans="2:20">
      <c r="B505" s="203"/>
      <c r="C505" s="203"/>
      <c r="D505" s="203"/>
      <c r="E505" s="203"/>
      <c r="F505" s="203"/>
      <c r="G505" s="203"/>
      <c r="H505" s="203"/>
      <c r="I505" s="203"/>
      <c r="J505" s="203"/>
      <c r="K505" s="203"/>
      <c r="L505" s="203"/>
      <c r="M505" s="203"/>
      <c r="N505" s="203"/>
      <c r="O505" s="203"/>
      <c r="P505" s="203"/>
      <c r="Q505" s="203"/>
      <c r="R505" s="203"/>
      <c r="S505" s="203"/>
      <c r="T505" s="203"/>
    </row>
    <row r="506" spans="2:20">
      <c r="B506" s="203"/>
      <c r="C506" s="203"/>
      <c r="D506" s="203"/>
      <c r="E506" s="203"/>
      <c r="F506" s="203"/>
      <c r="G506" s="203"/>
      <c r="H506" s="203"/>
      <c r="I506" s="203"/>
      <c r="J506" s="203"/>
      <c r="K506" s="203"/>
      <c r="L506" s="203"/>
      <c r="M506" s="203"/>
      <c r="N506" s="203"/>
      <c r="O506" s="203"/>
      <c r="P506" s="203"/>
      <c r="Q506" s="203"/>
      <c r="R506" s="203"/>
      <c r="S506" s="203"/>
      <c r="T506" s="203"/>
    </row>
    <row r="507" spans="2:20">
      <c r="B507" s="203"/>
      <c r="C507" s="203"/>
      <c r="D507" s="203"/>
      <c r="E507" s="203"/>
      <c r="F507" s="203"/>
      <c r="G507" s="203"/>
      <c r="H507" s="203"/>
      <c r="I507" s="203"/>
      <c r="J507" s="203"/>
      <c r="K507" s="203"/>
      <c r="L507" s="203"/>
      <c r="M507" s="203"/>
      <c r="N507" s="203"/>
      <c r="O507" s="203"/>
      <c r="P507" s="203"/>
      <c r="Q507" s="203"/>
      <c r="R507" s="203"/>
      <c r="S507" s="203"/>
      <c r="T507" s="203"/>
    </row>
    <row r="508" spans="2:20">
      <c r="B508" s="203"/>
      <c r="C508" s="203"/>
      <c r="D508" s="203"/>
      <c r="E508" s="203"/>
      <c r="F508" s="203"/>
      <c r="G508" s="203"/>
      <c r="H508" s="203"/>
      <c r="I508" s="203"/>
      <c r="J508" s="203"/>
      <c r="K508" s="203"/>
      <c r="L508" s="203"/>
      <c r="M508" s="203"/>
      <c r="N508" s="203"/>
      <c r="O508" s="203"/>
      <c r="P508" s="203"/>
      <c r="Q508" s="203"/>
      <c r="R508" s="203"/>
      <c r="S508" s="203"/>
      <c r="T508" s="203"/>
    </row>
    <row r="509" spans="2:20">
      <c r="B509" s="203"/>
      <c r="C509" s="203"/>
      <c r="D509" s="203"/>
      <c r="E509" s="203"/>
      <c r="F509" s="203"/>
      <c r="G509" s="203"/>
      <c r="H509" s="203"/>
      <c r="I509" s="203"/>
      <c r="J509" s="203"/>
      <c r="K509" s="203"/>
      <c r="L509" s="203"/>
      <c r="M509" s="203"/>
      <c r="N509" s="203"/>
      <c r="O509" s="203"/>
      <c r="P509" s="203"/>
      <c r="Q509" s="203"/>
      <c r="R509" s="203"/>
      <c r="S509" s="203"/>
      <c r="T509" s="203"/>
    </row>
    <row r="510" spans="2:20">
      <c r="B510" s="203"/>
      <c r="C510" s="203"/>
      <c r="D510" s="203"/>
      <c r="E510" s="203"/>
      <c r="F510" s="203"/>
      <c r="G510" s="203"/>
      <c r="H510" s="203"/>
      <c r="I510" s="203"/>
      <c r="J510" s="203"/>
      <c r="K510" s="203"/>
      <c r="L510" s="203"/>
      <c r="M510" s="203"/>
      <c r="N510" s="203"/>
      <c r="O510" s="203"/>
      <c r="P510" s="203"/>
      <c r="Q510" s="203"/>
      <c r="R510" s="203"/>
      <c r="S510" s="203"/>
      <c r="T510" s="203"/>
    </row>
    <row r="511" spans="2:20">
      <c r="B511" s="203"/>
      <c r="C511" s="203"/>
      <c r="D511" s="203"/>
      <c r="E511" s="203"/>
      <c r="F511" s="203"/>
      <c r="G511" s="203"/>
      <c r="H511" s="203"/>
      <c r="I511" s="203"/>
      <c r="J511" s="203"/>
      <c r="K511" s="203"/>
      <c r="L511" s="203"/>
      <c r="M511" s="203"/>
      <c r="N511" s="203"/>
      <c r="O511" s="203"/>
      <c r="P511" s="203"/>
      <c r="Q511" s="203"/>
      <c r="R511" s="203"/>
      <c r="S511" s="203"/>
      <c r="T511" s="203"/>
    </row>
    <row r="512" spans="2:20">
      <c r="B512" s="203"/>
      <c r="C512" s="203"/>
      <c r="D512" s="203"/>
      <c r="E512" s="203"/>
      <c r="F512" s="203"/>
      <c r="G512" s="203"/>
      <c r="H512" s="203"/>
      <c r="I512" s="203"/>
      <c r="J512" s="203"/>
      <c r="K512" s="203"/>
      <c r="L512" s="203"/>
      <c r="M512" s="203"/>
      <c r="N512" s="203"/>
      <c r="O512" s="203"/>
      <c r="P512" s="203"/>
      <c r="Q512" s="203"/>
      <c r="R512" s="203"/>
      <c r="S512" s="203"/>
      <c r="T512" s="203"/>
    </row>
    <row r="513" spans="2:20">
      <c r="B513" s="203"/>
      <c r="C513" s="203"/>
      <c r="D513" s="203"/>
      <c r="E513" s="203"/>
      <c r="F513" s="203"/>
      <c r="G513" s="203"/>
      <c r="H513" s="203"/>
      <c r="I513" s="203"/>
      <c r="J513" s="203"/>
      <c r="K513" s="203"/>
      <c r="L513" s="203"/>
      <c r="M513" s="203"/>
      <c r="N513" s="203"/>
      <c r="O513" s="203"/>
      <c r="P513" s="203"/>
      <c r="Q513" s="203"/>
      <c r="R513" s="203"/>
      <c r="S513" s="203"/>
      <c r="T513" s="203"/>
    </row>
    <row r="514" spans="2:20">
      <c r="B514" s="203"/>
      <c r="C514" s="203"/>
      <c r="D514" s="203"/>
      <c r="E514" s="203"/>
      <c r="F514" s="203"/>
      <c r="G514" s="203"/>
      <c r="H514" s="203"/>
      <c r="I514" s="203"/>
      <c r="J514" s="203"/>
      <c r="K514" s="203"/>
      <c r="L514" s="203"/>
      <c r="M514" s="203"/>
      <c r="N514" s="203"/>
      <c r="O514" s="203"/>
      <c r="P514" s="203"/>
      <c r="Q514" s="203"/>
      <c r="R514" s="203"/>
      <c r="S514" s="203"/>
      <c r="T514" s="203"/>
    </row>
    <row r="515" spans="2:20">
      <c r="B515" s="203"/>
      <c r="C515" s="203"/>
      <c r="D515" s="203"/>
      <c r="E515" s="203"/>
      <c r="F515" s="203"/>
      <c r="G515" s="203"/>
      <c r="H515" s="203"/>
      <c r="I515" s="203"/>
      <c r="J515" s="203"/>
      <c r="K515" s="203"/>
      <c r="L515" s="203"/>
      <c r="M515" s="203"/>
      <c r="N515" s="203"/>
      <c r="O515" s="203"/>
      <c r="P515" s="203"/>
      <c r="Q515" s="203"/>
      <c r="R515" s="203"/>
      <c r="S515" s="203"/>
      <c r="T515" s="203"/>
    </row>
    <row r="516" spans="2:20">
      <c r="B516" s="203"/>
      <c r="C516" s="203"/>
      <c r="D516" s="203"/>
      <c r="E516" s="203"/>
      <c r="F516" s="203"/>
      <c r="G516" s="203"/>
      <c r="H516" s="203"/>
      <c r="I516" s="203"/>
      <c r="J516" s="203"/>
      <c r="K516" s="203"/>
      <c r="L516" s="203"/>
      <c r="M516" s="203"/>
      <c r="N516" s="203"/>
      <c r="O516" s="203"/>
      <c r="P516" s="203"/>
      <c r="Q516" s="203"/>
      <c r="R516" s="203"/>
      <c r="S516" s="203"/>
      <c r="T516" s="203"/>
    </row>
    <row r="517" spans="2:20">
      <c r="B517" s="203"/>
      <c r="C517" s="203"/>
      <c r="D517" s="203"/>
      <c r="E517" s="203"/>
      <c r="F517" s="203"/>
      <c r="G517" s="203"/>
      <c r="H517" s="203"/>
      <c r="I517" s="203"/>
      <c r="J517" s="203"/>
      <c r="K517" s="203"/>
      <c r="L517" s="203"/>
      <c r="M517" s="203"/>
      <c r="N517" s="203"/>
      <c r="O517" s="203"/>
      <c r="P517" s="203"/>
      <c r="Q517" s="203"/>
      <c r="R517" s="203"/>
      <c r="S517" s="203"/>
      <c r="T517" s="203"/>
    </row>
    <row r="518" spans="2:20">
      <c r="B518" s="203"/>
      <c r="C518" s="203"/>
      <c r="D518" s="203"/>
      <c r="E518" s="203"/>
      <c r="F518" s="203"/>
      <c r="G518" s="203"/>
      <c r="H518" s="203"/>
      <c r="I518" s="203"/>
      <c r="J518" s="203"/>
      <c r="K518" s="203"/>
      <c r="L518" s="203"/>
      <c r="M518" s="203"/>
      <c r="N518" s="203"/>
      <c r="O518" s="203"/>
      <c r="P518" s="203"/>
      <c r="Q518" s="203"/>
      <c r="R518" s="203"/>
      <c r="S518" s="203"/>
      <c r="T518" s="203"/>
    </row>
    <row r="519" spans="2:20">
      <c r="B519" s="203"/>
      <c r="C519" s="203"/>
      <c r="D519" s="203"/>
      <c r="E519" s="203"/>
      <c r="F519" s="203"/>
      <c r="G519" s="203"/>
      <c r="H519" s="203"/>
      <c r="I519" s="203"/>
      <c r="J519" s="203"/>
      <c r="K519" s="203"/>
      <c r="L519" s="203"/>
      <c r="M519" s="203"/>
      <c r="N519" s="203"/>
      <c r="O519" s="203"/>
      <c r="P519" s="203"/>
      <c r="Q519" s="203"/>
      <c r="R519" s="203"/>
      <c r="S519" s="203"/>
      <c r="T519" s="203"/>
    </row>
    <row r="520" spans="2:20">
      <c r="B520" s="203"/>
      <c r="C520" s="203"/>
      <c r="D520" s="203"/>
      <c r="E520" s="203"/>
      <c r="F520" s="203"/>
      <c r="G520" s="203"/>
      <c r="H520" s="203"/>
      <c r="I520" s="203"/>
      <c r="J520" s="203"/>
      <c r="K520" s="203"/>
      <c r="L520" s="203"/>
      <c r="M520" s="203"/>
      <c r="N520" s="203"/>
      <c r="O520" s="203"/>
      <c r="P520" s="203"/>
      <c r="Q520" s="203"/>
      <c r="R520" s="203"/>
      <c r="S520" s="203"/>
      <c r="T520" s="203"/>
    </row>
    <row r="521" spans="2:20">
      <c r="B521" s="203"/>
      <c r="C521" s="203"/>
      <c r="D521" s="203"/>
      <c r="E521" s="203"/>
      <c r="F521" s="203"/>
      <c r="G521" s="203"/>
      <c r="H521" s="203"/>
      <c r="I521" s="203"/>
      <c r="J521" s="203"/>
      <c r="K521" s="203"/>
      <c r="L521" s="203"/>
      <c r="M521" s="203"/>
      <c r="N521" s="203"/>
      <c r="O521" s="203"/>
      <c r="P521" s="203"/>
      <c r="Q521" s="203"/>
      <c r="R521" s="203"/>
      <c r="S521" s="203"/>
      <c r="T521" s="203"/>
    </row>
    <row r="522" spans="2:20">
      <c r="B522" s="203"/>
      <c r="C522" s="203"/>
      <c r="D522" s="203"/>
      <c r="E522" s="203"/>
      <c r="F522" s="203"/>
      <c r="G522" s="203"/>
      <c r="H522" s="203"/>
      <c r="I522" s="203"/>
      <c r="J522" s="203"/>
      <c r="K522" s="203"/>
      <c r="L522" s="203"/>
      <c r="M522" s="203"/>
      <c r="N522" s="203"/>
      <c r="O522" s="203"/>
      <c r="P522" s="203"/>
      <c r="Q522" s="203"/>
      <c r="R522" s="203"/>
      <c r="S522" s="203"/>
      <c r="T522" s="203"/>
    </row>
    <row r="523" spans="2:20">
      <c r="B523" s="203"/>
      <c r="C523" s="203"/>
      <c r="D523" s="203"/>
      <c r="E523" s="203"/>
      <c r="F523" s="203"/>
      <c r="G523" s="203"/>
      <c r="H523" s="203"/>
      <c r="I523" s="203"/>
      <c r="J523" s="203"/>
      <c r="K523" s="203"/>
      <c r="L523" s="203"/>
      <c r="M523" s="203"/>
      <c r="N523" s="203"/>
      <c r="O523" s="203"/>
      <c r="P523" s="203"/>
      <c r="Q523" s="203"/>
      <c r="R523" s="203"/>
      <c r="S523" s="203"/>
      <c r="T523" s="203"/>
    </row>
    <row r="524" spans="2:20">
      <c r="B524" s="203"/>
      <c r="C524" s="203"/>
      <c r="D524" s="203"/>
      <c r="E524" s="203"/>
      <c r="F524" s="203"/>
      <c r="G524" s="203"/>
      <c r="H524" s="203"/>
      <c r="I524" s="203"/>
      <c r="J524" s="203"/>
      <c r="K524" s="203"/>
      <c r="L524" s="203"/>
      <c r="M524" s="203"/>
      <c r="N524" s="203"/>
      <c r="O524" s="203"/>
      <c r="P524" s="203"/>
      <c r="Q524" s="203"/>
      <c r="R524" s="203"/>
      <c r="S524" s="203"/>
      <c r="T524" s="203"/>
    </row>
    <row r="525" spans="2:20">
      <c r="B525" s="203"/>
      <c r="C525" s="203"/>
      <c r="D525" s="203"/>
      <c r="E525" s="203"/>
      <c r="F525" s="203"/>
      <c r="G525" s="203"/>
      <c r="H525" s="203"/>
      <c r="I525" s="203"/>
      <c r="J525" s="203"/>
      <c r="K525" s="203"/>
      <c r="L525" s="203"/>
      <c r="M525" s="203"/>
      <c r="N525" s="203"/>
      <c r="O525" s="203"/>
      <c r="P525" s="203"/>
      <c r="Q525" s="203"/>
      <c r="R525" s="203"/>
      <c r="S525" s="203"/>
      <c r="T525" s="203"/>
    </row>
    <row r="526" spans="2:20">
      <c r="B526" s="203"/>
      <c r="C526" s="203"/>
      <c r="D526" s="203"/>
      <c r="E526" s="203"/>
      <c r="F526" s="203"/>
      <c r="G526" s="203"/>
      <c r="H526" s="203"/>
      <c r="I526" s="203"/>
      <c r="J526" s="203"/>
      <c r="K526" s="203"/>
      <c r="L526" s="203"/>
      <c r="M526" s="203"/>
      <c r="N526" s="203"/>
      <c r="O526" s="203"/>
      <c r="P526" s="203"/>
      <c r="Q526" s="203"/>
      <c r="R526" s="203"/>
      <c r="S526" s="203"/>
      <c r="T526" s="203"/>
    </row>
    <row r="527" spans="2:20">
      <c r="B527" s="203"/>
      <c r="C527" s="203"/>
      <c r="D527" s="203"/>
      <c r="E527" s="203"/>
      <c r="F527" s="203"/>
      <c r="G527" s="203"/>
      <c r="H527" s="203"/>
      <c r="I527" s="203"/>
      <c r="J527" s="203"/>
      <c r="K527" s="203"/>
      <c r="L527" s="203"/>
      <c r="M527" s="203"/>
      <c r="N527" s="203"/>
      <c r="O527" s="203"/>
      <c r="P527" s="203"/>
      <c r="Q527" s="203"/>
      <c r="R527" s="203"/>
      <c r="S527" s="203"/>
      <c r="T527" s="203"/>
    </row>
    <row r="528" spans="2:20">
      <c r="B528" s="203"/>
      <c r="C528" s="203"/>
      <c r="D528" s="203"/>
      <c r="E528" s="203"/>
      <c r="F528" s="203"/>
      <c r="G528" s="203"/>
      <c r="H528" s="203"/>
      <c r="I528" s="203"/>
      <c r="J528" s="203"/>
      <c r="K528" s="203"/>
      <c r="L528" s="203"/>
      <c r="M528" s="203"/>
      <c r="N528" s="203"/>
      <c r="O528" s="203"/>
      <c r="P528" s="203"/>
      <c r="Q528" s="203"/>
      <c r="R528" s="203"/>
      <c r="S528" s="203"/>
      <c r="T528" s="203"/>
    </row>
    <row r="529" spans="2:20">
      <c r="B529" s="203"/>
      <c r="C529" s="203"/>
      <c r="D529" s="203"/>
      <c r="E529" s="203"/>
      <c r="F529" s="203"/>
      <c r="G529" s="203"/>
      <c r="H529" s="203"/>
      <c r="I529" s="203"/>
      <c r="J529" s="203"/>
      <c r="K529" s="203"/>
      <c r="L529" s="203"/>
      <c r="M529" s="203"/>
      <c r="N529" s="203"/>
      <c r="O529" s="203"/>
      <c r="P529" s="203"/>
      <c r="Q529" s="203"/>
      <c r="R529" s="203"/>
      <c r="S529" s="203"/>
      <c r="T529" s="203"/>
    </row>
    <row r="530" spans="2:20">
      <c r="B530" s="203"/>
      <c r="C530" s="203"/>
      <c r="D530" s="203"/>
      <c r="E530" s="203"/>
      <c r="F530" s="203"/>
      <c r="G530" s="203"/>
      <c r="H530" s="203"/>
      <c r="I530" s="203"/>
      <c r="J530" s="203"/>
      <c r="K530" s="203"/>
      <c r="L530" s="203"/>
      <c r="M530" s="203"/>
      <c r="N530" s="203"/>
      <c r="O530" s="203"/>
      <c r="P530" s="203"/>
      <c r="Q530" s="203"/>
      <c r="R530" s="203"/>
      <c r="S530" s="203"/>
      <c r="T530" s="203"/>
    </row>
    <row r="531" spans="2:20">
      <c r="B531" s="203"/>
      <c r="C531" s="203"/>
      <c r="D531" s="203"/>
      <c r="E531" s="203"/>
      <c r="F531" s="203"/>
      <c r="G531" s="203"/>
      <c r="H531" s="203"/>
      <c r="I531" s="203"/>
      <c r="J531" s="203"/>
      <c r="K531" s="203"/>
      <c r="L531" s="203"/>
      <c r="M531" s="203"/>
      <c r="N531" s="203"/>
      <c r="O531" s="203"/>
      <c r="P531" s="203"/>
      <c r="Q531" s="203"/>
      <c r="R531" s="203"/>
      <c r="S531" s="203"/>
      <c r="T531" s="203"/>
    </row>
    <row r="532" spans="2:20">
      <c r="B532" s="203"/>
      <c r="C532" s="203"/>
      <c r="D532" s="203"/>
      <c r="E532" s="203"/>
      <c r="F532" s="203"/>
      <c r="G532" s="203"/>
      <c r="H532" s="203"/>
      <c r="I532" s="203"/>
      <c r="J532" s="203"/>
      <c r="K532" s="203"/>
      <c r="L532" s="203"/>
      <c r="M532" s="203"/>
      <c r="N532" s="203"/>
      <c r="O532" s="203"/>
      <c r="P532" s="203"/>
      <c r="Q532" s="203"/>
      <c r="R532" s="203"/>
      <c r="S532" s="203"/>
      <c r="T532" s="203"/>
    </row>
    <row r="533" spans="2:20">
      <c r="B533" s="203"/>
      <c r="C533" s="203"/>
      <c r="D533" s="203"/>
      <c r="E533" s="203"/>
      <c r="F533" s="203"/>
      <c r="G533" s="203"/>
      <c r="H533" s="203"/>
      <c r="I533" s="203"/>
      <c r="J533" s="203"/>
      <c r="K533" s="203"/>
      <c r="L533" s="203"/>
      <c r="M533" s="203"/>
      <c r="N533" s="203"/>
      <c r="O533" s="203"/>
      <c r="P533" s="203"/>
      <c r="Q533" s="203"/>
      <c r="R533" s="203"/>
      <c r="S533" s="203"/>
      <c r="T533" s="203"/>
    </row>
    <row r="534" spans="2:20">
      <c r="B534" s="203"/>
      <c r="C534" s="203"/>
      <c r="D534" s="203"/>
      <c r="E534" s="203"/>
      <c r="F534" s="203"/>
      <c r="G534" s="203"/>
      <c r="H534" s="203"/>
      <c r="I534" s="203"/>
      <c r="J534" s="203"/>
      <c r="K534" s="203"/>
      <c r="L534" s="203"/>
      <c r="M534" s="203"/>
      <c r="N534" s="203"/>
      <c r="O534" s="203"/>
      <c r="P534" s="203"/>
      <c r="Q534" s="203"/>
      <c r="R534" s="203"/>
      <c r="S534" s="203"/>
      <c r="T534" s="203"/>
    </row>
    <row r="535" spans="2:20">
      <c r="B535" s="203"/>
      <c r="C535" s="203"/>
      <c r="D535" s="203"/>
      <c r="E535" s="203"/>
      <c r="F535" s="203"/>
      <c r="G535" s="203"/>
      <c r="H535" s="203"/>
      <c r="I535" s="203"/>
      <c r="J535" s="203"/>
      <c r="K535" s="203"/>
      <c r="L535" s="203"/>
      <c r="M535" s="203"/>
      <c r="N535" s="203"/>
      <c r="O535" s="203"/>
      <c r="P535" s="203"/>
      <c r="Q535" s="203"/>
      <c r="R535" s="203"/>
      <c r="S535" s="203"/>
      <c r="T535" s="203"/>
    </row>
    <row r="536" spans="2:20">
      <c r="B536" s="203"/>
      <c r="C536" s="203"/>
      <c r="D536" s="203"/>
      <c r="E536" s="203"/>
      <c r="F536" s="203"/>
      <c r="G536" s="203"/>
      <c r="H536" s="203"/>
      <c r="I536" s="203"/>
      <c r="J536" s="203"/>
      <c r="K536" s="203"/>
      <c r="L536" s="203"/>
      <c r="M536" s="203"/>
      <c r="N536" s="203"/>
      <c r="O536" s="203"/>
      <c r="P536" s="203"/>
      <c r="Q536" s="203"/>
      <c r="R536" s="203"/>
      <c r="S536" s="203"/>
      <c r="T536" s="203"/>
    </row>
    <row r="537" spans="2:20">
      <c r="B537" s="203"/>
      <c r="C537" s="203"/>
      <c r="D537" s="203"/>
      <c r="E537" s="203"/>
      <c r="F537" s="203"/>
      <c r="G537" s="203"/>
      <c r="H537" s="203"/>
      <c r="I537" s="203"/>
      <c r="J537" s="203"/>
      <c r="K537" s="203"/>
      <c r="L537" s="203"/>
      <c r="M537" s="203"/>
      <c r="N537" s="203"/>
      <c r="O537" s="203"/>
      <c r="P537" s="203"/>
      <c r="Q537" s="203"/>
      <c r="R537" s="203"/>
      <c r="S537" s="203"/>
      <c r="T537" s="203"/>
    </row>
    <row r="538" spans="2:20">
      <c r="B538" s="203"/>
      <c r="C538" s="203"/>
      <c r="D538" s="203"/>
      <c r="E538" s="203"/>
      <c r="F538" s="203"/>
      <c r="G538" s="203"/>
      <c r="H538" s="203"/>
      <c r="I538" s="203"/>
      <c r="J538" s="203"/>
      <c r="K538" s="203"/>
      <c r="L538" s="203"/>
      <c r="M538" s="203"/>
      <c r="N538" s="203"/>
      <c r="O538" s="203"/>
      <c r="P538" s="203"/>
      <c r="Q538" s="203"/>
      <c r="R538" s="203"/>
      <c r="S538" s="203"/>
      <c r="T538" s="203"/>
    </row>
    <row r="539" spans="2:20">
      <c r="B539" s="203"/>
      <c r="C539" s="203"/>
      <c r="D539" s="203"/>
      <c r="E539" s="203"/>
      <c r="F539" s="203"/>
      <c r="G539" s="203"/>
      <c r="H539" s="203"/>
      <c r="I539" s="203"/>
      <c r="J539" s="203"/>
      <c r="K539" s="203"/>
      <c r="L539" s="203"/>
      <c r="M539" s="203"/>
      <c r="N539" s="203"/>
      <c r="O539" s="203"/>
      <c r="P539" s="203"/>
      <c r="Q539" s="203"/>
      <c r="R539" s="203"/>
      <c r="S539" s="203"/>
      <c r="T539" s="203"/>
    </row>
    <row r="540" spans="2:20">
      <c r="B540" s="203"/>
      <c r="C540" s="203"/>
      <c r="D540" s="203"/>
      <c r="E540" s="203"/>
      <c r="F540" s="203"/>
      <c r="G540" s="203"/>
      <c r="H540" s="203"/>
      <c r="I540" s="203"/>
      <c r="J540" s="203"/>
      <c r="K540" s="203"/>
      <c r="L540" s="203"/>
      <c r="M540" s="203"/>
      <c r="N540" s="203"/>
      <c r="O540" s="203"/>
      <c r="P540" s="203"/>
      <c r="Q540" s="203"/>
      <c r="R540" s="203"/>
      <c r="S540" s="203"/>
      <c r="T540" s="203"/>
    </row>
    <row r="541" spans="2:20">
      <c r="B541" s="203"/>
      <c r="C541" s="203"/>
      <c r="D541" s="203"/>
      <c r="E541" s="203"/>
      <c r="F541" s="203"/>
      <c r="G541" s="203"/>
      <c r="H541" s="203"/>
      <c r="I541" s="203"/>
      <c r="J541" s="203"/>
      <c r="K541" s="203"/>
      <c r="L541" s="203"/>
      <c r="M541" s="203"/>
      <c r="N541" s="203"/>
      <c r="O541" s="203"/>
      <c r="P541" s="203"/>
      <c r="Q541" s="203"/>
      <c r="R541" s="203"/>
      <c r="S541" s="203"/>
      <c r="T541" s="203"/>
    </row>
    <row r="542" spans="2:20">
      <c r="B542" s="203"/>
      <c r="C542" s="203"/>
      <c r="D542" s="203"/>
      <c r="E542" s="203"/>
      <c r="F542" s="203"/>
      <c r="G542" s="203"/>
      <c r="H542" s="203"/>
      <c r="I542" s="203"/>
      <c r="J542" s="203"/>
      <c r="K542" s="203"/>
      <c r="L542" s="203"/>
      <c r="M542" s="203"/>
      <c r="N542" s="203"/>
      <c r="O542" s="203"/>
      <c r="P542" s="203"/>
      <c r="Q542" s="203"/>
      <c r="R542" s="203"/>
      <c r="S542" s="203"/>
      <c r="T542" s="203"/>
    </row>
    <row r="543" spans="2:20">
      <c r="B543" s="203"/>
      <c r="C543" s="203"/>
      <c r="D543" s="203"/>
      <c r="E543" s="203"/>
      <c r="F543" s="203"/>
      <c r="G543" s="203"/>
      <c r="H543" s="203"/>
      <c r="I543" s="203"/>
      <c r="J543" s="203"/>
      <c r="K543" s="203"/>
      <c r="L543" s="203"/>
      <c r="M543" s="203"/>
      <c r="N543" s="203"/>
      <c r="O543" s="203"/>
      <c r="P543" s="203"/>
      <c r="Q543" s="203"/>
      <c r="R543" s="203"/>
      <c r="S543" s="203"/>
      <c r="T543" s="203"/>
    </row>
    <row r="544" spans="2:20">
      <c r="B544" s="203"/>
      <c r="C544" s="203"/>
      <c r="D544" s="203"/>
      <c r="E544" s="203"/>
      <c r="F544" s="203"/>
      <c r="G544" s="203"/>
      <c r="H544" s="203"/>
      <c r="I544" s="203"/>
      <c r="J544" s="203"/>
      <c r="K544" s="203"/>
      <c r="L544" s="203"/>
      <c r="M544" s="203"/>
      <c r="N544" s="203"/>
      <c r="O544" s="203"/>
      <c r="P544" s="203"/>
      <c r="Q544" s="203"/>
      <c r="R544" s="203"/>
      <c r="S544" s="203"/>
      <c r="T544" s="203"/>
    </row>
    <row r="545" spans="2:20">
      <c r="B545" s="203"/>
      <c r="C545" s="203"/>
      <c r="D545" s="203"/>
      <c r="E545" s="203"/>
      <c r="F545" s="203"/>
      <c r="G545" s="203"/>
      <c r="H545" s="203"/>
      <c r="I545" s="203"/>
      <c r="J545" s="203"/>
      <c r="K545" s="203"/>
      <c r="L545" s="203"/>
      <c r="M545" s="203"/>
      <c r="N545" s="203"/>
      <c r="O545" s="203"/>
      <c r="P545" s="203"/>
      <c r="Q545" s="203"/>
      <c r="R545" s="203"/>
      <c r="S545" s="203"/>
      <c r="T545" s="203"/>
    </row>
    <row r="546" spans="2:20">
      <c r="B546" s="203"/>
      <c r="C546" s="203"/>
      <c r="D546" s="203"/>
      <c r="E546" s="203"/>
      <c r="F546" s="203"/>
      <c r="G546" s="203"/>
      <c r="H546" s="203"/>
      <c r="I546" s="203"/>
      <c r="J546" s="203"/>
      <c r="K546" s="203"/>
      <c r="L546" s="203"/>
      <c r="M546" s="203"/>
      <c r="N546" s="203"/>
      <c r="O546" s="203"/>
      <c r="P546" s="203"/>
      <c r="Q546" s="203"/>
      <c r="R546" s="203"/>
      <c r="S546" s="203"/>
      <c r="T546" s="203"/>
    </row>
    <row r="547" spans="2:20">
      <c r="B547" s="203"/>
      <c r="C547" s="203"/>
      <c r="D547" s="203"/>
      <c r="E547" s="203"/>
      <c r="F547" s="203"/>
      <c r="G547" s="203"/>
      <c r="H547" s="203"/>
      <c r="I547" s="203"/>
      <c r="J547" s="203"/>
      <c r="K547" s="203"/>
      <c r="L547" s="203"/>
      <c r="M547" s="203"/>
      <c r="N547" s="203"/>
      <c r="O547" s="203"/>
      <c r="P547" s="203"/>
      <c r="Q547" s="203"/>
      <c r="R547" s="203"/>
      <c r="S547" s="203"/>
      <c r="T547" s="203"/>
    </row>
    <row r="548" spans="2:20">
      <c r="B548" s="203"/>
      <c r="C548" s="203"/>
      <c r="D548" s="203"/>
      <c r="E548" s="203"/>
      <c r="F548" s="203"/>
      <c r="G548" s="203"/>
      <c r="H548" s="203"/>
      <c r="I548" s="203"/>
      <c r="J548" s="203"/>
      <c r="K548" s="203"/>
      <c r="L548" s="203"/>
      <c r="M548" s="203"/>
      <c r="N548" s="203"/>
      <c r="O548" s="203"/>
      <c r="P548" s="203"/>
      <c r="Q548" s="203"/>
      <c r="R548" s="203"/>
      <c r="S548" s="203"/>
      <c r="T548" s="203"/>
    </row>
    <row r="549" spans="2:20">
      <c r="B549" s="203"/>
      <c r="C549" s="203"/>
      <c r="D549" s="203"/>
      <c r="E549" s="203"/>
      <c r="F549" s="203"/>
      <c r="G549" s="203"/>
      <c r="H549" s="203"/>
      <c r="I549" s="203"/>
      <c r="J549" s="203"/>
      <c r="K549" s="203"/>
      <c r="L549" s="203"/>
      <c r="M549" s="203"/>
      <c r="N549" s="203"/>
      <c r="O549" s="203"/>
      <c r="P549" s="203"/>
      <c r="Q549" s="203"/>
      <c r="R549" s="203"/>
      <c r="S549" s="203"/>
      <c r="T549" s="203"/>
    </row>
    <row r="550" spans="2:20">
      <c r="B550" s="203"/>
      <c r="C550" s="203"/>
      <c r="D550" s="203"/>
      <c r="E550" s="203"/>
      <c r="F550" s="203"/>
      <c r="G550" s="203"/>
      <c r="H550" s="203"/>
      <c r="I550" s="203"/>
      <c r="J550" s="203"/>
      <c r="K550" s="203"/>
      <c r="L550" s="203"/>
      <c r="M550" s="203"/>
      <c r="N550" s="203"/>
      <c r="O550" s="203"/>
      <c r="P550" s="203"/>
      <c r="Q550" s="203"/>
      <c r="R550" s="203"/>
      <c r="S550" s="203"/>
      <c r="T550" s="203"/>
    </row>
    <row r="551" spans="2:20">
      <c r="B551" s="203"/>
      <c r="C551" s="203"/>
      <c r="D551" s="203"/>
      <c r="E551" s="203"/>
      <c r="F551" s="203"/>
      <c r="G551" s="203"/>
      <c r="H551" s="203"/>
      <c r="I551" s="203"/>
      <c r="J551" s="203"/>
      <c r="K551" s="203"/>
      <c r="L551" s="203"/>
      <c r="M551" s="203"/>
      <c r="N551" s="203"/>
      <c r="O551" s="203"/>
      <c r="P551" s="203"/>
      <c r="Q551" s="203"/>
      <c r="R551" s="203"/>
      <c r="S551" s="203"/>
      <c r="T551" s="203"/>
    </row>
    <row r="552" spans="2:20">
      <c r="B552" s="203"/>
      <c r="C552" s="203"/>
      <c r="D552" s="203"/>
      <c r="E552" s="203"/>
      <c r="F552" s="203"/>
      <c r="G552" s="203"/>
      <c r="H552" s="203"/>
      <c r="I552" s="203"/>
      <c r="J552" s="203"/>
      <c r="K552" s="203"/>
      <c r="L552" s="203"/>
      <c r="M552" s="203"/>
      <c r="N552" s="203"/>
      <c r="O552" s="203"/>
      <c r="P552" s="203"/>
      <c r="Q552" s="203"/>
      <c r="R552" s="203"/>
      <c r="S552" s="203"/>
      <c r="T552" s="203"/>
    </row>
    <row r="553" spans="2:20">
      <c r="B553" s="203"/>
      <c r="C553" s="203"/>
      <c r="D553" s="203"/>
      <c r="E553" s="203"/>
      <c r="F553" s="203"/>
      <c r="G553" s="203"/>
      <c r="H553" s="203"/>
      <c r="I553" s="203"/>
      <c r="J553" s="203"/>
      <c r="K553" s="203"/>
      <c r="L553" s="203"/>
      <c r="M553" s="203"/>
      <c r="N553" s="203"/>
      <c r="O553" s="203"/>
      <c r="P553" s="203"/>
      <c r="Q553" s="203"/>
      <c r="R553" s="203"/>
      <c r="S553" s="203"/>
      <c r="T553" s="203"/>
    </row>
    <row r="554" spans="2:20">
      <c r="B554" s="203"/>
      <c r="C554" s="203"/>
      <c r="D554" s="203"/>
      <c r="E554" s="203"/>
      <c r="F554" s="203"/>
      <c r="G554" s="203"/>
      <c r="H554" s="203"/>
      <c r="I554" s="203"/>
      <c r="J554" s="203"/>
      <c r="K554" s="203"/>
      <c r="L554" s="203"/>
      <c r="M554" s="203"/>
      <c r="N554" s="203"/>
      <c r="O554" s="203"/>
      <c r="P554" s="203"/>
      <c r="Q554" s="203"/>
      <c r="R554" s="203"/>
      <c r="S554" s="203"/>
      <c r="T554" s="203"/>
    </row>
    <row r="555" spans="2:20">
      <c r="B555" s="203"/>
      <c r="C555" s="203"/>
      <c r="D555" s="203"/>
      <c r="E555" s="203"/>
      <c r="F555" s="203"/>
      <c r="G555" s="203"/>
      <c r="H555" s="203"/>
      <c r="I555" s="203"/>
      <c r="J555" s="203"/>
      <c r="K555" s="203"/>
      <c r="L555" s="203"/>
      <c r="M555" s="203"/>
      <c r="N555" s="203"/>
      <c r="O555" s="203"/>
      <c r="P555" s="203"/>
      <c r="Q555" s="203"/>
      <c r="R555" s="203"/>
      <c r="S555" s="203"/>
      <c r="T555" s="203"/>
    </row>
    <row r="556" spans="2:20">
      <c r="B556" s="203"/>
      <c r="C556" s="203"/>
      <c r="D556" s="203"/>
      <c r="E556" s="203"/>
      <c r="F556" s="203"/>
      <c r="G556" s="203"/>
      <c r="H556" s="203"/>
      <c r="I556" s="203"/>
      <c r="J556" s="203"/>
      <c r="K556" s="203"/>
      <c r="L556" s="203"/>
      <c r="M556" s="203"/>
      <c r="N556" s="203"/>
      <c r="O556" s="203"/>
      <c r="P556" s="203"/>
      <c r="Q556" s="203"/>
      <c r="R556" s="203"/>
      <c r="S556" s="203"/>
      <c r="T556" s="203"/>
    </row>
    <row r="557" spans="2:20">
      <c r="B557" s="203"/>
      <c r="C557" s="203"/>
      <c r="D557" s="203"/>
      <c r="E557" s="203"/>
      <c r="F557" s="203"/>
      <c r="G557" s="203"/>
      <c r="H557" s="203"/>
      <c r="I557" s="203"/>
      <c r="J557" s="203"/>
      <c r="K557" s="203"/>
      <c r="L557" s="203"/>
      <c r="M557" s="203"/>
      <c r="N557" s="203"/>
      <c r="O557" s="203"/>
      <c r="P557" s="203"/>
      <c r="Q557" s="203"/>
      <c r="R557" s="203"/>
      <c r="S557" s="203"/>
      <c r="T557" s="203"/>
    </row>
    <row r="558" spans="2:20">
      <c r="B558" s="203"/>
      <c r="C558" s="203"/>
      <c r="D558" s="203"/>
      <c r="E558" s="203"/>
      <c r="F558" s="203"/>
      <c r="G558" s="203"/>
      <c r="H558" s="203"/>
      <c r="I558" s="203"/>
      <c r="J558" s="203"/>
      <c r="K558" s="203"/>
      <c r="L558" s="203"/>
      <c r="M558" s="203"/>
      <c r="N558" s="203"/>
      <c r="O558" s="203"/>
      <c r="P558" s="203"/>
      <c r="Q558" s="203"/>
      <c r="R558" s="203"/>
      <c r="S558" s="203"/>
      <c r="T558" s="203"/>
    </row>
    <row r="559" spans="2:20">
      <c r="B559" s="203"/>
      <c r="C559" s="203"/>
      <c r="D559" s="203"/>
      <c r="E559" s="203"/>
      <c r="F559" s="203"/>
      <c r="G559" s="203"/>
      <c r="H559" s="203"/>
      <c r="I559" s="203"/>
      <c r="J559" s="203"/>
      <c r="K559" s="203"/>
      <c r="L559" s="203"/>
      <c r="M559" s="203"/>
      <c r="N559" s="203"/>
      <c r="O559" s="203"/>
      <c r="P559" s="203"/>
      <c r="Q559" s="203"/>
      <c r="R559" s="203"/>
      <c r="S559" s="203"/>
      <c r="T559" s="203"/>
    </row>
    <row r="560" spans="2:20">
      <c r="B560" s="203"/>
      <c r="C560" s="203"/>
      <c r="D560" s="203"/>
      <c r="E560" s="203"/>
      <c r="F560" s="203"/>
      <c r="G560" s="203"/>
      <c r="H560" s="203"/>
      <c r="I560" s="203"/>
      <c r="J560" s="203"/>
      <c r="K560" s="203"/>
      <c r="L560" s="203"/>
      <c r="M560" s="203"/>
      <c r="N560" s="203"/>
      <c r="O560" s="203"/>
      <c r="P560" s="203"/>
      <c r="Q560" s="203"/>
      <c r="R560" s="203"/>
      <c r="S560" s="203"/>
      <c r="T560" s="203"/>
    </row>
    <row r="561" spans="2:20">
      <c r="B561" s="203"/>
      <c r="C561" s="203"/>
      <c r="D561" s="203"/>
      <c r="E561" s="203"/>
      <c r="F561" s="203"/>
      <c r="G561" s="203"/>
      <c r="H561" s="203"/>
      <c r="I561" s="203"/>
      <c r="J561" s="203"/>
      <c r="K561" s="203"/>
      <c r="L561" s="203"/>
      <c r="M561" s="203"/>
      <c r="N561" s="203"/>
      <c r="O561" s="203"/>
      <c r="P561" s="203"/>
      <c r="Q561" s="203"/>
      <c r="R561" s="203"/>
      <c r="S561" s="203"/>
      <c r="T561" s="203"/>
    </row>
    <row r="562" spans="2:20">
      <c r="B562" s="203"/>
      <c r="C562" s="203"/>
      <c r="D562" s="203"/>
      <c r="E562" s="203"/>
      <c r="F562" s="203"/>
      <c r="G562" s="203"/>
      <c r="H562" s="203"/>
      <c r="I562" s="203"/>
      <c r="J562" s="203"/>
      <c r="K562" s="203"/>
      <c r="L562" s="203"/>
      <c r="M562" s="203"/>
      <c r="N562" s="203"/>
      <c r="O562" s="203"/>
      <c r="P562" s="203"/>
      <c r="Q562" s="203"/>
      <c r="R562" s="203"/>
      <c r="S562" s="203"/>
      <c r="T562" s="203"/>
    </row>
    <row r="563" spans="2:20">
      <c r="B563" s="203"/>
      <c r="C563" s="203"/>
      <c r="D563" s="203"/>
      <c r="E563" s="203"/>
      <c r="F563" s="203"/>
      <c r="G563" s="203"/>
      <c r="H563" s="203"/>
      <c r="I563" s="203"/>
      <c r="J563" s="203"/>
      <c r="K563" s="203"/>
      <c r="L563" s="203"/>
      <c r="M563" s="203"/>
      <c r="N563" s="203"/>
      <c r="O563" s="203"/>
      <c r="P563" s="203"/>
      <c r="Q563" s="203"/>
      <c r="R563" s="203"/>
      <c r="S563" s="203"/>
      <c r="T563" s="203"/>
    </row>
    <row r="564" spans="2:20">
      <c r="B564" s="203"/>
      <c r="C564" s="203"/>
      <c r="D564" s="203"/>
      <c r="E564" s="203"/>
      <c r="F564" s="203"/>
      <c r="G564" s="203"/>
      <c r="H564" s="203"/>
      <c r="I564" s="203"/>
      <c r="J564" s="203"/>
      <c r="K564" s="203"/>
      <c r="L564" s="203"/>
      <c r="M564" s="203"/>
      <c r="N564" s="203"/>
      <c r="O564" s="203"/>
      <c r="P564" s="203"/>
      <c r="Q564" s="203"/>
      <c r="R564" s="203"/>
      <c r="S564" s="203"/>
      <c r="T564" s="203"/>
    </row>
    <row r="565" spans="2:20">
      <c r="B565" s="203"/>
      <c r="C565" s="203"/>
      <c r="D565" s="203"/>
      <c r="E565" s="203"/>
      <c r="F565" s="203"/>
      <c r="G565" s="203"/>
      <c r="H565" s="203"/>
      <c r="I565" s="203"/>
      <c r="J565" s="203"/>
      <c r="K565" s="203"/>
      <c r="L565" s="203"/>
      <c r="M565" s="203"/>
      <c r="N565" s="203"/>
      <c r="O565" s="203"/>
      <c r="P565" s="203"/>
      <c r="Q565" s="203"/>
      <c r="R565" s="203"/>
      <c r="S565" s="203"/>
      <c r="T565" s="203"/>
    </row>
    <row r="566" spans="2:20">
      <c r="B566" s="203"/>
      <c r="C566" s="203"/>
      <c r="D566" s="203"/>
      <c r="E566" s="203"/>
      <c r="F566" s="203"/>
      <c r="G566" s="203"/>
      <c r="H566" s="203"/>
      <c r="I566" s="203"/>
      <c r="J566" s="203"/>
      <c r="K566" s="203"/>
      <c r="L566" s="203"/>
      <c r="M566" s="203"/>
      <c r="N566" s="203"/>
      <c r="O566" s="203"/>
      <c r="P566" s="203"/>
      <c r="Q566" s="203"/>
      <c r="R566" s="203"/>
      <c r="S566" s="203"/>
      <c r="T566" s="203"/>
    </row>
    <row r="567" spans="2:20">
      <c r="B567" s="203"/>
      <c r="C567" s="203"/>
      <c r="D567" s="203"/>
      <c r="E567" s="203"/>
      <c r="F567" s="203"/>
      <c r="G567" s="203"/>
      <c r="H567" s="203"/>
      <c r="I567" s="203"/>
      <c r="J567" s="203"/>
      <c r="K567" s="203"/>
      <c r="L567" s="203"/>
      <c r="M567" s="203"/>
      <c r="N567" s="203"/>
      <c r="O567" s="203"/>
      <c r="P567" s="203"/>
      <c r="Q567" s="203"/>
      <c r="R567" s="203"/>
      <c r="S567" s="203"/>
      <c r="T567" s="203"/>
    </row>
    <row r="568" spans="2:20">
      <c r="B568" s="203"/>
      <c r="C568" s="203"/>
      <c r="D568" s="203"/>
      <c r="E568" s="203"/>
      <c r="F568" s="203"/>
      <c r="G568" s="203"/>
      <c r="H568" s="203"/>
      <c r="I568" s="203"/>
      <c r="J568" s="203"/>
      <c r="K568" s="203"/>
      <c r="L568" s="203"/>
      <c r="M568" s="203"/>
      <c r="N568" s="203"/>
      <c r="O568" s="203"/>
      <c r="P568" s="203"/>
      <c r="Q568" s="203"/>
      <c r="R568" s="203"/>
      <c r="S568" s="203"/>
      <c r="T568" s="203"/>
    </row>
    <row r="569" spans="2:20">
      <c r="B569" s="203"/>
      <c r="C569" s="203"/>
      <c r="D569" s="203"/>
      <c r="E569" s="203"/>
      <c r="F569" s="203"/>
      <c r="G569" s="203"/>
      <c r="H569" s="203"/>
      <c r="I569" s="203"/>
      <c r="J569" s="203"/>
      <c r="K569" s="203"/>
      <c r="L569" s="203"/>
      <c r="M569" s="203"/>
      <c r="N569" s="203"/>
      <c r="O569" s="203"/>
      <c r="P569" s="203"/>
      <c r="Q569" s="203"/>
      <c r="R569" s="203"/>
      <c r="S569" s="203"/>
      <c r="T569" s="203"/>
    </row>
    <row r="570" spans="2:20">
      <c r="B570" s="203"/>
      <c r="C570" s="203"/>
      <c r="D570" s="203"/>
      <c r="E570" s="203"/>
      <c r="F570" s="203"/>
      <c r="G570" s="203"/>
      <c r="H570" s="203"/>
      <c r="I570" s="203"/>
      <c r="J570" s="203"/>
      <c r="K570" s="203"/>
      <c r="L570" s="203"/>
      <c r="M570" s="203"/>
      <c r="N570" s="203"/>
      <c r="O570" s="203"/>
      <c r="P570" s="203"/>
      <c r="Q570" s="203"/>
      <c r="R570" s="203"/>
      <c r="S570" s="203"/>
      <c r="T570" s="203"/>
    </row>
    <row r="571" spans="2:20">
      <c r="B571" s="203"/>
      <c r="C571" s="203"/>
      <c r="D571" s="203"/>
      <c r="E571" s="203"/>
      <c r="F571" s="203"/>
      <c r="G571" s="203"/>
      <c r="H571" s="203"/>
      <c r="I571" s="203"/>
      <c r="J571" s="203"/>
      <c r="K571" s="203"/>
      <c r="L571" s="203"/>
      <c r="M571" s="203"/>
      <c r="N571" s="203"/>
      <c r="O571" s="203"/>
      <c r="P571" s="203"/>
      <c r="Q571" s="203"/>
      <c r="R571" s="203"/>
      <c r="S571" s="203"/>
      <c r="T571" s="203"/>
    </row>
    <row r="572" spans="2:20">
      <c r="B572" s="203"/>
      <c r="C572" s="203"/>
      <c r="D572" s="203"/>
      <c r="E572" s="203"/>
      <c r="F572" s="203"/>
      <c r="G572" s="203"/>
      <c r="H572" s="203"/>
      <c r="I572" s="203"/>
      <c r="J572" s="203"/>
      <c r="K572" s="203"/>
      <c r="L572" s="203"/>
      <c r="M572" s="203"/>
      <c r="N572" s="203"/>
      <c r="O572" s="203"/>
      <c r="P572" s="203"/>
      <c r="Q572" s="203"/>
      <c r="R572" s="203"/>
      <c r="S572" s="203"/>
      <c r="T572" s="203"/>
    </row>
    <row r="573" spans="2:20">
      <c r="B573" s="203"/>
      <c r="C573" s="203"/>
      <c r="D573" s="203"/>
      <c r="E573" s="203"/>
      <c r="F573" s="203"/>
      <c r="G573" s="203"/>
      <c r="H573" s="203"/>
      <c r="I573" s="203"/>
      <c r="J573" s="203"/>
      <c r="K573" s="203"/>
      <c r="L573" s="203"/>
      <c r="M573" s="203"/>
      <c r="N573" s="203"/>
      <c r="O573" s="203"/>
      <c r="P573" s="203"/>
      <c r="Q573" s="203"/>
      <c r="R573" s="203"/>
      <c r="S573" s="203"/>
      <c r="T573" s="203"/>
    </row>
    <row r="574" spans="2:20">
      <c r="B574" s="203"/>
      <c r="C574" s="203"/>
      <c r="D574" s="203"/>
      <c r="E574" s="203"/>
      <c r="F574" s="203"/>
      <c r="G574" s="203"/>
      <c r="H574" s="203"/>
      <c r="I574" s="203"/>
      <c r="J574" s="203"/>
      <c r="K574" s="203"/>
      <c r="L574" s="203"/>
      <c r="M574" s="203"/>
      <c r="N574" s="203"/>
      <c r="O574" s="203"/>
      <c r="P574" s="203"/>
      <c r="Q574" s="203"/>
      <c r="R574" s="203"/>
      <c r="S574" s="203"/>
      <c r="T574" s="203"/>
    </row>
    <row r="575" spans="2:20">
      <c r="B575" s="203"/>
      <c r="C575" s="203"/>
      <c r="D575" s="203"/>
      <c r="E575" s="203"/>
      <c r="F575" s="203"/>
      <c r="G575" s="203"/>
      <c r="H575" s="203"/>
      <c r="I575" s="203"/>
      <c r="J575" s="203"/>
      <c r="K575" s="203"/>
      <c r="L575" s="203"/>
      <c r="M575" s="203"/>
      <c r="N575" s="203"/>
      <c r="O575" s="203"/>
      <c r="P575" s="203"/>
      <c r="Q575" s="203"/>
      <c r="R575" s="203"/>
      <c r="S575" s="203"/>
      <c r="T575" s="203"/>
    </row>
    <row r="576" spans="2:20">
      <c r="B576" s="203"/>
      <c r="C576" s="203"/>
      <c r="D576" s="203"/>
      <c r="E576" s="203"/>
      <c r="F576" s="203"/>
      <c r="G576" s="203"/>
      <c r="H576" s="203"/>
      <c r="I576" s="203"/>
      <c r="J576" s="203"/>
      <c r="K576" s="203"/>
      <c r="L576" s="203"/>
      <c r="M576" s="203"/>
      <c r="N576" s="203"/>
      <c r="O576" s="203"/>
      <c r="P576" s="203"/>
      <c r="Q576" s="203"/>
      <c r="R576" s="203"/>
      <c r="S576" s="203"/>
      <c r="T576" s="203"/>
    </row>
    <row r="577" spans="2:20">
      <c r="B577" s="203"/>
      <c r="C577" s="203"/>
      <c r="D577" s="203"/>
      <c r="E577" s="203"/>
      <c r="F577" s="203"/>
      <c r="G577" s="203"/>
      <c r="H577" s="203"/>
      <c r="I577" s="203"/>
      <c r="J577" s="203"/>
      <c r="K577" s="203"/>
      <c r="L577" s="203"/>
      <c r="M577" s="203"/>
      <c r="N577" s="203"/>
      <c r="O577" s="203"/>
      <c r="P577" s="203"/>
      <c r="Q577" s="203"/>
      <c r="R577" s="203"/>
      <c r="S577" s="203"/>
      <c r="T577" s="203"/>
    </row>
    <row r="578" spans="2:20">
      <c r="B578" s="203"/>
      <c r="C578" s="203"/>
      <c r="D578" s="203"/>
      <c r="E578" s="203"/>
      <c r="F578" s="203"/>
      <c r="G578" s="203"/>
      <c r="H578" s="203"/>
      <c r="I578" s="203"/>
      <c r="J578" s="203"/>
      <c r="K578" s="203"/>
      <c r="L578" s="203"/>
      <c r="M578" s="203"/>
      <c r="N578" s="203"/>
      <c r="O578" s="203"/>
      <c r="P578" s="203"/>
      <c r="Q578" s="203"/>
      <c r="R578" s="203"/>
      <c r="S578" s="203"/>
      <c r="T578" s="203"/>
    </row>
    <row r="579" spans="2:20">
      <c r="B579" s="203"/>
      <c r="C579" s="203"/>
      <c r="D579" s="203"/>
      <c r="E579" s="203"/>
      <c r="F579" s="203"/>
      <c r="G579" s="203"/>
      <c r="H579" s="203"/>
      <c r="I579" s="203"/>
      <c r="J579" s="203"/>
      <c r="K579" s="203"/>
      <c r="L579" s="203"/>
      <c r="M579" s="203"/>
      <c r="N579" s="203"/>
      <c r="O579" s="203"/>
      <c r="P579" s="203"/>
      <c r="Q579" s="203"/>
      <c r="R579" s="203"/>
      <c r="S579" s="203"/>
      <c r="T579" s="203"/>
    </row>
    <row r="580" spans="2:20">
      <c r="B580" s="203"/>
      <c r="C580" s="203"/>
      <c r="D580" s="203"/>
      <c r="E580" s="203"/>
      <c r="F580" s="203"/>
      <c r="G580" s="203"/>
      <c r="H580" s="203"/>
      <c r="I580" s="203"/>
      <c r="J580" s="203"/>
      <c r="K580" s="203"/>
      <c r="L580" s="203"/>
      <c r="M580" s="203"/>
      <c r="N580" s="203"/>
      <c r="O580" s="203"/>
      <c r="P580" s="203"/>
      <c r="Q580" s="203"/>
      <c r="R580" s="203"/>
      <c r="S580" s="203"/>
      <c r="T580" s="203"/>
    </row>
    <row r="581" spans="2:20">
      <c r="B581" s="203"/>
      <c r="C581" s="203"/>
      <c r="D581" s="203"/>
      <c r="E581" s="203"/>
      <c r="F581" s="203"/>
      <c r="G581" s="203"/>
      <c r="H581" s="203"/>
      <c r="I581" s="203"/>
      <c r="J581" s="203"/>
      <c r="K581" s="203"/>
      <c r="L581" s="203"/>
      <c r="M581" s="203"/>
      <c r="N581" s="203"/>
      <c r="O581" s="203"/>
      <c r="P581" s="203"/>
      <c r="Q581" s="203"/>
      <c r="R581" s="203"/>
      <c r="S581" s="203"/>
      <c r="T581" s="203"/>
    </row>
    <row r="582" spans="2:20">
      <c r="B582" s="203"/>
      <c r="C582" s="203"/>
      <c r="D582" s="203"/>
      <c r="E582" s="203"/>
      <c r="F582" s="203"/>
      <c r="G582" s="203"/>
      <c r="H582" s="203"/>
      <c r="I582" s="203"/>
      <c r="J582" s="203"/>
      <c r="K582" s="203"/>
      <c r="L582" s="203"/>
      <c r="O582" s="203"/>
      <c r="P582" s="203"/>
      <c r="Q582" s="203"/>
      <c r="R582" s="203"/>
      <c r="S582" s="203"/>
      <c r="T582" s="203"/>
    </row>
    <row r="583" spans="2:20">
      <c r="B583" s="203"/>
      <c r="C583" s="203"/>
      <c r="D583" s="203"/>
      <c r="E583" s="203"/>
      <c r="F583" s="203"/>
      <c r="G583" s="203"/>
      <c r="H583" s="203"/>
      <c r="I583" s="203"/>
      <c r="J583" s="203"/>
      <c r="K583" s="203"/>
      <c r="L583" s="203"/>
      <c r="O583" s="203"/>
      <c r="P583" s="203"/>
      <c r="Q583" s="203"/>
      <c r="R583" s="203"/>
      <c r="S583" s="203"/>
      <c r="T583" s="203"/>
    </row>
    <row r="584" spans="2:20">
      <c r="B584" s="203"/>
      <c r="C584" s="203"/>
      <c r="D584" s="203"/>
      <c r="E584" s="203"/>
      <c r="F584" s="203"/>
      <c r="G584" s="203"/>
      <c r="H584" s="203"/>
      <c r="I584" s="203"/>
      <c r="J584" s="203"/>
      <c r="K584" s="203"/>
      <c r="L584" s="203"/>
      <c r="O584" s="203"/>
      <c r="P584" s="203"/>
      <c r="Q584" s="203"/>
      <c r="R584" s="203"/>
      <c r="S584" s="203"/>
      <c r="T584" s="203"/>
    </row>
    <row r="585" spans="2:20">
      <c r="B585" s="203"/>
      <c r="C585" s="203"/>
      <c r="D585" s="203"/>
      <c r="E585" s="203"/>
      <c r="F585" s="203"/>
      <c r="G585" s="203"/>
      <c r="H585" s="203"/>
      <c r="I585" s="203"/>
      <c r="J585" s="203"/>
      <c r="K585" s="203"/>
      <c r="L585" s="203"/>
      <c r="O585" s="203"/>
      <c r="P585" s="203"/>
      <c r="Q585" s="203"/>
      <c r="R585" s="203"/>
      <c r="S585" s="203"/>
      <c r="T585" s="203"/>
    </row>
    <row r="586" spans="2:20">
      <c r="B586" s="203"/>
      <c r="C586" s="203"/>
      <c r="D586" s="203"/>
      <c r="E586" s="203"/>
      <c r="F586" s="203"/>
      <c r="G586" s="203"/>
      <c r="H586" s="203"/>
      <c r="I586" s="203"/>
      <c r="J586" s="203"/>
      <c r="K586" s="203"/>
      <c r="L586" s="203"/>
      <c r="O586" s="203"/>
      <c r="P586" s="203"/>
      <c r="Q586" s="203"/>
      <c r="R586" s="203"/>
      <c r="S586" s="203"/>
      <c r="T586" s="203"/>
    </row>
    <row r="587" spans="2:20">
      <c r="B587" s="203"/>
      <c r="C587" s="203"/>
      <c r="D587" s="203"/>
      <c r="E587" s="203"/>
      <c r="F587" s="203"/>
      <c r="G587" s="203"/>
      <c r="H587" s="203"/>
      <c r="I587" s="203"/>
      <c r="J587" s="203"/>
      <c r="K587" s="203"/>
      <c r="L587" s="203"/>
      <c r="O587" s="203"/>
      <c r="P587" s="203"/>
      <c r="Q587" s="203"/>
      <c r="R587" s="203"/>
      <c r="S587" s="203"/>
      <c r="T587" s="203"/>
    </row>
    <row r="588" spans="2:20">
      <c r="B588" s="203"/>
      <c r="C588" s="203"/>
      <c r="D588" s="203"/>
      <c r="E588" s="203"/>
      <c r="F588" s="203"/>
      <c r="G588" s="203"/>
      <c r="H588" s="203"/>
      <c r="I588" s="203"/>
      <c r="J588" s="203"/>
      <c r="K588" s="203"/>
      <c r="L588" s="203"/>
      <c r="O588" s="203"/>
      <c r="P588" s="203"/>
      <c r="Q588" s="203"/>
      <c r="R588" s="203"/>
      <c r="S588" s="203"/>
      <c r="T588" s="203"/>
    </row>
    <row r="589" spans="2:20">
      <c r="B589" s="203"/>
      <c r="C589" s="203"/>
      <c r="D589" s="203"/>
      <c r="E589" s="203"/>
      <c r="F589" s="203"/>
      <c r="G589" s="203"/>
      <c r="H589" s="203"/>
      <c r="I589" s="203"/>
      <c r="J589" s="203"/>
      <c r="K589" s="203"/>
      <c r="L589" s="203"/>
      <c r="O589" s="203"/>
      <c r="P589" s="203"/>
      <c r="Q589" s="203"/>
      <c r="R589" s="203"/>
      <c r="S589" s="203"/>
      <c r="T589" s="203"/>
    </row>
    <row r="590" spans="2:20">
      <c r="B590" s="203"/>
      <c r="C590" s="203"/>
      <c r="D590" s="203"/>
      <c r="E590" s="203"/>
      <c r="F590" s="203"/>
      <c r="G590" s="203"/>
      <c r="H590" s="203"/>
      <c r="I590" s="203"/>
      <c r="J590" s="203"/>
      <c r="K590" s="203"/>
      <c r="L590" s="203"/>
      <c r="O590" s="203"/>
      <c r="P590" s="203"/>
      <c r="Q590" s="203"/>
      <c r="R590" s="203"/>
      <c r="S590" s="203"/>
      <c r="T590" s="203"/>
    </row>
    <row r="591" spans="2:20">
      <c r="B591" s="203"/>
      <c r="C591" s="203"/>
      <c r="D591" s="203"/>
      <c r="E591" s="203"/>
      <c r="F591" s="203"/>
      <c r="G591" s="203"/>
      <c r="H591" s="203"/>
      <c r="I591" s="203"/>
      <c r="J591" s="203"/>
      <c r="K591" s="203"/>
      <c r="L591" s="203"/>
      <c r="O591" s="203"/>
      <c r="P591" s="203"/>
      <c r="Q591" s="203"/>
      <c r="R591" s="203"/>
      <c r="S591" s="203"/>
      <c r="T591" s="203"/>
    </row>
    <row r="592" spans="2:20">
      <c r="B592" s="203"/>
      <c r="C592" s="203"/>
      <c r="D592" s="203"/>
      <c r="E592" s="203"/>
      <c r="F592" s="203"/>
      <c r="G592" s="203"/>
      <c r="H592" s="203"/>
      <c r="I592" s="203"/>
      <c r="J592" s="203"/>
      <c r="K592" s="203"/>
      <c r="L592" s="203"/>
      <c r="O592" s="203"/>
      <c r="P592" s="203"/>
      <c r="Q592" s="203"/>
      <c r="R592" s="203"/>
      <c r="S592" s="203"/>
      <c r="T592" s="203"/>
    </row>
    <row r="593" spans="2:20">
      <c r="B593" s="203"/>
      <c r="C593" s="203"/>
      <c r="D593" s="203"/>
      <c r="E593" s="203"/>
      <c r="F593" s="203"/>
      <c r="G593" s="203"/>
      <c r="H593" s="203"/>
      <c r="I593" s="203"/>
      <c r="J593" s="203"/>
      <c r="K593" s="203"/>
      <c r="L593" s="203"/>
      <c r="O593" s="203"/>
      <c r="P593" s="203"/>
      <c r="Q593" s="203"/>
      <c r="R593" s="203"/>
      <c r="S593" s="203"/>
      <c r="T593" s="203"/>
    </row>
    <row r="594" spans="2:20">
      <c r="B594" s="203"/>
      <c r="C594" s="203"/>
      <c r="D594" s="203"/>
      <c r="E594" s="203"/>
      <c r="F594" s="203"/>
      <c r="G594" s="203"/>
      <c r="H594" s="203"/>
      <c r="I594" s="203"/>
      <c r="J594" s="203"/>
      <c r="K594" s="203"/>
      <c r="L594" s="203"/>
      <c r="O594" s="203"/>
      <c r="P594" s="203"/>
      <c r="Q594" s="203"/>
      <c r="R594" s="203"/>
      <c r="S594" s="203"/>
      <c r="T594" s="203"/>
    </row>
    <row r="595" spans="2:20">
      <c r="B595" s="203"/>
      <c r="C595" s="203"/>
      <c r="D595" s="203"/>
      <c r="E595" s="203"/>
      <c r="F595" s="203"/>
      <c r="G595" s="203"/>
      <c r="H595" s="203"/>
      <c r="I595" s="203"/>
      <c r="J595" s="203"/>
      <c r="K595" s="203"/>
      <c r="L595" s="203"/>
      <c r="O595" s="203"/>
      <c r="P595" s="203"/>
      <c r="Q595" s="203"/>
      <c r="R595" s="203"/>
      <c r="S595" s="203"/>
      <c r="T595" s="203"/>
    </row>
    <row r="596" spans="2:20">
      <c r="B596" s="203"/>
      <c r="C596" s="203"/>
      <c r="D596" s="203"/>
      <c r="E596" s="203"/>
      <c r="F596" s="203"/>
      <c r="G596" s="203"/>
      <c r="H596" s="203"/>
      <c r="I596" s="203"/>
      <c r="J596" s="203"/>
      <c r="K596" s="203"/>
      <c r="L596" s="203"/>
      <c r="O596" s="203"/>
      <c r="P596" s="203"/>
      <c r="Q596" s="203"/>
      <c r="R596" s="203"/>
      <c r="S596" s="203"/>
      <c r="T596" s="203"/>
    </row>
    <row r="597" spans="2:20">
      <c r="B597" s="203"/>
      <c r="C597" s="203"/>
      <c r="D597" s="203"/>
      <c r="E597" s="203"/>
      <c r="F597" s="203"/>
      <c r="G597" s="203"/>
      <c r="H597" s="203"/>
      <c r="I597" s="203"/>
      <c r="J597" s="203"/>
      <c r="K597" s="203"/>
      <c r="L597" s="203"/>
      <c r="O597" s="203"/>
      <c r="P597" s="203"/>
      <c r="Q597" s="203"/>
      <c r="R597" s="203"/>
      <c r="S597" s="203"/>
      <c r="T597" s="203"/>
    </row>
    <row r="598" spans="2:20">
      <c r="B598" s="203"/>
      <c r="C598" s="203"/>
      <c r="D598" s="203"/>
      <c r="E598" s="203"/>
      <c r="F598" s="203"/>
      <c r="G598" s="203"/>
      <c r="H598" s="203"/>
      <c r="I598" s="203"/>
      <c r="J598" s="203"/>
      <c r="K598" s="203"/>
      <c r="L598" s="203"/>
      <c r="O598" s="203"/>
      <c r="P598" s="203"/>
      <c r="Q598" s="203"/>
      <c r="R598" s="203"/>
      <c r="S598" s="203"/>
      <c r="T598" s="203"/>
    </row>
    <row r="599" spans="2:20">
      <c r="B599" s="203"/>
      <c r="C599" s="203"/>
      <c r="D599" s="203"/>
      <c r="E599" s="203"/>
      <c r="F599" s="203"/>
      <c r="G599" s="203"/>
      <c r="H599" s="203"/>
      <c r="I599" s="203"/>
      <c r="J599" s="203"/>
      <c r="K599" s="203"/>
      <c r="L599" s="203"/>
      <c r="O599" s="203"/>
      <c r="P599" s="203"/>
      <c r="Q599" s="203"/>
      <c r="R599" s="203"/>
      <c r="S599" s="203"/>
      <c r="T599" s="203"/>
    </row>
    <row r="600" spans="2:20">
      <c r="B600" s="203"/>
      <c r="C600" s="203"/>
      <c r="D600" s="203"/>
      <c r="E600" s="203"/>
      <c r="F600" s="203"/>
      <c r="G600" s="203"/>
      <c r="H600" s="203"/>
      <c r="I600" s="203"/>
      <c r="J600" s="203"/>
      <c r="K600" s="203"/>
      <c r="L600" s="203"/>
      <c r="O600" s="203"/>
      <c r="P600" s="203"/>
      <c r="Q600" s="203"/>
      <c r="R600" s="203"/>
      <c r="S600" s="203"/>
      <c r="T600" s="203"/>
    </row>
    <row r="601" spans="2:20">
      <c r="B601" s="203"/>
      <c r="C601" s="203"/>
      <c r="D601" s="203"/>
      <c r="E601" s="203"/>
      <c r="F601" s="203"/>
      <c r="G601" s="203"/>
      <c r="H601" s="203"/>
      <c r="I601" s="203"/>
      <c r="J601" s="203"/>
      <c r="K601" s="203"/>
      <c r="L601" s="203"/>
      <c r="O601" s="203"/>
      <c r="P601" s="203"/>
      <c r="Q601" s="203"/>
      <c r="R601" s="203"/>
      <c r="S601" s="203"/>
      <c r="T601" s="203"/>
    </row>
    <row r="602" spans="2:20">
      <c r="B602" s="203"/>
      <c r="C602" s="203"/>
      <c r="D602" s="203"/>
      <c r="E602" s="203"/>
      <c r="F602" s="203"/>
      <c r="G602" s="203"/>
      <c r="H602" s="203"/>
      <c r="I602" s="203"/>
      <c r="J602" s="203"/>
      <c r="K602" s="203"/>
      <c r="L602" s="203"/>
      <c r="O602" s="203"/>
      <c r="P602" s="203"/>
      <c r="Q602" s="203"/>
      <c r="R602" s="203"/>
      <c r="S602" s="203"/>
      <c r="T602" s="203"/>
    </row>
    <row r="603" spans="2:20">
      <c r="B603" s="203"/>
      <c r="C603" s="203"/>
      <c r="D603" s="203"/>
      <c r="E603" s="203"/>
      <c r="F603" s="203"/>
      <c r="G603" s="203"/>
      <c r="H603" s="203"/>
      <c r="I603" s="203"/>
      <c r="J603" s="203"/>
      <c r="K603" s="203"/>
      <c r="L603" s="203"/>
      <c r="O603" s="203"/>
      <c r="P603" s="203"/>
      <c r="Q603" s="203"/>
      <c r="R603" s="203"/>
      <c r="S603" s="203"/>
      <c r="T603" s="203"/>
    </row>
    <row r="604" spans="2:20">
      <c r="O604" s="203"/>
      <c r="P604" s="203"/>
      <c r="Q604" s="203"/>
      <c r="R604" s="203"/>
      <c r="S604" s="203"/>
      <c r="T604" s="203"/>
    </row>
    <row r="605" spans="2:20">
      <c r="O605" s="203"/>
      <c r="P605" s="203"/>
      <c r="Q605" s="203"/>
      <c r="R605" s="203"/>
      <c r="S605" s="203"/>
      <c r="T605" s="203"/>
    </row>
    <row r="606" spans="2:20">
      <c r="O606" s="203"/>
      <c r="P606" s="203"/>
      <c r="Q606" s="203"/>
      <c r="R606" s="203"/>
      <c r="S606" s="203"/>
      <c r="T606" s="203"/>
    </row>
    <row r="607" spans="2:20">
      <c r="O607" s="203"/>
      <c r="P607" s="203"/>
      <c r="Q607" s="203"/>
      <c r="R607" s="203"/>
      <c r="S607" s="203"/>
      <c r="T607" s="203"/>
    </row>
    <row r="608" spans="2:20">
      <c r="O608" s="203"/>
      <c r="P608" s="203"/>
      <c r="Q608" s="203"/>
      <c r="R608" s="203"/>
      <c r="S608" s="203"/>
      <c r="T608" s="203"/>
    </row>
    <row r="609" spans="15:20">
      <c r="O609" s="203"/>
      <c r="P609" s="203"/>
      <c r="Q609" s="203"/>
      <c r="R609" s="203"/>
      <c r="S609" s="203"/>
      <c r="T609" s="203"/>
    </row>
    <row r="610" spans="15:20">
      <c r="O610" s="203"/>
      <c r="P610" s="203"/>
      <c r="Q610" s="203"/>
      <c r="R610" s="203"/>
      <c r="S610" s="203"/>
      <c r="T610" s="203"/>
    </row>
    <row r="611" spans="15:20">
      <c r="O611" s="203"/>
      <c r="P611" s="203"/>
      <c r="Q611" s="203"/>
      <c r="R611" s="203"/>
      <c r="S611" s="203"/>
      <c r="T611" s="203"/>
    </row>
  </sheetData>
  <mergeCells count="35">
    <mergeCell ref="B285:K285"/>
    <mergeCell ref="B286:K286"/>
    <mergeCell ref="C274:D274"/>
    <mergeCell ref="I274:K274"/>
    <mergeCell ref="B282:K282"/>
    <mergeCell ref="B283:K283"/>
    <mergeCell ref="B284:K284"/>
    <mergeCell ref="H1:L1"/>
    <mergeCell ref="K2:L2"/>
    <mergeCell ref="K73:L73"/>
    <mergeCell ref="K139:L139"/>
    <mergeCell ref="K206:L206"/>
    <mergeCell ref="B287:K287"/>
    <mergeCell ref="B288:K288"/>
    <mergeCell ref="B289:K289"/>
    <mergeCell ref="B290:K290"/>
    <mergeCell ref="B291:K291"/>
    <mergeCell ref="B292:K292"/>
    <mergeCell ref="E294:K294"/>
    <mergeCell ref="E295:K295"/>
    <mergeCell ref="B296:K296"/>
    <mergeCell ref="B297:K297"/>
    <mergeCell ref="B298:K298"/>
    <mergeCell ref="B299:K299"/>
    <mergeCell ref="B300:K300"/>
    <mergeCell ref="B301:K301"/>
    <mergeCell ref="B302:K302"/>
    <mergeCell ref="B308:K308"/>
    <mergeCell ref="B309:K309"/>
    <mergeCell ref="B310:K310"/>
    <mergeCell ref="B303:K303"/>
    <mergeCell ref="B304:K304"/>
    <mergeCell ref="B305:K305"/>
    <mergeCell ref="B306:K306"/>
    <mergeCell ref="B307:K307"/>
  </mergeCells>
  <phoneticPr fontId="2" type="noConversion"/>
  <pageMargins left="0" right="0" top="0" bottom="0" header="0.5" footer="0.5"/>
  <pageSetup scale="39" fitToHeight="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T57"/>
  <sheetViews>
    <sheetView showGridLines="0" topLeftCell="A16" zoomScale="90" zoomScaleNormal="90" workbookViewId="0">
      <selection activeCell="F8" sqref="F8"/>
    </sheetView>
  </sheetViews>
  <sheetFormatPr defaultRowHeight="12.75"/>
  <cols>
    <col min="1" max="2" width="9.140625" style="5"/>
    <col min="3" max="3" width="1.5703125" style="5" customWidth="1"/>
    <col min="4" max="4" width="1.85546875" style="5" customWidth="1"/>
    <col min="5" max="5" width="65.85546875" style="5" customWidth="1"/>
    <col min="6" max="6" width="33.5703125" style="7" customWidth="1"/>
    <col min="7" max="8" width="2.28515625" style="7" customWidth="1"/>
    <col min="9" max="9" width="23" style="5" customWidth="1"/>
    <col min="10" max="10" width="46.7109375" style="5" customWidth="1"/>
    <col min="11" max="11" width="22.5703125" style="5" customWidth="1"/>
    <col min="12" max="13" width="27.140625" style="5" customWidth="1"/>
    <col min="14" max="18" width="17.5703125" style="5" customWidth="1"/>
    <col min="19" max="19" width="6.28515625" style="5" bestFit="1" customWidth="1"/>
    <col min="20" max="20" width="10.5703125" style="5" bestFit="1" customWidth="1"/>
    <col min="21" max="16384" width="9.140625" style="5"/>
  </cols>
  <sheetData>
    <row r="2" spans="4:12" ht="4.5" customHeight="1" thickBot="1"/>
    <row r="3" spans="4:12" ht="6.75" customHeight="1">
      <c r="D3" s="35"/>
      <c r="E3" s="36"/>
      <c r="F3" s="37"/>
      <c r="G3" s="38"/>
    </row>
    <row r="4" spans="4:12" ht="33" customHeight="1">
      <c r="D4" s="39"/>
      <c r="E4" s="25" t="s">
        <v>162</v>
      </c>
      <c r="F4" s="10"/>
      <c r="G4" s="40"/>
      <c r="I4" s="1"/>
      <c r="J4" s="1"/>
      <c r="K4" s="1"/>
      <c r="L4" s="1"/>
    </row>
    <row r="5" spans="4:12">
      <c r="D5" s="39"/>
      <c r="E5" s="1"/>
      <c r="F5" s="10"/>
      <c r="G5" s="40"/>
      <c r="I5" s="1"/>
      <c r="J5" s="1"/>
      <c r="K5" s="1"/>
      <c r="L5" s="1"/>
    </row>
    <row r="6" spans="4:12" ht="42.75" customHeight="1">
      <c r="D6" s="39"/>
      <c r="E6" s="2" t="s">
        <v>9</v>
      </c>
      <c r="F6" s="4"/>
      <c r="G6" s="40"/>
      <c r="H6" s="10"/>
      <c r="I6" s="1"/>
      <c r="J6" s="8"/>
      <c r="K6" s="1"/>
      <c r="L6" s="1"/>
    </row>
    <row r="7" spans="4:12" ht="61.5" customHeight="1">
      <c r="D7" s="39"/>
      <c r="E7" s="3" t="s">
        <v>4</v>
      </c>
      <c r="F7" s="4">
        <f>N39</f>
        <v>31556.07</v>
      </c>
      <c r="G7" s="40"/>
      <c r="H7" s="10"/>
      <c r="I7" s="1"/>
      <c r="J7" s="9"/>
      <c r="K7" s="1"/>
      <c r="L7" s="1"/>
    </row>
    <row r="8" spans="4:12" ht="42.75" customHeight="1">
      <c r="D8" s="39"/>
      <c r="E8" s="3" t="s">
        <v>5</v>
      </c>
      <c r="F8" s="4">
        <f>O39</f>
        <v>3005.34</v>
      </c>
      <c r="G8" s="40"/>
      <c r="H8" s="10"/>
      <c r="I8" s="77"/>
      <c r="J8" s="9"/>
      <c r="K8" s="1"/>
      <c r="L8" s="1"/>
    </row>
    <row r="9" spans="4:12" ht="42.75" customHeight="1">
      <c r="D9" s="39"/>
      <c r="E9" s="3" t="s">
        <v>6</v>
      </c>
      <c r="F9" s="4">
        <f>P39</f>
        <v>115705.59</v>
      </c>
      <c r="G9" s="40"/>
      <c r="H9" s="10"/>
      <c r="I9" s="1"/>
      <c r="J9" s="9"/>
      <c r="K9" s="1"/>
      <c r="L9" s="1"/>
    </row>
    <row r="10" spans="4:12" ht="42.75" customHeight="1">
      <c r="D10" s="39"/>
      <c r="E10" s="3" t="s">
        <v>10</v>
      </c>
      <c r="F10" s="4">
        <f>Q39</f>
        <v>0</v>
      </c>
      <c r="G10" s="40"/>
      <c r="H10" s="10"/>
      <c r="I10" s="1"/>
      <c r="J10" s="9"/>
      <c r="K10" s="1"/>
      <c r="L10" s="1"/>
    </row>
    <row r="11" spans="4:12" ht="42.75" customHeight="1">
      <c r="D11" s="39"/>
      <c r="E11" s="6"/>
      <c r="F11" s="11">
        <f>R39</f>
        <v>0</v>
      </c>
      <c r="G11" s="41"/>
      <c r="H11" s="34"/>
      <c r="I11" s="400" t="s">
        <v>729</v>
      </c>
      <c r="J11" s="1"/>
      <c r="K11" s="1"/>
      <c r="L11" s="1"/>
    </row>
    <row r="12" spans="4:12" ht="42.75" customHeight="1">
      <c r="D12" s="39"/>
      <c r="E12" s="6" t="s">
        <v>7</v>
      </c>
      <c r="F12" s="4">
        <f>SUM(F7:F11)</f>
        <v>150267</v>
      </c>
      <c r="G12" s="40"/>
      <c r="H12" s="10"/>
      <c r="I12" s="76">
        <f>150267</f>
        <v>150267</v>
      </c>
      <c r="J12" s="34" t="s">
        <v>853</v>
      </c>
      <c r="K12" s="1"/>
      <c r="L12" s="1"/>
    </row>
    <row r="13" spans="4:12" ht="13.5" thickBot="1">
      <c r="D13" s="42"/>
      <c r="E13" s="43"/>
      <c r="F13" s="44"/>
      <c r="G13" s="45"/>
      <c r="I13" s="1"/>
      <c r="J13" s="1"/>
      <c r="K13" s="1"/>
      <c r="L13" s="1"/>
    </row>
    <row r="14" spans="4:12" ht="7.5" customHeight="1">
      <c r="I14" s="1"/>
      <c r="J14" s="1"/>
      <c r="K14" s="1"/>
      <c r="L14" s="1"/>
    </row>
    <row r="15" spans="4:12">
      <c r="I15" s="1"/>
      <c r="J15" s="1"/>
      <c r="K15" s="1"/>
      <c r="L15" s="1"/>
    </row>
    <row r="16" spans="4:12" ht="15.75">
      <c r="E16" s="82" t="s">
        <v>852</v>
      </c>
      <c r="I16" s="1"/>
      <c r="J16" s="1"/>
      <c r="K16" s="1"/>
      <c r="L16" s="1"/>
    </row>
    <row r="17" spans="5:18" ht="12" customHeight="1" thickBot="1">
      <c r="E17" s="12"/>
    </row>
    <row r="18" spans="5:18" ht="20.25" customHeight="1">
      <c r="E18" s="13" t="s">
        <v>11</v>
      </c>
      <c r="F18" s="14" t="s">
        <v>12</v>
      </c>
      <c r="G18" s="14"/>
      <c r="H18" s="14"/>
      <c r="I18" s="15" t="s">
        <v>13</v>
      </c>
      <c r="J18" s="15" t="s">
        <v>14</v>
      </c>
      <c r="K18" s="15" t="s">
        <v>15</v>
      </c>
      <c r="L18" s="15" t="s">
        <v>16</v>
      </c>
      <c r="M18" s="15" t="s">
        <v>17</v>
      </c>
      <c r="N18" s="16" t="s">
        <v>4</v>
      </c>
      <c r="O18" s="16" t="s">
        <v>5</v>
      </c>
      <c r="P18" s="16" t="s">
        <v>6</v>
      </c>
      <c r="Q18" s="16" t="s">
        <v>10</v>
      </c>
      <c r="R18" s="17" t="s">
        <v>18</v>
      </c>
    </row>
    <row r="19" spans="5:18" ht="20.25" customHeight="1">
      <c r="E19" s="18"/>
      <c r="F19" s="279">
        <v>0</v>
      </c>
      <c r="G19" s="279"/>
      <c r="H19" s="279"/>
      <c r="I19" s="401">
        <v>0.21</v>
      </c>
      <c r="J19" s="401">
        <v>0.02</v>
      </c>
      <c r="K19" s="401">
        <v>0.77</v>
      </c>
      <c r="L19" s="401">
        <v>0</v>
      </c>
      <c r="M19" s="401">
        <v>0</v>
      </c>
      <c r="N19" s="4">
        <f>$F19*I19</f>
        <v>0</v>
      </c>
      <c r="O19" s="4">
        <f>$F19*J19</f>
        <v>0</v>
      </c>
      <c r="P19" s="4">
        <f>$F19*K19</f>
        <v>0</v>
      </c>
      <c r="Q19" s="4">
        <f>$F19*L19</f>
        <v>0</v>
      </c>
      <c r="R19" s="4">
        <f>$F19*M19</f>
        <v>0</v>
      </c>
    </row>
    <row r="20" spans="5:18" ht="20.25" customHeight="1">
      <c r="E20" s="18" t="s">
        <v>150</v>
      </c>
      <c r="F20" s="444">
        <v>78453</v>
      </c>
      <c r="G20" s="279"/>
      <c r="H20" s="279"/>
      <c r="I20" s="401">
        <v>0.21</v>
      </c>
      <c r="J20" s="401">
        <v>0.02</v>
      </c>
      <c r="K20" s="401">
        <v>0.77</v>
      </c>
      <c r="L20" s="401"/>
      <c r="M20" s="401"/>
      <c r="N20" s="4">
        <f t="shared" ref="N20:N38" si="0">$F20*I20</f>
        <v>16475.13</v>
      </c>
      <c r="O20" s="4">
        <f t="shared" ref="O20:O38" si="1">$F20*J20</f>
        <v>1569.06</v>
      </c>
      <c r="P20" s="4">
        <f t="shared" ref="P20:P38" si="2">$F20*K20</f>
        <v>60408.810000000005</v>
      </c>
      <c r="Q20" s="4">
        <f t="shared" ref="Q20:Q38" si="3">$F20*L20</f>
        <v>0</v>
      </c>
      <c r="R20" s="4">
        <f t="shared" ref="R20:R38" si="4">$F20*M20</f>
        <v>0</v>
      </c>
    </row>
    <row r="21" spans="5:18" ht="20.25" customHeight="1">
      <c r="E21" s="18" t="s">
        <v>151</v>
      </c>
      <c r="F21" s="444">
        <v>63048</v>
      </c>
      <c r="G21" s="279"/>
      <c r="H21" s="279"/>
      <c r="I21" s="401">
        <v>0.21</v>
      </c>
      <c r="J21" s="401">
        <v>0.02</v>
      </c>
      <c r="K21" s="401">
        <v>0.77</v>
      </c>
      <c r="L21" s="401"/>
      <c r="M21" s="401"/>
      <c r="N21" s="4">
        <f t="shared" si="0"/>
        <v>13240.08</v>
      </c>
      <c r="O21" s="4">
        <f t="shared" si="1"/>
        <v>1260.96</v>
      </c>
      <c r="P21" s="4">
        <f t="shared" si="2"/>
        <v>48546.96</v>
      </c>
      <c r="Q21" s="4">
        <f t="shared" si="3"/>
        <v>0</v>
      </c>
      <c r="R21" s="4">
        <f t="shared" si="4"/>
        <v>0</v>
      </c>
    </row>
    <row r="22" spans="5:18" ht="20.25" customHeight="1">
      <c r="E22" s="18" t="s">
        <v>753</v>
      </c>
      <c r="F22" s="444">
        <v>8766</v>
      </c>
      <c r="G22" s="279"/>
      <c r="H22" s="279"/>
      <c r="I22" s="401">
        <v>0.21</v>
      </c>
      <c r="J22" s="401">
        <v>0.02</v>
      </c>
      <c r="K22" s="401">
        <v>0.77</v>
      </c>
      <c r="L22" s="401"/>
      <c r="M22" s="401"/>
      <c r="N22" s="4">
        <f t="shared" si="0"/>
        <v>1840.86</v>
      </c>
      <c r="O22" s="4">
        <f t="shared" si="1"/>
        <v>175.32</v>
      </c>
      <c r="P22" s="4">
        <f t="shared" si="2"/>
        <v>6749.82</v>
      </c>
      <c r="Q22" s="4">
        <f t="shared" si="3"/>
        <v>0</v>
      </c>
      <c r="R22" s="4">
        <f t="shared" si="4"/>
        <v>0</v>
      </c>
    </row>
    <row r="23" spans="5:18" ht="20.25" customHeight="1">
      <c r="E23" s="18">
        <v>4</v>
      </c>
      <c r="F23" s="444">
        <v>0</v>
      </c>
      <c r="G23" s="279"/>
      <c r="H23" s="279"/>
      <c r="I23" s="401">
        <v>0.21</v>
      </c>
      <c r="J23" s="401">
        <v>0.02</v>
      </c>
      <c r="K23" s="401">
        <v>0.77</v>
      </c>
      <c r="L23" s="401"/>
      <c r="M23" s="401"/>
      <c r="N23" s="4">
        <f t="shared" si="0"/>
        <v>0</v>
      </c>
      <c r="O23" s="4">
        <f t="shared" si="1"/>
        <v>0</v>
      </c>
      <c r="P23" s="4">
        <f t="shared" si="2"/>
        <v>0</v>
      </c>
      <c r="Q23" s="4">
        <f t="shared" si="3"/>
        <v>0</v>
      </c>
      <c r="R23" s="4">
        <f t="shared" si="4"/>
        <v>0</v>
      </c>
    </row>
    <row r="24" spans="5:18" ht="20.25" customHeight="1">
      <c r="E24" s="18">
        <f>E23+1</f>
        <v>5</v>
      </c>
      <c r="F24" s="279"/>
      <c r="G24" s="279"/>
      <c r="H24" s="279"/>
      <c r="I24" s="401"/>
      <c r="J24" s="401"/>
      <c r="K24" s="401"/>
      <c r="L24" s="401"/>
      <c r="M24" s="401"/>
      <c r="N24" s="4">
        <f t="shared" si="0"/>
        <v>0</v>
      </c>
      <c r="O24" s="4">
        <f t="shared" si="1"/>
        <v>0</v>
      </c>
      <c r="P24" s="4">
        <f t="shared" si="2"/>
        <v>0</v>
      </c>
      <c r="Q24" s="4">
        <f t="shared" si="3"/>
        <v>0</v>
      </c>
      <c r="R24" s="4">
        <f t="shared" si="4"/>
        <v>0</v>
      </c>
    </row>
    <row r="25" spans="5:18" ht="20.25" customHeight="1">
      <c r="E25" s="565">
        <f t="shared" ref="E25:E38" si="5">E24+1</f>
        <v>6</v>
      </c>
      <c r="F25" s="279"/>
      <c r="G25" s="279"/>
      <c r="H25" s="279"/>
      <c r="I25" s="401"/>
      <c r="J25" s="401"/>
      <c r="K25" s="401"/>
      <c r="L25" s="401"/>
      <c r="M25" s="401"/>
      <c r="N25" s="4">
        <f t="shared" si="0"/>
        <v>0</v>
      </c>
      <c r="O25" s="4">
        <f t="shared" si="1"/>
        <v>0</v>
      </c>
      <c r="P25" s="4">
        <f t="shared" si="2"/>
        <v>0</v>
      </c>
      <c r="Q25" s="4">
        <f t="shared" si="3"/>
        <v>0</v>
      </c>
      <c r="R25" s="4">
        <f t="shared" si="4"/>
        <v>0</v>
      </c>
    </row>
    <row r="26" spans="5:18" ht="20.25" customHeight="1">
      <c r="E26" s="565">
        <f t="shared" si="5"/>
        <v>7</v>
      </c>
      <c r="F26" s="279"/>
      <c r="G26" s="279"/>
      <c r="H26" s="279"/>
      <c r="I26" s="401"/>
      <c r="J26" s="401"/>
      <c r="K26" s="401"/>
      <c r="L26" s="401"/>
      <c r="M26" s="401"/>
      <c r="N26" s="4">
        <f t="shared" si="0"/>
        <v>0</v>
      </c>
      <c r="O26" s="4">
        <f t="shared" si="1"/>
        <v>0</v>
      </c>
      <c r="P26" s="4">
        <f t="shared" si="2"/>
        <v>0</v>
      </c>
      <c r="Q26" s="4">
        <f t="shared" si="3"/>
        <v>0</v>
      </c>
      <c r="R26" s="4">
        <f t="shared" si="4"/>
        <v>0</v>
      </c>
    </row>
    <row r="27" spans="5:18" ht="20.25" customHeight="1">
      <c r="E27" s="565">
        <f t="shared" si="5"/>
        <v>8</v>
      </c>
      <c r="F27" s="279"/>
      <c r="G27" s="279"/>
      <c r="H27" s="279"/>
      <c r="I27" s="401"/>
      <c r="J27" s="401"/>
      <c r="K27" s="401"/>
      <c r="L27" s="401"/>
      <c r="M27" s="401"/>
      <c r="N27" s="4">
        <f t="shared" si="0"/>
        <v>0</v>
      </c>
      <c r="O27" s="4">
        <f t="shared" si="1"/>
        <v>0</v>
      </c>
      <c r="P27" s="4">
        <f t="shared" si="2"/>
        <v>0</v>
      </c>
      <c r="Q27" s="4">
        <f t="shared" si="3"/>
        <v>0</v>
      </c>
      <c r="R27" s="4">
        <f t="shared" si="4"/>
        <v>0</v>
      </c>
    </row>
    <row r="28" spans="5:18" ht="20.25" customHeight="1">
      <c r="E28" s="565">
        <f t="shared" si="5"/>
        <v>9</v>
      </c>
      <c r="F28" s="279"/>
      <c r="G28" s="279"/>
      <c r="H28" s="279"/>
      <c r="I28" s="401"/>
      <c r="J28" s="401"/>
      <c r="K28" s="401"/>
      <c r="L28" s="401"/>
      <c r="M28" s="401"/>
      <c r="N28" s="4">
        <f t="shared" si="0"/>
        <v>0</v>
      </c>
      <c r="O28" s="4">
        <f t="shared" si="1"/>
        <v>0</v>
      </c>
      <c r="P28" s="4">
        <f t="shared" si="2"/>
        <v>0</v>
      </c>
      <c r="Q28" s="4">
        <f t="shared" si="3"/>
        <v>0</v>
      </c>
      <c r="R28" s="4">
        <f t="shared" si="4"/>
        <v>0</v>
      </c>
    </row>
    <row r="29" spans="5:18" ht="20.25" customHeight="1">
      <c r="E29" s="565">
        <f t="shared" si="5"/>
        <v>10</v>
      </c>
      <c r="F29" s="279"/>
      <c r="G29" s="279"/>
      <c r="H29" s="279"/>
      <c r="I29" s="401"/>
      <c r="J29" s="401"/>
      <c r="K29" s="401"/>
      <c r="L29" s="401"/>
      <c r="M29" s="401"/>
      <c r="N29" s="4">
        <f t="shared" si="0"/>
        <v>0</v>
      </c>
      <c r="O29" s="4">
        <f t="shared" si="1"/>
        <v>0</v>
      </c>
      <c r="P29" s="4">
        <f t="shared" si="2"/>
        <v>0</v>
      </c>
      <c r="Q29" s="4">
        <f t="shared" si="3"/>
        <v>0</v>
      </c>
      <c r="R29" s="4">
        <f t="shared" si="4"/>
        <v>0</v>
      </c>
    </row>
    <row r="30" spans="5:18" ht="20.25" customHeight="1">
      <c r="E30" s="565">
        <f t="shared" si="5"/>
        <v>11</v>
      </c>
      <c r="F30" s="279"/>
      <c r="G30" s="279"/>
      <c r="H30" s="279"/>
      <c r="I30" s="401"/>
      <c r="J30" s="401"/>
      <c r="K30" s="401"/>
      <c r="L30" s="401"/>
      <c r="M30" s="401"/>
      <c r="N30" s="4">
        <f t="shared" si="0"/>
        <v>0</v>
      </c>
      <c r="O30" s="4">
        <f t="shared" si="1"/>
        <v>0</v>
      </c>
      <c r="P30" s="4">
        <f t="shared" si="2"/>
        <v>0</v>
      </c>
      <c r="Q30" s="4">
        <f t="shared" si="3"/>
        <v>0</v>
      </c>
      <c r="R30" s="4">
        <f t="shared" si="4"/>
        <v>0</v>
      </c>
    </row>
    <row r="31" spans="5:18" ht="20.25" customHeight="1">
      <c r="E31" s="565">
        <f t="shared" si="5"/>
        <v>12</v>
      </c>
      <c r="F31" s="279"/>
      <c r="G31" s="279"/>
      <c r="H31" s="279"/>
      <c r="I31" s="401"/>
      <c r="J31" s="401"/>
      <c r="K31" s="401"/>
      <c r="L31" s="401"/>
      <c r="M31" s="401"/>
      <c r="N31" s="4">
        <f t="shared" si="0"/>
        <v>0</v>
      </c>
      <c r="O31" s="4">
        <f t="shared" si="1"/>
        <v>0</v>
      </c>
      <c r="P31" s="4">
        <f t="shared" si="2"/>
        <v>0</v>
      </c>
      <c r="Q31" s="4">
        <f t="shared" si="3"/>
        <v>0</v>
      </c>
      <c r="R31" s="4">
        <f t="shared" si="4"/>
        <v>0</v>
      </c>
    </row>
    <row r="32" spans="5:18" ht="20.25" customHeight="1">
      <c r="E32" s="565">
        <f t="shared" si="5"/>
        <v>13</v>
      </c>
      <c r="F32" s="279"/>
      <c r="G32" s="279"/>
      <c r="H32" s="279"/>
      <c r="I32" s="401"/>
      <c r="J32" s="401"/>
      <c r="K32" s="401"/>
      <c r="L32" s="401"/>
      <c r="M32" s="401"/>
      <c r="N32" s="4">
        <f t="shared" si="0"/>
        <v>0</v>
      </c>
      <c r="O32" s="4">
        <f t="shared" si="1"/>
        <v>0</v>
      </c>
      <c r="P32" s="4">
        <f t="shared" si="2"/>
        <v>0</v>
      </c>
      <c r="Q32" s="4">
        <f t="shared" si="3"/>
        <v>0</v>
      </c>
      <c r="R32" s="4">
        <f t="shared" si="4"/>
        <v>0</v>
      </c>
    </row>
    <row r="33" spans="5:20" ht="20.25" customHeight="1">
      <c r="E33" s="565">
        <f t="shared" si="5"/>
        <v>14</v>
      </c>
      <c r="F33" s="279"/>
      <c r="G33" s="279"/>
      <c r="H33" s="279"/>
      <c r="I33" s="401"/>
      <c r="J33" s="401"/>
      <c r="K33" s="401"/>
      <c r="L33" s="401"/>
      <c r="M33" s="401"/>
      <c r="N33" s="4">
        <f t="shared" si="0"/>
        <v>0</v>
      </c>
      <c r="O33" s="4">
        <f t="shared" si="1"/>
        <v>0</v>
      </c>
      <c r="P33" s="4">
        <f t="shared" si="2"/>
        <v>0</v>
      </c>
      <c r="Q33" s="4">
        <f t="shared" si="3"/>
        <v>0</v>
      </c>
      <c r="R33" s="4">
        <f t="shared" si="4"/>
        <v>0</v>
      </c>
    </row>
    <row r="34" spans="5:20" ht="20.25" customHeight="1">
      <c r="E34" s="565">
        <f t="shared" si="5"/>
        <v>15</v>
      </c>
      <c r="F34" s="279"/>
      <c r="G34" s="279"/>
      <c r="H34" s="279"/>
      <c r="I34" s="401"/>
      <c r="J34" s="401"/>
      <c r="K34" s="401"/>
      <c r="L34" s="401"/>
      <c r="M34" s="401"/>
      <c r="N34" s="4">
        <f t="shared" si="0"/>
        <v>0</v>
      </c>
      <c r="O34" s="4">
        <f t="shared" si="1"/>
        <v>0</v>
      </c>
      <c r="P34" s="4">
        <f t="shared" si="2"/>
        <v>0</v>
      </c>
      <c r="Q34" s="4">
        <f t="shared" si="3"/>
        <v>0</v>
      </c>
      <c r="R34" s="4">
        <f t="shared" si="4"/>
        <v>0</v>
      </c>
    </row>
    <row r="35" spans="5:20" ht="20.25" customHeight="1">
      <c r="E35" s="565">
        <f t="shared" si="5"/>
        <v>16</v>
      </c>
      <c r="F35" s="279"/>
      <c r="G35" s="279"/>
      <c r="H35" s="279"/>
      <c r="I35" s="401"/>
      <c r="J35" s="401"/>
      <c r="K35" s="401"/>
      <c r="L35" s="401"/>
      <c r="M35" s="401"/>
      <c r="N35" s="4">
        <f t="shared" si="0"/>
        <v>0</v>
      </c>
      <c r="O35" s="4">
        <f t="shared" si="1"/>
        <v>0</v>
      </c>
      <c r="P35" s="4">
        <f t="shared" si="2"/>
        <v>0</v>
      </c>
      <c r="Q35" s="4">
        <f t="shared" si="3"/>
        <v>0</v>
      </c>
      <c r="R35" s="4">
        <f t="shared" si="4"/>
        <v>0</v>
      </c>
    </row>
    <row r="36" spans="5:20" ht="20.25" customHeight="1">
      <c r="E36" s="565">
        <f t="shared" si="5"/>
        <v>17</v>
      </c>
      <c r="F36" s="279"/>
      <c r="G36" s="279"/>
      <c r="H36" s="279"/>
      <c r="I36" s="401"/>
      <c r="J36" s="401"/>
      <c r="K36" s="401"/>
      <c r="L36" s="401"/>
      <c r="M36" s="401"/>
      <c r="N36" s="4">
        <f t="shared" si="0"/>
        <v>0</v>
      </c>
      <c r="O36" s="4">
        <f t="shared" si="1"/>
        <v>0</v>
      </c>
      <c r="P36" s="4">
        <f t="shared" si="2"/>
        <v>0</v>
      </c>
      <c r="Q36" s="4">
        <f t="shared" si="3"/>
        <v>0</v>
      </c>
      <c r="R36" s="4">
        <f t="shared" si="4"/>
        <v>0</v>
      </c>
    </row>
    <row r="37" spans="5:20" ht="20.25" customHeight="1">
      <c r="E37" s="565">
        <f t="shared" si="5"/>
        <v>18</v>
      </c>
      <c r="F37" s="279"/>
      <c r="G37" s="279"/>
      <c r="H37" s="279"/>
      <c r="I37" s="401"/>
      <c r="J37" s="401"/>
      <c r="K37" s="401"/>
      <c r="L37" s="401"/>
      <c r="M37" s="401"/>
      <c r="N37" s="4">
        <f t="shared" si="0"/>
        <v>0</v>
      </c>
      <c r="O37" s="4">
        <f t="shared" si="1"/>
        <v>0</v>
      </c>
      <c r="P37" s="4">
        <f t="shared" si="2"/>
        <v>0</v>
      </c>
      <c r="Q37" s="4">
        <f t="shared" si="3"/>
        <v>0</v>
      </c>
      <c r="R37" s="4">
        <f t="shared" si="4"/>
        <v>0</v>
      </c>
    </row>
    <row r="38" spans="5:20" ht="20.25" customHeight="1" thickBot="1">
      <c r="E38" s="565">
        <f t="shared" si="5"/>
        <v>19</v>
      </c>
      <c r="F38" s="402"/>
      <c r="G38" s="402"/>
      <c r="H38" s="402"/>
      <c r="I38" s="403"/>
      <c r="J38" s="403"/>
      <c r="K38" s="403"/>
      <c r="L38" s="403"/>
      <c r="M38" s="403"/>
      <c r="N38" s="4">
        <f t="shared" si="0"/>
        <v>0</v>
      </c>
      <c r="O38" s="4">
        <f t="shared" si="1"/>
        <v>0</v>
      </c>
      <c r="P38" s="4">
        <f t="shared" si="2"/>
        <v>0</v>
      </c>
      <c r="Q38" s="4">
        <f t="shared" si="3"/>
        <v>0</v>
      </c>
      <c r="R38" s="4">
        <f t="shared" si="4"/>
        <v>0</v>
      </c>
    </row>
    <row r="39" spans="5:20" ht="17.25" thickTop="1" thickBot="1">
      <c r="E39" s="19" t="s">
        <v>7</v>
      </c>
      <c r="F39" s="20">
        <f>SUM(F19:F38)</f>
        <v>150267</v>
      </c>
      <c r="G39" s="20"/>
      <c r="H39" s="20"/>
      <c r="I39" s="21"/>
      <c r="J39" s="21"/>
      <c r="K39" s="21"/>
      <c r="L39" s="21"/>
      <c r="M39" s="21"/>
      <c r="N39" s="70">
        <f>SUM(N19:N38)</f>
        <v>31556.07</v>
      </c>
      <c r="O39" s="70">
        <f>SUM(O19:O38)</f>
        <v>3005.34</v>
      </c>
      <c r="P39" s="70">
        <f>SUM(P19:P38)</f>
        <v>115705.59</v>
      </c>
      <c r="Q39" s="70">
        <f>SUM(Q19:Q38)</f>
        <v>0</v>
      </c>
      <c r="R39" s="71">
        <f>SUM(R19:R38)</f>
        <v>0</v>
      </c>
      <c r="S39" s="22">
        <f>F39-N39-O39-P39-Q39-R39</f>
        <v>0</v>
      </c>
      <c r="T39" s="576">
        <f>SUM(N39:R39)</f>
        <v>150267</v>
      </c>
    </row>
    <row r="40" spans="5:20" ht="6.75" customHeight="1">
      <c r="I40" s="23"/>
      <c r="J40" s="23"/>
      <c r="K40" s="23"/>
      <c r="L40" s="23"/>
      <c r="M40" s="23"/>
      <c r="N40" s="24"/>
      <c r="O40" s="24"/>
      <c r="P40" s="24"/>
      <c r="Q40" s="24"/>
    </row>
    <row r="41" spans="5:20">
      <c r="F41" s="7">
        <v>150267</v>
      </c>
      <c r="I41" s="23"/>
      <c r="J41" s="23"/>
      <c r="K41" s="23"/>
      <c r="L41" s="23"/>
      <c r="M41" s="23"/>
      <c r="N41" s="24"/>
      <c r="O41" s="24"/>
      <c r="P41" s="24"/>
      <c r="Q41" s="24"/>
    </row>
    <row r="42" spans="5:20">
      <c r="I42" s="23"/>
      <c r="J42" s="23"/>
      <c r="K42" s="23"/>
      <c r="L42" s="23"/>
      <c r="M42" s="23"/>
      <c r="N42" s="24"/>
      <c r="O42" s="24"/>
      <c r="P42" s="24"/>
      <c r="Q42" s="24"/>
    </row>
    <row r="43" spans="5:20">
      <c r="I43" s="23"/>
      <c r="J43" s="23"/>
      <c r="K43" s="23"/>
      <c r="L43" s="23"/>
      <c r="M43" s="23"/>
    </row>
    <row r="44" spans="5:20">
      <c r="I44" s="23"/>
      <c r="J44" s="23"/>
      <c r="K44" s="23"/>
      <c r="L44" s="23"/>
      <c r="M44" s="23"/>
    </row>
    <row r="45" spans="5:20">
      <c r="I45" s="23"/>
      <c r="J45" s="23"/>
      <c r="K45" s="23"/>
      <c r="L45" s="23"/>
      <c r="M45" s="23"/>
    </row>
    <row r="46" spans="5:20">
      <c r="I46" s="23"/>
      <c r="J46" s="23"/>
      <c r="K46" s="23"/>
      <c r="L46" s="23"/>
      <c r="M46" s="23"/>
    </row>
    <row r="47" spans="5:20">
      <c r="I47" s="23"/>
      <c r="J47" s="23"/>
      <c r="K47" s="23"/>
      <c r="L47" s="23"/>
      <c r="M47" s="23"/>
    </row>
    <row r="48" spans="5:20">
      <c r="I48" s="23"/>
      <c r="J48" s="23"/>
      <c r="K48" s="23"/>
      <c r="L48" s="23"/>
      <c r="M48" s="23"/>
    </row>
    <row r="49" spans="9:13">
      <c r="I49" s="23"/>
      <c r="J49" s="23"/>
      <c r="K49" s="23"/>
      <c r="L49" s="23"/>
      <c r="M49" s="23"/>
    </row>
    <row r="50" spans="9:13">
      <c r="I50" s="23"/>
      <c r="J50" s="23"/>
      <c r="K50" s="23"/>
      <c r="L50" s="23"/>
      <c r="M50" s="23"/>
    </row>
    <row r="51" spans="9:13">
      <c r="I51" s="23"/>
      <c r="J51" s="23"/>
      <c r="K51" s="23"/>
      <c r="L51" s="23"/>
      <c r="M51" s="23"/>
    </row>
    <row r="52" spans="9:13">
      <c r="I52" s="23"/>
      <c r="J52" s="23"/>
      <c r="K52" s="23"/>
      <c r="L52" s="23"/>
      <c r="M52" s="23"/>
    </row>
    <row r="53" spans="9:13">
      <c r="I53" s="23"/>
      <c r="J53" s="23"/>
      <c r="K53" s="23"/>
      <c r="L53" s="23"/>
      <c r="M53" s="23"/>
    </row>
    <row r="54" spans="9:13">
      <c r="I54" s="23"/>
      <c r="J54" s="23"/>
      <c r="K54" s="23"/>
      <c r="L54" s="23"/>
      <c r="M54" s="23"/>
    </row>
    <row r="55" spans="9:13">
      <c r="I55" s="23"/>
      <c r="J55" s="23"/>
      <c r="K55" s="23"/>
      <c r="L55" s="23"/>
      <c r="M55" s="23"/>
    </row>
    <row r="56" spans="9:13">
      <c r="I56" s="23"/>
      <c r="J56" s="23"/>
      <c r="K56" s="23"/>
      <c r="L56" s="23"/>
      <c r="M56" s="23"/>
    </row>
    <row r="57" spans="9:13">
      <c r="I57" s="23"/>
      <c r="J57" s="23"/>
      <c r="K57" s="23"/>
      <c r="L57" s="23"/>
      <c r="M57" s="23"/>
    </row>
  </sheetData>
  <phoneticPr fontId="2" type="noConversion"/>
  <pageMargins left="1.33" right="0" top="0.97" bottom="1" header="0.5" footer="0.5"/>
  <pageSetup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showGridLines="0" topLeftCell="G38" workbookViewId="0">
      <selection activeCell="R63" sqref="R63"/>
    </sheetView>
  </sheetViews>
  <sheetFormatPr defaultRowHeight="12.75"/>
  <cols>
    <col min="1" max="1" width="10.140625" bestFit="1" customWidth="1"/>
    <col min="2" max="2" width="1.42578125" customWidth="1"/>
    <col min="3" max="3" width="15.140625" customWidth="1"/>
    <col min="4" max="4" width="14.28515625" style="46" customWidth="1"/>
    <col min="5" max="5" width="16.7109375" style="46" customWidth="1"/>
    <col min="6" max="6" width="20.28515625" style="46" customWidth="1"/>
    <col min="7" max="7" width="19" style="46" customWidth="1"/>
    <col min="8" max="8" width="24.7109375" style="46" customWidth="1"/>
    <col min="9" max="9" width="24.5703125" customWidth="1"/>
    <col min="10" max="10" width="18.28515625" customWidth="1"/>
    <col min="11" max="11" width="1.42578125" customWidth="1"/>
    <col min="12" max="12" width="1" customWidth="1"/>
    <col min="13" max="13" width="10.7109375" bestFit="1" customWidth="1"/>
    <col min="14" max="15" width="10.85546875" customWidth="1"/>
    <col min="16" max="16" width="14.28515625" customWidth="1"/>
    <col min="17" max="17" width="10.85546875" customWidth="1"/>
    <col min="18" max="18" width="15.140625" customWidth="1"/>
    <col min="19" max="19" width="15.28515625" customWidth="1"/>
    <col min="20" max="20" width="11.28515625" bestFit="1" customWidth="1"/>
    <col min="21" max="21" width="9.7109375" bestFit="1" customWidth="1"/>
  </cols>
  <sheetData>
    <row r="1" spans="2:11" hidden="1"/>
    <row r="2" spans="2:11" ht="5.25" hidden="1" customHeight="1" thickBot="1"/>
    <row r="3" spans="2:11" ht="5.25" hidden="1" customHeight="1">
      <c r="C3" s="47"/>
      <c r="D3" s="48"/>
      <c r="E3" s="48"/>
      <c r="F3" s="48"/>
      <c r="G3" s="48"/>
      <c r="H3" s="48"/>
      <c r="I3" s="26"/>
      <c r="J3" s="26"/>
      <c r="K3" s="27"/>
    </row>
    <row r="4" spans="2:11" ht="15.75" hidden="1">
      <c r="B4" s="49"/>
      <c r="C4" s="50"/>
      <c r="D4" s="51" t="s">
        <v>163</v>
      </c>
      <c r="E4" s="52"/>
      <c r="F4" s="53"/>
      <c r="G4" s="53"/>
      <c r="H4" s="53"/>
      <c r="I4" s="29"/>
      <c r="J4" s="29"/>
      <c r="K4" s="30"/>
    </row>
    <row r="5" spans="2:11" hidden="1">
      <c r="B5" s="49"/>
      <c r="C5" s="50"/>
      <c r="D5" s="52"/>
      <c r="E5" s="52"/>
      <c r="F5" s="53"/>
      <c r="G5" s="53"/>
      <c r="H5" s="53"/>
      <c r="I5" s="29"/>
      <c r="J5" s="29"/>
      <c r="K5" s="30"/>
    </row>
    <row r="6" spans="2:11" hidden="1">
      <c r="B6" s="49"/>
      <c r="C6" s="50"/>
      <c r="D6" s="52"/>
      <c r="E6" s="52"/>
      <c r="F6" s="53"/>
      <c r="G6" s="53"/>
      <c r="H6" s="53"/>
      <c r="I6" s="29"/>
      <c r="J6" s="29"/>
      <c r="K6" s="30"/>
    </row>
    <row r="7" spans="2:11" hidden="1">
      <c r="B7" s="49"/>
      <c r="C7" s="50"/>
      <c r="D7" s="54" t="s">
        <v>156</v>
      </c>
      <c r="E7" s="52"/>
      <c r="F7" s="53"/>
      <c r="G7" s="53"/>
      <c r="H7" s="53"/>
      <c r="I7" s="29"/>
      <c r="J7" s="29"/>
      <c r="K7" s="30"/>
    </row>
    <row r="8" spans="2:11" hidden="1">
      <c r="C8" s="28"/>
      <c r="D8" s="53"/>
      <c r="E8" s="53"/>
      <c r="F8" s="53"/>
      <c r="G8" s="53"/>
      <c r="H8" s="53"/>
      <c r="I8" s="29"/>
      <c r="J8" s="29"/>
      <c r="K8" s="30"/>
    </row>
    <row r="9" spans="2:11" hidden="1">
      <c r="C9" s="28"/>
      <c r="D9" s="53"/>
      <c r="E9" s="53"/>
      <c r="F9" s="53"/>
      <c r="G9" s="53"/>
      <c r="H9" s="53"/>
      <c r="I9" s="29"/>
      <c r="J9" s="29"/>
      <c r="K9" s="30"/>
    </row>
    <row r="10" spans="2:11" s="46" customFormat="1" hidden="1">
      <c r="C10" s="55"/>
      <c r="D10" s="56" t="s">
        <v>20</v>
      </c>
      <c r="E10" s="56" t="s">
        <v>21</v>
      </c>
      <c r="F10" s="56" t="s">
        <v>22</v>
      </c>
      <c r="G10" s="56" t="s">
        <v>8</v>
      </c>
      <c r="H10" s="56" t="s">
        <v>23</v>
      </c>
      <c r="I10" s="56" t="s">
        <v>24</v>
      </c>
      <c r="J10" s="56" t="s">
        <v>25</v>
      </c>
      <c r="K10" s="57"/>
    </row>
    <row r="11" spans="2:11" hidden="1">
      <c r="C11" s="28"/>
      <c r="D11" s="58">
        <v>37956</v>
      </c>
      <c r="E11" s="59">
        <v>125000</v>
      </c>
      <c r="F11" s="60">
        <v>1.2E-2</v>
      </c>
      <c r="G11" s="61">
        <v>23699.38</v>
      </c>
      <c r="H11" s="62">
        <f t="shared" ref="H11:H17" si="0">E11+G11</f>
        <v>148699.38</v>
      </c>
      <c r="I11" s="29"/>
      <c r="J11" s="29"/>
      <c r="K11" s="30"/>
    </row>
    <row r="12" spans="2:11" hidden="1">
      <c r="C12" s="28"/>
      <c r="D12" s="58">
        <v>38139</v>
      </c>
      <c r="E12" s="59"/>
      <c r="F12" s="60"/>
      <c r="G12" s="63">
        <v>19563.75</v>
      </c>
      <c r="H12" s="62">
        <f t="shared" si="0"/>
        <v>19563.75</v>
      </c>
      <c r="I12" s="29"/>
      <c r="J12" s="29"/>
      <c r="K12" s="30"/>
    </row>
    <row r="13" spans="2:11" hidden="1">
      <c r="C13" s="28"/>
      <c r="D13" s="58">
        <v>38322</v>
      </c>
      <c r="E13" s="59">
        <v>125000</v>
      </c>
      <c r="F13" s="60">
        <v>1.4999999999999999E-2</v>
      </c>
      <c r="G13" s="61">
        <v>19563.75</v>
      </c>
      <c r="H13" s="62">
        <f t="shared" si="0"/>
        <v>144563.75</v>
      </c>
      <c r="I13" s="29"/>
      <c r="J13" s="29"/>
      <c r="K13" s="30"/>
    </row>
    <row r="14" spans="2:11" hidden="1">
      <c r="C14" s="28"/>
      <c r="D14" s="58">
        <v>38504</v>
      </c>
      <c r="E14" s="59"/>
      <c r="F14" s="60"/>
      <c r="G14" s="61">
        <v>18626.25</v>
      </c>
      <c r="H14" s="62">
        <f t="shared" si="0"/>
        <v>18626.25</v>
      </c>
      <c r="I14" s="29"/>
      <c r="J14" s="29"/>
      <c r="K14" s="30"/>
    </row>
    <row r="15" spans="2:11" hidden="1">
      <c r="C15" s="28"/>
      <c r="D15" s="58">
        <v>38687</v>
      </c>
      <c r="E15" s="59">
        <v>150000</v>
      </c>
      <c r="F15" s="60">
        <v>1.9E-2</v>
      </c>
      <c r="G15" s="61">
        <v>18626.25</v>
      </c>
      <c r="H15" s="62">
        <f t="shared" si="0"/>
        <v>168626.25</v>
      </c>
      <c r="I15" s="29"/>
      <c r="J15" s="29"/>
      <c r="K15" s="30"/>
    </row>
    <row r="16" spans="2:11" hidden="1">
      <c r="C16" s="28"/>
      <c r="D16" s="58">
        <v>38869</v>
      </c>
      <c r="E16" s="59"/>
      <c r="F16" s="60"/>
      <c r="G16" s="61">
        <v>17060.5</v>
      </c>
      <c r="H16" s="62">
        <f t="shared" si="0"/>
        <v>17060.5</v>
      </c>
      <c r="I16" s="29"/>
      <c r="J16" s="64">
        <f>G16</f>
        <v>17060.5</v>
      </c>
      <c r="K16" s="30"/>
    </row>
    <row r="17" spans="3:19" hidden="1">
      <c r="C17" s="28"/>
      <c r="D17" s="58">
        <v>39052</v>
      </c>
      <c r="E17" s="59">
        <v>150000</v>
      </c>
      <c r="F17" s="60">
        <v>2.23E-2</v>
      </c>
      <c r="G17" s="61">
        <v>17060.5</v>
      </c>
      <c r="H17" s="62">
        <f t="shared" si="0"/>
        <v>167060.5</v>
      </c>
      <c r="I17" s="65">
        <f>E17</f>
        <v>150000</v>
      </c>
      <c r="J17" s="64">
        <f>G17</f>
        <v>17060.5</v>
      </c>
      <c r="K17" s="30"/>
    </row>
    <row r="18" spans="3:19" hidden="1">
      <c r="C18" s="28"/>
      <c r="D18" s="58"/>
      <c r="E18" s="59"/>
      <c r="F18" s="60"/>
      <c r="G18" s="61"/>
      <c r="H18" s="62"/>
      <c r="I18" s="29"/>
      <c r="J18" s="29"/>
      <c r="K18" s="30"/>
    </row>
    <row r="19" spans="3:19" hidden="1">
      <c r="C19" s="28"/>
      <c r="D19" s="58"/>
      <c r="E19" s="59"/>
      <c r="F19" s="60"/>
      <c r="G19" s="61"/>
      <c r="H19" s="62"/>
      <c r="I19" s="29"/>
      <c r="J19" s="29"/>
      <c r="K19" s="30"/>
    </row>
    <row r="20" spans="3:19" hidden="1">
      <c r="C20" s="28"/>
      <c r="D20" s="58"/>
      <c r="E20" s="59"/>
      <c r="F20" s="60"/>
      <c r="G20" s="61"/>
      <c r="H20" s="62"/>
      <c r="I20" s="29"/>
      <c r="J20" s="29"/>
      <c r="K20" s="30"/>
    </row>
    <row r="21" spans="3:19" ht="13.5" hidden="1" thickBot="1">
      <c r="C21" s="28"/>
      <c r="D21" s="66"/>
      <c r="E21" s="66"/>
      <c r="F21" s="66"/>
      <c r="G21" s="66"/>
      <c r="H21" s="66"/>
      <c r="I21" s="67"/>
      <c r="J21" s="67"/>
      <c r="K21" s="30"/>
    </row>
    <row r="22" spans="3:19" hidden="1">
      <c r="C22" s="28"/>
      <c r="D22" s="54" t="s">
        <v>26</v>
      </c>
      <c r="E22" s="53"/>
      <c r="F22" s="53"/>
      <c r="G22" s="53"/>
      <c r="H22" s="53"/>
      <c r="I22" s="68">
        <f>SUM(I11:I20)</f>
        <v>150000</v>
      </c>
      <c r="J22" s="68">
        <f>SUM(J11:J20)</f>
        <v>34121</v>
      </c>
      <c r="K22" s="30"/>
    </row>
    <row r="23" spans="3:19" ht="4.5" hidden="1" customHeight="1" thickBot="1">
      <c r="C23" s="31"/>
      <c r="D23" s="69"/>
      <c r="E23" s="69"/>
      <c r="F23" s="69"/>
      <c r="G23" s="69"/>
      <c r="H23" s="69"/>
      <c r="I23" s="32"/>
      <c r="J23" s="32"/>
      <c r="K23" s="33"/>
    </row>
    <row r="24" spans="3:19" ht="4.5" hidden="1" customHeight="1"/>
    <row r="25" spans="3:19" hidden="1"/>
    <row r="26" spans="3:19" hidden="1"/>
    <row r="27" spans="3:19" hidden="1"/>
    <row r="28" spans="3:19" hidden="1"/>
    <row r="29" spans="3:19" ht="39">
      <c r="D29" s="703" t="s">
        <v>419</v>
      </c>
      <c r="E29" s="703"/>
      <c r="H29" s="703" t="s">
        <v>419</v>
      </c>
      <c r="I29" s="703"/>
      <c r="M29" t="s">
        <v>702</v>
      </c>
      <c r="P29" s="393" t="s">
        <v>704</v>
      </c>
    </row>
    <row r="30" spans="3:19" ht="15.75">
      <c r="D30" s="703" t="s">
        <v>420</v>
      </c>
      <c r="E30" s="703"/>
      <c r="H30" s="703" t="s">
        <v>768</v>
      </c>
      <c r="I30" s="703"/>
    </row>
    <row r="31" spans="3:19" ht="15.75">
      <c r="D31" s="210" t="s">
        <v>421</v>
      </c>
      <c r="E31" s="210" t="s">
        <v>421</v>
      </c>
      <c r="H31" s="211"/>
      <c r="I31" s="211"/>
      <c r="J31" s="46" t="s">
        <v>897</v>
      </c>
      <c r="R31" s="386" t="s">
        <v>700</v>
      </c>
      <c r="S31" s="386" t="s">
        <v>700</v>
      </c>
    </row>
    <row r="32" spans="3:19" ht="15.75">
      <c r="D32" s="209" t="s">
        <v>422</v>
      </c>
      <c r="E32" s="209" t="s">
        <v>423</v>
      </c>
      <c r="G32" s="72"/>
      <c r="H32" s="209" t="s">
        <v>424</v>
      </c>
      <c r="I32" s="209" t="s">
        <v>423</v>
      </c>
      <c r="J32" s="413" t="s">
        <v>769</v>
      </c>
      <c r="M32" t="s">
        <v>422</v>
      </c>
      <c r="N32" t="s">
        <v>423</v>
      </c>
      <c r="P32" t="s">
        <v>422</v>
      </c>
      <c r="Q32" t="s">
        <v>423</v>
      </c>
      <c r="R32" s="386" t="s">
        <v>423</v>
      </c>
      <c r="S32" s="386" t="s">
        <v>422</v>
      </c>
    </row>
    <row r="33" spans="1:21" ht="15.75">
      <c r="D33" s="212" t="s">
        <v>425</v>
      </c>
      <c r="E33" s="212" t="s">
        <v>425</v>
      </c>
      <c r="G33" s="73"/>
      <c r="H33" s="212" t="s">
        <v>425</v>
      </c>
      <c r="I33" s="212" t="s">
        <v>425</v>
      </c>
    </row>
    <row r="34" spans="1:21">
      <c r="D34"/>
      <c r="E34"/>
      <c r="F34"/>
      <c r="G34"/>
      <c r="H34"/>
    </row>
    <row r="35" spans="1:21" ht="15.75">
      <c r="A35" s="213">
        <v>2008</v>
      </c>
      <c r="D35" s="214">
        <v>150000</v>
      </c>
      <c r="E35" s="214">
        <f>13638.75*2</f>
        <v>27277.5</v>
      </c>
      <c r="H35" s="214">
        <v>35000</v>
      </c>
      <c r="I35" s="214">
        <f>17621.25*2</f>
        <v>35242.5</v>
      </c>
      <c r="M35">
        <f>128750</f>
        <v>128750</v>
      </c>
      <c r="N35">
        <v>0</v>
      </c>
      <c r="O35" s="213">
        <v>2008</v>
      </c>
      <c r="R35" s="381">
        <f>N35+I35+E35</f>
        <v>62520</v>
      </c>
      <c r="S35" s="381">
        <f>M35+H35+D35</f>
        <v>313750</v>
      </c>
    </row>
    <row r="36" spans="1:21" ht="15.75">
      <c r="A36" s="213">
        <v>2009</v>
      </c>
      <c r="D36" s="214">
        <v>620000</v>
      </c>
      <c r="E36" s="214">
        <v>26256.75</v>
      </c>
      <c r="F36" s="46" t="s">
        <v>705</v>
      </c>
      <c r="H36" s="214">
        <v>40000</v>
      </c>
      <c r="I36" s="214">
        <f>16938.75*2</f>
        <v>33877.5</v>
      </c>
      <c r="M36">
        <f t="shared" ref="M36:M50" si="1">128750</f>
        <v>128750</v>
      </c>
      <c r="N36">
        <v>0</v>
      </c>
      <c r="O36" s="213">
        <v>2009</v>
      </c>
      <c r="Q36">
        <f>0.0225*P54/4</f>
        <v>3093.75</v>
      </c>
      <c r="R36" s="381">
        <f>N36+I36+E36+Q36</f>
        <v>63228</v>
      </c>
      <c r="S36" s="381">
        <f>M36+H36+D36</f>
        <v>788750</v>
      </c>
    </row>
    <row r="37" spans="1:21" ht="15.75">
      <c r="A37" s="213">
        <v>2010</v>
      </c>
      <c r="D37" s="214">
        <v>0</v>
      </c>
      <c r="E37" s="214">
        <v>0</v>
      </c>
      <c r="H37" s="214">
        <v>40000</v>
      </c>
      <c r="I37" s="214">
        <f>16138.75*2</f>
        <v>32277.5</v>
      </c>
      <c r="M37">
        <f t="shared" si="1"/>
        <v>128750</v>
      </c>
      <c r="N37">
        <v>0</v>
      </c>
      <c r="O37" s="213">
        <v>2010</v>
      </c>
      <c r="P37">
        <v>20000</v>
      </c>
      <c r="Q37">
        <v>27972.5</v>
      </c>
      <c r="R37" s="381">
        <f>N37+I37+E37+Q37</f>
        <v>60250</v>
      </c>
      <c r="S37" s="381">
        <f>H37+M37+P37</f>
        <v>188750</v>
      </c>
      <c r="U37" s="399" t="s">
        <v>157</v>
      </c>
    </row>
    <row r="38" spans="1:21" ht="15.75">
      <c r="A38" s="213">
        <v>2011</v>
      </c>
      <c r="D38" s="214">
        <v>0</v>
      </c>
      <c r="E38" s="214">
        <v>0</v>
      </c>
      <c r="H38" s="214">
        <v>40000</v>
      </c>
      <c r="I38" s="214">
        <f>15338.75*2</f>
        <v>30677.5</v>
      </c>
      <c r="M38">
        <f t="shared" si="1"/>
        <v>128750</v>
      </c>
      <c r="N38">
        <v>0</v>
      </c>
      <c r="O38" s="213">
        <v>2011</v>
      </c>
      <c r="P38">
        <v>25000</v>
      </c>
      <c r="Q38">
        <f>49239-30677.5</f>
        <v>18561.5</v>
      </c>
      <c r="R38" s="381">
        <f>N38+I38+E38+Q38</f>
        <v>49239</v>
      </c>
      <c r="S38" s="381">
        <f>H38+M38+P38</f>
        <v>193750</v>
      </c>
    </row>
    <row r="39" spans="1:21" ht="15.75">
      <c r="A39" s="213">
        <v>2012</v>
      </c>
      <c r="D39" s="214">
        <v>0</v>
      </c>
      <c r="E39" s="214">
        <v>0</v>
      </c>
      <c r="H39" s="214">
        <f>20000+645000</f>
        <v>665000</v>
      </c>
      <c r="I39" s="214">
        <f>29399+1057+29077.5</f>
        <v>59533.5</v>
      </c>
      <c r="J39" s="443">
        <v>-85871</v>
      </c>
      <c r="M39">
        <f t="shared" si="1"/>
        <v>128750</v>
      </c>
      <c r="N39">
        <v>0</v>
      </c>
      <c r="O39" s="213">
        <v>2012</v>
      </c>
      <c r="P39">
        <v>30000</v>
      </c>
      <c r="Q39" s="381">
        <v>22557.5</v>
      </c>
      <c r="R39" s="381">
        <f>N39+I39+E39+Q39</f>
        <v>82091</v>
      </c>
      <c r="S39" s="381">
        <f>H39+M39+P39</f>
        <v>823750</v>
      </c>
    </row>
    <row r="40" spans="1:21" ht="15.75">
      <c r="A40" s="385" t="s">
        <v>701</v>
      </c>
      <c r="D40" s="384">
        <f>SUM(D36:D39)</f>
        <v>620000</v>
      </c>
      <c r="H40" s="214">
        <v>55000</v>
      </c>
      <c r="I40" s="214">
        <f>H57*0.0265-7805</f>
        <v>9287.5</v>
      </c>
      <c r="J40">
        <v>7805</v>
      </c>
      <c r="M40">
        <f t="shared" si="1"/>
        <v>128750</v>
      </c>
      <c r="N40">
        <v>0</v>
      </c>
      <c r="O40" s="213">
        <v>2013</v>
      </c>
      <c r="P40">
        <v>30000</v>
      </c>
      <c r="Q40">
        <f>0.030164*P57</f>
        <v>14327.9</v>
      </c>
      <c r="R40" s="381">
        <f>N40+I40+J40+Q40</f>
        <v>31420.400000000001</v>
      </c>
      <c r="S40" s="381">
        <f>H40+M40+P40</f>
        <v>213750</v>
      </c>
    </row>
    <row r="41" spans="1:21" ht="15.75">
      <c r="A41" s="391">
        <v>40178</v>
      </c>
      <c r="D41" s="384">
        <f>SUM(D37,D38,D39)</f>
        <v>0</v>
      </c>
      <c r="H41" s="214">
        <v>55000</v>
      </c>
      <c r="I41" s="214">
        <v>11045.4</v>
      </c>
      <c r="J41">
        <v>7805</v>
      </c>
      <c r="M41">
        <f t="shared" si="1"/>
        <v>128750</v>
      </c>
      <c r="N41">
        <v>0</v>
      </c>
      <c r="O41" s="213">
        <v>2014</v>
      </c>
      <c r="P41">
        <v>35000</v>
      </c>
      <c r="Q41">
        <v>20562.22</v>
      </c>
      <c r="R41" s="381">
        <f>N41+I41+J41+Q41</f>
        <v>39412.620000000003</v>
      </c>
      <c r="S41" s="381">
        <f>H41+M41+P41</f>
        <v>218750</v>
      </c>
      <c r="T41" s="674" t="s">
        <v>157</v>
      </c>
    </row>
    <row r="42" spans="1:21" ht="15.75">
      <c r="H42" s="214">
        <v>55000</v>
      </c>
      <c r="I42" s="214">
        <v>10775</v>
      </c>
      <c r="J42">
        <v>7805</v>
      </c>
      <c r="M42">
        <f t="shared" si="1"/>
        <v>128750</v>
      </c>
      <c r="N42" s="580">
        <v>0</v>
      </c>
      <c r="O42" s="213">
        <v>2015</v>
      </c>
      <c r="P42">
        <v>35000</v>
      </c>
      <c r="Q42">
        <v>20562</v>
      </c>
      <c r="R42" s="381">
        <f t="shared" ref="R42:R51" si="2">N42+I42+J42+Q42</f>
        <v>39142</v>
      </c>
      <c r="S42" s="381">
        <f t="shared" ref="S42:S51" si="3">H42+M42+P42</f>
        <v>218750</v>
      </c>
    </row>
    <row r="43" spans="1:21" ht="15.75">
      <c r="H43" s="214">
        <v>55000</v>
      </c>
      <c r="I43" s="214">
        <v>10775</v>
      </c>
      <c r="J43">
        <v>7805</v>
      </c>
      <c r="M43">
        <f t="shared" si="1"/>
        <v>128750</v>
      </c>
      <c r="N43" s="580">
        <v>0</v>
      </c>
      <c r="O43" s="213">
        <v>2016</v>
      </c>
      <c r="P43">
        <v>35000</v>
      </c>
      <c r="Q43">
        <v>20562</v>
      </c>
      <c r="R43" s="381">
        <f t="shared" si="2"/>
        <v>39142</v>
      </c>
      <c r="S43" s="381">
        <f t="shared" si="3"/>
        <v>218750</v>
      </c>
    </row>
    <row r="44" spans="1:21" ht="15.75">
      <c r="H44" s="214">
        <v>55000</v>
      </c>
      <c r="I44" s="214">
        <v>10775</v>
      </c>
      <c r="J44">
        <v>7805</v>
      </c>
      <c r="M44">
        <f t="shared" si="1"/>
        <v>128750</v>
      </c>
      <c r="N44" s="580">
        <v>0</v>
      </c>
      <c r="O44" s="213">
        <v>2017</v>
      </c>
      <c r="P44">
        <v>40000</v>
      </c>
      <c r="Q44">
        <v>19650</v>
      </c>
      <c r="R44" s="381">
        <f t="shared" si="2"/>
        <v>38230</v>
      </c>
      <c r="S44" s="381">
        <f t="shared" si="3"/>
        <v>223750</v>
      </c>
    </row>
    <row r="45" spans="1:21" ht="15.75">
      <c r="H45" s="214">
        <v>60000</v>
      </c>
      <c r="I45" s="214">
        <v>9550</v>
      </c>
      <c r="J45">
        <v>7805</v>
      </c>
      <c r="M45">
        <f t="shared" si="1"/>
        <v>128750</v>
      </c>
      <c r="N45" s="580">
        <v>0</v>
      </c>
      <c r="O45" s="213">
        <v>2018</v>
      </c>
      <c r="P45">
        <v>40000</v>
      </c>
      <c r="Q45">
        <v>19650</v>
      </c>
      <c r="R45" s="381">
        <f t="shared" si="2"/>
        <v>37005</v>
      </c>
      <c r="S45" s="381">
        <f t="shared" si="3"/>
        <v>228750</v>
      </c>
    </row>
    <row r="46" spans="1:21" ht="15.75">
      <c r="H46" s="214">
        <v>60000</v>
      </c>
      <c r="I46" s="214">
        <v>6550</v>
      </c>
      <c r="J46">
        <v>7805</v>
      </c>
      <c r="M46">
        <f t="shared" si="1"/>
        <v>128750</v>
      </c>
      <c r="N46" s="580">
        <v>0</v>
      </c>
      <c r="O46" s="213">
        <v>2019</v>
      </c>
      <c r="P46">
        <v>40000</v>
      </c>
      <c r="Q46">
        <v>18700</v>
      </c>
      <c r="R46" s="381">
        <f t="shared" si="2"/>
        <v>33055</v>
      </c>
      <c r="S46" s="381">
        <f t="shared" si="3"/>
        <v>228750</v>
      </c>
    </row>
    <row r="47" spans="1:21" ht="15.75">
      <c r="H47" s="214">
        <v>60000</v>
      </c>
      <c r="I47" s="214">
        <v>6450</v>
      </c>
      <c r="J47">
        <v>7805</v>
      </c>
      <c r="M47">
        <f t="shared" si="1"/>
        <v>128750</v>
      </c>
      <c r="N47" s="580">
        <v>0</v>
      </c>
      <c r="O47" s="213">
        <v>2020</v>
      </c>
      <c r="P47">
        <v>40000</v>
      </c>
      <c r="Q47">
        <v>15500</v>
      </c>
      <c r="R47" s="381">
        <f t="shared" si="2"/>
        <v>29755</v>
      </c>
      <c r="S47" s="381">
        <f t="shared" si="3"/>
        <v>228750</v>
      </c>
    </row>
    <row r="48" spans="1:21" ht="15.75">
      <c r="H48" s="214">
        <v>60000</v>
      </c>
      <c r="I48" s="214">
        <v>6350</v>
      </c>
      <c r="J48">
        <v>7805</v>
      </c>
      <c r="M48">
        <f t="shared" si="1"/>
        <v>128750</v>
      </c>
      <c r="N48" s="580">
        <v>0</v>
      </c>
      <c r="O48" s="213">
        <v>2021</v>
      </c>
      <c r="P48">
        <v>45000</v>
      </c>
      <c r="Q48">
        <v>13500</v>
      </c>
      <c r="R48" s="381">
        <f t="shared" si="2"/>
        <v>27655</v>
      </c>
      <c r="S48" s="381">
        <f t="shared" si="3"/>
        <v>233750</v>
      </c>
    </row>
    <row r="49" spans="4:19" ht="15.75">
      <c r="H49" s="214">
        <v>65000</v>
      </c>
      <c r="I49" s="214">
        <v>5850</v>
      </c>
      <c r="J49">
        <v>7805</v>
      </c>
      <c r="M49">
        <f t="shared" si="1"/>
        <v>128750</v>
      </c>
      <c r="N49" s="580">
        <v>0</v>
      </c>
      <c r="O49" s="213">
        <v>2022</v>
      </c>
      <c r="P49">
        <v>45000</v>
      </c>
      <c r="Q49">
        <v>11500</v>
      </c>
      <c r="R49" s="381">
        <f t="shared" si="2"/>
        <v>25155</v>
      </c>
      <c r="S49" s="381">
        <f t="shared" si="3"/>
        <v>238750</v>
      </c>
    </row>
    <row r="50" spans="4:19" ht="15.75">
      <c r="H50" s="214">
        <v>65000</v>
      </c>
      <c r="I50" s="214">
        <f>1592.5*2</f>
        <v>3185</v>
      </c>
      <c r="J50">
        <v>7821</v>
      </c>
      <c r="M50">
        <f t="shared" si="1"/>
        <v>128750</v>
      </c>
      <c r="N50" s="580">
        <v>0</v>
      </c>
      <c r="O50" s="213">
        <v>2023</v>
      </c>
      <c r="P50">
        <v>45000</v>
      </c>
      <c r="Q50">
        <v>9500</v>
      </c>
      <c r="R50" s="381">
        <f t="shared" si="2"/>
        <v>20506</v>
      </c>
      <c r="S50" s="381">
        <f t="shared" si="3"/>
        <v>238750</v>
      </c>
    </row>
    <row r="51" spans="4:19" s="580" customFormat="1" ht="15.75">
      <c r="D51" s="46"/>
      <c r="E51" s="46"/>
      <c r="F51" s="46"/>
      <c r="G51" s="46"/>
      <c r="H51" s="214"/>
      <c r="I51" s="214">
        <v>0</v>
      </c>
      <c r="J51" s="580">
        <v>0</v>
      </c>
      <c r="N51" s="580">
        <v>0</v>
      </c>
      <c r="O51" s="213">
        <v>2024</v>
      </c>
      <c r="P51" s="580">
        <v>45000</v>
      </c>
      <c r="Q51" s="580">
        <v>4500</v>
      </c>
      <c r="R51" s="381">
        <f t="shared" si="2"/>
        <v>4500</v>
      </c>
      <c r="S51" s="381">
        <f t="shared" si="3"/>
        <v>45000</v>
      </c>
    </row>
    <row r="52" spans="4:19">
      <c r="G52" s="387" t="s">
        <v>703</v>
      </c>
      <c r="H52" s="595">
        <f>SUM(H36:H50)</f>
        <v>1430000</v>
      </c>
      <c r="M52">
        <f>SUM(M36:M50)</f>
        <v>1931250</v>
      </c>
      <c r="N52" s="388" t="s">
        <v>701</v>
      </c>
    </row>
    <row r="53" spans="4:19">
      <c r="G53" s="392">
        <v>40178</v>
      </c>
      <c r="H53" s="595">
        <f>SUM(H37:H50)</f>
        <v>1390000</v>
      </c>
    </row>
    <row r="54" spans="4:19">
      <c r="H54" s="595" t="s">
        <v>157</v>
      </c>
      <c r="M54">
        <f>SUM(M37:M50)</f>
        <v>1802500</v>
      </c>
      <c r="N54" s="391">
        <v>40178</v>
      </c>
      <c r="O54" s="391">
        <v>40178</v>
      </c>
      <c r="P54">
        <v>550000</v>
      </c>
      <c r="S54" s="381">
        <f>M54+H53+D41+P54</f>
        <v>3742500</v>
      </c>
    </row>
    <row r="55" spans="4:19">
      <c r="G55" s="392">
        <v>40543</v>
      </c>
      <c r="H55" s="595">
        <f>H53-H37</f>
        <v>1350000</v>
      </c>
      <c r="M55">
        <f>M54-M37</f>
        <v>1673750</v>
      </c>
      <c r="N55" s="391">
        <v>40543</v>
      </c>
      <c r="O55" s="391">
        <v>40543</v>
      </c>
      <c r="P55">
        <f>P54-P37</f>
        <v>530000</v>
      </c>
      <c r="S55" s="381">
        <f>P55+M55+H55</f>
        <v>3553750</v>
      </c>
    </row>
    <row r="56" spans="4:19">
      <c r="G56" s="392">
        <v>40908</v>
      </c>
      <c r="H56" s="595">
        <f>H55-H38</f>
        <v>1310000</v>
      </c>
      <c r="I56" s="573">
        <f t="shared" ref="I56:I58" si="4">H55-H56</f>
        <v>40000</v>
      </c>
      <c r="M56">
        <f>M55-M38</f>
        <v>1545000</v>
      </c>
      <c r="N56" s="391">
        <v>40908</v>
      </c>
      <c r="O56" s="391">
        <v>40908</v>
      </c>
      <c r="P56">
        <f>P55-P38</f>
        <v>505000</v>
      </c>
      <c r="S56" s="381">
        <f>P56+M56+H56</f>
        <v>3360000</v>
      </c>
    </row>
    <row r="57" spans="4:19">
      <c r="G57" s="392">
        <v>41274</v>
      </c>
      <c r="H57" s="595">
        <v>645000</v>
      </c>
      <c r="I57" s="573">
        <f t="shared" si="4"/>
        <v>665000</v>
      </c>
      <c r="J57" s="390">
        <f>J39</f>
        <v>-85871</v>
      </c>
      <c r="M57" s="416">
        <f>M56-M39</f>
        <v>1416250</v>
      </c>
      <c r="N57" s="391">
        <v>41274</v>
      </c>
      <c r="O57" s="391">
        <v>41274</v>
      </c>
      <c r="P57" s="416">
        <f>P56-P39</f>
        <v>475000</v>
      </c>
      <c r="S57" s="381">
        <f>P57+M57+H57+J57</f>
        <v>2450379</v>
      </c>
    </row>
    <row r="58" spans="4:19">
      <c r="G58" s="392">
        <v>41639</v>
      </c>
      <c r="H58" s="594">
        <v>590000</v>
      </c>
      <c r="I58" s="573">
        <f t="shared" si="4"/>
        <v>55000</v>
      </c>
      <c r="J58" s="573">
        <f>J57+J40</f>
        <v>-78066</v>
      </c>
      <c r="M58" s="580">
        <f>M57-M40</f>
        <v>1287500</v>
      </c>
      <c r="N58" s="391">
        <v>41639</v>
      </c>
      <c r="O58" s="391">
        <v>41639</v>
      </c>
      <c r="P58" s="580">
        <f>P57-P40</f>
        <v>445000</v>
      </c>
      <c r="S58" s="381">
        <f>P58+M58+H58+J58</f>
        <v>2244434</v>
      </c>
    </row>
    <row r="59" spans="4:19">
      <c r="G59" s="392">
        <v>42004</v>
      </c>
      <c r="H59" s="594">
        <f>H58-H41</f>
        <v>535000</v>
      </c>
      <c r="I59" s="573">
        <f>H58-H59</f>
        <v>55000</v>
      </c>
      <c r="J59" s="443">
        <f>J58+J41</f>
        <v>-70261</v>
      </c>
      <c r="M59" s="580">
        <f>M58-M41</f>
        <v>1158750</v>
      </c>
      <c r="N59" s="391">
        <v>42004</v>
      </c>
      <c r="O59" s="391">
        <v>42004</v>
      </c>
      <c r="P59" s="580">
        <f>P58-P41</f>
        <v>410000</v>
      </c>
      <c r="S59" s="381">
        <f>P59+M59+H59+J59</f>
        <v>2033489</v>
      </c>
    </row>
    <row r="60" spans="4:19">
      <c r="G60" s="392">
        <f>G59+365</f>
        <v>42369</v>
      </c>
      <c r="H60" s="594">
        <f t="shared" ref="H60:H68" si="5">H59-H42</f>
        <v>480000</v>
      </c>
      <c r="I60" s="573">
        <f t="shared" ref="I60:I67" si="6">H59-H60</f>
        <v>55000</v>
      </c>
      <c r="J60" s="443">
        <f t="shared" ref="J60:J68" si="7">J59+J42</f>
        <v>-62456</v>
      </c>
      <c r="M60" s="580">
        <f t="shared" ref="M60:M68" si="8">M59-M42</f>
        <v>1030000</v>
      </c>
      <c r="N60" s="391">
        <f>N59+365</f>
        <v>42369</v>
      </c>
      <c r="O60" s="391">
        <f>O59+365</f>
        <v>42369</v>
      </c>
      <c r="P60" s="580">
        <f t="shared" ref="P60:P69" si="9">P59-P42</f>
        <v>375000</v>
      </c>
      <c r="S60" s="381">
        <f t="shared" ref="S60:S69" si="10">P60+M60+H60+J60</f>
        <v>1822544</v>
      </c>
    </row>
    <row r="61" spans="4:19">
      <c r="G61" s="392">
        <f>G60+366</f>
        <v>42735</v>
      </c>
      <c r="H61" s="594">
        <f t="shared" si="5"/>
        <v>425000</v>
      </c>
      <c r="I61" s="573">
        <f t="shared" si="6"/>
        <v>55000</v>
      </c>
      <c r="J61" s="443">
        <f t="shared" si="7"/>
        <v>-54651</v>
      </c>
      <c r="M61" s="580">
        <f t="shared" si="8"/>
        <v>901250</v>
      </c>
      <c r="N61" s="391">
        <f>N60+366</f>
        <v>42735</v>
      </c>
      <c r="O61" s="391">
        <f>O60+366</f>
        <v>42735</v>
      </c>
      <c r="P61" s="580">
        <f t="shared" si="9"/>
        <v>340000</v>
      </c>
      <c r="S61" s="381">
        <f t="shared" si="10"/>
        <v>1611599</v>
      </c>
    </row>
    <row r="62" spans="4:19">
      <c r="G62" s="392">
        <f t="shared" ref="G62:G68" si="11">G61+365</f>
        <v>43100</v>
      </c>
      <c r="H62" s="594">
        <f t="shared" si="5"/>
        <v>370000</v>
      </c>
      <c r="I62" s="573">
        <f t="shared" si="6"/>
        <v>55000</v>
      </c>
      <c r="J62" s="443">
        <f t="shared" si="7"/>
        <v>-46846</v>
      </c>
      <c r="M62" s="580">
        <f t="shared" si="8"/>
        <v>772500</v>
      </c>
      <c r="N62" s="391">
        <f t="shared" ref="N62:N68" si="12">N61+365</f>
        <v>43100</v>
      </c>
      <c r="O62" s="391">
        <f t="shared" ref="O62:O68" si="13">O61+365</f>
        <v>43100</v>
      </c>
      <c r="P62" s="580">
        <f t="shared" si="9"/>
        <v>300000</v>
      </c>
      <c r="S62" s="381">
        <f t="shared" si="10"/>
        <v>1395654</v>
      </c>
    </row>
    <row r="63" spans="4:19">
      <c r="G63" s="392">
        <f t="shared" si="11"/>
        <v>43465</v>
      </c>
      <c r="H63" s="594">
        <f t="shared" si="5"/>
        <v>310000</v>
      </c>
      <c r="I63" s="573">
        <f t="shared" si="6"/>
        <v>60000</v>
      </c>
      <c r="J63" s="443">
        <f t="shared" si="7"/>
        <v>-39041</v>
      </c>
      <c r="M63" s="580">
        <f t="shared" si="8"/>
        <v>643750</v>
      </c>
      <c r="N63" s="391">
        <f t="shared" si="12"/>
        <v>43465</v>
      </c>
      <c r="O63" s="391">
        <f t="shared" si="13"/>
        <v>43465</v>
      </c>
      <c r="P63" s="580">
        <f t="shared" si="9"/>
        <v>260000</v>
      </c>
      <c r="S63" s="381">
        <f t="shared" si="10"/>
        <v>1174709</v>
      </c>
    </row>
    <row r="64" spans="4:19">
      <c r="G64" s="392">
        <f t="shared" si="11"/>
        <v>43830</v>
      </c>
      <c r="H64" s="594">
        <f t="shared" si="5"/>
        <v>250000</v>
      </c>
      <c r="I64" s="573">
        <f t="shared" si="6"/>
        <v>60000</v>
      </c>
      <c r="J64" s="443">
        <f t="shared" si="7"/>
        <v>-31236</v>
      </c>
      <c r="M64" s="580">
        <f t="shared" si="8"/>
        <v>515000</v>
      </c>
      <c r="N64" s="391">
        <f t="shared" si="12"/>
        <v>43830</v>
      </c>
      <c r="O64" s="391">
        <f t="shared" si="13"/>
        <v>43830</v>
      </c>
      <c r="P64" s="580">
        <f t="shared" si="9"/>
        <v>220000</v>
      </c>
      <c r="S64" s="381">
        <f t="shared" si="10"/>
        <v>953764</v>
      </c>
    </row>
    <row r="65" spans="7:19">
      <c r="G65" s="392">
        <f>G64+366</f>
        <v>44196</v>
      </c>
      <c r="H65" s="594">
        <f t="shared" si="5"/>
        <v>190000</v>
      </c>
      <c r="I65" s="573">
        <f t="shared" si="6"/>
        <v>60000</v>
      </c>
      <c r="J65" s="443">
        <f t="shared" si="7"/>
        <v>-23431</v>
      </c>
      <c r="M65" s="580">
        <f t="shared" si="8"/>
        <v>386250</v>
      </c>
      <c r="N65" s="391">
        <f>N64+366</f>
        <v>44196</v>
      </c>
      <c r="O65" s="391">
        <f>O64+366</f>
        <v>44196</v>
      </c>
      <c r="P65" s="580">
        <f t="shared" si="9"/>
        <v>180000</v>
      </c>
      <c r="S65" s="381">
        <f t="shared" si="10"/>
        <v>732819</v>
      </c>
    </row>
    <row r="66" spans="7:19">
      <c r="G66" s="392">
        <f t="shared" si="11"/>
        <v>44561</v>
      </c>
      <c r="H66" s="594">
        <f t="shared" si="5"/>
        <v>130000</v>
      </c>
      <c r="I66" s="573">
        <f t="shared" si="6"/>
        <v>60000</v>
      </c>
      <c r="J66" s="443">
        <f t="shared" si="7"/>
        <v>-15626</v>
      </c>
      <c r="M66" s="580">
        <f t="shared" si="8"/>
        <v>257500</v>
      </c>
      <c r="N66" s="391">
        <f t="shared" si="12"/>
        <v>44561</v>
      </c>
      <c r="O66" s="391">
        <f t="shared" si="13"/>
        <v>44561</v>
      </c>
      <c r="P66" s="580">
        <f t="shared" si="9"/>
        <v>135000</v>
      </c>
      <c r="S66" s="381">
        <f t="shared" si="10"/>
        <v>506874</v>
      </c>
    </row>
    <row r="67" spans="7:19">
      <c r="G67" s="392">
        <f t="shared" si="11"/>
        <v>44926</v>
      </c>
      <c r="H67" s="594">
        <f t="shared" si="5"/>
        <v>65000</v>
      </c>
      <c r="I67" s="573">
        <f t="shared" si="6"/>
        <v>65000</v>
      </c>
      <c r="J67" s="443">
        <f t="shared" si="7"/>
        <v>-7821</v>
      </c>
      <c r="M67" s="580">
        <f t="shared" si="8"/>
        <v>128750</v>
      </c>
      <c r="N67" s="391">
        <f t="shared" si="12"/>
        <v>44926</v>
      </c>
      <c r="O67" s="391">
        <f t="shared" si="13"/>
        <v>44926</v>
      </c>
      <c r="P67" s="580">
        <f t="shared" si="9"/>
        <v>90000</v>
      </c>
      <c r="S67" s="381">
        <f t="shared" si="10"/>
        <v>275929</v>
      </c>
    </row>
    <row r="68" spans="7:19">
      <c r="G68" s="392">
        <f t="shared" si="11"/>
        <v>45291</v>
      </c>
      <c r="H68" s="594">
        <f t="shared" si="5"/>
        <v>0</v>
      </c>
      <c r="I68" s="573" t="s">
        <v>157</v>
      </c>
      <c r="J68" s="443">
        <f t="shared" si="7"/>
        <v>0</v>
      </c>
      <c r="M68" s="580">
        <f t="shared" si="8"/>
        <v>0</v>
      </c>
      <c r="N68" s="391">
        <f t="shared" si="12"/>
        <v>45291</v>
      </c>
      <c r="O68" s="391">
        <f t="shared" si="13"/>
        <v>45291</v>
      </c>
      <c r="P68" s="580">
        <f t="shared" si="9"/>
        <v>45000</v>
      </c>
      <c r="S68" s="381">
        <f t="shared" si="10"/>
        <v>45000</v>
      </c>
    </row>
    <row r="69" spans="7:19">
      <c r="O69" s="391">
        <f>O68+366</f>
        <v>45657</v>
      </c>
      <c r="P69" s="580">
        <f t="shared" si="9"/>
        <v>0</v>
      </c>
      <c r="S69" s="381">
        <f t="shared" si="10"/>
        <v>0</v>
      </c>
    </row>
  </sheetData>
  <mergeCells count="4">
    <mergeCell ref="D29:E29"/>
    <mergeCell ref="H29:I29"/>
    <mergeCell ref="D30:E30"/>
    <mergeCell ref="H30:I30"/>
  </mergeCells>
  <phoneticPr fontId="9" type="noConversion"/>
  <pageMargins left="0.75" right="0.75" top="1" bottom="1" header="0.5" footer="0.5"/>
  <pageSetup scale="9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F211"/>
  <sheetViews>
    <sheetView showGridLines="0" zoomScale="90" zoomScaleNormal="90" workbookViewId="0">
      <pane xSplit="3" ySplit="6" topLeftCell="H193" activePane="bottomRight" state="frozen"/>
      <selection pane="topRight" activeCell="D1" sqref="D1"/>
      <selection pane="bottomLeft" activeCell="A7" sqref="A7"/>
      <selection pane="bottomRight" activeCell="B217" sqref="B217"/>
    </sheetView>
  </sheetViews>
  <sheetFormatPr defaultColWidth="10.5703125" defaultRowHeight="12" customHeight="1"/>
  <cols>
    <col min="1" max="1" width="24.28515625" customWidth="1"/>
    <col min="2" max="2" width="44.28515625" customWidth="1"/>
    <col min="3" max="3" width="12.140625" customWidth="1"/>
    <col min="4" max="4" width="17.85546875" customWidth="1"/>
    <col min="5" max="7" width="10.5703125" customWidth="1"/>
    <col min="8" max="8" width="13.7109375" customWidth="1"/>
    <col min="9" max="9" width="15.42578125" customWidth="1"/>
    <col min="10" max="10" width="10.5703125" customWidth="1"/>
    <col min="11" max="11" width="13.42578125" customWidth="1"/>
    <col min="12" max="12" width="13.42578125" style="445" customWidth="1"/>
    <col min="13" max="13" width="16.140625" customWidth="1"/>
    <col min="14" max="14" width="13.5703125" customWidth="1"/>
    <col min="15" max="15" width="15.5703125" bestFit="1" customWidth="1"/>
    <col min="16" max="16" width="13.5703125" customWidth="1"/>
    <col min="17" max="17" width="10" bestFit="1" customWidth="1"/>
    <col min="18" max="18" width="10.5703125" customWidth="1"/>
    <col min="19" max="19" width="13.42578125" style="449" customWidth="1"/>
    <col min="20" max="20" width="2.85546875" customWidth="1"/>
    <col min="21" max="21" width="14.85546875" customWidth="1"/>
    <col min="22" max="22" width="3" customWidth="1"/>
    <col min="23" max="23" width="16.140625" customWidth="1"/>
    <col min="24" max="24" width="2.85546875" customWidth="1"/>
    <col min="25" max="25" width="17.5703125" customWidth="1"/>
    <col min="26" max="26" width="13.5703125" customWidth="1"/>
    <col min="27" max="27" width="10.5703125" customWidth="1"/>
    <col min="28" max="28" width="3.85546875" customWidth="1"/>
    <col min="29" max="29" width="12.7109375" customWidth="1"/>
    <col min="30" max="30" width="2.7109375" customWidth="1"/>
    <col min="31" max="31" width="15.28515625" customWidth="1"/>
    <col min="32" max="32" width="2.5703125" customWidth="1"/>
    <col min="33" max="33" width="13" customWidth="1"/>
    <col min="34" max="34" width="2.5703125" customWidth="1"/>
    <col min="35" max="35" width="12.140625" bestFit="1" customWidth="1"/>
    <col min="36" max="36" width="12.42578125" style="571" bestFit="1" customWidth="1"/>
    <col min="37" max="37" width="12.7109375" customWidth="1"/>
    <col min="38" max="38" width="2.7109375" customWidth="1"/>
    <col min="39" max="39" width="15.28515625" customWidth="1"/>
    <col min="40" max="40" width="2.5703125" customWidth="1"/>
    <col min="41" max="41" width="13" customWidth="1"/>
    <col min="42" max="42" width="2.5703125" customWidth="1"/>
    <col min="43" max="43" width="11.7109375" customWidth="1"/>
    <col min="44" max="44" width="2.85546875" customWidth="1"/>
    <col min="45" max="45" width="11.140625" bestFit="1" customWidth="1"/>
  </cols>
  <sheetData>
    <row r="1" spans="1:58" ht="12" customHeight="1">
      <c r="A1" s="450" t="s">
        <v>159</v>
      </c>
      <c r="B1" s="450"/>
      <c r="C1" s="450"/>
      <c r="D1" s="451"/>
      <c r="J1" s="452"/>
      <c r="K1" s="452"/>
      <c r="L1" s="452"/>
      <c r="M1" s="445"/>
      <c r="N1" s="453"/>
      <c r="O1" s="453"/>
      <c r="P1" s="453"/>
      <c r="Q1" s="454"/>
      <c r="R1" s="445"/>
      <c r="T1" s="445"/>
      <c r="U1" s="445"/>
      <c r="V1" s="445"/>
      <c r="W1" s="445"/>
      <c r="X1" s="445"/>
      <c r="Y1" s="445"/>
      <c r="Z1" s="445"/>
      <c r="AB1" s="445"/>
      <c r="AC1" s="445"/>
      <c r="AD1" s="445"/>
      <c r="AE1" s="445"/>
      <c r="AF1" s="445"/>
      <c r="AG1" s="445"/>
      <c r="AH1" s="445"/>
      <c r="AI1" s="445"/>
      <c r="AK1" s="445"/>
      <c r="AL1" s="445"/>
      <c r="AM1" s="445"/>
      <c r="AN1" s="445"/>
      <c r="AO1" s="445"/>
      <c r="AP1" s="445"/>
      <c r="AQ1" s="445"/>
      <c r="AR1" s="445"/>
      <c r="AS1" s="445"/>
      <c r="AT1" s="445"/>
      <c r="AU1" s="445"/>
      <c r="AV1" s="445"/>
      <c r="AW1" s="445"/>
      <c r="AX1" s="445"/>
      <c r="AY1" s="445"/>
      <c r="AZ1" s="445"/>
      <c r="BA1" s="445"/>
      <c r="BB1" s="445"/>
      <c r="BC1" s="445"/>
      <c r="BD1" s="445"/>
      <c r="BE1" s="445"/>
      <c r="BF1" s="445"/>
    </row>
    <row r="2" spans="1:58" ht="12" customHeight="1">
      <c r="A2" s="450" t="s">
        <v>389</v>
      </c>
      <c r="B2" s="450"/>
      <c r="C2" s="450"/>
      <c r="D2" s="451"/>
      <c r="E2" s="707" t="s">
        <v>892</v>
      </c>
      <c r="F2" s="707"/>
      <c r="G2" s="707"/>
      <c r="H2" s="707"/>
      <c r="I2" s="707"/>
      <c r="J2" s="452"/>
      <c r="K2" s="452"/>
      <c r="L2" s="452"/>
      <c r="M2" s="453"/>
      <c r="N2" s="453"/>
      <c r="O2" s="453"/>
      <c r="P2" s="453"/>
      <c r="Q2" s="459"/>
      <c r="R2" s="445"/>
      <c r="Y2" s="455" t="s">
        <v>854</v>
      </c>
      <c r="Z2" s="445"/>
      <c r="AB2" s="445"/>
      <c r="AC2" s="445"/>
      <c r="AD2" s="445"/>
      <c r="AE2" s="445"/>
      <c r="AF2" s="445"/>
      <c r="AG2" s="445"/>
      <c r="AH2" s="445"/>
      <c r="AI2" s="445"/>
      <c r="AK2" s="445"/>
      <c r="AL2" s="445"/>
      <c r="AM2" s="445"/>
      <c r="AN2" s="445"/>
      <c r="AO2" s="445"/>
      <c r="AP2" s="445"/>
      <c r="AQ2" s="445"/>
      <c r="AR2" s="445"/>
      <c r="AS2" s="445"/>
      <c r="AT2" s="445"/>
      <c r="AU2" s="445"/>
      <c r="AV2" s="445"/>
      <c r="AW2" s="445"/>
      <c r="AX2" s="445"/>
      <c r="AY2" s="445"/>
      <c r="AZ2" s="445"/>
      <c r="BA2" s="445"/>
      <c r="BB2" s="445"/>
      <c r="BC2" s="445"/>
      <c r="BD2" s="445"/>
      <c r="BE2" s="445"/>
      <c r="BF2" s="445"/>
    </row>
    <row r="3" spans="1:58" ht="12" customHeight="1">
      <c r="A3" s="534">
        <v>42004</v>
      </c>
      <c r="B3" s="460"/>
      <c r="C3" s="450"/>
      <c r="D3" s="451"/>
      <c r="J3" s="452"/>
      <c r="K3" s="452"/>
      <c r="L3" s="452"/>
      <c r="M3" s="453"/>
      <c r="N3" s="445"/>
      <c r="O3" s="445"/>
      <c r="P3" s="445"/>
      <c r="Q3" s="445"/>
      <c r="R3" s="445"/>
      <c r="Y3" s="455" t="s">
        <v>390</v>
      </c>
      <c r="Z3" s="445"/>
      <c r="AB3" s="445"/>
      <c r="AC3" s="445"/>
      <c r="AD3" s="445"/>
      <c r="AE3" s="445"/>
      <c r="AF3" s="445"/>
      <c r="AG3" s="445"/>
      <c r="AH3" s="445"/>
      <c r="AI3" s="445"/>
      <c r="AK3" s="445"/>
      <c r="AL3" s="445"/>
      <c r="AM3" s="445"/>
      <c r="AN3" s="445"/>
      <c r="AO3" s="445"/>
      <c r="AP3" s="445"/>
      <c r="AQ3" s="445"/>
      <c r="AR3" s="445"/>
      <c r="AS3" s="445"/>
      <c r="AT3" s="445"/>
      <c r="AU3" s="445"/>
      <c r="AV3" s="445"/>
      <c r="AW3" s="445"/>
      <c r="AX3" s="445"/>
      <c r="AY3" s="445"/>
      <c r="AZ3" s="445"/>
      <c r="BA3" s="445"/>
      <c r="BB3" s="445"/>
      <c r="BC3" s="445"/>
      <c r="BD3" s="445"/>
      <c r="BE3" s="445"/>
      <c r="BF3" s="445"/>
    </row>
    <row r="4" spans="1:58" ht="12" customHeight="1">
      <c r="A4" s="445"/>
      <c r="B4" s="445"/>
      <c r="C4" s="445"/>
      <c r="D4" s="445"/>
      <c r="E4" s="708"/>
      <c r="F4" s="708"/>
      <c r="G4" s="708"/>
      <c r="H4" s="708"/>
      <c r="I4" s="708"/>
      <c r="J4" s="452"/>
      <c r="K4" s="452"/>
      <c r="L4" s="452"/>
      <c r="M4" s="445"/>
      <c r="N4" s="445"/>
      <c r="O4" s="445"/>
      <c r="P4" s="445"/>
      <c r="Q4" s="445"/>
      <c r="R4" s="445"/>
      <c r="S4" s="538">
        <v>21</v>
      </c>
      <c r="T4" s="535"/>
      <c r="U4" s="535"/>
      <c r="V4" s="535"/>
      <c r="W4" s="457">
        <v>79</v>
      </c>
      <c r="X4" s="445"/>
      <c r="Y4" s="445"/>
      <c r="Z4" s="445"/>
      <c r="AB4" s="445"/>
      <c r="AC4" s="445"/>
      <c r="AD4" s="445"/>
      <c r="AE4" s="445"/>
      <c r="AF4" s="445"/>
      <c r="AG4" s="445"/>
      <c r="AH4" s="445"/>
      <c r="AI4" s="445"/>
      <c r="AK4" s="445"/>
      <c r="AL4" s="445"/>
      <c r="AM4" s="445"/>
      <c r="AN4" s="445"/>
      <c r="AO4" s="445"/>
      <c r="AP4" s="445"/>
      <c r="AQ4" s="445"/>
      <c r="AR4" s="445"/>
      <c r="AS4" s="445"/>
      <c r="AT4" s="445"/>
      <c r="AU4" s="445"/>
      <c r="AV4" s="445"/>
      <c r="AW4" s="445"/>
      <c r="AX4" s="445"/>
      <c r="AY4" s="445"/>
      <c r="AZ4" s="445"/>
      <c r="BA4" s="445"/>
      <c r="BB4" s="445"/>
      <c r="BC4" s="445"/>
      <c r="BD4" s="445"/>
      <c r="BE4" s="445"/>
      <c r="BF4" s="445"/>
    </row>
    <row r="5" spans="1:58" ht="12" customHeight="1">
      <c r="A5" s="462"/>
      <c r="B5" s="462"/>
      <c r="C5" s="462"/>
      <c r="D5" s="462" t="s">
        <v>893</v>
      </c>
      <c r="E5" s="462"/>
      <c r="F5" s="462"/>
      <c r="G5" s="463"/>
      <c r="H5" s="462"/>
      <c r="I5" s="464"/>
      <c r="J5" s="463"/>
      <c r="K5" s="463"/>
      <c r="L5" s="463"/>
      <c r="M5" s="465">
        <v>41639</v>
      </c>
      <c r="N5" s="464"/>
      <c r="O5" s="465">
        <v>42004</v>
      </c>
      <c r="P5" s="466" t="s">
        <v>391</v>
      </c>
      <c r="Q5" s="467"/>
      <c r="R5" s="468"/>
      <c r="S5" s="705" t="s">
        <v>392</v>
      </c>
      <c r="T5" s="705"/>
      <c r="U5" s="705"/>
      <c r="V5" s="705"/>
      <c r="W5" s="705"/>
      <c r="X5" s="705"/>
      <c r="Y5" s="705"/>
      <c r="Z5" s="469"/>
      <c r="AB5" s="469"/>
      <c r="AC5" s="705" t="s">
        <v>232</v>
      </c>
      <c r="AD5" s="705"/>
      <c r="AE5" s="705"/>
      <c r="AF5" s="705"/>
      <c r="AG5" s="705"/>
      <c r="AH5" s="705"/>
      <c r="AI5" s="705"/>
      <c r="AJ5" s="550"/>
      <c r="AK5" s="550"/>
      <c r="AL5" s="462"/>
      <c r="AM5" s="705" t="s">
        <v>891</v>
      </c>
      <c r="AN5" s="705"/>
      <c r="AO5" s="705"/>
      <c r="AP5" s="705"/>
      <c r="AQ5" s="705"/>
      <c r="AR5" s="705"/>
      <c r="AS5" s="705"/>
      <c r="AT5" s="550"/>
      <c r="AU5" s="462"/>
      <c r="AV5" s="462"/>
      <c r="AW5" s="462"/>
      <c r="AX5" s="462"/>
      <c r="AY5" s="462"/>
      <c r="AZ5" s="462"/>
      <c r="BA5" s="462"/>
      <c r="BB5" s="462"/>
      <c r="BC5" s="462"/>
      <c r="BD5" s="462"/>
      <c r="BE5" s="462"/>
      <c r="BF5" s="462"/>
    </row>
    <row r="6" spans="1:58" ht="12" customHeight="1">
      <c r="A6" s="470" t="s">
        <v>393</v>
      </c>
      <c r="B6" s="470" t="s">
        <v>394</v>
      </c>
      <c r="C6" s="470"/>
      <c r="D6" s="471" t="s">
        <v>395</v>
      </c>
      <c r="E6" s="472"/>
      <c r="F6" s="471" t="s">
        <v>396</v>
      </c>
      <c r="G6" s="473" t="s">
        <v>397</v>
      </c>
      <c r="H6" s="472"/>
      <c r="I6" s="474" t="s">
        <v>333</v>
      </c>
      <c r="J6" s="473" t="s">
        <v>398</v>
      </c>
      <c r="K6" s="475" t="s">
        <v>399</v>
      </c>
      <c r="L6" s="475"/>
      <c r="M6" s="474" t="s">
        <v>400</v>
      </c>
      <c r="N6" s="474" t="s">
        <v>401</v>
      </c>
      <c r="O6" s="474" t="s">
        <v>400</v>
      </c>
      <c r="P6" s="474" t="s">
        <v>402</v>
      </c>
      <c r="Q6" s="476"/>
      <c r="R6" s="477"/>
      <c r="S6" s="539" t="s">
        <v>4</v>
      </c>
      <c r="T6" s="478"/>
      <c r="U6" s="478" t="s">
        <v>5</v>
      </c>
      <c r="V6" s="478"/>
      <c r="W6" s="478" t="s">
        <v>6</v>
      </c>
      <c r="X6" s="478"/>
      <c r="Y6" s="478" t="s">
        <v>19</v>
      </c>
      <c r="Z6" s="478" t="s">
        <v>784</v>
      </c>
      <c r="AB6" s="478"/>
      <c r="AC6" s="478" t="s">
        <v>4</v>
      </c>
      <c r="AD6" s="478"/>
      <c r="AE6" s="478" t="s">
        <v>5</v>
      </c>
      <c r="AF6" s="478"/>
      <c r="AG6" s="478" t="s">
        <v>6</v>
      </c>
      <c r="AH6" s="478"/>
      <c r="AI6" s="478" t="s">
        <v>19</v>
      </c>
      <c r="AJ6" s="551"/>
      <c r="AK6" s="551"/>
      <c r="AL6" s="472"/>
      <c r="AM6" s="551" t="s">
        <v>4</v>
      </c>
      <c r="AN6" s="551"/>
      <c r="AO6" s="551" t="s">
        <v>5</v>
      </c>
      <c r="AP6" s="551"/>
      <c r="AQ6" s="551" t="s">
        <v>6</v>
      </c>
      <c r="AR6" s="551"/>
      <c r="AS6" s="551" t="s">
        <v>19</v>
      </c>
      <c r="AT6" s="551"/>
      <c r="AU6" s="472"/>
      <c r="AV6" s="472"/>
      <c r="AW6" s="472"/>
      <c r="AX6" s="472"/>
      <c r="AY6" s="472"/>
      <c r="AZ6" s="472"/>
      <c r="BA6" s="472"/>
      <c r="BB6" s="472"/>
      <c r="BC6" s="472"/>
      <c r="BD6" s="472"/>
      <c r="BE6" s="472"/>
      <c r="BF6" s="472"/>
    </row>
    <row r="7" spans="1:58" ht="12" customHeight="1">
      <c r="A7" s="704" t="s">
        <v>403</v>
      </c>
      <c r="B7" s="704"/>
      <c r="C7" s="450"/>
      <c r="D7" s="451"/>
      <c r="E7" s="450"/>
      <c r="F7" s="451"/>
      <c r="G7" s="452"/>
      <c r="H7" s="450"/>
      <c r="I7" s="453"/>
      <c r="J7" s="452"/>
      <c r="K7" s="452"/>
      <c r="L7" s="452"/>
      <c r="M7" s="453"/>
      <c r="N7" s="453"/>
      <c r="O7" s="453"/>
      <c r="P7" s="453"/>
      <c r="Q7" s="450"/>
      <c r="R7" s="455"/>
      <c r="S7" s="538"/>
      <c r="T7" s="456"/>
      <c r="U7" s="456"/>
      <c r="V7" s="456"/>
      <c r="W7" s="456"/>
      <c r="X7" s="456"/>
      <c r="Y7" s="456"/>
      <c r="Z7" s="456"/>
      <c r="AB7" s="456"/>
      <c r="AC7" s="456"/>
      <c r="AD7" s="456"/>
      <c r="AE7" s="456"/>
      <c r="AF7" s="456"/>
      <c r="AG7" s="456"/>
      <c r="AH7" s="456"/>
      <c r="AI7" s="456"/>
      <c r="AJ7" s="549"/>
      <c r="AK7" s="549"/>
      <c r="AL7" s="455"/>
      <c r="AM7" s="455"/>
      <c r="AN7" s="455"/>
      <c r="AO7" s="455"/>
      <c r="AP7" s="455"/>
      <c r="AQ7" s="455"/>
      <c r="AR7" s="455"/>
      <c r="AS7" s="455"/>
      <c r="AT7" s="455"/>
      <c r="AU7" s="455"/>
      <c r="AV7" s="455"/>
      <c r="AW7" s="455"/>
      <c r="AX7" s="455"/>
      <c r="AY7" s="455"/>
      <c r="AZ7" s="455"/>
      <c r="BA7" s="455"/>
      <c r="BB7" s="455"/>
      <c r="BC7" s="455"/>
      <c r="BD7" s="455"/>
      <c r="BE7" s="455"/>
      <c r="BF7" s="455"/>
    </row>
    <row r="8" spans="1:58" ht="12" customHeight="1">
      <c r="A8" s="479"/>
      <c r="B8" s="479"/>
      <c r="C8" s="450"/>
      <c r="D8" s="451"/>
      <c r="E8" s="450"/>
      <c r="F8" s="451"/>
      <c r="G8" s="452"/>
      <c r="H8" s="450"/>
      <c r="I8" s="453"/>
      <c r="J8" s="452"/>
      <c r="K8" s="452"/>
      <c r="L8" s="452"/>
      <c r="M8" s="453"/>
      <c r="N8" s="453"/>
      <c r="O8" s="453"/>
      <c r="P8" s="453"/>
      <c r="Q8" s="450"/>
      <c r="R8" s="455"/>
      <c r="S8" s="538"/>
      <c r="T8" s="456"/>
      <c r="U8" s="456"/>
      <c r="V8" s="456"/>
      <c r="W8" s="456"/>
      <c r="X8" s="456"/>
      <c r="Y8" s="456"/>
      <c r="Z8" s="456"/>
      <c r="AB8" s="456"/>
      <c r="AC8" s="456"/>
      <c r="AD8" s="456"/>
      <c r="AE8" s="456"/>
      <c r="AF8" s="456"/>
      <c r="AG8" s="456"/>
      <c r="AH8" s="456"/>
      <c r="AI8" s="456"/>
      <c r="AJ8" s="549"/>
      <c r="AK8" s="549"/>
      <c r="AL8" s="455"/>
      <c r="AM8" s="455"/>
      <c r="AN8" s="455"/>
      <c r="AO8" s="455"/>
      <c r="AP8" s="455"/>
      <c r="AQ8" s="455"/>
      <c r="AR8" s="455"/>
      <c r="AS8" s="455"/>
      <c r="AT8" s="455"/>
      <c r="AU8" s="455"/>
      <c r="AV8" s="455"/>
      <c r="AW8" s="455"/>
      <c r="AX8" s="455"/>
      <c r="AY8" s="455"/>
      <c r="AZ8" s="455"/>
      <c r="BA8" s="455"/>
      <c r="BB8" s="455"/>
      <c r="BC8" s="455"/>
      <c r="BD8" s="455"/>
      <c r="BE8" s="455"/>
      <c r="BF8" s="455"/>
    </row>
    <row r="9" spans="1:58" ht="12" customHeight="1">
      <c r="A9" s="480" t="s">
        <v>147</v>
      </c>
      <c r="B9" s="480"/>
      <c r="C9" s="450"/>
      <c r="D9" s="451"/>
      <c r="E9" s="450"/>
      <c r="F9" s="451"/>
      <c r="G9" s="458"/>
      <c r="H9" s="445"/>
      <c r="I9" s="458"/>
      <c r="J9" s="458"/>
      <c r="K9" s="452"/>
      <c r="L9" s="452"/>
      <c r="M9" s="453"/>
      <c r="N9" s="453"/>
      <c r="O9" s="453"/>
      <c r="P9" s="453"/>
      <c r="Q9" s="448"/>
      <c r="R9" s="445"/>
      <c r="S9" s="540"/>
      <c r="T9" s="535"/>
      <c r="U9" s="535"/>
      <c r="V9" s="535"/>
      <c r="W9" s="535"/>
      <c r="X9" s="535"/>
      <c r="Y9" s="535"/>
      <c r="Z9" s="535"/>
      <c r="AB9" s="535"/>
      <c r="AC9" s="535"/>
      <c r="AD9" s="535"/>
      <c r="AE9" s="535"/>
      <c r="AF9" s="535"/>
      <c r="AG9" s="535"/>
      <c r="AH9" s="535"/>
      <c r="AI9" s="535"/>
      <c r="AJ9" s="535"/>
      <c r="AK9" s="535"/>
      <c r="AL9" s="445"/>
      <c r="AM9" s="445"/>
      <c r="AN9" s="445"/>
      <c r="AO9" s="445"/>
      <c r="AP9" s="445"/>
      <c r="AQ9" s="445"/>
      <c r="AR9" s="445"/>
      <c r="AS9" s="445"/>
      <c r="AT9" s="445"/>
      <c r="AU9" s="445"/>
      <c r="AV9" s="445"/>
      <c r="AW9" s="445"/>
      <c r="AX9" s="445"/>
      <c r="AY9" s="445"/>
      <c r="AZ9" s="445"/>
      <c r="BA9" s="445"/>
      <c r="BB9" s="445"/>
      <c r="BC9" s="445"/>
      <c r="BD9" s="445"/>
      <c r="BE9" s="445"/>
      <c r="BF9" s="445"/>
    </row>
    <row r="10" spans="1:58" ht="12" customHeight="1">
      <c r="A10" s="485"/>
      <c r="B10" s="447" t="s">
        <v>27</v>
      </c>
      <c r="C10" s="448"/>
      <c r="D10" s="486">
        <v>24791</v>
      </c>
      <c r="E10" s="485"/>
      <c r="F10" s="446"/>
      <c r="G10" s="487"/>
      <c r="H10" s="488"/>
      <c r="I10" s="489">
        <v>351</v>
      </c>
      <c r="J10" s="487">
        <v>100</v>
      </c>
      <c r="K10" s="487">
        <v>0</v>
      </c>
      <c r="L10" s="487"/>
      <c r="M10" s="490"/>
      <c r="N10" s="490"/>
      <c r="O10" s="490"/>
      <c r="P10" s="481">
        <f>I10-O10</f>
        <v>351</v>
      </c>
      <c r="Q10" s="448"/>
      <c r="R10" s="488"/>
      <c r="S10" s="541">
        <v>351</v>
      </c>
      <c r="T10" s="492"/>
      <c r="U10" s="492"/>
      <c r="V10" s="492"/>
      <c r="W10" s="492"/>
      <c r="X10" s="492"/>
      <c r="Y10" s="492"/>
      <c r="Z10" s="492"/>
      <c r="AB10" s="492"/>
      <c r="AC10" s="492"/>
      <c r="AD10" s="492"/>
      <c r="AE10" s="492"/>
      <c r="AF10" s="492"/>
      <c r="AG10" s="492"/>
      <c r="AH10" s="492"/>
      <c r="AI10" s="492"/>
      <c r="AJ10" s="553"/>
      <c r="AK10" s="558"/>
      <c r="AL10" s="488"/>
      <c r="AM10" s="488"/>
      <c r="AN10" s="488"/>
      <c r="AO10" s="488"/>
      <c r="AP10" s="488"/>
      <c r="AQ10" s="488"/>
      <c r="AR10" s="488"/>
      <c r="AS10" s="488"/>
      <c r="AT10" s="488"/>
      <c r="AU10" s="488"/>
      <c r="AV10" s="488"/>
      <c r="AW10" s="488"/>
      <c r="AX10" s="488"/>
      <c r="AY10" s="488"/>
      <c r="AZ10" s="488"/>
      <c r="BA10" s="488"/>
      <c r="BB10" s="488"/>
      <c r="BC10" s="488"/>
      <c r="BD10" s="488"/>
      <c r="BE10" s="488"/>
      <c r="BF10" s="488"/>
    </row>
    <row r="11" spans="1:58" ht="12" customHeight="1">
      <c r="A11" s="485"/>
      <c r="B11" s="447" t="s">
        <v>27</v>
      </c>
      <c r="C11" s="448"/>
      <c r="D11" s="486">
        <v>14376</v>
      </c>
      <c r="E11" s="493"/>
      <c r="F11" s="446"/>
      <c r="G11" s="487"/>
      <c r="H11" s="488"/>
      <c r="I11" s="489">
        <v>581</v>
      </c>
      <c r="J11" s="487">
        <v>100</v>
      </c>
      <c r="K11" s="487">
        <v>0</v>
      </c>
      <c r="L11" s="487"/>
      <c r="M11" s="490"/>
      <c r="N11" s="490"/>
      <c r="O11" s="490"/>
      <c r="P11" s="566">
        <f t="shared" ref="P11:P13" si="0">I11-O11</f>
        <v>581</v>
      </c>
      <c r="Q11" s="448"/>
      <c r="R11" s="488"/>
      <c r="S11" s="541">
        <v>581</v>
      </c>
      <c r="T11" s="492"/>
      <c r="U11" s="492"/>
      <c r="V11" s="492"/>
      <c r="W11" s="492"/>
      <c r="X11" s="492"/>
      <c r="Y11" s="492"/>
      <c r="Z11" s="492"/>
      <c r="AB11" s="492"/>
      <c r="AC11" s="492"/>
      <c r="AD11" s="492"/>
      <c r="AE11" s="492"/>
      <c r="AF11" s="492"/>
      <c r="AG11" s="492"/>
      <c r="AH11" s="492"/>
      <c r="AI11" s="492"/>
      <c r="AJ11" s="553"/>
      <c r="AK11" s="558"/>
      <c r="AL11" s="488"/>
      <c r="AM11" s="488"/>
      <c r="AN11" s="488"/>
      <c r="AO11" s="488"/>
      <c r="AP11" s="488"/>
      <c r="AQ11" s="488"/>
      <c r="AR11" s="488"/>
      <c r="AS11" s="488"/>
      <c r="AT11" s="488"/>
      <c r="AU11" s="488"/>
      <c r="AV11" s="488"/>
      <c r="AW11" s="488"/>
      <c r="AX11" s="488"/>
      <c r="AY11" s="488"/>
      <c r="AZ11" s="488"/>
      <c r="BA11" s="488"/>
      <c r="BB11" s="488"/>
      <c r="BC11" s="488"/>
      <c r="BD11" s="488"/>
      <c r="BE11" s="488"/>
      <c r="BF11" s="488"/>
    </row>
    <row r="12" spans="1:58" ht="12" customHeight="1">
      <c r="A12" s="485"/>
      <c r="B12" s="447" t="s">
        <v>115</v>
      </c>
      <c r="C12" s="448"/>
      <c r="D12" s="486">
        <v>23335</v>
      </c>
      <c r="E12" s="485"/>
      <c r="F12" s="446"/>
      <c r="G12" s="487"/>
      <c r="H12" s="488"/>
      <c r="I12" s="494">
        <v>4600</v>
      </c>
      <c r="J12" s="487">
        <v>100</v>
      </c>
      <c r="K12" s="487">
        <v>0</v>
      </c>
      <c r="L12" s="487"/>
      <c r="M12" s="490"/>
      <c r="N12" s="490"/>
      <c r="O12" s="490"/>
      <c r="P12" s="566">
        <f t="shared" si="0"/>
        <v>4600</v>
      </c>
      <c r="Q12" s="488"/>
      <c r="R12" s="488"/>
      <c r="S12" s="542"/>
      <c r="T12" s="492"/>
      <c r="U12" s="492"/>
      <c r="V12" s="492"/>
      <c r="W12" s="492"/>
      <c r="X12" s="492"/>
      <c r="Y12" s="491">
        <v>4600</v>
      </c>
      <c r="Z12" s="492"/>
      <c r="AB12" s="492"/>
      <c r="AC12" s="492"/>
      <c r="AD12" s="492"/>
      <c r="AE12" s="492"/>
      <c r="AF12" s="492"/>
      <c r="AG12" s="492"/>
      <c r="AH12" s="492"/>
      <c r="AI12" s="492"/>
      <c r="AJ12" s="553"/>
      <c r="AK12" s="558"/>
      <c r="AL12" s="488"/>
      <c r="AM12" s="488"/>
      <c r="AN12" s="488"/>
      <c r="AO12" s="488"/>
      <c r="AP12" s="488"/>
      <c r="AQ12" s="488"/>
      <c r="AR12" s="488"/>
      <c r="AS12" s="488"/>
      <c r="AT12" s="488"/>
      <c r="AU12" s="488"/>
      <c r="AV12" s="488"/>
      <c r="AW12" s="488"/>
      <c r="AX12" s="488"/>
      <c r="AY12" s="488"/>
      <c r="AZ12" s="488"/>
      <c r="BA12" s="488"/>
      <c r="BB12" s="488"/>
      <c r="BC12" s="488"/>
      <c r="BD12" s="488"/>
      <c r="BE12" s="488"/>
      <c r="BF12" s="488"/>
    </row>
    <row r="13" spans="1:58" ht="12" customHeight="1">
      <c r="A13" s="495">
        <v>161</v>
      </c>
      <c r="B13" s="450" t="s">
        <v>388</v>
      </c>
      <c r="C13" s="450"/>
      <c r="D13" s="496">
        <v>29221</v>
      </c>
      <c r="E13" s="445"/>
      <c r="F13" s="451"/>
      <c r="G13" s="452"/>
      <c r="H13" s="445"/>
      <c r="I13" s="453">
        <v>10310.07</v>
      </c>
      <c r="J13" s="452">
        <v>100</v>
      </c>
      <c r="K13" s="452">
        <v>0</v>
      </c>
      <c r="L13" s="452"/>
      <c r="M13" s="497">
        <v>0</v>
      </c>
      <c r="N13" s="481">
        <v>0</v>
      </c>
      <c r="O13" s="498">
        <v>0</v>
      </c>
      <c r="P13" s="566">
        <f t="shared" si="0"/>
        <v>10310.07</v>
      </c>
      <c r="Q13" s="499"/>
      <c r="R13" s="499"/>
      <c r="S13" s="541">
        <v>10310.07</v>
      </c>
      <c r="T13" s="500"/>
      <c r="U13" s="500"/>
      <c r="V13" s="500"/>
      <c r="W13" s="500"/>
      <c r="X13" s="500"/>
      <c r="Y13" s="500"/>
      <c r="Z13" s="500"/>
      <c r="AB13" s="500"/>
      <c r="AC13" s="500"/>
      <c r="AD13" s="500"/>
      <c r="AE13" s="500"/>
      <c r="AF13" s="500"/>
      <c r="AG13" s="500"/>
      <c r="AH13" s="500"/>
      <c r="AI13" s="500"/>
      <c r="AJ13" s="554"/>
      <c r="AK13" s="535"/>
      <c r="AL13" s="445"/>
      <c r="AM13" s="445"/>
      <c r="AN13" s="445"/>
      <c r="AO13" s="445"/>
      <c r="AP13" s="445"/>
      <c r="AQ13" s="445"/>
      <c r="AR13" s="445"/>
      <c r="AS13" s="445"/>
      <c r="AT13" s="445"/>
      <c r="AU13" s="445"/>
      <c r="AV13" s="445"/>
      <c r="AW13" s="445"/>
      <c r="AX13" s="445"/>
      <c r="AY13" s="445"/>
      <c r="AZ13" s="445"/>
      <c r="BA13" s="445"/>
      <c r="BB13" s="445"/>
      <c r="BC13" s="445"/>
      <c r="BD13" s="445"/>
      <c r="BE13" s="445"/>
      <c r="BF13" s="445"/>
    </row>
    <row r="14" spans="1:58" ht="12" customHeight="1">
      <c r="A14" s="502"/>
      <c r="B14" s="450"/>
      <c r="C14" s="450"/>
      <c r="D14" s="496"/>
      <c r="E14" s="445"/>
      <c r="F14" s="503"/>
      <c r="G14" s="452"/>
      <c r="H14" s="445"/>
      <c r="I14" s="453"/>
      <c r="J14" s="452"/>
      <c r="K14" s="452"/>
      <c r="L14" s="452"/>
      <c r="M14" s="453"/>
      <c r="N14" s="481"/>
      <c r="O14" s="481"/>
      <c r="P14" s="481"/>
      <c r="Q14" s="499"/>
      <c r="R14" s="499"/>
      <c r="S14" s="542"/>
      <c r="T14" s="500"/>
      <c r="U14" s="500"/>
      <c r="V14" s="500"/>
      <c r="W14" s="500"/>
      <c r="X14" s="500"/>
      <c r="Y14" s="500"/>
      <c r="Z14" s="500"/>
      <c r="AB14" s="500"/>
      <c r="AC14" s="500"/>
      <c r="AD14" s="500"/>
      <c r="AE14" s="500"/>
      <c r="AF14" s="500"/>
      <c r="AG14" s="500"/>
      <c r="AH14" s="500"/>
      <c r="AI14" s="500"/>
      <c r="AJ14" s="554"/>
      <c r="AK14" s="535"/>
      <c r="AL14" s="445"/>
      <c r="AM14" s="445"/>
      <c r="AN14" s="445"/>
      <c r="AO14" s="445"/>
      <c r="AP14" s="445"/>
      <c r="AQ14" s="445"/>
      <c r="AR14" s="445"/>
      <c r="AS14" s="445"/>
      <c r="AT14" s="445"/>
      <c r="AU14" s="445"/>
      <c r="AV14" s="445"/>
      <c r="AW14" s="445"/>
      <c r="AX14" s="445"/>
      <c r="AY14" s="445"/>
      <c r="AZ14" s="445"/>
      <c r="BA14" s="445"/>
      <c r="BB14" s="445"/>
      <c r="BC14" s="445"/>
      <c r="BD14" s="445"/>
      <c r="BE14" s="445"/>
      <c r="BF14" s="445"/>
    </row>
    <row r="15" spans="1:58" ht="12" customHeight="1">
      <c r="A15" s="445"/>
      <c r="B15" s="482"/>
      <c r="C15" s="450"/>
      <c r="D15" s="451"/>
      <c r="E15" s="445"/>
      <c r="F15" s="445"/>
      <c r="G15" s="482" t="s">
        <v>404</v>
      </c>
      <c r="H15" s="445"/>
      <c r="I15" s="483">
        <f>SUM(I10:I14)</f>
        <v>15842.07</v>
      </c>
      <c r="J15" s="484"/>
      <c r="K15" s="452"/>
      <c r="L15" s="452"/>
      <c r="M15" s="483">
        <f t="shared" ref="M15:O15" si="1">SUM(M10:M14)</f>
        <v>0</v>
      </c>
      <c r="N15" s="483">
        <f t="shared" si="1"/>
        <v>0</v>
      </c>
      <c r="O15" s="483">
        <f t="shared" si="1"/>
        <v>0</v>
      </c>
      <c r="P15" s="483">
        <f>SUM(P10:P14)</f>
        <v>15842.07</v>
      </c>
      <c r="Q15" s="499"/>
      <c r="R15" s="499"/>
      <c r="S15" s="543">
        <f>SUM(S10:S14)</f>
        <v>11242.07</v>
      </c>
      <c r="T15" s="500"/>
      <c r="U15" s="504">
        <f>SUM(U10:U14)</f>
        <v>0</v>
      </c>
      <c r="V15" s="500"/>
      <c r="W15" s="504">
        <f>SUM(W10:W14)</f>
        <v>0</v>
      </c>
      <c r="X15" s="500"/>
      <c r="Y15" s="504">
        <f>SUM(Y10:Y14)</f>
        <v>4600</v>
      </c>
      <c r="Z15" s="557">
        <f>SUM(S15:Y15)</f>
        <v>15842.07</v>
      </c>
      <c r="AB15" s="500"/>
      <c r="AC15" s="500"/>
      <c r="AD15" s="500"/>
      <c r="AE15" s="500"/>
      <c r="AF15" s="500"/>
      <c r="AG15" s="500"/>
      <c r="AH15" s="500"/>
      <c r="AI15" s="500"/>
      <c r="AJ15" s="554"/>
      <c r="AK15" s="535"/>
      <c r="AL15" s="445"/>
      <c r="AM15" s="445"/>
      <c r="AN15" s="445"/>
      <c r="AO15" s="445"/>
      <c r="AP15" s="445"/>
      <c r="AQ15" s="445"/>
      <c r="AR15" s="445"/>
      <c r="AS15" s="445"/>
      <c r="AT15" s="445"/>
      <c r="AU15" s="445"/>
      <c r="AV15" s="445"/>
      <c r="AW15" s="445"/>
      <c r="AX15" s="445"/>
      <c r="AY15" s="445"/>
      <c r="AZ15" s="445"/>
      <c r="BA15" s="445"/>
      <c r="BB15" s="445"/>
      <c r="BC15" s="445"/>
      <c r="BD15" s="445"/>
      <c r="BE15" s="445"/>
      <c r="BF15" s="445"/>
    </row>
    <row r="16" spans="1:58" ht="12" customHeight="1">
      <c r="A16" s="480" t="s">
        <v>405</v>
      </c>
      <c r="B16" s="480"/>
      <c r="C16" s="450"/>
      <c r="D16" s="496"/>
      <c r="E16" s="445"/>
      <c r="F16" s="503"/>
      <c r="G16" s="452"/>
      <c r="H16" s="445"/>
      <c r="I16" s="453"/>
      <c r="J16" s="507"/>
      <c r="K16" s="507"/>
      <c r="L16" s="507"/>
      <c r="M16" s="497"/>
      <c r="N16" s="481"/>
      <c r="O16" s="498"/>
      <c r="P16" s="481"/>
      <c r="Q16" s="499"/>
      <c r="R16" s="499"/>
      <c r="S16" s="542"/>
      <c r="T16" s="500"/>
      <c r="U16" s="500"/>
      <c r="V16" s="500"/>
      <c r="W16" s="500"/>
      <c r="X16" s="500"/>
      <c r="Y16" s="500"/>
      <c r="Z16" s="500"/>
      <c r="AB16" s="500"/>
      <c r="AC16" s="500"/>
      <c r="AD16" s="500"/>
      <c r="AE16" s="500"/>
      <c r="AF16" s="500"/>
      <c r="AG16" s="500"/>
      <c r="AH16" s="500"/>
      <c r="AI16" s="500"/>
      <c r="AJ16" s="554"/>
      <c r="AK16" s="535"/>
      <c r="AL16" s="445"/>
      <c r="AM16" s="445"/>
      <c r="AN16" s="445"/>
      <c r="AO16" s="445"/>
      <c r="AP16" s="445"/>
      <c r="AQ16" s="445"/>
      <c r="AR16" s="445"/>
      <c r="AS16" s="445"/>
      <c r="AT16" s="445"/>
      <c r="AU16" s="445"/>
      <c r="AV16" s="445"/>
      <c r="AW16" s="445"/>
      <c r="AX16" s="445"/>
      <c r="AY16" s="445"/>
      <c r="AZ16" s="445"/>
      <c r="BA16" s="445"/>
      <c r="BB16" s="445"/>
      <c r="BC16" s="445"/>
      <c r="BD16" s="445"/>
      <c r="BE16" s="445"/>
      <c r="BF16" s="445"/>
    </row>
    <row r="17" spans="1:58" ht="12" customHeight="1">
      <c r="A17" s="495">
        <v>162</v>
      </c>
      <c r="B17" s="450" t="s">
        <v>28</v>
      </c>
      <c r="C17" s="450"/>
      <c r="D17" s="496">
        <v>18264</v>
      </c>
      <c r="E17" s="445"/>
      <c r="F17" s="451" t="s">
        <v>406</v>
      </c>
      <c r="G17" s="452">
        <v>20</v>
      </c>
      <c r="H17" s="445"/>
      <c r="I17" s="453">
        <v>108986.47</v>
      </c>
      <c r="J17" s="452">
        <v>100</v>
      </c>
      <c r="K17" s="452">
        <v>0</v>
      </c>
      <c r="M17" s="547">
        <v>108986.47</v>
      </c>
      <c r="N17" s="566">
        <f>O17-M17</f>
        <v>0</v>
      </c>
      <c r="O17" s="547">
        <f>IF(ABS(M17)&lt;ABS(I17),IF(M17+I17/G17&gt;I17,I17,M17+I17/G17),I17)</f>
        <v>108986.47</v>
      </c>
      <c r="P17" s="566">
        <f t="shared" ref="P17:P24" si="2">I17-O17</f>
        <v>0</v>
      </c>
      <c r="R17" s="499"/>
      <c r="S17" s="536">
        <v>108986.47</v>
      </c>
      <c r="T17" s="508"/>
      <c r="U17" s="508"/>
      <c r="V17" s="508"/>
      <c r="W17" s="508"/>
      <c r="X17" s="508"/>
      <c r="Y17" s="508"/>
      <c r="Z17" s="508"/>
      <c r="AB17" s="508"/>
      <c r="AC17" s="536">
        <f>O17</f>
        <v>108986.47</v>
      </c>
      <c r="AD17" s="508"/>
      <c r="AE17" s="508"/>
      <c r="AF17" s="508"/>
      <c r="AG17" s="508"/>
      <c r="AH17" s="508"/>
      <c r="AI17" s="500"/>
      <c r="AJ17" s="554"/>
      <c r="AK17" s="535"/>
      <c r="AL17" s="416"/>
      <c r="AM17" s="573">
        <f>N17</f>
        <v>0</v>
      </c>
      <c r="AN17" s="416"/>
      <c r="AO17" s="416"/>
      <c r="AP17" s="416"/>
      <c r="AQ17" s="416"/>
      <c r="AR17" s="416"/>
      <c r="AS17" s="416"/>
      <c r="AT17" s="573">
        <f t="shared" ref="AT17" si="3">SUM(AM17:AS17)</f>
        <v>0</v>
      </c>
      <c r="AU17" s="416"/>
      <c r="AV17" s="416"/>
      <c r="AW17" s="416"/>
      <c r="AX17" s="416"/>
      <c r="AY17" s="416"/>
      <c r="AZ17" s="416"/>
      <c r="BA17" s="416"/>
      <c r="BB17" s="416"/>
      <c r="BC17" s="416"/>
      <c r="BD17" s="416"/>
      <c r="BE17" s="416"/>
      <c r="BF17" s="416"/>
    </row>
    <row r="18" spans="1:58" ht="12" customHeight="1">
      <c r="A18" s="495">
        <v>164</v>
      </c>
      <c r="B18" s="509" t="s">
        <v>29</v>
      </c>
      <c r="C18" s="509"/>
      <c r="D18" s="496">
        <v>35431</v>
      </c>
      <c r="E18" s="445"/>
      <c r="F18" s="451" t="s">
        <v>406</v>
      </c>
      <c r="G18" s="452">
        <v>25</v>
      </c>
      <c r="H18" s="445"/>
      <c r="I18" s="453">
        <v>21995</v>
      </c>
      <c r="J18" s="452">
        <v>100</v>
      </c>
      <c r="K18" s="452">
        <v>0</v>
      </c>
      <c r="M18" s="547">
        <v>14957.399999999994</v>
      </c>
      <c r="N18" s="481">
        <f>O18-M18</f>
        <v>879.79999999999927</v>
      </c>
      <c r="O18" s="547">
        <f t="shared" ref="O18:O24" si="4">IF(ABS(M18)&lt;ABS(I18),IF(M18+I18/G18&gt;I18,I18,M18+I18/G18),I18)</f>
        <v>15837.199999999993</v>
      </c>
      <c r="P18" s="566">
        <f t="shared" si="2"/>
        <v>6157.8000000000065</v>
      </c>
      <c r="R18" s="510"/>
      <c r="S18" s="536">
        <v>21995</v>
      </c>
      <c r="T18" s="508"/>
      <c r="U18" s="511"/>
      <c r="V18" s="500"/>
      <c r="W18" s="511"/>
      <c r="X18" s="500"/>
      <c r="Y18" s="500"/>
      <c r="Z18" s="500"/>
      <c r="AB18" s="500"/>
      <c r="AC18" s="536">
        <f>O18</f>
        <v>15837.199999999993</v>
      </c>
      <c r="AD18" s="500"/>
      <c r="AE18" s="500"/>
      <c r="AF18" s="500"/>
      <c r="AG18" s="500"/>
      <c r="AH18" s="500"/>
      <c r="AI18" s="500"/>
      <c r="AJ18" s="554"/>
      <c r="AK18" s="535"/>
      <c r="AL18" s="416"/>
      <c r="AM18" s="573">
        <f t="shared" ref="AM18:AM21" si="5">N18</f>
        <v>879.79999999999927</v>
      </c>
      <c r="AN18" s="416"/>
      <c r="AO18" s="416"/>
      <c r="AP18" s="416"/>
      <c r="AQ18" s="416"/>
      <c r="AR18" s="416"/>
      <c r="AS18" s="416"/>
      <c r="AT18" s="573">
        <f>SUM(AM18:AS18)</f>
        <v>879.79999999999927</v>
      </c>
      <c r="AU18" s="416"/>
      <c r="AV18" s="416"/>
      <c r="AW18" s="416"/>
      <c r="AX18" s="416"/>
      <c r="AY18" s="416"/>
      <c r="AZ18" s="416"/>
      <c r="BA18" s="416"/>
      <c r="BB18" s="416"/>
      <c r="BC18" s="416"/>
      <c r="BD18" s="416"/>
      <c r="BE18" s="416"/>
      <c r="BF18" s="416"/>
    </row>
    <row r="19" spans="1:58" ht="12" customHeight="1">
      <c r="A19" s="495">
        <v>327</v>
      </c>
      <c r="B19" s="509" t="s">
        <v>30</v>
      </c>
      <c r="C19" s="509"/>
      <c r="D19" s="496">
        <v>36808</v>
      </c>
      <c r="E19" s="445"/>
      <c r="F19" s="451" t="s">
        <v>406</v>
      </c>
      <c r="G19" s="452">
        <v>15</v>
      </c>
      <c r="H19" s="445"/>
      <c r="I19" s="453">
        <v>3669.7</v>
      </c>
      <c r="J19" s="452">
        <v>100</v>
      </c>
      <c r="K19" s="452">
        <v>0</v>
      </c>
      <c r="M19" s="547">
        <v>3241.5733333333324</v>
      </c>
      <c r="N19" s="546">
        <f t="shared" ref="N19:N24" si="6">O19-M19</f>
        <v>244.64666666666653</v>
      </c>
      <c r="O19" s="547">
        <f t="shared" si="4"/>
        <v>3486.2199999999989</v>
      </c>
      <c r="P19" s="566">
        <f t="shared" si="2"/>
        <v>183.48000000000093</v>
      </c>
      <c r="R19" s="499"/>
      <c r="S19" s="536">
        <v>3669.7</v>
      </c>
      <c r="T19" s="500"/>
      <c r="U19" s="500"/>
      <c r="V19" s="500"/>
      <c r="W19" s="500"/>
      <c r="X19" s="500"/>
      <c r="Y19" s="500"/>
      <c r="Z19" s="500"/>
      <c r="AB19" s="500"/>
      <c r="AC19" s="536">
        <f t="shared" ref="AC19:AC21" si="7">O19</f>
        <v>3486.2199999999989</v>
      </c>
      <c r="AD19" s="500"/>
      <c r="AE19" s="500"/>
      <c r="AF19" s="500"/>
      <c r="AG19" s="500"/>
      <c r="AH19" s="500"/>
      <c r="AI19" s="500"/>
      <c r="AJ19" s="554"/>
      <c r="AK19" s="535"/>
      <c r="AL19" s="416"/>
      <c r="AM19" s="573">
        <f t="shared" si="5"/>
        <v>244.64666666666653</v>
      </c>
      <c r="AN19" s="416"/>
      <c r="AO19" s="416"/>
      <c r="AP19" s="416"/>
      <c r="AQ19" s="416"/>
      <c r="AR19" s="416"/>
      <c r="AS19" s="416"/>
      <c r="AT19" s="573">
        <f t="shared" ref="AT19:AT24" si="8">SUM(AM19:AS19)</f>
        <v>244.64666666666653</v>
      </c>
      <c r="AU19" s="416"/>
      <c r="AV19" s="416"/>
      <c r="AW19" s="416"/>
      <c r="AX19" s="416"/>
      <c r="AY19" s="416"/>
      <c r="AZ19" s="416"/>
      <c r="BA19" s="416"/>
      <c r="BB19" s="416"/>
      <c r="BC19" s="416"/>
      <c r="BD19" s="416"/>
      <c r="BE19" s="416"/>
      <c r="BF19" s="416"/>
    </row>
    <row r="20" spans="1:58" ht="12" customHeight="1">
      <c r="A20" s="495">
        <v>324</v>
      </c>
      <c r="B20" s="509" t="s">
        <v>31</v>
      </c>
      <c r="C20" s="509"/>
      <c r="D20" s="496">
        <v>36836</v>
      </c>
      <c r="E20" s="445"/>
      <c r="F20" s="451" t="s">
        <v>406</v>
      </c>
      <c r="G20" s="452">
        <v>15</v>
      </c>
      <c r="H20" s="445"/>
      <c r="I20" s="453">
        <v>14264</v>
      </c>
      <c r="J20" s="452">
        <v>100</v>
      </c>
      <c r="K20" s="452">
        <v>0</v>
      </c>
      <c r="M20" s="547">
        <v>12520.616666666663</v>
      </c>
      <c r="N20" s="546">
        <f t="shared" si="6"/>
        <v>950.93333333333248</v>
      </c>
      <c r="O20" s="547">
        <f t="shared" si="4"/>
        <v>13471.549999999996</v>
      </c>
      <c r="P20" s="566">
        <f t="shared" si="2"/>
        <v>792.45000000000437</v>
      </c>
      <c r="R20" s="499"/>
      <c r="S20" s="536">
        <v>14264</v>
      </c>
      <c r="T20" s="500"/>
      <c r="U20" s="500"/>
      <c r="V20" s="500"/>
      <c r="W20" s="500"/>
      <c r="X20" s="500"/>
      <c r="Y20" s="500"/>
      <c r="Z20" s="500"/>
      <c r="AB20" s="500"/>
      <c r="AC20" s="536">
        <f t="shared" si="7"/>
        <v>13471.549999999996</v>
      </c>
      <c r="AD20" s="500"/>
      <c r="AE20" s="500"/>
      <c r="AF20" s="500"/>
      <c r="AG20" s="500"/>
      <c r="AH20" s="500"/>
      <c r="AI20" s="500"/>
      <c r="AJ20" s="554"/>
      <c r="AK20" s="535"/>
      <c r="AL20" s="416"/>
      <c r="AM20" s="573">
        <f t="shared" si="5"/>
        <v>950.93333333333248</v>
      </c>
      <c r="AN20" s="416"/>
      <c r="AO20" s="416"/>
      <c r="AP20" s="416"/>
      <c r="AQ20" s="416"/>
      <c r="AR20" s="416"/>
      <c r="AS20" s="416"/>
      <c r="AT20" s="573">
        <f t="shared" si="8"/>
        <v>950.93333333333248</v>
      </c>
      <c r="AU20" s="416"/>
      <c r="AV20" s="416"/>
      <c r="AW20" s="416"/>
      <c r="AX20" s="416"/>
      <c r="AY20" s="416"/>
      <c r="AZ20" s="416"/>
      <c r="BA20" s="416"/>
      <c r="BB20" s="416"/>
      <c r="BC20" s="416"/>
      <c r="BD20" s="416"/>
      <c r="BE20" s="416"/>
      <c r="BF20" s="416"/>
    </row>
    <row r="21" spans="1:58" ht="12" customHeight="1">
      <c r="A21" s="495">
        <v>325</v>
      </c>
      <c r="B21" s="509" t="s">
        <v>32</v>
      </c>
      <c r="C21" s="509"/>
      <c r="D21" s="496">
        <v>36836</v>
      </c>
      <c r="E21" s="445"/>
      <c r="F21" s="451" t="s">
        <v>406</v>
      </c>
      <c r="G21" s="452">
        <v>15</v>
      </c>
      <c r="H21" s="445"/>
      <c r="I21" s="453">
        <v>3400</v>
      </c>
      <c r="J21" s="452">
        <v>100</v>
      </c>
      <c r="K21" s="452">
        <v>0</v>
      </c>
      <c r="M21" s="547">
        <v>2984.4533333333329</v>
      </c>
      <c r="N21" s="546">
        <f t="shared" si="6"/>
        <v>226.66666666666652</v>
      </c>
      <c r="O21" s="547">
        <f t="shared" si="4"/>
        <v>3211.1199999999994</v>
      </c>
      <c r="P21" s="566">
        <f t="shared" si="2"/>
        <v>188.88000000000056</v>
      </c>
      <c r="R21" s="499"/>
      <c r="S21" s="536">
        <v>3400</v>
      </c>
      <c r="T21" s="500"/>
      <c r="U21" s="500"/>
      <c r="V21" s="500"/>
      <c r="W21" s="500"/>
      <c r="X21" s="500"/>
      <c r="Y21" s="500"/>
      <c r="Z21" s="500"/>
      <c r="AB21" s="500"/>
      <c r="AC21" s="536">
        <f t="shared" si="7"/>
        <v>3211.1199999999994</v>
      </c>
      <c r="AD21" s="500"/>
      <c r="AE21" s="500"/>
      <c r="AF21" s="500"/>
      <c r="AG21" s="500"/>
      <c r="AH21" s="500"/>
      <c r="AI21" s="500"/>
      <c r="AJ21" s="554"/>
      <c r="AK21" s="535"/>
      <c r="AL21" s="416"/>
      <c r="AM21" s="573">
        <f t="shared" si="5"/>
        <v>226.66666666666652</v>
      </c>
      <c r="AN21" s="416"/>
      <c r="AO21" s="416"/>
      <c r="AP21" s="416"/>
      <c r="AQ21" s="416"/>
      <c r="AR21" s="416"/>
      <c r="AS21" s="416"/>
      <c r="AT21" s="573">
        <f t="shared" si="8"/>
        <v>226.66666666666652</v>
      </c>
      <c r="AU21" s="416"/>
      <c r="AV21" s="416"/>
      <c r="AW21" s="416"/>
      <c r="AX21" s="416"/>
      <c r="AY21" s="416"/>
      <c r="AZ21" s="416"/>
      <c r="BA21" s="416"/>
      <c r="BB21" s="416"/>
      <c r="BC21" s="416"/>
      <c r="BD21" s="416"/>
      <c r="BE21" s="416"/>
      <c r="BF21" s="416"/>
    </row>
    <row r="22" spans="1:58" ht="12" customHeight="1">
      <c r="A22" s="495">
        <v>352</v>
      </c>
      <c r="B22" s="509" t="s">
        <v>116</v>
      </c>
      <c r="C22" s="509"/>
      <c r="D22" s="496">
        <v>37172</v>
      </c>
      <c r="E22" s="445"/>
      <c r="F22" s="451" t="s">
        <v>406</v>
      </c>
      <c r="G22" s="452">
        <v>15</v>
      </c>
      <c r="H22" s="445"/>
      <c r="I22" s="453">
        <v>11700</v>
      </c>
      <c r="J22" s="452">
        <v>100</v>
      </c>
      <c r="K22" s="452">
        <v>0</v>
      </c>
      <c r="M22" s="547">
        <v>9555</v>
      </c>
      <c r="N22" s="546">
        <f t="shared" si="6"/>
        <v>780</v>
      </c>
      <c r="O22" s="547">
        <f t="shared" si="4"/>
        <v>10335</v>
      </c>
      <c r="P22" s="566">
        <f t="shared" si="2"/>
        <v>1365</v>
      </c>
      <c r="R22" s="499"/>
      <c r="S22" s="536"/>
      <c r="T22" s="500"/>
      <c r="U22" s="500"/>
      <c r="V22" s="500"/>
      <c r="W22" s="500"/>
      <c r="X22" s="500"/>
      <c r="Y22" s="505">
        <v>11700</v>
      </c>
      <c r="Z22" s="500"/>
      <c r="AB22" s="500"/>
      <c r="AC22" s="537"/>
      <c r="AD22" s="500"/>
      <c r="AE22" s="500"/>
      <c r="AF22" s="500"/>
      <c r="AG22" s="500"/>
      <c r="AH22" s="500"/>
      <c r="AI22" s="536">
        <f>O22</f>
        <v>10335</v>
      </c>
      <c r="AJ22" s="554"/>
      <c r="AK22" s="535"/>
      <c r="AL22" s="416"/>
      <c r="AM22" s="416"/>
      <c r="AN22" s="416"/>
      <c r="AO22" s="416"/>
      <c r="AP22" s="416"/>
      <c r="AQ22" s="416"/>
      <c r="AR22" s="416"/>
      <c r="AS22" s="573">
        <f>N22</f>
        <v>780</v>
      </c>
      <c r="AT22" s="573">
        <f t="shared" si="8"/>
        <v>780</v>
      </c>
      <c r="AU22" s="416"/>
      <c r="AV22" s="416"/>
      <c r="AW22" s="416"/>
      <c r="AX22" s="416"/>
      <c r="AY22" s="416"/>
      <c r="AZ22" s="416"/>
      <c r="BA22" s="416"/>
      <c r="BB22" s="416"/>
      <c r="BC22" s="416"/>
      <c r="BD22" s="416"/>
      <c r="BE22" s="416"/>
      <c r="BF22" s="416"/>
    </row>
    <row r="23" spans="1:58" ht="12" customHeight="1">
      <c r="A23" s="495">
        <v>386</v>
      </c>
      <c r="B23" s="509" t="s">
        <v>33</v>
      </c>
      <c r="C23" s="509"/>
      <c r="D23" s="496">
        <v>37621</v>
      </c>
      <c r="E23" s="445"/>
      <c r="F23" s="451" t="s">
        <v>406</v>
      </c>
      <c r="G23" s="452">
        <v>15</v>
      </c>
      <c r="H23" s="445"/>
      <c r="I23" s="453">
        <v>3998</v>
      </c>
      <c r="J23" s="452">
        <v>100</v>
      </c>
      <c r="K23" s="452">
        <v>0</v>
      </c>
      <c r="M23" s="547">
        <v>2931.8666666666668</v>
      </c>
      <c r="N23" s="546">
        <f t="shared" si="6"/>
        <v>266.5333333333333</v>
      </c>
      <c r="O23" s="547">
        <f t="shared" si="4"/>
        <v>3198.4</v>
      </c>
      <c r="P23" s="566">
        <f t="shared" si="2"/>
        <v>799.59999999999991</v>
      </c>
      <c r="R23" s="499"/>
      <c r="S23" s="536">
        <v>3998</v>
      </c>
      <c r="T23" s="500"/>
      <c r="U23" s="500"/>
      <c r="V23" s="500"/>
      <c r="W23" s="500"/>
      <c r="X23" s="500"/>
      <c r="Y23" s="500"/>
      <c r="Z23" s="500"/>
      <c r="AB23" s="500"/>
      <c r="AC23" s="536">
        <f t="shared" ref="AC23:AC24" si="9">O23</f>
        <v>3198.4</v>
      </c>
      <c r="AD23" s="500"/>
      <c r="AE23" s="500"/>
      <c r="AF23" s="500"/>
      <c r="AG23" s="500"/>
      <c r="AH23" s="500"/>
      <c r="AI23" s="500"/>
      <c r="AJ23" s="554"/>
      <c r="AK23" s="535"/>
      <c r="AL23" s="416"/>
      <c r="AM23" s="573">
        <f t="shared" ref="AM23:AM24" si="10">N23</f>
        <v>266.5333333333333</v>
      </c>
      <c r="AN23" s="416"/>
      <c r="AO23" s="416"/>
      <c r="AP23" s="416"/>
      <c r="AQ23" s="416"/>
      <c r="AR23" s="416"/>
      <c r="AS23" s="416"/>
      <c r="AT23" s="573">
        <f t="shared" si="8"/>
        <v>266.5333333333333</v>
      </c>
      <c r="AU23" s="416"/>
      <c r="AV23" s="416"/>
      <c r="AW23" s="416"/>
      <c r="AX23" s="416"/>
      <c r="AY23" s="416"/>
      <c r="AZ23" s="416"/>
      <c r="BA23" s="416"/>
      <c r="BB23" s="416"/>
      <c r="BC23" s="416"/>
      <c r="BD23" s="416"/>
      <c r="BE23" s="416"/>
      <c r="BF23" s="416"/>
    </row>
    <row r="24" spans="1:58" ht="12" customHeight="1">
      <c r="A24" s="495"/>
      <c r="B24" s="509" t="s">
        <v>833</v>
      </c>
      <c r="C24" s="509"/>
      <c r="D24" s="496">
        <v>38684</v>
      </c>
      <c r="E24" s="445"/>
      <c r="F24" s="451" t="s">
        <v>406</v>
      </c>
      <c r="G24" s="452">
        <v>20</v>
      </c>
      <c r="H24" s="445"/>
      <c r="I24" s="453">
        <v>22434</v>
      </c>
      <c r="J24" s="452">
        <v>100</v>
      </c>
      <c r="K24" s="452">
        <v>0</v>
      </c>
      <c r="M24" s="547">
        <v>9067.0749999999989</v>
      </c>
      <c r="N24" s="546">
        <f t="shared" si="6"/>
        <v>1121.7000000000007</v>
      </c>
      <c r="O24" s="547">
        <f t="shared" si="4"/>
        <v>10188.775</v>
      </c>
      <c r="P24" s="566">
        <f t="shared" si="2"/>
        <v>12245.225</v>
      </c>
      <c r="R24" s="499"/>
      <c r="S24" s="536">
        <v>22434</v>
      </c>
      <c r="T24" s="500"/>
      <c r="U24" s="500"/>
      <c r="V24" s="500"/>
      <c r="W24" s="500"/>
      <c r="X24" s="500"/>
      <c r="Y24" s="500"/>
      <c r="Z24" s="500"/>
      <c r="AB24" s="500"/>
      <c r="AC24" s="536">
        <f t="shared" si="9"/>
        <v>10188.775</v>
      </c>
      <c r="AD24" s="500"/>
      <c r="AE24" s="500"/>
      <c r="AF24" s="500"/>
      <c r="AG24" s="500"/>
      <c r="AH24" s="500"/>
      <c r="AI24" s="500"/>
      <c r="AJ24" s="554"/>
      <c r="AK24" s="535"/>
      <c r="AL24" s="416"/>
      <c r="AM24" s="573">
        <f t="shared" si="10"/>
        <v>1121.7000000000007</v>
      </c>
      <c r="AN24" s="416"/>
      <c r="AO24" s="416"/>
      <c r="AP24" s="416"/>
      <c r="AQ24" s="416"/>
      <c r="AR24" s="416"/>
      <c r="AS24" s="416"/>
      <c r="AT24" s="573">
        <f t="shared" si="8"/>
        <v>1121.7000000000007</v>
      </c>
      <c r="AU24" s="416"/>
      <c r="AV24" s="416"/>
      <c r="AW24" s="416"/>
      <c r="AX24" s="416"/>
      <c r="AY24" s="416"/>
      <c r="AZ24" s="416"/>
      <c r="BA24" s="416"/>
      <c r="BB24" s="416"/>
      <c r="BC24" s="416"/>
      <c r="BD24" s="416"/>
      <c r="BE24" s="416"/>
      <c r="BF24" s="416"/>
    </row>
    <row r="25" spans="1:58" ht="12" customHeight="1">
      <c r="A25" s="502"/>
      <c r="B25" s="509"/>
      <c r="C25" s="509"/>
      <c r="D25" s="496"/>
      <c r="E25" s="445"/>
      <c r="F25" s="503"/>
      <c r="G25" s="452"/>
      <c r="H25" s="445"/>
      <c r="I25" s="453"/>
      <c r="J25" s="452"/>
      <c r="K25" s="452"/>
      <c r="M25" s="453"/>
      <c r="N25" s="453"/>
      <c r="O25" s="453"/>
      <c r="P25" s="481"/>
      <c r="Q25" s="499"/>
      <c r="R25" s="499"/>
      <c r="S25" s="542"/>
      <c r="T25" s="500"/>
      <c r="U25" s="500"/>
      <c r="V25" s="500"/>
      <c r="W25" s="500"/>
      <c r="X25" s="500"/>
      <c r="Y25" s="500"/>
      <c r="Z25" s="500"/>
      <c r="AB25" s="500"/>
      <c r="AC25" s="500"/>
      <c r="AD25" s="500"/>
      <c r="AE25" s="500"/>
      <c r="AF25" s="500"/>
      <c r="AG25" s="500"/>
      <c r="AH25" s="500"/>
      <c r="AI25" s="500"/>
      <c r="AJ25" s="554"/>
      <c r="AK25" s="535"/>
      <c r="AL25" s="416"/>
      <c r="AM25" s="416"/>
      <c r="AN25" s="416"/>
      <c r="AO25" s="416"/>
      <c r="AP25" s="416"/>
      <c r="AQ25" s="416"/>
      <c r="AR25" s="416"/>
      <c r="AS25" s="416"/>
      <c r="AT25" s="416"/>
      <c r="AU25" s="416"/>
      <c r="AV25" s="416"/>
      <c r="AW25" s="416"/>
      <c r="AX25" s="416"/>
      <c r="AY25" s="416"/>
      <c r="AZ25" s="416"/>
      <c r="BA25" s="416"/>
      <c r="BB25" s="416"/>
      <c r="BC25" s="416"/>
      <c r="BD25" s="416"/>
      <c r="BE25" s="416"/>
      <c r="BF25" s="416"/>
    </row>
    <row r="26" spans="1:58" ht="12" customHeight="1">
      <c r="A26" s="445"/>
      <c r="B26" s="482"/>
      <c r="C26" s="450"/>
      <c r="D26" s="451"/>
      <c r="E26" s="445"/>
      <c r="F26" s="445"/>
      <c r="G26" s="482" t="s">
        <v>407</v>
      </c>
      <c r="H26" s="445"/>
      <c r="I26" s="483">
        <f>SUM(I17:I25)</f>
        <v>190447.17</v>
      </c>
      <c r="J26" s="484"/>
      <c r="K26" s="452" t="s">
        <v>157</v>
      </c>
      <c r="L26" s="545" t="s">
        <v>157</v>
      </c>
      <c r="M26" s="682">
        <v>164244.45500000002</v>
      </c>
      <c r="N26" s="682">
        <f t="shared" ref="N26:P26" si="11">SUM(N17:N25)</f>
        <v>4470.2799999999988</v>
      </c>
      <c r="O26" s="682">
        <f>SUM(O17:O25)</f>
        <v>168714.73499999999</v>
      </c>
      <c r="P26" s="682">
        <f t="shared" si="11"/>
        <v>21732.435000000012</v>
      </c>
      <c r="Q26" s="499"/>
      <c r="R26" s="499"/>
      <c r="S26" s="543">
        <f>SUM(S17:S25)</f>
        <v>178747.17</v>
      </c>
      <c r="T26" s="500"/>
      <c r="U26" s="504">
        <f>SUM(U17:U25)</f>
        <v>0</v>
      </c>
      <c r="V26" s="500"/>
      <c r="W26" s="504">
        <f>SUM(W17:W25)</f>
        <v>0</v>
      </c>
      <c r="X26" s="500"/>
      <c r="Y26" s="504">
        <f>SUM(Y17:Y25)</f>
        <v>11700</v>
      </c>
      <c r="Z26" s="557">
        <f>SUM(S26:Y26)</f>
        <v>190447.17</v>
      </c>
      <c r="AB26" s="500"/>
      <c r="AC26" s="504">
        <f>SUM(AC15:AC25)</f>
        <v>158379.73499999999</v>
      </c>
      <c r="AD26" s="500"/>
      <c r="AE26" s="504">
        <f>SUM(AE15:AE25)</f>
        <v>0</v>
      </c>
      <c r="AF26" s="500"/>
      <c r="AG26" s="504">
        <f>SUM(AG15:AG25)</f>
        <v>0</v>
      </c>
      <c r="AH26" s="500"/>
      <c r="AI26" s="504">
        <f>SUM(AI15:AI25)</f>
        <v>10335</v>
      </c>
      <c r="AJ26" s="557">
        <f>SUM(AC26:AI26)</f>
        <v>168714.73499999999</v>
      </c>
      <c r="AK26" s="535"/>
      <c r="AL26" s="416"/>
      <c r="AM26" s="560">
        <f>SUM(AM17:AM25)</f>
        <v>3690.2799999999988</v>
      </c>
      <c r="AN26" s="416"/>
      <c r="AO26" s="560">
        <f>SUM(AO17:AO25)</f>
        <v>0</v>
      </c>
      <c r="AP26" s="416"/>
      <c r="AQ26" s="560">
        <f>SUM(AQ17:AQ25)</f>
        <v>0</v>
      </c>
      <c r="AR26" s="416"/>
      <c r="AS26" s="560">
        <f>SUM(AS17:AS25)</f>
        <v>780</v>
      </c>
      <c r="AT26" s="560">
        <f>SUM(AT17:AT25)</f>
        <v>4470.2799999999988</v>
      </c>
      <c r="AU26" s="573">
        <f>N26-AT26</f>
        <v>0</v>
      </c>
      <c r="AV26" s="416"/>
      <c r="AW26" s="416"/>
      <c r="AX26" s="416"/>
      <c r="AY26" s="416"/>
      <c r="AZ26" s="416"/>
      <c r="BA26" s="416"/>
      <c r="BB26" s="416"/>
      <c r="BC26" s="416"/>
      <c r="BD26" s="416"/>
      <c r="BE26" s="416"/>
      <c r="BF26" s="416"/>
    </row>
    <row r="27" spans="1:58" ht="12" customHeight="1">
      <c r="A27" s="480" t="s">
        <v>408</v>
      </c>
      <c r="B27" s="515"/>
      <c r="C27" s="515"/>
      <c r="D27" s="516"/>
      <c r="E27" s="515"/>
      <c r="F27" s="516"/>
      <c r="G27" s="517"/>
      <c r="H27" s="453" t="s">
        <v>157</v>
      </c>
      <c r="I27" s="453"/>
      <c r="J27" s="452"/>
      <c r="K27" s="452"/>
      <c r="L27" s="452"/>
      <c r="M27" s="453"/>
      <c r="N27" s="453"/>
      <c r="O27" s="453"/>
      <c r="P27" s="453"/>
      <c r="Q27" s="450"/>
      <c r="R27" s="445"/>
      <c r="S27" s="542"/>
      <c r="T27" s="500"/>
      <c r="U27" s="555" t="s">
        <v>157</v>
      </c>
      <c r="V27" s="500"/>
      <c r="W27" s="500"/>
      <c r="X27" s="500"/>
      <c r="Y27" s="500"/>
      <c r="Z27" s="500"/>
      <c r="AB27" s="500"/>
      <c r="AC27" s="500"/>
      <c r="AD27" s="500"/>
      <c r="AE27" s="500"/>
      <c r="AF27" s="500"/>
      <c r="AG27" s="500"/>
      <c r="AH27" s="500"/>
      <c r="AI27" s="500"/>
      <c r="AJ27" s="554"/>
      <c r="AK27" s="535"/>
      <c r="AL27" s="416"/>
      <c r="AM27" s="416"/>
      <c r="AN27" s="416"/>
      <c r="AO27" s="416"/>
      <c r="AP27" s="416"/>
      <c r="AQ27" s="416"/>
      <c r="AR27" s="416"/>
      <c r="AS27" s="416"/>
      <c r="AT27" s="416"/>
      <c r="AU27" s="416"/>
      <c r="AV27" s="416"/>
      <c r="AW27" s="416"/>
      <c r="AX27" s="416"/>
      <c r="AY27" s="416"/>
      <c r="AZ27" s="416"/>
      <c r="BA27" s="416"/>
      <c r="BB27" s="416"/>
      <c r="BC27" s="416"/>
      <c r="BD27" s="416"/>
      <c r="BE27" s="416"/>
      <c r="BF27" s="416"/>
    </row>
    <row r="28" spans="1:58" ht="12" customHeight="1">
      <c r="A28" s="495">
        <v>165</v>
      </c>
      <c r="B28" s="450" t="s">
        <v>53</v>
      </c>
      <c r="C28" s="450"/>
      <c r="D28" s="496">
        <v>21916</v>
      </c>
      <c r="E28" s="445"/>
      <c r="F28" s="451" t="s">
        <v>406</v>
      </c>
      <c r="G28" s="452">
        <v>35</v>
      </c>
      <c r="H28" s="445"/>
      <c r="I28" s="453">
        <v>59828.22</v>
      </c>
      <c r="J28" s="452">
        <v>100</v>
      </c>
      <c r="K28" s="452">
        <v>0</v>
      </c>
      <c r="L28"/>
      <c r="M28" s="497">
        <v>59828.22</v>
      </c>
      <c r="N28" s="481">
        <f>O28-M28</f>
        <v>0</v>
      </c>
      <c r="O28" s="547">
        <f t="shared" ref="O28:O91" si="12">IF(ABS(M28)&lt;ABS(I28),IF(M28+I28/G28&gt;I28,I28,M28+I28/G28),I28)</f>
        <v>59828.22</v>
      </c>
      <c r="P28" s="566">
        <f t="shared" ref="P28:P91" si="13">I28-O28</f>
        <v>0</v>
      </c>
      <c r="Q28" s="499"/>
      <c r="R28" s="499"/>
      <c r="S28" s="542"/>
      <c r="T28" s="500"/>
      <c r="U28" s="500"/>
      <c r="V28" s="500"/>
      <c r="W28" s="505">
        <f>I28</f>
        <v>59828.22</v>
      </c>
      <c r="X28" s="500"/>
      <c r="Y28" s="500"/>
      <c r="Z28" s="555">
        <f>SUM(S28:Y28)-I28</f>
        <v>0</v>
      </c>
      <c r="AB28" s="500"/>
      <c r="AC28" s="500"/>
      <c r="AD28" s="500"/>
      <c r="AE28" s="500"/>
      <c r="AF28" s="500"/>
      <c r="AG28" s="505">
        <f>O28</f>
        <v>59828.22</v>
      </c>
      <c r="AH28" s="500"/>
      <c r="AI28" s="500"/>
      <c r="AJ28" s="555">
        <f>SUM(AC28:AI28)-O28</f>
        <v>0</v>
      </c>
      <c r="AK28" s="535"/>
      <c r="AL28" s="416"/>
      <c r="AM28" s="416"/>
      <c r="AN28" s="416"/>
      <c r="AO28" s="416"/>
      <c r="AP28" s="416"/>
      <c r="AQ28" s="573">
        <f>N28</f>
        <v>0</v>
      </c>
      <c r="AR28" s="416"/>
      <c r="AS28" s="416"/>
      <c r="AT28" s="416"/>
      <c r="AU28" s="416"/>
      <c r="AV28" s="416"/>
      <c r="AW28" s="416"/>
      <c r="AX28" s="416"/>
      <c r="AY28" s="416"/>
      <c r="AZ28" s="416"/>
      <c r="BA28" s="416"/>
      <c r="BB28" s="416"/>
      <c r="BC28" s="416"/>
      <c r="BD28" s="416"/>
      <c r="BE28" s="416"/>
      <c r="BF28" s="416"/>
    </row>
    <row r="29" spans="1:58" ht="12" customHeight="1">
      <c r="A29" s="495">
        <v>166</v>
      </c>
      <c r="B29" s="509" t="s">
        <v>54</v>
      </c>
      <c r="C29" s="509"/>
      <c r="D29" s="496">
        <v>21916</v>
      </c>
      <c r="E29" s="445"/>
      <c r="F29" s="451" t="s">
        <v>406</v>
      </c>
      <c r="G29" s="452">
        <v>35</v>
      </c>
      <c r="H29" s="445"/>
      <c r="I29" s="453">
        <v>24265.95</v>
      </c>
      <c r="J29" s="452">
        <v>100</v>
      </c>
      <c r="K29" s="452">
        <v>0</v>
      </c>
      <c r="L29"/>
      <c r="M29" s="497">
        <v>24265.95</v>
      </c>
      <c r="N29" s="548">
        <f t="shared" ref="N29:N92" si="14">O29-M29</f>
        <v>0</v>
      </c>
      <c r="O29" s="547">
        <f t="shared" si="12"/>
        <v>24265.95</v>
      </c>
      <c r="P29" s="566">
        <f t="shared" si="13"/>
        <v>0</v>
      </c>
      <c r="Q29" s="499"/>
      <c r="R29" s="499"/>
      <c r="S29" s="542"/>
      <c r="T29" s="500"/>
      <c r="U29" s="500"/>
      <c r="V29" s="500"/>
      <c r="W29" s="555">
        <f>I29</f>
        <v>24265.95</v>
      </c>
      <c r="X29" s="500"/>
      <c r="Y29" s="500"/>
      <c r="Z29" s="555">
        <f t="shared" ref="Z29:Z92" si="15">SUM(S29:Y29)-I29</f>
        <v>0</v>
      </c>
      <c r="AB29" s="500"/>
      <c r="AC29" s="500"/>
      <c r="AD29" s="500"/>
      <c r="AE29" s="500"/>
      <c r="AF29" s="500"/>
      <c r="AG29" s="555">
        <f>O29</f>
        <v>24265.95</v>
      </c>
      <c r="AH29" s="500"/>
      <c r="AI29" s="500"/>
      <c r="AJ29" s="555">
        <f t="shared" ref="AJ29:AJ92" si="16">SUM(AC29:AI29)-O29</f>
        <v>0</v>
      </c>
      <c r="AK29" s="535"/>
      <c r="AL29" s="416"/>
      <c r="AM29" s="416"/>
      <c r="AN29" s="416"/>
      <c r="AO29" s="416"/>
      <c r="AP29" s="416"/>
      <c r="AQ29" s="573">
        <f t="shared" ref="AQ29:AQ30" si="17">N29</f>
        <v>0</v>
      </c>
      <c r="AR29" s="416"/>
      <c r="AS29" s="416"/>
      <c r="AT29" s="416"/>
      <c r="AU29" s="416"/>
      <c r="AV29" s="416"/>
      <c r="AW29" s="416"/>
      <c r="AX29" s="416"/>
      <c r="AY29" s="416"/>
      <c r="AZ29" s="416"/>
      <c r="BA29" s="416"/>
      <c r="BB29" s="416"/>
      <c r="BC29" s="416"/>
      <c r="BD29" s="416"/>
      <c r="BE29" s="416"/>
      <c r="BF29" s="416"/>
    </row>
    <row r="30" spans="1:58" ht="12" customHeight="1">
      <c r="A30" s="495">
        <v>170</v>
      </c>
      <c r="B30" s="509" t="s">
        <v>34</v>
      </c>
      <c r="C30" s="509"/>
      <c r="D30" s="496">
        <v>21916</v>
      </c>
      <c r="E30" s="445"/>
      <c r="F30" s="451" t="s">
        <v>406</v>
      </c>
      <c r="G30" s="452">
        <v>35</v>
      </c>
      <c r="H30" s="445"/>
      <c r="I30" s="453">
        <v>996375.13</v>
      </c>
      <c r="J30" s="452">
        <v>100</v>
      </c>
      <c r="K30" s="452">
        <v>0</v>
      </c>
      <c r="L30"/>
      <c r="M30" s="497">
        <v>996375.13</v>
      </c>
      <c r="N30" s="548">
        <f t="shared" si="14"/>
        <v>0</v>
      </c>
      <c r="O30" s="547">
        <f t="shared" si="12"/>
        <v>996375.13</v>
      </c>
      <c r="P30" s="566">
        <f t="shared" si="13"/>
        <v>0</v>
      </c>
      <c r="Q30" s="499"/>
      <c r="R30" s="499"/>
      <c r="S30" s="541">
        <f>I30</f>
        <v>996375.13</v>
      </c>
      <c r="T30" s="500"/>
      <c r="U30" s="500"/>
      <c r="V30" s="500"/>
      <c r="W30" s="500"/>
      <c r="X30" s="500"/>
      <c r="Y30" s="500"/>
      <c r="Z30" s="555">
        <f t="shared" si="15"/>
        <v>0</v>
      </c>
      <c r="AB30" s="500"/>
      <c r="AC30" s="505">
        <f>O30</f>
        <v>996375.13</v>
      </c>
      <c r="AD30" s="500"/>
      <c r="AE30" s="500"/>
      <c r="AF30" s="500"/>
      <c r="AG30" s="500"/>
      <c r="AH30" s="500"/>
      <c r="AI30" s="500"/>
      <c r="AJ30" s="555">
        <f t="shared" si="16"/>
        <v>0</v>
      </c>
      <c r="AK30" s="535"/>
      <c r="AL30" s="416"/>
      <c r="AM30" s="573">
        <f>N30</f>
        <v>0</v>
      </c>
      <c r="AN30" s="416"/>
      <c r="AO30" s="416"/>
      <c r="AP30" s="416"/>
      <c r="AQ30" s="573">
        <f t="shared" si="17"/>
        <v>0</v>
      </c>
      <c r="AR30" s="416"/>
      <c r="AS30" s="416"/>
      <c r="AT30" s="416"/>
      <c r="AU30" s="416"/>
      <c r="AV30" s="416"/>
      <c r="AW30" s="416"/>
      <c r="AX30" s="416"/>
      <c r="AY30" s="416"/>
      <c r="AZ30" s="416"/>
      <c r="BA30" s="416"/>
      <c r="BB30" s="416"/>
      <c r="BC30" s="416"/>
      <c r="BD30" s="416"/>
      <c r="BE30" s="416"/>
      <c r="BF30" s="416"/>
    </row>
    <row r="31" spans="1:58" ht="12" customHeight="1">
      <c r="A31" s="495">
        <v>168</v>
      </c>
      <c r="B31" s="509" t="s">
        <v>35</v>
      </c>
      <c r="C31" s="509"/>
      <c r="D31" s="496">
        <v>24108</v>
      </c>
      <c r="E31" s="445"/>
      <c r="F31" s="451" t="s">
        <v>406</v>
      </c>
      <c r="G31" s="452">
        <v>35</v>
      </c>
      <c r="H31" s="445"/>
      <c r="I31" s="453">
        <v>477342.84</v>
      </c>
      <c r="J31" s="452">
        <v>100</v>
      </c>
      <c r="K31" s="452">
        <v>0</v>
      </c>
      <c r="L31"/>
      <c r="M31" s="497">
        <v>477342.84</v>
      </c>
      <c r="N31" s="548">
        <f t="shared" si="14"/>
        <v>0</v>
      </c>
      <c r="O31" s="547">
        <f t="shared" si="12"/>
        <v>477342.84</v>
      </c>
      <c r="P31" s="566">
        <f t="shared" si="13"/>
        <v>0</v>
      </c>
      <c r="Q31" s="499"/>
      <c r="R31" s="499"/>
      <c r="S31" s="541">
        <f>I31</f>
        <v>477342.84</v>
      </c>
      <c r="T31" s="508"/>
      <c r="U31" s="508"/>
      <c r="V31" s="508"/>
      <c r="W31" s="508"/>
      <c r="X31" s="508"/>
      <c r="Y31" s="508"/>
      <c r="Z31" s="555">
        <f t="shared" si="15"/>
        <v>0</v>
      </c>
      <c r="AB31" s="508"/>
      <c r="AC31" s="505">
        <v>477342.84</v>
      </c>
      <c r="AD31" s="508"/>
      <c r="AE31" s="508"/>
      <c r="AF31" s="508"/>
      <c r="AG31" s="500"/>
      <c r="AH31" s="508"/>
      <c r="AI31" s="500"/>
      <c r="AJ31" s="555">
        <f t="shared" si="16"/>
        <v>0</v>
      </c>
      <c r="AK31" s="535"/>
      <c r="AL31" s="416"/>
      <c r="AM31" s="573">
        <f t="shared" ref="AM31" si="18">N31</f>
        <v>0</v>
      </c>
      <c r="AN31" s="416"/>
      <c r="AO31" s="416"/>
      <c r="AP31" s="416"/>
      <c r="AQ31" s="416"/>
      <c r="AR31" s="416"/>
      <c r="AS31" s="416"/>
      <c r="AT31" s="416"/>
      <c r="AU31" s="416"/>
      <c r="AV31" s="416"/>
      <c r="AW31" s="416"/>
      <c r="AX31" s="416"/>
      <c r="AY31" s="416"/>
      <c r="AZ31" s="416"/>
      <c r="BA31" s="416"/>
      <c r="BB31" s="416"/>
      <c r="BC31" s="416"/>
      <c r="BD31" s="416"/>
      <c r="BE31" s="416"/>
      <c r="BF31" s="416"/>
    </row>
    <row r="32" spans="1:58" ht="12" customHeight="1">
      <c r="A32" s="495">
        <v>167</v>
      </c>
      <c r="B32" s="509" t="s">
        <v>50</v>
      </c>
      <c r="C32" s="509"/>
      <c r="D32" s="496">
        <v>27030</v>
      </c>
      <c r="E32" s="445"/>
      <c r="F32" s="451" t="s">
        <v>406</v>
      </c>
      <c r="G32" s="452">
        <v>35</v>
      </c>
      <c r="H32" s="445"/>
      <c r="I32" s="453">
        <v>298920.95</v>
      </c>
      <c r="J32" s="452">
        <v>100</v>
      </c>
      <c r="K32" s="452">
        <v>0</v>
      </c>
      <c r="L32"/>
      <c r="M32" s="497">
        <v>298920.95</v>
      </c>
      <c r="N32" s="548">
        <f t="shared" si="14"/>
        <v>0</v>
      </c>
      <c r="O32" s="547">
        <f t="shared" si="12"/>
        <v>298920.95</v>
      </c>
      <c r="P32" s="566">
        <f t="shared" si="13"/>
        <v>0</v>
      </c>
      <c r="Q32" s="499"/>
      <c r="R32" s="499"/>
      <c r="S32" s="541">
        <f>O32*0.5</f>
        <v>149460.47500000001</v>
      </c>
      <c r="T32" s="500"/>
      <c r="U32" s="500"/>
      <c r="V32" s="500"/>
      <c r="W32" s="555">
        <f>I32*0.5</f>
        <v>149460.47500000001</v>
      </c>
      <c r="X32" s="500"/>
      <c r="Y32" s="500"/>
      <c r="Z32" s="555">
        <f t="shared" si="15"/>
        <v>0</v>
      </c>
      <c r="AB32" s="500"/>
      <c r="AC32" s="505">
        <f>O32*0.5</f>
        <v>149460.47500000001</v>
      </c>
      <c r="AD32" s="500"/>
      <c r="AE32" s="500"/>
      <c r="AF32" s="500"/>
      <c r="AG32" s="505">
        <f>O32*0.5</f>
        <v>149460.47500000001</v>
      </c>
      <c r="AH32" s="500"/>
      <c r="AI32" s="500"/>
      <c r="AJ32" s="555">
        <f t="shared" si="16"/>
        <v>0</v>
      </c>
      <c r="AK32" s="535"/>
      <c r="AL32" s="416"/>
      <c r="AM32" s="573">
        <f>N32*0.6</f>
        <v>0</v>
      </c>
      <c r="AN32" s="416"/>
      <c r="AO32" s="416"/>
      <c r="AP32" s="416"/>
      <c r="AQ32" s="573">
        <f>N32*0.4</f>
        <v>0</v>
      </c>
      <c r="AR32" s="416"/>
      <c r="AS32" s="416"/>
      <c r="AT32" s="416"/>
      <c r="AU32" s="416"/>
      <c r="AV32" s="416"/>
      <c r="AW32" s="416"/>
      <c r="AX32" s="416"/>
      <c r="AY32" s="416"/>
      <c r="AZ32" s="416"/>
      <c r="BA32" s="416"/>
      <c r="BB32" s="416"/>
      <c r="BC32" s="416"/>
      <c r="BD32" s="416"/>
      <c r="BE32" s="416"/>
      <c r="BF32" s="416"/>
    </row>
    <row r="33" spans="1:58" ht="12" customHeight="1">
      <c r="A33" s="495">
        <v>169</v>
      </c>
      <c r="B33" s="450" t="s">
        <v>52</v>
      </c>
      <c r="C33" s="450"/>
      <c r="D33" s="496">
        <v>27395</v>
      </c>
      <c r="E33" s="445"/>
      <c r="F33" s="451" t="s">
        <v>406</v>
      </c>
      <c r="G33" s="452">
        <v>35</v>
      </c>
      <c r="H33" s="445"/>
      <c r="I33" s="453">
        <v>440325.45</v>
      </c>
      <c r="J33" s="452">
        <v>100</v>
      </c>
      <c r="K33" s="452">
        <v>0</v>
      </c>
      <c r="L33"/>
      <c r="M33" s="497">
        <v>440325.45</v>
      </c>
      <c r="N33" s="548">
        <f t="shared" si="14"/>
        <v>0</v>
      </c>
      <c r="O33" s="547">
        <f t="shared" si="12"/>
        <v>440325.45</v>
      </c>
      <c r="P33" s="566">
        <f t="shared" si="13"/>
        <v>0</v>
      </c>
      <c r="Q33" s="499"/>
      <c r="R33" s="499"/>
      <c r="S33" s="542"/>
      <c r="T33" s="500"/>
      <c r="U33" s="505">
        <f>ROUND(0.6*I33,2)</f>
        <v>264195.27</v>
      </c>
      <c r="V33" s="500"/>
      <c r="W33" s="505">
        <f>I33-U33</f>
        <v>176130.18</v>
      </c>
      <c r="X33" s="500"/>
      <c r="Y33" s="500"/>
      <c r="Z33" s="555">
        <f t="shared" si="15"/>
        <v>0</v>
      </c>
      <c r="AB33" s="500"/>
      <c r="AC33" s="500"/>
      <c r="AD33" s="500"/>
      <c r="AE33" s="505">
        <f>ROUND(0.6*O33,2)</f>
        <v>264195.27</v>
      </c>
      <c r="AF33" s="500"/>
      <c r="AG33" s="505">
        <f>O33-AE33</f>
        <v>176130.18</v>
      </c>
      <c r="AH33" s="500"/>
      <c r="AI33" s="500"/>
      <c r="AJ33" s="555">
        <f t="shared" si="16"/>
        <v>0</v>
      </c>
      <c r="AK33" s="535"/>
      <c r="AL33" s="416"/>
      <c r="AM33" s="416"/>
      <c r="AN33" s="416"/>
      <c r="AO33" s="573">
        <f>N33*0.6</f>
        <v>0</v>
      </c>
      <c r="AP33" s="416"/>
      <c r="AQ33" s="573">
        <f>N33*0.4</f>
        <v>0</v>
      </c>
      <c r="AR33" s="416"/>
      <c r="AS33" s="416"/>
      <c r="AT33" s="416"/>
      <c r="AU33" s="416"/>
      <c r="AV33" s="416"/>
      <c r="AW33" s="416"/>
      <c r="AX33" s="416"/>
      <c r="AY33" s="416"/>
      <c r="AZ33" s="416"/>
      <c r="BA33" s="416"/>
      <c r="BB33" s="416"/>
      <c r="BC33" s="416"/>
      <c r="BD33" s="416"/>
      <c r="BE33" s="416"/>
      <c r="BF33" s="416"/>
    </row>
    <row r="34" spans="1:58" ht="12" customHeight="1">
      <c r="A34" s="495">
        <v>171</v>
      </c>
      <c r="B34" s="509" t="s">
        <v>35</v>
      </c>
      <c r="C34" s="509"/>
      <c r="D34" s="496">
        <v>30682</v>
      </c>
      <c r="E34" s="445"/>
      <c r="F34" s="451" t="s">
        <v>406</v>
      </c>
      <c r="G34" s="452">
        <v>50</v>
      </c>
      <c r="H34" s="445"/>
      <c r="I34" s="453">
        <v>13120.75</v>
      </c>
      <c r="J34" s="452">
        <v>100</v>
      </c>
      <c r="K34" s="452">
        <v>0</v>
      </c>
      <c r="L34"/>
      <c r="M34" s="497">
        <v>7872.1149999999998</v>
      </c>
      <c r="N34" s="548">
        <f t="shared" si="14"/>
        <v>262.41499999999996</v>
      </c>
      <c r="O34" s="547">
        <f t="shared" si="12"/>
        <v>8134.53</v>
      </c>
      <c r="P34" s="566">
        <f t="shared" si="13"/>
        <v>4986.22</v>
      </c>
      <c r="Q34" s="499"/>
      <c r="R34" s="499"/>
      <c r="S34" s="542"/>
      <c r="T34" s="500"/>
      <c r="U34" s="500"/>
      <c r="V34" s="500"/>
      <c r="W34" s="555">
        <f>I34</f>
        <v>13120.75</v>
      </c>
      <c r="X34" s="500"/>
      <c r="Y34" s="500"/>
      <c r="Z34" s="555">
        <f t="shared" si="15"/>
        <v>0</v>
      </c>
      <c r="AB34" s="500"/>
      <c r="AC34" s="500"/>
      <c r="AD34" s="500"/>
      <c r="AE34" s="500"/>
      <c r="AF34" s="500"/>
      <c r="AG34" s="555">
        <f>O34</f>
        <v>8134.53</v>
      </c>
      <c r="AH34" s="500"/>
      <c r="AI34" s="500"/>
      <c r="AJ34" s="555">
        <f t="shared" si="16"/>
        <v>0</v>
      </c>
      <c r="AK34" s="535"/>
      <c r="AL34" s="416"/>
      <c r="AM34" s="416"/>
      <c r="AN34" s="416"/>
      <c r="AO34" s="416"/>
      <c r="AP34" s="416"/>
      <c r="AQ34" s="573">
        <f>N34</f>
        <v>262.41499999999996</v>
      </c>
      <c r="AR34" s="416"/>
      <c r="AS34" s="416"/>
      <c r="AT34" s="416"/>
      <c r="AU34" s="416"/>
      <c r="AV34" s="416"/>
      <c r="AW34" s="416"/>
      <c r="AX34" s="416"/>
      <c r="AY34" s="416"/>
      <c r="AZ34" s="416"/>
      <c r="BA34" s="416"/>
      <c r="BB34" s="416"/>
      <c r="BC34" s="416"/>
      <c r="BD34" s="416"/>
      <c r="BE34" s="416"/>
      <c r="BF34" s="416"/>
    </row>
    <row r="35" spans="1:58" ht="12" customHeight="1">
      <c r="A35" s="495">
        <v>172</v>
      </c>
      <c r="B35" s="509" t="s">
        <v>35</v>
      </c>
      <c r="C35" s="509"/>
      <c r="D35" s="496">
        <v>31048</v>
      </c>
      <c r="E35" s="445"/>
      <c r="F35" s="451" t="s">
        <v>406</v>
      </c>
      <c r="G35" s="452">
        <v>50</v>
      </c>
      <c r="H35" s="445"/>
      <c r="I35" s="453">
        <v>184839.2</v>
      </c>
      <c r="J35" s="452">
        <v>100</v>
      </c>
      <c r="K35" s="452">
        <v>0</v>
      </c>
      <c r="L35"/>
      <c r="M35" s="497">
        <v>107206.894</v>
      </c>
      <c r="N35" s="548">
        <f t="shared" si="14"/>
        <v>3696.7839999999997</v>
      </c>
      <c r="O35" s="547">
        <f t="shared" si="12"/>
        <v>110903.678</v>
      </c>
      <c r="P35" s="566">
        <f t="shared" si="13"/>
        <v>73935.522000000012</v>
      </c>
      <c r="Q35" s="499"/>
      <c r="R35" s="499"/>
      <c r="S35" s="542"/>
      <c r="T35" s="500"/>
      <c r="U35" s="505">
        <f>I35</f>
        <v>184839.2</v>
      </c>
      <c r="V35" s="500"/>
      <c r="W35" s="500"/>
      <c r="X35" s="500"/>
      <c r="Y35" s="500"/>
      <c r="Z35" s="555">
        <f t="shared" si="15"/>
        <v>0</v>
      </c>
      <c r="AB35" s="500"/>
      <c r="AC35" s="500"/>
      <c r="AD35" s="500"/>
      <c r="AE35" s="505">
        <f>O35</f>
        <v>110903.678</v>
      </c>
      <c r="AF35" s="500"/>
      <c r="AG35" s="500"/>
      <c r="AH35" s="500"/>
      <c r="AI35" s="500"/>
      <c r="AJ35" s="555">
        <f t="shared" si="16"/>
        <v>0</v>
      </c>
      <c r="AK35" s="535"/>
      <c r="AL35" s="416"/>
      <c r="AM35" s="416"/>
      <c r="AN35" s="416"/>
      <c r="AO35" s="573">
        <f>N35</f>
        <v>3696.7839999999997</v>
      </c>
      <c r="AP35" s="416"/>
      <c r="AQ35" s="416"/>
      <c r="AR35" s="416"/>
      <c r="AS35" s="416"/>
      <c r="AT35" s="416"/>
      <c r="AU35" s="416"/>
      <c r="AV35" s="416"/>
      <c r="AW35" s="416"/>
      <c r="AX35" s="416"/>
      <c r="AY35" s="416"/>
      <c r="AZ35" s="416"/>
      <c r="BA35" s="416"/>
      <c r="BB35" s="416"/>
      <c r="BC35" s="416"/>
      <c r="BD35" s="416"/>
      <c r="BE35" s="416"/>
      <c r="BF35" s="416"/>
    </row>
    <row r="36" spans="1:58" ht="12" customHeight="1">
      <c r="A36" s="495">
        <v>173</v>
      </c>
      <c r="B36" s="450" t="s">
        <v>55</v>
      </c>
      <c r="C36" s="450"/>
      <c r="D36" s="496">
        <v>31413</v>
      </c>
      <c r="E36" s="445"/>
      <c r="F36" s="451" t="s">
        <v>406</v>
      </c>
      <c r="G36" s="452">
        <v>40</v>
      </c>
      <c r="H36" s="445"/>
      <c r="I36" s="453">
        <v>43000</v>
      </c>
      <c r="J36" s="452">
        <v>100</v>
      </c>
      <c r="K36" s="452">
        <v>0</v>
      </c>
      <c r="L36"/>
      <c r="M36" s="497">
        <v>30101.68</v>
      </c>
      <c r="N36" s="548">
        <f t="shared" si="14"/>
        <v>1075</v>
      </c>
      <c r="O36" s="547">
        <f t="shared" si="12"/>
        <v>31176.68</v>
      </c>
      <c r="P36" s="566">
        <f t="shared" si="13"/>
        <v>11823.32</v>
      </c>
      <c r="Q36" s="499"/>
      <c r="R36" s="499"/>
      <c r="S36" s="542"/>
      <c r="T36" s="500"/>
      <c r="U36" s="500"/>
      <c r="V36" s="500"/>
      <c r="W36" s="555">
        <f t="shared" ref="W36:W50" si="19">I36</f>
        <v>43000</v>
      </c>
      <c r="X36" s="500"/>
      <c r="Y36" s="500"/>
      <c r="Z36" s="555">
        <f t="shared" si="15"/>
        <v>0</v>
      </c>
      <c r="AB36" s="500"/>
      <c r="AC36" s="500"/>
      <c r="AD36" s="500"/>
      <c r="AE36" s="500"/>
      <c r="AF36" s="500"/>
      <c r="AG36" s="555">
        <f t="shared" ref="AG36:AG40" si="20">O36</f>
        <v>31176.68</v>
      </c>
      <c r="AH36" s="500"/>
      <c r="AI36" s="500"/>
      <c r="AJ36" s="555">
        <f t="shared" si="16"/>
        <v>0</v>
      </c>
      <c r="AK36" s="535"/>
      <c r="AL36" s="416"/>
      <c r="AM36" s="416"/>
      <c r="AN36" s="416"/>
      <c r="AO36" s="416"/>
      <c r="AP36" s="416"/>
      <c r="AQ36" s="573">
        <f t="shared" ref="AQ36:AQ50" si="21">N36</f>
        <v>1075</v>
      </c>
      <c r="AR36" s="416"/>
      <c r="AS36" s="416"/>
      <c r="AT36" s="416"/>
      <c r="AU36" s="416"/>
      <c r="AV36" s="416"/>
      <c r="AW36" s="416"/>
      <c r="AX36" s="416"/>
      <c r="AY36" s="416"/>
      <c r="AZ36" s="416"/>
      <c r="BA36" s="416"/>
      <c r="BB36" s="416"/>
      <c r="BC36" s="416"/>
      <c r="BD36" s="416"/>
      <c r="BE36" s="416"/>
      <c r="BF36" s="416"/>
    </row>
    <row r="37" spans="1:58" ht="12" customHeight="1">
      <c r="A37" s="495">
        <v>174</v>
      </c>
      <c r="B37" s="509" t="s">
        <v>35</v>
      </c>
      <c r="C37" s="509"/>
      <c r="D37" s="496">
        <v>31413</v>
      </c>
      <c r="E37" s="445"/>
      <c r="F37" s="451" t="s">
        <v>406</v>
      </c>
      <c r="G37" s="452">
        <v>50</v>
      </c>
      <c r="H37" s="445"/>
      <c r="I37" s="453">
        <v>4881.01</v>
      </c>
      <c r="J37" s="452">
        <v>100</v>
      </c>
      <c r="K37" s="452">
        <v>0</v>
      </c>
      <c r="L37"/>
      <c r="M37" s="497">
        <v>2733.7421999999992</v>
      </c>
      <c r="N37" s="548">
        <f t="shared" si="14"/>
        <v>97.620199999999841</v>
      </c>
      <c r="O37" s="547">
        <f t="shared" si="12"/>
        <v>2831.3623999999991</v>
      </c>
      <c r="P37" s="566">
        <f t="shared" si="13"/>
        <v>2049.6476000000011</v>
      </c>
      <c r="Q37" s="499"/>
      <c r="R37" s="499"/>
      <c r="S37" s="542"/>
      <c r="T37" s="500"/>
      <c r="U37" s="500"/>
      <c r="V37" s="500"/>
      <c r="W37" s="555">
        <f t="shared" si="19"/>
        <v>4881.01</v>
      </c>
      <c r="X37" s="500"/>
      <c r="Y37" s="500"/>
      <c r="Z37" s="555">
        <f t="shared" si="15"/>
        <v>0</v>
      </c>
      <c r="AB37" s="500"/>
      <c r="AC37" s="500"/>
      <c r="AD37" s="500"/>
      <c r="AE37" s="500"/>
      <c r="AF37" s="500"/>
      <c r="AG37" s="555">
        <f t="shared" si="20"/>
        <v>2831.3623999999991</v>
      </c>
      <c r="AH37" s="500"/>
      <c r="AI37" s="500"/>
      <c r="AJ37" s="555">
        <f t="shared" si="16"/>
        <v>0</v>
      </c>
      <c r="AK37" s="535"/>
      <c r="AL37" s="416"/>
      <c r="AM37" s="416"/>
      <c r="AN37" s="416"/>
      <c r="AO37" s="416"/>
      <c r="AP37" s="416"/>
      <c r="AQ37" s="573">
        <f t="shared" si="21"/>
        <v>97.620199999999841</v>
      </c>
      <c r="AR37" s="416"/>
      <c r="AS37" s="416"/>
      <c r="AT37" s="416"/>
      <c r="AU37" s="416"/>
      <c r="AV37" s="416"/>
      <c r="AW37" s="416"/>
      <c r="AX37" s="416"/>
      <c r="AY37" s="416"/>
      <c r="AZ37" s="416"/>
      <c r="BA37" s="416"/>
      <c r="BB37" s="416"/>
      <c r="BC37" s="416"/>
      <c r="BD37" s="416"/>
      <c r="BE37" s="416"/>
      <c r="BF37" s="416"/>
    </row>
    <row r="38" spans="1:58" ht="12" customHeight="1">
      <c r="A38" s="495">
        <v>175</v>
      </c>
      <c r="B38" s="509" t="s">
        <v>56</v>
      </c>
      <c r="C38" s="509"/>
      <c r="D38" s="496">
        <v>31778</v>
      </c>
      <c r="E38" s="445"/>
      <c r="F38" s="451" t="s">
        <v>406</v>
      </c>
      <c r="G38" s="452">
        <v>50</v>
      </c>
      <c r="H38" s="445"/>
      <c r="I38" s="453">
        <v>5000</v>
      </c>
      <c r="J38" s="452">
        <v>100</v>
      </c>
      <c r="K38" s="452">
        <v>0</v>
      </c>
      <c r="L38"/>
      <c r="M38" s="497">
        <v>2700</v>
      </c>
      <c r="N38" s="548">
        <f t="shared" si="14"/>
        <v>100</v>
      </c>
      <c r="O38" s="547">
        <f t="shared" si="12"/>
        <v>2800</v>
      </c>
      <c r="P38" s="566">
        <f t="shared" si="13"/>
        <v>2200</v>
      </c>
      <c r="Q38" s="499"/>
      <c r="R38" s="499"/>
      <c r="S38" s="542"/>
      <c r="T38" s="500"/>
      <c r="U38" s="500"/>
      <c r="V38" s="500"/>
      <c r="W38" s="555">
        <f t="shared" si="19"/>
        <v>5000</v>
      </c>
      <c r="X38" s="500"/>
      <c r="Y38" s="500"/>
      <c r="Z38" s="555">
        <f t="shared" si="15"/>
        <v>0</v>
      </c>
      <c r="AB38" s="500"/>
      <c r="AC38" s="500"/>
      <c r="AD38" s="500"/>
      <c r="AE38" s="500"/>
      <c r="AF38" s="500"/>
      <c r="AG38" s="555">
        <f t="shared" si="20"/>
        <v>2800</v>
      </c>
      <c r="AH38" s="500"/>
      <c r="AI38" s="500"/>
      <c r="AJ38" s="555">
        <f t="shared" si="16"/>
        <v>0</v>
      </c>
      <c r="AK38" s="535"/>
      <c r="AL38" s="416"/>
      <c r="AM38" s="416"/>
      <c r="AN38" s="416"/>
      <c r="AO38" s="416"/>
      <c r="AP38" s="416"/>
      <c r="AQ38" s="573">
        <f t="shared" si="21"/>
        <v>100</v>
      </c>
      <c r="AR38" s="416"/>
      <c r="AS38" s="416"/>
      <c r="AT38" s="416"/>
      <c r="AU38" s="416"/>
      <c r="AV38" s="416"/>
      <c r="AW38" s="416"/>
      <c r="AX38" s="416"/>
      <c r="AY38" s="416"/>
      <c r="AZ38" s="416"/>
      <c r="BA38" s="416"/>
      <c r="BB38" s="416"/>
      <c r="BC38" s="416"/>
      <c r="BD38" s="416"/>
      <c r="BE38" s="416"/>
      <c r="BF38" s="416"/>
    </row>
    <row r="39" spans="1:58" ht="12" customHeight="1">
      <c r="A39" s="495">
        <v>176</v>
      </c>
      <c r="B39" s="509" t="s">
        <v>57</v>
      </c>
      <c r="C39" s="509"/>
      <c r="D39" s="496">
        <v>32143</v>
      </c>
      <c r="E39" s="445"/>
      <c r="F39" s="451" t="s">
        <v>406</v>
      </c>
      <c r="G39" s="452">
        <v>50</v>
      </c>
      <c r="H39" s="445"/>
      <c r="I39" s="453">
        <v>53357.65</v>
      </c>
      <c r="J39" s="452">
        <v>100</v>
      </c>
      <c r="K39" s="452">
        <v>0</v>
      </c>
      <c r="L39"/>
      <c r="M39" s="497">
        <v>27745.792999999991</v>
      </c>
      <c r="N39" s="548">
        <f t="shared" si="14"/>
        <v>1067.1529999999984</v>
      </c>
      <c r="O39" s="547">
        <f t="shared" si="12"/>
        <v>28812.945999999989</v>
      </c>
      <c r="P39" s="566">
        <f t="shared" si="13"/>
        <v>24544.704000000012</v>
      </c>
      <c r="Q39" s="499"/>
      <c r="R39" s="499"/>
      <c r="S39" s="542"/>
      <c r="T39" s="500"/>
      <c r="U39" s="500"/>
      <c r="V39" s="500"/>
      <c r="W39" s="555">
        <f t="shared" si="19"/>
        <v>53357.65</v>
      </c>
      <c r="X39" s="500"/>
      <c r="Y39" s="500"/>
      <c r="Z39" s="555">
        <f t="shared" si="15"/>
        <v>0</v>
      </c>
      <c r="AB39" s="500"/>
      <c r="AC39" s="500"/>
      <c r="AD39" s="500"/>
      <c r="AE39" s="500"/>
      <c r="AF39" s="500"/>
      <c r="AG39" s="555">
        <f t="shared" si="20"/>
        <v>28812.945999999989</v>
      </c>
      <c r="AH39" s="500"/>
      <c r="AI39" s="500"/>
      <c r="AJ39" s="555">
        <f t="shared" si="16"/>
        <v>0</v>
      </c>
      <c r="AK39" s="535"/>
      <c r="AL39" s="416"/>
      <c r="AM39" s="416"/>
      <c r="AN39" s="416"/>
      <c r="AO39" s="416"/>
      <c r="AP39" s="416"/>
      <c r="AQ39" s="573">
        <f t="shared" si="21"/>
        <v>1067.1529999999984</v>
      </c>
      <c r="AR39" s="416"/>
      <c r="AS39" s="416"/>
      <c r="AT39" s="416"/>
      <c r="AU39" s="416"/>
      <c r="AV39" s="416"/>
      <c r="AW39" s="416"/>
      <c r="AX39" s="416"/>
      <c r="AY39" s="416"/>
      <c r="AZ39" s="416"/>
      <c r="BA39" s="416"/>
      <c r="BB39" s="416"/>
      <c r="BC39" s="416"/>
      <c r="BD39" s="416"/>
      <c r="BE39" s="416"/>
      <c r="BF39" s="416"/>
    </row>
    <row r="40" spans="1:58" ht="12" customHeight="1">
      <c r="A40" s="495">
        <v>177</v>
      </c>
      <c r="B40" s="509" t="s">
        <v>117</v>
      </c>
      <c r="C40" s="509"/>
      <c r="D40" s="496">
        <v>32509</v>
      </c>
      <c r="E40" s="445"/>
      <c r="F40" s="451" t="s">
        <v>406</v>
      </c>
      <c r="G40" s="452">
        <v>15</v>
      </c>
      <c r="H40" s="445"/>
      <c r="I40" s="453">
        <v>3478</v>
      </c>
      <c r="J40" s="452">
        <v>100</v>
      </c>
      <c r="K40" s="452">
        <v>0</v>
      </c>
      <c r="L40"/>
      <c r="M40" s="497">
        <v>3478</v>
      </c>
      <c r="N40" s="548">
        <f t="shared" si="14"/>
        <v>0</v>
      </c>
      <c r="O40" s="547">
        <f t="shared" si="12"/>
        <v>3478</v>
      </c>
      <c r="P40" s="566">
        <f t="shared" si="13"/>
        <v>0</v>
      </c>
      <c r="Q40" s="499"/>
      <c r="R40" s="499"/>
      <c r="S40" s="542"/>
      <c r="T40" s="500"/>
      <c r="U40" s="500"/>
      <c r="V40" s="500"/>
      <c r="W40" s="555">
        <f t="shared" si="19"/>
        <v>3478</v>
      </c>
      <c r="X40" s="500"/>
      <c r="Y40" s="535"/>
      <c r="Z40" s="555">
        <f t="shared" si="15"/>
        <v>0</v>
      </c>
      <c r="AB40" s="500"/>
      <c r="AC40" s="500"/>
      <c r="AD40" s="500"/>
      <c r="AE40" s="500"/>
      <c r="AF40" s="500"/>
      <c r="AG40" s="555">
        <f t="shared" si="20"/>
        <v>3478</v>
      </c>
      <c r="AH40" s="500"/>
      <c r="AI40" s="505"/>
      <c r="AJ40" s="555">
        <f t="shared" si="16"/>
        <v>0</v>
      </c>
      <c r="AK40" s="535"/>
      <c r="AL40" s="416"/>
      <c r="AM40" s="416"/>
      <c r="AN40" s="416"/>
      <c r="AO40" s="416"/>
      <c r="AP40" s="416"/>
      <c r="AQ40" s="573">
        <f t="shared" si="21"/>
        <v>0</v>
      </c>
      <c r="AR40" s="416"/>
      <c r="AS40" s="416"/>
      <c r="AT40" s="416"/>
      <c r="AU40" s="416"/>
      <c r="AV40" s="416"/>
      <c r="AW40" s="416"/>
      <c r="AX40" s="416"/>
      <c r="AY40" s="416"/>
      <c r="AZ40" s="416"/>
      <c r="BA40" s="416"/>
      <c r="BB40" s="416"/>
      <c r="BC40" s="416"/>
      <c r="BD40" s="416"/>
      <c r="BE40" s="416"/>
      <c r="BF40" s="416"/>
    </row>
    <row r="41" spans="1:58" ht="12" customHeight="1">
      <c r="A41" s="495">
        <v>178</v>
      </c>
      <c r="B41" s="509" t="s">
        <v>58</v>
      </c>
      <c r="C41" s="509"/>
      <c r="D41" s="496">
        <v>32509</v>
      </c>
      <c r="E41" s="445"/>
      <c r="F41" s="451" t="s">
        <v>406</v>
      </c>
      <c r="G41" s="452">
        <v>15</v>
      </c>
      <c r="H41" s="445"/>
      <c r="I41" s="453">
        <v>1738.58</v>
      </c>
      <c r="J41" s="452">
        <v>100</v>
      </c>
      <c r="K41" s="452">
        <v>0</v>
      </c>
      <c r="L41"/>
      <c r="M41" s="497">
        <v>1738.58</v>
      </c>
      <c r="N41" s="548">
        <f t="shared" si="14"/>
        <v>0</v>
      </c>
      <c r="O41" s="547">
        <f t="shared" si="12"/>
        <v>1738.58</v>
      </c>
      <c r="P41" s="566">
        <f t="shared" si="13"/>
        <v>0</v>
      </c>
      <c r="Q41" s="499"/>
      <c r="R41" s="499"/>
      <c r="S41" s="542"/>
      <c r="T41" s="500"/>
      <c r="U41" s="500"/>
      <c r="V41" s="500"/>
      <c r="W41" s="555">
        <f t="shared" si="19"/>
        <v>1738.58</v>
      </c>
      <c r="X41" s="500"/>
      <c r="Y41" s="500"/>
      <c r="Z41" s="555">
        <f t="shared" si="15"/>
        <v>0</v>
      </c>
      <c r="AB41" s="500"/>
      <c r="AC41" s="500"/>
      <c r="AD41" s="500"/>
      <c r="AE41" s="500"/>
      <c r="AF41" s="500"/>
      <c r="AG41" s="555">
        <f t="shared" ref="AG41:AG50" si="22">O41</f>
        <v>1738.58</v>
      </c>
      <c r="AH41" s="500"/>
      <c r="AI41" s="500"/>
      <c r="AJ41" s="555">
        <f t="shared" si="16"/>
        <v>0</v>
      </c>
      <c r="AK41" s="535"/>
      <c r="AL41" s="416"/>
      <c r="AM41" s="416"/>
      <c r="AN41" s="416"/>
      <c r="AO41" s="416"/>
      <c r="AP41" s="416"/>
      <c r="AQ41" s="573">
        <f t="shared" si="21"/>
        <v>0</v>
      </c>
      <c r="AR41" s="416"/>
      <c r="AS41" s="416"/>
      <c r="AT41" s="416"/>
      <c r="AU41" s="416"/>
      <c r="AV41" s="416"/>
      <c r="AW41" s="416"/>
      <c r="AX41" s="416"/>
      <c r="AY41" s="416"/>
      <c r="AZ41" s="416"/>
      <c r="BA41" s="416"/>
      <c r="BB41" s="416"/>
      <c r="BC41" s="416"/>
      <c r="BD41" s="416"/>
      <c r="BE41" s="416"/>
      <c r="BF41" s="416"/>
    </row>
    <row r="42" spans="1:58" ht="12" customHeight="1">
      <c r="A42" s="495">
        <v>179</v>
      </c>
      <c r="B42" s="509" t="s">
        <v>59</v>
      </c>
      <c r="C42" s="509"/>
      <c r="D42" s="496">
        <v>32509</v>
      </c>
      <c r="E42" s="445"/>
      <c r="F42" s="451" t="s">
        <v>406</v>
      </c>
      <c r="G42" s="452">
        <v>15</v>
      </c>
      <c r="H42" s="445"/>
      <c r="I42" s="453">
        <v>1566.85</v>
      </c>
      <c r="J42" s="452">
        <v>100</v>
      </c>
      <c r="K42" s="452">
        <v>0</v>
      </c>
      <c r="L42"/>
      <c r="M42" s="497">
        <v>1566.85</v>
      </c>
      <c r="N42" s="548">
        <f t="shared" si="14"/>
        <v>0</v>
      </c>
      <c r="O42" s="547">
        <f t="shared" si="12"/>
        <v>1566.85</v>
      </c>
      <c r="P42" s="566">
        <f t="shared" si="13"/>
        <v>0</v>
      </c>
      <c r="Q42" s="499"/>
      <c r="R42" s="499"/>
      <c r="S42" s="542"/>
      <c r="T42" s="500"/>
      <c r="U42" s="500"/>
      <c r="V42" s="500"/>
      <c r="W42" s="555">
        <f t="shared" si="19"/>
        <v>1566.85</v>
      </c>
      <c r="X42" s="500"/>
      <c r="Y42" s="500"/>
      <c r="Z42" s="555">
        <f t="shared" si="15"/>
        <v>0</v>
      </c>
      <c r="AB42" s="500"/>
      <c r="AC42" s="500"/>
      <c r="AD42" s="500"/>
      <c r="AE42" s="500"/>
      <c r="AF42" s="500"/>
      <c r="AG42" s="555">
        <f t="shared" si="22"/>
        <v>1566.85</v>
      </c>
      <c r="AH42" s="500"/>
      <c r="AI42" s="500"/>
      <c r="AJ42" s="555">
        <f t="shared" si="16"/>
        <v>0</v>
      </c>
      <c r="AK42" s="535"/>
      <c r="AL42" s="416"/>
      <c r="AM42" s="416"/>
      <c r="AN42" s="416"/>
      <c r="AO42" s="416"/>
      <c r="AP42" s="416"/>
      <c r="AQ42" s="573">
        <f t="shared" si="21"/>
        <v>0</v>
      </c>
      <c r="AR42" s="416"/>
      <c r="AS42" s="416"/>
      <c r="AT42" s="416"/>
      <c r="AU42" s="416"/>
      <c r="AV42" s="416"/>
      <c r="AW42" s="416"/>
      <c r="AX42" s="416"/>
      <c r="AY42" s="416"/>
      <c r="AZ42" s="416"/>
      <c r="BA42" s="416"/>
      <c r="BB42" s="416"/>
      <c r="BC42" s="416"/>
      <c r="BD42" s="416"/>
      <c r="BE42" s="416"/>
      <c r="BF42" s="416"/>
    </row>
    <row r="43" spans="1:58" ht="12" customHeight="1">
      <c r="A43" s="495">
        <v>180</v>
      </c>
      <c r="B43" s="509" t="s">
        <v>60</v>
      </c>
      <c r="C43" s="509"/>
      <c r="D43" s="496">
        <v>32509</v>
      </c>
      <c r="E43" s="445"/>
      <c r="F43" s="451" t="s">
        <v>406</v>
      </c>
      <c r="G43" s="452">
        <v>15</v>
      </c>
      <c r="H43" s="445"/>
      <c r="I43" s="453">
        <v>1364.48</v>
      </c>
      <c r="J43" s="452">
        <v>100</v>
      </c>
      <c r="K43" s="452">
        <v>0</v>
      </c>
      <c r="L43"/>
      <c r="M43" s="497">
        <v>1364.48</v>
      </c>
      <c r="N43" s="548">
        <f t="shared" si="14"/>
        <v>0</v>
      </c>
      <c r="O43" s="547">
        <f t="shared" si="12"/>
        <v>1364.48</v>
      </c>
      <c r="P43" s="566">
        <f t="shared" si="13"/>
        <v>0</v>
      </c>
      <c r="Q43" s="499"/>
      <c r="R43" s="499"/>
      <c r="S43" s="542"/>
      <c r="T43" s="500"/>
      <c r="U43" s="500"/>
      <c r="V43" s="500"/>
      <c r="W43" s="555">
        <f t="shared" si="19"/>
        <v>1364.48</v>
      </c>
      <c r="X43" s="500"/>
      <c r="Y43" s="500"/>
      <c r="Z43" s="555">
        <f t="shared" si="15"/>
        <v>0</v>
      </c>
      <c r="AB43" s="500"/>
      <c r="AC43" s="500"/>
      <c r="AD43" s="500"/>
      <c r="AE43" s="500"/>
      <c r="AF43" s="500"/>
      <c r="AG43" s="555">
        <f t="shared" si="22"/>
        <v>1364.48</v>
      </c>
      <c r="AH43" s="500"/>
      <c r="AI43" s="500"/>
      <c r="AJ43" s="555">
        <f t="shared" si="16"/>
        <v>0</v>
      </c>
      <c r="AK43" s="535"/>
      <c r="AL43" s="416"/>
      <c r="AM43" s="416"/>
      <c r="AN43" s="416"/>
      <c r="AO43" s="416"/>
      <c r="AP43" s="416"/>
      <c r="AQ43" s="573">
        <f t="shared" si="21"/>
        <v>0</v>
      </c>
      <c r="AR43" s="416"/>
      <c r="AS43" s="416"/>
      <c r="AT43" s="416"/>
      <c r="AU43" s="416"/>
      <c r="AV43" s="416"/>
      <c r="AW43" s="416"/>
      <c r="AX43" s="416"/>
      <c r="AY43" s="416"/>
      <c r="AZ43" s="416"/>
      <c r="BA43" s="416"/>
      <c r="BB43" s="416"/>
      <c r="BC43" s="416"/>
      <c r="BD43" s="416"/>
      <c r="BE43" s="416"/>
      <c r="BF43" s="416"/>
    </row>
    <row r="44" spans="1:58" ht="12" customHeight="1">
      <c r="A44" s="495">
        <v>181</v>
      </c>
      <c r="B44" s="450" t="s">
        <v>61</v>
      </c>
      <c r="C44" s="450"/>
      <c r="D44" s="496">
        <v>32874</v>
      </c>
      <c r="E44" s="445"/>
      <c r="F44" s="451" t="s">
        <v>406</v>
      </c>
      <c r="G44" s="452">
        <v>15</v>
      </c>
      <c r="H44" s="445"/>
      <c r="I44" s="453">
        <v>41800</v>
      </c>
      <c r="J44" s="452">
        <v>100</v>
      </c>
      <c r="K44" s="452">
        <v>0</v>
      </c>
      <c r="L44"/>
      <c r="M44" s="497">
        <v>41800</v>
      </c>
      <c r="N44" s="548">
        <f t="shared" si="14"/>
        <v>0</v>
      </c>
      <c r="O44" s="547">
        <f t="shared" si="12"/>
        <v>41800</v>
      </c>
      <c r="P44" s="566">
        <f t="shared" si="13"/>
        <v>0</v>
      </c>
      <c r="Q44" s="499"/>
      <c r="R44" s="499"/>
      <c r="S44" s="542"/>
      <c r="T44" s="500"/>
      <c r="U44" s="500"/>
      <c r="V44" s="500"/>
      <c r="W44" s="555">
        <f t="shared" si="19"/>
        <v>41800</v>
      </c>
      <c r="X44" s="500"/>
      <c r="Y44" s="500"/>
      <c r="Z44" s="555">
        <f t="shared" si="15"/>
        <v>0</v>
      </c>
      <c r="AB44" s="500"/>
      <c r="AC44" s="500"/>
      <c r="AD44" s="500"/>
      <c r="AE44" s="500"/>
      <c r="AF44" s="500"/>
      <c r="AG44" s="555">
        <f t="shared" si="22"/>
        <v>41800</v>
      </c>
      <c r="AH44" s="500"/>
      <c r="AI44" s="500"/>
      <c r="AJ44" s="555">
        <f t="shared" si="16"/>
        <v>0</v>
      </c>
      <c r="AK44" s="535"/>
      <c r="AL44" s="416"/>
      <c r="AM44" s="416"/>
      <c r="AN44" s="416"/>
      <c r="AO44" s="416"/>
      <c r="AP44" s="416"/>
      <c r="AQ44" s="573">
        <f t="shared" si="21"/>
        <v>0</v>
      </c>
      <c r="AR44" s="416"/>
      <c r="AS44" s="416"/>
      <c r="AT44" s="416"/>
      <c r="AU44" s="416"/>
      <c r="AV44" s="416"/>
      <c r="AW44" s="416"/>
      <c r="AX44" s="416"/>
      <c r="AY44" s="416"/>
      <c r="AZ44" s="416"/>
      <c r="BA44" s="416"/>
      <c r="BB44" s="416"/>
      <c r="BC44" s="416"/>
      <c r="BD44" s="416"/>
      <c r="BE44" s="416"/>
      <c r="BF44" s="416"/>
    </row>
    <row r="45" spans="1:58" ht="12" customHeight="1">
      <c r="A45" s="495">
        <v>182</v>
      </c>
      <c r="B45" s="509" t="s">
        <v>62</v>
      </c>
      <c r="C45" s="509"/>
      <c r="D45" s="496">
        <v>32874</v>
      </c>
      <c r="E45" s="445"/>
      <c r="F45" s="451" t="s">
        <v>406</v>
      </c>
      <c r="G45" s="452">
        <v>15</v>
      </c>
      <c r="H45" s="445"/>
      <c r="I45" s="453">
        <v>6783.12</v>
      </c>
      <c r="J45" s="452">
        <v>100</v>
      </c>
      <c r="K45" s="452">
        <v>0</v>
      </c>
      <c r="L45"/>
      <c r="M45" s="497">
        <v>6783.12</v>
      </c>
      <c r="N45" s="548">
        <f t="shared" si="14"/>
        <v>0</v>
      </c>
      <c r="O45" s="547">
        <f t="shared" si="12"/>
        <v>6783.12</v>
      </c>
      <c r="P45" s="566">
        <f t="shared" si="13"/>
        <v>0</v>
      </c>
      <c r="Q45" s="499"/>
      <c r="R45" s="499"/>
      <c r="S45" s="542"/>
      <c r="T45" s="500"/>
      <c r="U45" s="500"/>
      <c r="V45" s="500"/>
      <c r="W45" s="555">
        <f t="shared" si="19"/>
        <v>6783.12</v>
      </c>
      <c r="X45" s="500"/>
      <c r="Y45" s="500"/>
      <c r="Z45" s="555">
        <f t="shared" si="15"/>
        <v>0</v>
      </c>
      <c r="AB45" s="500"/>
      <c r="AC45" s="500"/>
      <c r="AD45" s="500"/>
      <c r="AE45" s="500"/>
      <c r="AF45" s="500"/>
      <c r="AG45" s="555">
        <f t="shared" si="22"/>
        <v>6783.12</v>
      </c>
      <c r="AH45" s="500"/>
      <c r="AI45" s="500"/>
      <c r="AJ45" s="555">
        <f t="shared" si="16"/>
        <v>0</v>
      </c>
      <c r="AK45" s="535"/>
      <c r="AL45" s="416"/>
      <c r="AM45" s="416"/>
      <c r="AN45" s="416"/>
      <c r="AO45" s="416"/>
      <c r="AP45" s="416"/>
      <c r="AQ45" s="573">
        <f t="shared" si="21"/>
        <v>0</v>
      </c>
      <c r="AR45" s="416"/>
      <c r="AS45" s="416"/>
      <c r="AT45" s="416"/>
      <c r="AU45" s="416"/>
      <c r="AV45" s="416"/>
      <c r="AW45" s="416"/>
      <c r="AX45" s="416"/>
      <c r="AY45" s="416"/>
      <c r="AZ45" s="416"/>
      <c r="BA45" s="416"/>
      <c r="BB45" s="416"/>
      <c r="BC45" s="416"/>
      <c r="BD45" s="416"/>
      <c r="BE45" s="416"/>
      <c r="BF45" s="416"/>
    </row>
    <row r="46" spans="1:58" ht="12" customHeight="1">
      <c r="A46" s="495">
        <v>183</v>
      </c>
      <c r="B46" s="509" t="s">
        <v>63</v>
      </c>
      <c r="C46" s="509"/>
      <c r="D46" s="496">
        <v>32874</v>
      </c>
      <c r="E46" s="445"/>
      <c r="F46" s="451" t="s">
        <v>406</v>
      </c>
      <c r="G46" s="452">
        <v>15</v>
      </c>
      <c r="H46" s="445"/>
      <c r="I46" s="453">
        <v>3108.92</v>
      </c>
      <c r="J46" s="452">
        <v>100</v>
      </c>
      <c r="K46" s="452">
        <v>0</v>
      </c>
      <c r="L46"/>
      <c r="M46" s="497">
        <v>3108.92</v>
      </c>
      <c r="N46" s="548">
        <f t="shared" si="14"/>
        <v>0</v>
      </c>
      <c r="O46" s="547">
        <f t="shared" si="12"/>
        <v>3108.92</v>
      </c>
      <c r="P46" s="566">
        <f t="shared" si="13"/>
        <v>0</v>
      </c>
      <c r="Q46" s="499"/>
      <c r="R46" s="499"/>
      <c r="S46" s="542"/>
      <c r="T46" s="500"/>
      <c r="U46" s="500"/>
      <c r="V46" s="500"/>
      <c r="W46" s="555">
        <f t="shared" si="19"/>
        <v>3108.92</v>
      </c>
      <c r="X46" s="500"/>
      <c r="Y46" s="500"/>
      <c r="Z46" s="555">
        <f t="shared" si="15"/>
        <v>0</v>
      </c>
      <c r="AB46" s="500"/>
      <c r="AC46" s="500"/>
      <c r="AD46" s="500"/>
      <c r="AE46" s="500"/>
      <c r="AF46" s="500"/>
      <c r="AG46" s="555">
        <f t="shared" si="22"/>
        <v>3108.92</v>
      </c>
      <c r="AH46" s="500"/>
      <c r="AI46" s="500"/>
      <c r="AJ46" s="555">
        <f t="shared" si="16"/>
        <v>0</v>
      </c>
      <c r="AK46" s="535"/>
      <c r="AL46" s="416"/>
      <c r="AM46" s="416"/>
      <c r="AN46" s="416"/>
      <c r="AO46" s="416"/>
      <c r="AP46" s="416"/>
      <c r="AQ46" s="573">
        <f t="shared" si="21"/>
        <v>0</v>
      </c>
      <c r="AR46" s="416"/>
      <c r="AS46" s="416"/>
      <c r="AT46" s="416"/>
      <c r="AU46" s="416"/>
      <c r="AV46" s="416"/>
      <c r="AW46" s="416"/>
      <c r="AX46" s="416"/>
      <c r="AY46" s="416"/>
      <c r="AZ46" s="416"/>
      <c r="BA46" s="416"/>
      <c r="BB46" s="416"/>
      <c r="BC46" s="416"/>
      <c r="BD46" s="416"/>
      <c r="BE46" s="416"/>
      <c r="BF46" s="416"/>
    </row>
    <row r="47" spans="1:58" ht="12" customHeight="1">
      <c r="A47" s="495">
        <v>184</v>
      </c>
      <c r="B47" s="509" t="s">
        <v>64</v>
      </c>
      <c r="C47" s="509"/>
      <c r="D47" s="496">
        <v>32874</v>
      </c>
      <c r="E47" s="445"/>
      <c r="F47" s="451" t="s">
        <v>406</v>
      </c>
      <c r="G47" s="452">
        <v>15</v>
      </c>
      <c r="H47" s="445"/>
      <c r="I47" s="453">
        <v>6931.49</v>
      </c>
      <c r="J47" s="452">
        <v>100</v>
      </c>
      <c r="K47" s="452">
        <v>0</v>
      </c>
      <c r="L47"/>
      <c r="M47" s="497">
        <v>6931.49</v>
      </c>
      <c r="N47" s="548">
        <f t="shared" si="14"/>
        <v>0</v>
      </c>
      <c r="O47" s="547">
        <f t="shared" si="12"/>
        <v>6931.49</v>
      </c>
      <c r="P47" s="566">
        <f t="shared" si="13"/>
        <v>0</v>
      </c>
      <c r="Q47" s="499"/>
      <c r="R47" s="499"/>
      <c r="S47" s="542"/>
      <c r="T47" s="500"/>
      <c r="U47" s="500"/>
      <c r="V47" s="500"/>
      <c r="W47" s="555">
        <f t="shared" si="19"/>
        <v>6931.49</v>
      </c>
      <c r="X47" s="500"/>
      <c r="Y47" s="500"/>
      <c r="Z47" s="555">
        <f t="shared" si="15"/>
        <v>0</v>
      </c>
      <c r="AB47" s="500"/>
      <c r="AC47" s="500"/>
      <c r="AD47" s="500"/>
      <c r="AE47" s="500"/>
      <c r="AF47" s="500"/>
      <c r="AG47" s="555">
        <f t="shared" si="22"/>
        <v>6931.49</v>
      </c>
      <c r="AH47" s="500"/>
      <c r="AI47" s="500"/>
      <c r="AJ47" s="555">
        <f t="shared" si="16"/>
        <v>0</v>
      </c>
      <c r="AK47" s="535"/>
      <c r="AL47" s="416"/>
      <c r="AM47" s="416"/>
      <c r="AN47" s="416"/>
      <c r="AO47" s="416"/>
      <c r="AP47" s="416"/>
      <c r="AQ47" s="573">
        <f t="shared" si="21"/>
        <v>0</v>
      </c>
      <c r="AR47" s="416"/>
      <c r="AS47" s="416"/>
      <c r="AT47" s="416"/>
      <c r="AU47" s="416"/>
      <c r="AV47" s="416"/>
      <c r="AW47" s="416"/>
      <c r="AX47" s="416"/>
      <c r="AY47" s="416"/>
      <c r="AZ47" s="416"/>
      <c r="BA47" s="416"/>
      <c r="BB47" s="416"/>
      <c r="BC47" s="416"/>
      <c r="BD47" s="416"/>
      <c r="BE47" s="416"/>
      <c r="BF47" s="416"/>
    </row>
    <row r="48" spans="1:58" ht="12" customHeight="1">
      <c r="A48" s="495">
        <v>185</v>
      </c>
      <c r="B48" s="509" t="s">
        <v>65</v>
      </c>
      <c r="C48" s="509"/>
      <c r="D48" s="496">
        <v>32874</v>
      </c>
      <c r="E48" s="445"/>
      <c r="F48" s="451" t="s">
        <v>406</v>
      </c>
      <c r="G48" s="452">
        <v>15</v>
      </c>
      <c r="H48" s="445"/>
      <c r="I48" s="453">
        <v>1483.19</v>
      </c>
      <c r="J48" s="452">
        <v>100</v>
      </c>
      <c r="K48" s="452">
        <v>0</v>
      </c>
      <c r="L48"/>
      <c r="M48" s="497">
        <v>1483.19</v>
      </c>
      <c r="N48" s="548">
        <f t="shared" si="14"/>
        <v>0</v>
      </c>
      <c r="O48" s="547">
        <f t="shared" si="12"/>
        <v>1483.19</v>
      </c>
      <c r="P48" s="566">
        <f t="shared" si="13"/>
        <v>0</v>
      </c>
      <c r="Q48" s="499"/>
      <c r="R48" s="499"/>
      <c r="S48" s="542"/>
      <c r="T48" s="500"/>
      <c r="U48" s="500"/>
      <c r="V48" s="500"/>
      <c r="W48" s="555">
        <f t="shared" si="19"/>
        <v>1483.19</v>
      </c>
      <c r="X48" s="500"/>
      <c r="Y48" s="500"/>
      <c r="Z48" s="555">
        <f t="shared" si="15"/>
        <v>0</v>
      </c>
      <c r="AB48" s="500"/>
      <c r="AC48" s="500"/>
      <c r="AD48" s="500"/>
      <c r="AE48" s="500"/>
      <c r="AF48" s="500"/>
      <c r="AG48" s="555">
        <f t="shared" si="22"/>
        <v>1483.19</v>
      </c>
      <c r="AH48" s="500"/>
      <c r="AI48" s="500"/>
      <c r="AJ48" s="555">
        <f t="shared" si="16"/>
        <v>0</v>
      </c>
      <c r="AK48" s="535"/>
      <c r="AL48" s="416"/>
      <c r="AM48" s="416"/>
      <c r="AN48" s="416"/>
      <c r="AO48" s="416"/>
      <c r="AP48" s="416"/>
      <c r="AQ48" s="573">
        <f t="shared" si="21"/>
        <v>0</v>
      </c>
      <c r="AR48" s="416"/>
      <c r="AS48" s="416"/>
      <c r="AT48" s="416"/>
      <c r="AU48" s="416"/>
      <c r="AV48" s="416"/>
      <c r="AW48" s="416"/>
      <c r="AX48" s="416"/>
      <c r="AY48" s="416"/>
      <c r="AZ48" s="416"/>
      <c r="BA48" s="416"/>
      <c r="BB48" s="416"/>
      <c r="BC48" s="416"/>
      <c r="BD48" s="416"/>
      <c r="BE48" s="416"/>
      <c r="BF48" s="416"/>
    </row>
    <row r="49" spans="1:58" ht="12" customHeight="1">
      <c r="A49" s="495">
        <v>186</v>
      </c>
      <c r="B49" s="509" t="s">
        <v>66</v>
      </c>
      <c r="C49" s="509"/>
      <c r="D49" s="496">
        <v>33239</v>
      </c>
      <c r="E49" s="445"/>
      <c r="F49" s="451" t="s">
        <v>406</v>
      </c>
      <c r="G49" s="452">
        <v>25</v>
      </c>
      <c r="H49" s="445"/>
      <c r="I49" s="453">
        <v>24150.25</v>
      </c>
      <c r="J49" s="452">
        <v>100</v>
      </c>
      <c r="K49" s="452">
        <v>0</v>
      </c>
      <c r="L49"/>
      <c r="M49" s="497">
        <v>22218.229999999989</v>
      </c>
      <c r="N49" s="548">
        <f t="shared" si="14"/>
        <v>966.0099999999984</v>
      </c>
      <c r="O49" s="547">
        <f t="shared" si="12"/>
        <v>23184.239999999987</v>
      </c>
      <c r="P49" s="566">
        <f t="shared" si="13"/>
        <v>966.01000000001295</v>
      </c>
      <c r="Q49" s="499"/>
      <c r="R49" s="499"/>
      <c r="S49" s="542"/>
      <c r="T49" s="500"/>
      <c r="U49" s="500"/>
      <c r="V49" s="500"/>
      <c r="W49" s="555">
        <f t="shared" si="19"/>
        <v>24150.25</v>
      </c>
      <c r="X49" s="500"/>
      <c r="Y49" s="500"/>
      <c r="Z49" s="555">
        <f t="shared" si="15"/>
        <v>0</v>
      </c>
      <c r="AB49" s="500"/>
      <c r="AC49" s="500"/>
      <c r="AD49" s="500"/>
      <c r="AE49" s="500"/>
      <c r="AF49" s="500"/>
      <c r="AG49" s="555">
        <f t="shared" si="22"/>
        <v>23184.239999999987</v>
      </c>
      <c r="AH49" s="500"/>
      <c r="AI49" s="500"/>
      <c r="AJ49" s="555">
        <f t="shared" si="16"/>
        <v>0</v>
      </c>
      <c r="AK49" s="535"/>
      <c r="AL49" s="416"/>
      <c r="AM49" s="416"/>
      <c r="AN49" s="416"/>
      <c r="AO49" s="416"/>
      <c r="AP49" s="416"/>
      <c r="AQ49" s="573">
        <f t="shared" si="21"/>
        <v>966.0099999999984</v>
      </c>
      <c r="AR49" s="416"/>
      <c r="AS49" s="416"/>
      <c r="AT49" s="416"/>
      <c r="AU49" s="416"/>
      <c r="AV49" s="416"/>
      <c r="AW49" s="416"/>
      <c r="AX49" s="416"/>
      <c r="AY49" s="416"/>
      <c r="AZ49" s="416"/>
      <c r="BA49" s="416"/>
      <c r="BB49" s="416"/>
      <c r="BC49" s="416"/>
      <c r="BD49" s="416"/>
      <c r="BE49" s="416"/>
      <c r="BF49" s="416"/>
    </row>
    <row r="50" spans="1:58" ht="12" customHeight="1">
      <c r="A50" s="495">
        <v>187</v>
      </c>
      <c r="B50" s="509" t="s">
        <v>67</v>
      </c>
      <c r="C50" s="509"/>
      <c r="D50" s="496">
        <v>33239</v>
      </c>
      <c r="E50" s="445"/>
      <c r="F50" s="451" t="s">
        <v>406</v>
      </c>
      <c r="G50" s="452">
        <v>25</v>
      </c>
      <c r="H50" s="445"/>
      <c r="I50" s="453">
        <v>27761.73</v>
      </c>
      <c r="J50" s="452">
        <v>100</v>
      </c>
      <c r="K50" s="452">
        <v>0</v>
      </c>
      <c r="L50"/>
      <c r="M50" s="497">
        <v>25540.801199999994</v>
      </c>
      <c r="N50" s="548">
        <f t="shared" si="14"/>
        <v>1110.4691999999995</v>
      </c>
      <c r="O50" s="547">
        <f t="shared" si="12"/>
        <v>26651.270399999994</v>
      </c>
      <c r="P50" s="566">
        <f t="shared" si="13"/>
        <v>1110.4596000000056</v>
      </c>
      <c r="Q50" s="499"/>
      <c r="R50" s="499"/>
      <c r="S50" s="542"/>
      <c r="T50" s="500"/>
      <c r="U50" s="500"/>
      <c r="V50" s="500"/>
      <c r="W50" s="555">
        <f t="shared" si="19"/>
        <v>27761.73</v>
      </c>
      <c r="X50" s="500"/>
      <c r="Y50" s="500"/>
      <c r="Z50" s="555">
        <f t="shared" si="15"/>
        <v>0</v>
      </c>
      <c r="AB50" s="500"/>
      <c r="AC50" s="500"/>
      <c r="AD50" s="500"/>
      <c r="AE50" s="500"/>
      <c r="AF50" s="500"/>
      <c r="AG50" s="555">
        <f t="shared" si="22"/>
        <v>26651.270399999994</v>
      </c>
      <c r="AH50" s="500"/>
      <c r="AI50" s="500"/>
      <c r="AJ50" s="555">
        <f t="shared" si="16"/>
        <v>0</v>
      </c>
      <c r="AK50" s="535"/>
      <c r="AL50" s="416"/>
      <c r="AM50" s="416"/>
      <c r="AN50" s="416"/>
      <c r="AO50" s="416"/>
      <c r="AP50" s="416"/>
      <c r="AQ50" s="573">
        <f t="shared" si="21"/>
        <v>1110.4691999999995</v>
      </c>
      <c r="AR50" s="416"/>
      <c r="AS50" s="416"/>
      <c r="AT50" s="416"/>
      <c r="AU50" s="416"/>
      <c r="AV50" s="416"/>
      <c r="AW50" s="416"/>
      <c r="AX50" s="416"/>
      <c r="AY50" s="416"/>
      <c r="AZ50" s="416"/>
      <c r="BA50" s="416"/>
      <c r="BB50" s="416"/>
      <c r="BC50" s="416"/>
      <c r="BD50" s="416"/>
      <c r="BE50" s="416"/>
      <c r="BF50" s="416"/>
    </row>
    <row r="51" spans="1:58" ht="12" customHeight="1">
      <c r="A51" s="495">
        <v>188</v>
      </c>
      <c r="B51" s="509" t="s">
        <v>36</v>
      </c>
      <c r="C51" s="509"/>
      <c r="D51" s="496">
        <v>33239</v>
      </c>
      <c r="E51" s="445"/>
      <c r="F51" s="451" t="s">
        <v>406</v>
      </c>
      <c r="G51" s="452">
        <v>25</v>
      </c>
      <c r="H51" s="445"/>
      <c r="I51" s="453">
        <v>68660.58</v>
      </c>
      <c r="J51" s="452">
        <v>100</v>
      </c>
      <c r="K51" s="452">
        <v>0</v>
      </c>
      <c r="L51"/>
      <c r="M51" s="497">
        <v>63167.475199999979</v>
      </c>
      <c r="N51" s="548">
        <f t="shared" si="14"/>
        <v>2746.4231999999975</v>
      </c>
      <c r="O51" s="547">
        <f t="shared" si="12"/>
        <v>65913.898399999976</v>
      </c>
      <c r="P51" s="566">
        <f t="shared" si="13"/>
        <v>2746.6816000000254</v>
      </c>
      <c r="Q51" s="499"/>
      <c r="R51" s="499"/>
      <c r="S51" s="541">
        <f t="shared" ref="S51:S52" si="23">I51</f>
        <v>68660.58</v>
      </c>
      <c r="T51" s="500"/>
      <c r="U51" s="500"/>
      <c r="V51" s="500"/>
      <c r="W51" s="500"/>
      <c r="X51" s="500"/>
      <c r="Y51" s="500"/>
      <c r="Z51" s="555">
        <f t="shared" si="15"/>
        <v>0</v>
      </c>
      <c r="AB51" s="500"/>
      <c r="AC51" s="505">
        <f>O51</f>
        <v>65913.898399999976</v>
      </c>
      <c r="AD51" s="500"/>
      <c r="AE51" s="500"/>
      <c r="AF51" s="500"/>
      <c r="AG51" s="500"/>
      <c r="AH51" s="500"/>
      <c r="AI51" s="500"/>
      <c r="AJ51" s="555">
        <f t="shared" si="16"/>
        <v>0</v>
      </c>
      <c r="AK51" s="535"/>
      <c r="AL51" s="416"/>
      <c r="AM51" s="573">
        <f t="shared" ref="AM51:AM52" si="24">N51</f>
        <v>2746.4231999999975</v>
      </c>
      <c r="AN51" s="416"/>
      <c r="AO51" s="416"/>
      <c r="AP51" s="416"/>
      <c r="AQ51" s="416"/>
      <c r="AR51" s="416"/>
      <c r="AS51" s="416"/>
      <c r="AT51" s="416"/>
      <c r="AU51" s="416"/>
      <c r="AV51" s="416"/>
      <c r="AW51" s="416"/>
      <c r="AX51" s="416"/>
      <c r="AY51" s="416"/>
      <c r="AZ51" s="416"/>
      <c r="BA51" s="416"/>
      <c r="BB51" s="416"/>
      <c r="BC51" s="416"/>
      <c r="BD51" s="416"/>
      <c r="BE51" s="416"/>
      <c r="BF51" s="416"/>
    </row>
    <row r="52" spans="1:58" ht="12" customHeight="1">
      <c r="A52" s="495">
        <v>189</v>
      </c>
      <c r="B52" s="509" t="s">
        <v>37</v>
      </c>
      <c r="C52" s="509"/>
      <c r="D52" s="496">
        <v>33239</v>
      </c>
      <c r="E52" s="445"/>
      <c r="F52" s="451" t="s">
        <v>406</v>
      </c>
      <c r="G52" s="452">
        <v>25</v>
      </c>
      <c r="H52" s="445"/>
      <c r="I52" s="453">
        <v>79763.42</v>
      </c>
      <c r="J52" s="452">
        <v>100</v>
      </c>
      <c r="K52" s="452">
        <v>0</v>
      </c>
      <c r="L52"/>
      <c r="M52" s="497">
        <v>73381.314800000007</v>
      </c>
      <c r="N52" s="548">
        <f t="shared" si="14"/>
        <v>3190.5368000000017</v>
      </c>
      <c r="O52" s="547">
        <f t="shared" si="12"/>
        <v>76571.851600000009</v>
      </c>
      <c r="P52" s="566">
        <f t="shared" si="13"/>
        <v>3191.5683999999892</v>
      </c>
      <c r="Q52" s="499"/>
      <c r="R52" s="499"/>
      <c r="S52" s="541">
        <f t="shared" si="23"/>
        <v>79763.42</v>
      </c>
      <c r="T52" s="500"/>
      <c r="U52" s="500"/>
      <c r="V52" s="500"/>
      <c r="W52" s="500"/>
      <c r="X52" s="500"/>
      <c r="Y52" s="500"/>
      <c r="Z52" s="555">
        <f t="shared" si="15"/>
        <v>0</v>
      </c>
      <c r="AB52" s="500"/>
      <c r="AC52" s="555">
        <f>O52</f>
        <v>76571.851600000009</v>
      </c>
      <c r="AD52" s="500"/>
      <c r="AE52" s="500"/>
      <c r="AF52" s="500"/>
      <c r="AG52" s="500"/>
      <c r="AH52" s="500"/>
      <c r="AI52" s="500"/>
      <c r="AJ52" s="555">
        <f t="shared" si="16"/>
        <v>0</v>
      </c>
      <c r="AK52" s="535"/>
      <c r="AL52" s="416"/>
      <c r="AM52" s="573">
        <f t="shared" si="24"/>
        <v>3190.5368000000017</v>
      </c>
      <c r="AN52" s="416"/>
      <c r="AO52" s="416"/>
      <c r="AP52" s="416"/>
      <c r="AQ52" s="416"/>
      <c r="AR52" s="416"/>
      <c r="AS52" s="416"/>
      <c r="AT52" s="416"/>
      <c r="AU52" s="416"/>
      <c r="AV52" s="416"/>
      <c r="AW52" s="416"/>
      <c r="AX52" s="416"/>
      <c r="AY52" s="416"/>
      <c r="AZ52" s="416"/>
      <c r="BA52" s="416"/>
      <c r="BB52" s="416"/>
      <c r="BC52" s="416"/>
      <c r="BD52" s="416"/>
      <c r="BE52" s="416"/>
      <c r="BF52" s="416"/>
    </row>
    <row r="53" spans="1:58" ht="12" customHeight="1">
      <c r="A53" s="495">
        <v>190</v>
      </c>
      <c r="B53" s="509" t="s">
        <v>118</v>
      </c>
      <c r="C53" s="509"/>
      <c r="D53" s="496">
        <v>33604</v>
      </c>
      <c r="E53" s="445"/>
      <c r="F53" s="451" t="s">
        <v>406</v>
      </c>
      <c r="G53" s="452">
        <v>15</v>
      </c>
      <c r="H53" s="445"/>
      <c r="I53" s="453">
        <v>11203.23</v>
      </c>
      <c r="J53" s="452">
        <v>100</v>
      </c>
      <c r="K53" s="452">
        <v>0</v>
      </c>
      <c r="L53"/>
      <c r="M53" s="497">
        <v>11203.23</v>
      </c>
      <c r="N53" s="548">
        <f t="shared" si="14"/>
        <v>0</v>
      </c>
      <c r="O53" s="547">
        <f t="shared" si="12"/>
        <v>11203.23</v>
      </c>
      <c r="P53" s="566">
        <f t="shared" si="13"/>
        <v>0</v>
      </c>
      <c r="Q53" s="499"/>
      <c r="R53" s="499"/>
      <c r="S53" s="542"/>
      <c r="T53" s="500"/>
      <c r="U53" s="500"/>
      <c r="V53" s="500"/>
      <c r="W53" s="555">
        <f t="shared" ref="W53:W62" si="25">I53</f>
        <v>11203.23</v>
      </c>
      <c r="X53" s="500"/>
      <c r="Y53" s="535"/>
      <c r="Z53" s="555">
        <f t="shared" si="15"/>
        <v>0</v>
      </c>
      <c r="AB53" s="500"/>
      <c r="AC53" s="500"/>
      <c r="AD53" s="500"/>
      <c r="AE53" s="500"/>
      <c r="AF53" s="500"/>
      <c r="AG53" s="555">
        <f t="shared" ref="AG53:AG60" si="26">O53</f>
        <v>11203.23</v>
      </c>
      <c r="AH53" s="500"/>
      <c r="AI53" s="505"/>
      <c r="AJ53" s="555">
        <f t="shared" si="16"/>
        <v>0</v>
      </c>
      <c r="AK53" s="535"/>
      <c r="AL53" s="416"/>
      <c r="AM53" s="416"/>
      <c r="AN53" s="416"/>
      <c r="AO53" s="416"/>
      <c r="AP53" s="416"/>
      <c r="AQ53" s="573">
        <f t="shared" ref="AQ53:AQ62" si="27">N53</f>
        <v>0</v>
      </c>
      <c r="AR53" s="416"/>
      <c r="AS53" s="416"/>
      <c r="AT53" s="416"/>
      <c r="AU53" s="416"/>
      <c r="AV53" s="416"/>
      <c r="AW53" s="416"/>
      <c r="AX53" s="416"/>
      <c r="AY53" s="416"/>
      <c r="AZ53" s="416"/>
      <c r="BA53" s="416"/>
      <c r="BB53" s="416"/>
      <c r="BC53" s="416"/>
      <c r="BD53" s="416"/>
      <c r="BE53" s="416"/>
      <c r="BF53" s="416"/>
    </row>
    <row r="54" spans="1:58" ht="12" customHeight="1">
      <c r="A54" s="495">
        <v>191</v>
      </c>
      <c r="B54" s="509" t="s">
        <v>119</v>
      </c>
      <c r="C54" s="509"/>
      <c r="D54" s="496">
        <v>33604</v>
      </c>
      <c r="E54" s="445"/>
      <c r="F54" s="451" t="s">
        <v>406</v>
      </c>
      <c r="G54" s="452">
        <v>15</v>
      </c>
      <c r="H54" s="445"/>
      <c r="I54" s="453">
        <v>1529.52</v>
      </c>
      <c r="J54" s="452">
        <v>100</v>
      </c>
      <c r="K54" s="452">
        <v>0</v>
      </c>
      <c r="L54"/>
      <c r="M54" s="497">
        <v>1529.52</v>
      </c>
      <c r="N54" s="548">
        <f t="shared" si="14"/>
        <v>0</v>
      </c>
      <c r="O54" s="547">
        <f t="shared" si="12"/>
        <v>1529.52</v>
      </c>
      <c r="P54" s="566">
        <f t="shared" si="13"/>
        <v>0</v>
      </c>
      <c r="Q54" s="499"/>
      <c r="R54" s="499"/>
      <c r="S54" s="542"/>
      <c r="T54" s="500"/>
      <c r="U54" s="500"/>
      <c r="V54" s="500"/>
      <c r="W54" s="555">
        <f t="shared" si="25"/>
        <v>1529.52</v>
      </c>
      <c r="X54" s="500"/>
      <c r="Y54" s="535"/>
      <c r="Z54" s="555">
        <f t="shared" si="15"/>
        <v>0</v>
      </c>
      <c r="AB54" s="500"/>
      <c r="AC54" s="500"/>
      <c r="AD54" s="500"/>
      <c r="AE54" s="500"/>
      <c r="AF54" s="500"/>
      <c r="AG54" s="555">
        <f t="shared" si="26"/>
        <v>1529.52</v>
      </c>
      <c r="AH54" s="500"/>
      <c r="AI54" s="505"/>
      <c r="AJ54" s="555">
        <f t="shared" si="16"/>
        <v>0</v>
      </c>
      <c r="AK54" s="535"/>
      <c r="AL54" s="416"/>
      <c r="AM54" s="416"/>
      <c r="AN54" s="416"/>
      <c r="AO54" s="416"/>
      <c r="AP54" s="416"/>
      <c r="AQ54" s="573">
        <f t="shared" si="27"/>
        <v>0</v>
      </c>
      <c r="AR54" s="416"/>
      <c r="AS54" s="416"/>
      <c r="AT54" s="416"/>
      <c r="AU54" s="416"/>
      <c r="AV54" s="416"/>
      <c r="AW54" s="416"/>
      <c r="AX54" s="416"/>
      <c r="AY54" s="416"/>
      <c r="AZ54" s="416"/>
      <c r="BA54" s="416"/>
      <c r="BB54" s="416"/>
      <c r="BC54" s="416"/>
      <c r="BD54" s="416"/>
      <c r="BE54" s="416"/>
      <c r="BF54" s="416"/>
    </row>
    <row r="55" spans="1:58" ht="12" customHeight="1">
      <c r="A55" s="495">
        <v>192</v>
      </c>
      <c r="B55" s="450" t="s">
        <v>68</v>
      </c>
      <c r="C55" s="450"/>
      <c r="D55" s="496">
        <v>33604</v>
      </c>
      <c r="E55" s="445"/>
      <c r="F55" s="451" t="s">
        <v>406</v>
      </c>
      <c r="G55" s="452">
        <v>25</v>
      </c>
      <c r="H55" s="445"/>
      <c r="I55" s="453">
        <v>23321.73</v>
      </c>
      <c r="J55" s="452">
        <v>100</v>
      </c>
      <c r="K55" s="452">
        <v>0</v>
      </c>
      <c r="L55"/>
      <c r="M55" s="497">
        <v>20523.1312</v>
      </c>
      <c r="N55" s="548">
        <f t="shared" si="14"/>
        <v>932.869200000001</v>
      </c>
      <c r="O55" s="547">
        <f t="shared" si="12"/>
        <v>21456.000400000001</v>
      </c>
      <c r="P55" s="566">
        <f t="shared" si="13"/>
        <v>1865.7295999999988</v>
      </c>
      <c r="Q55" s="499"/>
      <c r="R55" s="499"/>
      <c r="S55" s="542"/>
      <c r="T55" s="500"/>
      <c r="U55" s="500"/>
      <c r="V55" s="500"/>
      <c r="W55" s="555">
        <f t="shared" si="25"/>
        <v>23321.73</v>
      </c>
      <c r="X55" s="500"/>
      <c r="Y55" s="500"/>
      <c r="Z55" s="555">
        <f t="shared" si="15"/>
        <v>0</v>
      </c>
      <c r="AB55" s="500"/>
      <c r="AC55" s="500"/>
      <c r="AD55" s="500"/>
      <c r="AE55" s="500"/>
      <c r="AF55" s="500"/>
      <c r="AG55" s="555">
        <f t="shared" si="26"/>
        <v>21456.000400000001</v>
      </c>
      <c r="AH55" s="500"/>
      <c r="AI55" s="500"/>
      <c r="AJ55" s="555">
        <f t="shared" si="16"/>
        <v>0</v>
      </c>
      <c r="AK55" s="535"/>
      <c r="AL55" s="416"/>
      <c r="AM55" s="416"/>
      <c r="AN55" s="416"/>
      <c r="AO55" s="416"/>
      <c r="AP55" s="416"/>
      <c r="AQ55" s="573">
        <f t="shared" si="27"/>
        <v>932.869200000001</v>
      </c>
      <c r="AR55" s="416"/>
      <c r="AS55" s="416"/>
      <c r="AT55" s="416"/>
      <c r="AU55" s="416"/>
      <c r="AV55" s="416"/>
      <c r="AW55" s="416"/>
      <c r="AX55" s="416"/>
      <c r="AY55" s="416"/>
      <c r="AZ55" s="416"/>
      <c r="BA55" s="416"/>
      <c r="BB55" s="416"/>
      <c r="BC55" s="416"/>
      <c r="BD55" s="416"/>
      <c r="BE55" s="416"/>
      <c r="BF55" s="416"/>
    </row>
    <row r="56" spans="1:58" ht="12" customHeight="1">
      <c r="A56" s="495">
        <v>193</v>
      </c>
      <c r="B56" s="450" t="s">
        <v>69</v>
      </c>
      <c r="C56" s="450"/>
      <c r="D56" s="496">
        <v>33604</v>
      </c>
      <c r="E56" s="445"/>
      <c r="F56" s="451" t="s">
        <v>406</v>
      </c>
      <c r="G56" s="452">
        <v>25</v>
      </c>
      <c r="H56" s="445"/>
      <c r="I56" s="453">
        <v>333.7</v>
      </c>
      <c r="J56" s="452">
        <v>100</v>
      </c>
      <c r="K56" s="452">
        <v>0</v>
      </c>
      <c r="L56"/>
      <c r="M56" s="497">
        <v>293.67800000000011</v>
      </c>
      <c r="N56" s="548">
        <f t="shared" si="14"/>
        <v>13.348000000000013</v>
      </c>
      <c r="O56" s="547">
        <f t="shared" si="12"/>
        <v>307.02600000000012</v>
      </c>
      <c r="P56" s="566">
        <f t="shared" si="13"/>
        <v>26.673999999999864</v>
      </c>
      <c r="Q56" s="499"/>
      <c r="R56" s="499"/>
      <c r="S56" s="542"/>
      <c r="T56" s="500"/>
      <c r="U56" s="500"/>
      <c r="V56" s="500"/>
      <c r="W56" s="555">
        <f t="shared" si="25"/>
        <v>333.7</v>
      </c>
      <c r="X56" s="500"/>
      <c r="Y56" s="500"/>
      <c r="Z56" s="555">
        <f t="shared" si="15"/>
        <v>0</v>
      </c>
      <c r="AB56" s="500"/>
      <c r="AC56" s="500"/>
      <c r="AD56" s="500"/>
      <c r="AE56" s="500"/>
      <c r="AF56" s="500"/>
      <c r="AG56" s="555">
        <f t="shared" si="26"/>
        <v>307.02600000000012</v>
      </c>
      <c r="AH56" s="500"/>
      <c r="AI56" s="500"/>
      <c r="AJ56" s="555">
        <f t="shared" si="16"/>
        <v>0</v>
      </c>
      <c r="AK56" s="535"/>
      <c r="AL56" s="416"/>
      <c r="AM56" s="416"/>
      <c r="AN56" s="416"/>
      <c r="AO56" s="416"/>
      <c r="AP56" s="416"/>
      <c r="AQ56" s="573">
        <f t="shared" si="27"/>
        <v>13.348000000000013</v>
      </c>
      <c r="AR56" s="416"/>
      <c r="AS56" s="416"/>
      <c r="AT56" s="416"/>
      <c r="AU56" s="416"/>
      <c r="AV56" s="416"/>
      <c r="AW56" s="416"/>
      <c r="AX56" s="416"/>
      <c r="AY56" s="416"/>
      <c r="AZ56" s="416"/>
      <c r="BA56" s="416"/>
      <c r="BB56" s="416"/>
      <c r="BC56" s="416"/>
      <c r="BD56" s="416"/>
      <c r="BE56" s="416"/>
      <c r="BF56" s="416"/>
    </row>
    <row r="57" spans="1:58" ht="12" customHeight="1">
      <c r="A57" s="495">
        <v>194</v>
      </c>
      <c r="B57" s="450" t="s">
        <v>70</v>
      </c>
      <c r="C57" s="450"/>
      <c r="D57" s="496">
        <v>33604</v>
      </c>
      <c r="E57" s="445"/>
      <c r="F57" s="451" t="s">
        <v>406</v>
      </c>
      <c r="G57" s="452">
        <v>25</v>
      </c>
      <c r="H57" s="445"/>
      <c r="I57" s="453">
        <v>369.61</v>
      </c>
      <c r="J57" s="452">
        <v>100</v>
      </c>
      <c r="K57" s="452">
        <v>0</v>
      </c>
      <c r="L57"/>
      <c r="M57" s="497">
        <v>325.24840000000006</v>
      </c>
      <c r="N57" s="548">
        <f t="shared" si="14"/>
        <v>14.784400000000005</v>
      </c>
      <c r="O57" s="547">
        <f t="shared" si="12"/>
        <v>340.03280000000007</v>
      </c>
      <c r="P57" s="566">
        <f t="shared" si="13"/>
        <v>29.577199999999948</v>
      </c>
      <c r="Q57" s="499"/>
      <c r="R57" s="499"/>
      <c r="S57" s="542"/>
      <c r="T57" s="500"/>
      <c r="U57" s="500"/>
      <c r="V57" s="500"/>
      <c r="W57" s="555">
        <f t="shared" si="25"/>
        <v>369.61</v>
      </c>
      <c r="X57" s="500"/>
      <c r="Y57" s="500"/>
      <c r="Z57" s="555">
        <f t="shared" si="15"/>
        <v>0</v>
      </c>
      <c r="AB57" s="500"/>
      <c r="AC57" s="500"/>
      <c r="AD57" s="500"/>
      <c r="AE57" s="500"/>
      <c r="AF57" s="500"/>
      <c r="AG57" s="555">
        <f t="shared" si="26"/>
        <v>340.03280000000007</v>
      </c>
      <c r="AH57" s="500"/>
      <c r="AI57" s="500"/>
      <c r="AJ57" s="555">
        <f t="shared" si="16"/>
        <v>0</v>
      </c>
      <c r="AK57" s="535"/>
      <c r="AL57" s="416"/>
      <c r="AM57" s="416"/>
      <c r="AN57" s="416"/>
      <c r="AO57" s="416"/>
      <c r="AP57" s="416"/>
      <c r="AQ57" s="573">
        <f t="shared" si="27"/>
        <v>14.784400000000005</v>
      </c>
      <c r="AR57" s="416"/>
      <c r="AS57" s="416"/>
      <c r="AT57" s="416"/>
      <c r="AU57" s="416"/>
      <c r="AV57" s="416"/>
      <c r="AW57" s="416"/>
      <c r="AX57" s="416"/>
      <c r="AY57" s="416"/>
      <c r="AZ57" s="416"/>
      <c r="BA57" s="416"/>
      <c r="BB57" s="416"/>
      <c r="BC57" s="416"/>
      <c r="BD57" s="416"/>
      <c r="BE57" s="416"/>
      <c r="BF57" s="416"/>
    </row>
    <row r="58" spans="1:58" ht="12" customHeight="1">
      <c r="A58" s="495">
        <v>195</v>
      </c>
      <c r="B58" s="509" t="s">
        <v>71</v>
      </c>
      <c r="C58" s="509"/>
      <c r="D58" s="496">
        <v>33604</v>
      </c>
      <c r="E58" s="445"/>
      <c r="F58" s="451" t="s">
        <v>406</v>
      </c>
      <c r="G58" s="452">
        <v>25</v>
      </c>
      <c r="H58" s="445"/>
      <c r="I58" s="453">
        <v>4579.75</v>
      </c>
      <c r="J58" s="452">
        <v>100</v>
      </c>
      <c r="K58" s="452">
        <v>0</v>
      </c>
      <c r="L58"/>
      <c r="M58" s="497">
        <v>4030.1800000000003</v>
      </c>
      <c r="N58" s="548">
        <f t="shared" si="14"/>
        <v>183.1899999999996</v>
      </c>
      <c r="O58" s="547">
        <f t="shared" si="12"/>
        <v>4213.37</v>
      </c>
      <c r="P58" s="566">
        <f t="shared" si="13"/>
        <v>366.38000000000011</v>
      </c>
      <c r="Q58" s="499"/>
      <c r="R58" s="499"/>
      <c r="S58" s="542"/>
      <c r="T58" s="500"/>
      <c r="U58" s="500"/>
      <c r="V58" s="500"/>
      <c r="W58" s="555">
        <f t="shared" si="25"/>
        <v>4579.75</v>
      </c>
      <c r="X58" s="500"/>
      <c r="Y58" s="500"/>
      <c r="Z58" s="555">
        <f t="shared" si="15"/>
        <v>0</v>
      </c>
      <c r="AB58" s="500"/>
      <c r="AC58" s="500"/>
      <c r="AD58" s="500"/>
      <c r="AE58" s="500"/>
      <c r="AF58" s="500"/>
      <c r="AG58" s="555">
        <f t="shared" si="26"/>
        <v>4213.37</v>
      </c>
      <c r="AH58" s="500"/>
      <c r="AI58" s="500"/>
      <c r="AJ58" s="555">
        <f t="shared" si="16"/>
        <v>0</v>
      </c>
      <c r="AK58" s="535"/>
      <c r="AL58" s="416"/>
      <c r="AM58" s="416"/>
      <c r="AN58" s="416"/>
      <c r="AO58" s="416"/>
      <c r="AP58" s="416"/>
      <c r="AQ58" s="573">
        <f t="shared" si="27"/>
        <v>183.1899999999996</v>
      </c>
      <c r="AR58" s="416"/>
      <c r="AS58" s="416"/>
      <c r="AT58" s="416"/>
      <c r="AU58" s="416"/>
      <c r="AV58" s="416"/>
      <c r="AW58" s="416"/>
      <c r="AX58" s="416"/>
      <c r="AY58" s="416"/>
      <c r="AZ58" s="416"/>
      <c r="BA58" s="416"/>
      <c r="BB58" s="416"/>
      <c r="BC58" s="416"/>
      <c r="BD58" s="416"/>
      <c r="BE58" s="416"/>
      <c r="BF58" s="416"/>
    </row>
    <row r="59" spans="1:58" ht="12" customHeight="1">
      <c r="A59" s="495">
        <v>196</v>
      </c>
      <c r="B59" s="509" t="s">
        <v>35</v>
      </c>
      <c r="C59" s="509"/>
      <c r="D59" s="496">
        <v>33604</v>
      </c>
      <c r="E59" s="445"/>
      <c r="F59" s="451" t="s">
        <v>406</v>
      </c>
      <c r="G59" s="452">
        <v>25</v>
      </c>
      <c r="H59" s="445"/>
      <c r="I59" s="453">
        <v>13434.29</v>
      </c>
      <c r="J59" s="452">
        <v>100</v>
      </c>
      <c r="K59" s="452">
        <v>0</v>
      </c>
      <c r="L59"/>
      <c r="M59" s="497">
        <v>11822.157600000004</v>
      </c>
      <c r="N59" s="548">
        <f t="shared" si="14"/>
        <v>537.3716000000004</v>
      </c>
      <c r="O59" s="547">
        <f t="shared" si="12"/>
        <v>12359.529200000004</v>
      </c>
      <c r="P59" s="566">
        <f t="shared" si="13"/>
        <v>1074.7607999999964</v>
      </c>
      <c r="Q59" s="499"/>
      <c r="R59" s="499"/>
      <c r="S59" s="542"/>
      <c r="T59" s="500"/>
      <c r="U59" s="500"/>
      <c r="V59" s="500"/>
      <c r="W59" s="555">
        <f t="shared" si="25"/>
        <v>13434.29</v>
      </c>
      <c r="X59" s="500"/>
      <c r="Y59" s="500"/>
      <c r="Z59" s="555">
        <f t="shared" si="15"/>
        <v>0</v>
      </c>
      <c r="AB59" s="500"/>
      <c r="AC59" s="500"/>
      <c r="AD59" s="500"/>
      <c r="AE59" s="500"/>
      <c r="AF59" s="500"/>
      <c r="AG59" s="555">
        <f t="shared" si="26"/>
        <v>12359.529200000004</v>
      </c>
      <c r="AH59" s="500"/>
      <c r="AI59" s="500"/>
      <c r="AJ59" s="555">
        <f t="shared" si="16"/>
        <v>0</v>
      </c>
      <c r="AK59" s="535"/>
      <c r="AL59" s="416"/>
      <c r="AM59" s="416"/>
      <c r="AN59" s="416"/>
      <c r="AO59" s="416"/>
      <c r="AP59" s="416"/>
      <c r="AQ59" s="573">
        <f t="shared" si="27"/>
        <v>537.3716000000004</v>
      </c>
      <c r="AR59" s="416"/>
      <c r="AS59" s="416"/>
      <c r="AT59" s="416"/>
      <c r="AU59" s="416"/>
      <c r="AV59" s="416"/>
      <c r="AW59" s="416"/>
      <c r="AX59" s="416"/>
      <c r="AY59" s="416"/>
      <c r="AZ59" s="416"/>
      <c r="BA59" s="416"/>
      <c r="BB59" s="416"/>
      <c r="BC59" s="416"/>
      <c r="BD59" s="416"/>
      <c r="BE59" s="416"/>
      <c r="BF59" s="416"/>
    </row>
    <row r="60" spans="1:58" ht="12" customHeight="1">
      <c r="A60" s="495">
        <v>197</v>
      </c>
      <c r="B60" s="509" t="s">
        <v>120</v>
      </c>
      <c r="C60" s="509"/>
      <c r="D60" s="496">
        <v>33604</v>
      </c>
      <c r="E60" s="445"/>
      <c r="F60" s="451" t="s">
        <v>406</v>
      </c>
      <c r="G60" s="452">
        <v>25</v>
      </c>
      <c r="H60" s="445"/>
      <c r="I60" s="453">
        <v>160453.9</v>
      </c>
      <c r="J60" s="452">
        <v>100</v>
      </c>
      <c r="K60" s="452">
        <v>0</v>
      </c>
      <c r="L60"/>
      <c r="M60" s="497">
        <v>141199.476</v>
      </c>
      <c r="N60" s="548">
        <f t="shared" si="14"/>
        <v>6418.1559999999881</v>
      </c>
      <c r="O60" s="547">
        <f t="shared" si="12"/>
        <v>147617.63199999998</v>
      </c>
      <c r="P60" s="566">
        <f t="shared" si="13"/>
        <v>12836.268000000011</v>
      </c>
      <c r="Q60" s="499"/>
      <c r="R60" s="499"/>
      <c r="S60" s="542"/>
      <c r="T60" s="500"/>
      <c r="U60" s="500"/>
      <c r="V60" s="500"/>
      <c r="W60" s="555">
        <f t="shared" si="25"/>
        <v>160453.9</v>
      </c>
      <c r="X60" s="500"/>
      <c r="Y60" s="535"/>
      <c r="Z60" s="555">
        <f t="shared" si="15"/>
        <v>0</v>
      </c>
      <c r="AB60" s="500"/>
      <c r="AC60" s="500"/>
      <c r="AD60" s="500"/>
      <c r="AE60" s="500"/>
      <c r="AF60" s="500"/>
      <c r="AG60" s="555">
        <f t="shared" si="26"/>
        <v>147617.63199999998</v>
      </c>
      <c r="AH60" s="500"/>
      <c r="AI60" s="505"/>
      <c r="AJ60" s="555">
        <f t="shared" si="16"/>
        <v>0</v>
      </c>
      <c r="AK60" s="535"/>
      <c r="AL60" s="416"/>
      <c r="AM60" s="416"/>
      <c r="AN60" s="416"/>
      <c r="AO60" s="416"/>
      <c r="AP60" s="416"/>
      <c r="AQ60" s="573">
        <f t="shared" si="27"/>
        <v>6418.1559999999881</v>
      </c>
      <c r="AR60" s="416"/>
      <c r="AS60" s="416"/>
      <c r="AT60" s="416"/>
      <c r="AU60" s="416"/>
      <c r="AV60" s="416"/>
      <c r="AW60" s="416"/>
      <c r="AX60" s="416"/>
      <c r="AY60" s="416"/>
      <c r="AZ60" s="416"/>
      <c r="BA60" s="416"/>
      <c r="BB60" s="416"/>
      <c r="BC60" s="416"/>
      <c r="BD60" s="416"/>
      <c r="BE60" s="416"/>
      <c r="BF60" s="416"/>
    </row>
    <row r="61" spans="1:58" ht="12" customHeight="1">
      <c r="A61" s="495">
        <v>198</v>
      </c>
      <c r="B61" s="509" t="s">
        <v>72</v>
      </c>
      <c r="C61" s="509"/>
      <c r="D61" s="496">
        <v>33970</v>
      </c>
      <c r="E61" s="445"/>
      <c r="F61" s="451" t="s">
        <v>406</v>
      </c>
      <c r="G61" s="452">
        <v>25</v>
      </c>
      <c r="H61" s="445"/>
      <c r="I61" s="453">
        <v>10102.56</v>
      </c>
      <c r="J61" s="452">
        <v>100</v>
      </c>
      <c r="K61" s="452">
        <v>0</v>
      </c>
      <c r="L61"/>
      <c r="M61" s="497">
        <v>8486.1263999999974</v>
      </c>
      <c r="N61" s="548">
        <f t="shared" si="14"/>
        <v>404.10239999999976</v>
      </c>
      <c r="O61" s="547">
        <f t="shared" si="12"/>
        <v>8890.2287999999971</v>
      </c>
      <c r="P61" s="566">
        <f t="shared" si="13"/>
        <v>1212.3312000000024</v>
      </c>
      <c r="Q61" s="499"/>
      <c r="R61" s="499"/>
      <c r="S61" s="542"/>
      <c r="T61" s="500"/>
      <c r="U61" s="500"/>
      <c r="V61" s="500"/>
      <c r="W61" s="555">
        <f t="shared" si="25"/>
        <v>10102.56</v>
      </c>
      <c r="X61" s="500"/>
      <c r="Y61" s="500"/>
      <c r="Z61" s="555">
        <f t="shared" si="15"/>
        <v>0</v>
      </c>
      <c r="AB61" s="500"/>
      <c r="AC61" s="500"/>
      <c r="AD61" s="500"/>
      <c r="AE61" s="500"/>
      <c r="AF61" s="500"/>
      <c r="AG61" s="555">
        <f t="shared" ref="AG61:AG62" si="28">O61</f>
        <v>8890.2287999999971</v>
      </c>
      <c r="AH61" s="500"/>
      <c r="AI61" s="500"/>
      <c r="AJ61" s="555">
        <f t="shared" si="16"/>
        <v>0</v>
      </c>
      <c r="AK61" s="535"/>
      <c r="AL61" s="416"/>
      <c r="AM61" s="416"/>
      <c r="AN61" s="416"/>
      <c r="AO61" s="416"/>
      <c r="AP61" s="416"/>
      <c r="AQ61" s="573">
        <f t="shared" si="27"/>
        <v>404.10239999999976</v>
      </c>
      <c r="AR61" s="416"/>
      <c r="AS61" s="416"/>
      <c r="AT61" s="416"/>
      <c r="AU61" s="416"/>
      <c r="AV61" s="416"/>
      <c r="AW61" s="416"/>
      <c r="AX61" s="416"/>
      <c r="AY61" s="416"/>
      <c r="AZ61" s="416"/>
      <c r="BA61" s="416"/>
      <c r="BB61" s="416"/>
      <c r="BC61" s="416"/>
      <c r="BD61" s="416"/>
      <c r="BE61" s="416"/>
      <c r="BF61" s="416"/>
    </row>
    <row r="62" spans="1:58" ht="12" customHeight="1">
      <c r="A62" s="495">
        <v>199</v>
      </c>
      <c r="B62" s="450" t="s">
        <v>73</v>
      </c>
      <c r="C62" s="450"/>
      <c r="D62" s="496">
        <v>33970</v>
      </c>
      <c r="E62" s="445"/>
      <c r="F62" s="451" t="s">
        <v>406</v>
      </c>
      <c r="G62" s="452">
        <v>15</v>
      </c>
      <c r="H62" s="445"/>
      <c r="I62" s="453">
        <v>2132.34</v>
      </c>
      <c r="J62" s="452">
        <v>100</v>
      </c>
      <c r="K62" s="452">
        <v>0</v>
      </c>
      <c r="L62"/>
      <c r="M62" s="497">
        <v>2132.34</v>
      </c>
      <c r="N62" s="548">
        <f t="shared" si="14"/>
        <v>0</v>
      </c>
      <c r="O62" s="547">
        <f t="shared" si="12"/>
        <v>2132.34</v>
      </c>
      <c r="P62" s="566">
        <f t="shared" si="13"/>
        <v>0</v>
      </c>
      <c r="Q62" s="499"/>
      <c r="R62" s="499"/>
      <c r="S62" s="542"/>
      <c r="T62" s="500"/>
      <c r="U62" s="500"/>
      <c r="V62" s="500"/>
      <c r="W62" s="555">
        <f t="shared" si="25"/>
        <v>2132.34</v>
      </c>
      <c r="X62" s="500"/>
      <c r="Y62" s="500"/>
      <c r="Z62" s="555">
        <f t="shared" si="15"/>
        <v>0</v>
      </c>
      <c r="AB62" s="500"/>
      <c r="AC62" s="500"/>
      <c r="AD62" s="500"/>
      <c r="AE62" s="500"/>
      <c r="AF62" s="500"/>
      <c r="AG62" s="555">
        <f t="shared" si="28"/>
        <v>2132.34</v>
      </c>
      <c r="AH62" s="500"/>
      <c r="AI62" s="500"/>
      <c r="AJ62" s="555">
        <f t="shared" si="16"/>
        <v>0</v>
      </c>
      <c r="AK62" s="535"/>
      <c r="AL62" s="416"/>
      <c r="AM62" s="416"/>
      <c r="AN62" s="416"/>
      <c r="AO62" s="416"/>
      <c r="AP62" s="416"/>
      <c r="AQ62" s="573">
        <f t="shared" si="27"/>
        <v>0</v>
      </c>
      <c r="AR62" s="416"/>
      <c r="AS62" s="416"/>
      <c r="AT62" s="416"/>
      <c r="AU62" s="416"/>
      <c r="AV62" s="416"/>
      <c r="AW62" s="416"/>
      <c r="AX62" s="416"/>
      <c r="AY62" s="416"/>
      <c r="AZ62" s="416"/>
      <c r="BA62" s="416"/>
      <c r="BB62" s="416"/>
      <c r="BC62" s="416"/>
      <c r="BD62" s="416"/>
      <c r="BE62" s="416"/>
      <c r="BF62" s="416"/>
    </row>
    <row r="63" spans="1:58" ht="12" customHeight="1">
      <c r="A63" s="495">
        <v>200</v>
      </c>
      <c r="B63" s="509" t="s">
        <v>38</v>
      </c>
      <c r="C63" s="509"/>
      <c r="D63" s="496">
        <v>33970</v>
      </c>
      <c r="E63" s="445"/>
      <c r="F63" s="451" t="s">
        <v>406</v>
      </c>
      <c r="G63" s="452">
        <v>15</v>
      </c>
      <c r="H63" s="445"/>
      <c r="I63" s="453">
        <v>34410.85</v>
      </c>
      <c r="J63" s="452">
        <v>100</v>
      </c>
      <c r="K63" s="452">
        <v>0</v>
      </c>
      <c r="L63"/>
      <c r="M63" s="497">
        <v>34410.85</v>
      </c>
      <c r="N63" s="548">
        <f t="shared" si="14"/>
        <v>0</v>
      </c>
      <c r="O63" s="547">
        <f t="shared" si="12"/>
        <v>34410.85</v>
      </c>
      <c r="P63" s="566">
        <f t="shared" si="13"/>
        <v>0</v>
      </c>
      <c r="Q63" s="499"/>
      <c r="R63" s="499"/>
      <c r="S63" s="541">
        <f>I63</f>
        <v>34410.85</v>
      </c>
      <c r="T63" s="500"/>
      <c r="U63" s="500"/>
      <c r="V63" s="500"/>
      <c r="W63" s="500"/>
      <c r="X63" s="500"/>
      <c r="Y63" s="500"/>
      <c r="Z63" s="555">
        <f t="shared" si="15"/>
        <v>0</v>
      </c>
      <c r="AB63" s="500"/>
      <c r="AC63" s="505">
        <v>34410.85</v>
      </c>
      <c r="AD63" s="500"/>
      <c r="AE63" s="500"/>
      <c r="AF63" s="500"/>
      <c r="AG63" s="500"/>
      <c r="AH63" s="500"/>
      <c r="AI63" s="500"/>
      <c r="AJ63" s="555">
        <f t="shared" si="16"/>
        <v>0</v>
      </c>
      <c r="AK63" s="535"/>
      <c r="AL63" s="416"/>
      <c r="AM63" s="573">
        <f>N63</f>
        <v>0</v>
      </c>
      <c r="AN63" s="416"/>
      <c r="AO63" s="416"/>
      <c r="AP63" s="416"/>
      <c r="AQ63" s="416"/>
      <c r="AR63" s="416"/>
      <c r="AS63" s="416"/>
      <c r="AT63" s="416"/>
      <c r="AU63" s="416"/>
      <c r="AV63" s="416"/>
      <c r="AW63" s="416"/>
      <c r="AX63" s="416"/>
      <c r="AY63" s="416"/>
      <c r="AZ63" s="416"/>
      <c r="BA63" s="416"/>
      <c r="BB63" s="416"/>
      <c r="BC63" s="416"/>
      <c r="BD63" s="416"/>
      <c r="BE63" s="416"/>
      <c r="BF63" s="416"/>
    </row>
    <row r="64" spans="1:58" ht="12" customHeight="1">
      <c r="A64" s="495">
        <v>201</v>
      </c>
      <c r="B64" s="509" t="s">
        <v>74</v>
      </c>
      <c r="C64" s="509"/>
      <c r="D64" s="496">
        <v>33970</v>
      </c>
      <c r="E64" s="445"/>
      <c r="F64" s="451" t="s">
        <v>406</v>
      </c>
      <c r="G64" s="452">
        <v>15</v>
      </c>
      <c r="H64" s="445"/>
      <c r="I64" s="453">
        <v>7157.87</v>
      </c>
      <c r="J64" s="452">
        <v>100</v>
      </c>
      <c r="K64" s="452">
        <v>0</v>
      </c>
      <c r="L64"/>
      <c r="M64" s="497">
        <v>7157.87</v>
      </c>
      <c r="N64" s="548">
        <f t="shared" si="14"/>
        <v>0</v>
      </c>
      <c r="O64" s="547">
        <f t="shared" si="12"/>
        <v>7157.87</v>
      </c>
      <c r="P64" s="566">
        <f t="shared" si="13"/>
        <v>0</v>
      </c>
      <c r="Q64" s="499"/>
      <c r="R64" s="499"/>
      <c r="S64" s="542"/>
      <c r="T64" s="500"/>
      <c r="U64" s="500"/>
      <c r="V64" s="500"/>
      <c r="W64" s="555">
        <f t="shared" ref="W64:W68" si="29">I64</f>
        <v>7157.87</v>
      </c>
      <c r="X64" s="500"/>
      <c r="Y64" s="500"/>
      <c r="Z64" s="555">
        <f t="shared" si="15"/>
        <v>0</v>
      </c>
      <c r="AB64" s="500"/>
      <c r="AC64" s="500"/>
      <c r="AD64" s="500"/>
      <c r="AE64" s="500"/>
      <c r="AF64" s="500"/>
      <c r="AG64" s="555">
        <f t="shared" ref="AG64:AG68" si="30">O64</f>
        <v>7157.87</v>
      </c>
      <c r="AH64" s="500"/>
      <c r="AI64" s="500"/>
      <c r="AJ64" s="555">
        <f t="shared" si="16"/>
        <v>0</v>
      </c>
      <c r="AK64" s="535"/>
      <c r="AL64" s="416"/>
      <c r="AM64" s="416"/>
      <c r="AN64" s="416"/>
      <c r="AO64" s="416"/>
      <c r="AP64" s="416"/>
      <c r="AQ64" s="573">
        <f t="shared" ref="AQ64:AQ68" si="31">N64</f>
        <v>0</v>
      </c>
      <c r="AR64" s="416"/>
      <c r="AS64" s="416"/>
      <c r="AT64" s="416"/>
      <c r="AU64" s="416"/>
      <c r="AV64" s="416"/>
      <c r="AW64" s="416"/>
      <c r="AX64" s="416"/>
      <c r="AY64" s="416"/>
      <c r="AZ64" s="416"/>
      <c r="BA64" s="416"/>
      <c r="BB64" s="416"/>
      <c r="BC64" s="416"/>
      <c r="BD64" s="416"/>
      <c r="BE64" s="416"/>
      <c r="BF64" s="416"/>
    </row>
    <row r="65" spans="1:58" ht="12" customHeight="1">
      <c r="A65" s="495">
        <v>202</v>
      </c>
      <c r="B65" s="509" t="s">
        <v>65</v>
      </c>
      <c r="C65" s="509"/>
      <c r="D65" s="496">
        <v>34335</v>
      </c>
      <c r="E65" s="445"/>
      <c r="F65" s="451" t="s">
        <v>406</v>
      </c>
      <c r="G65" s="452">
        <v>15</v>
      </c>
      <c r="H65" s="445"/>
      <c r="I65" s="453">
        <v>28694.9</v>
      </c>
      <c r="J65" s="452">
        <v>100</v>
      </c>
      <c r="K65" s="452">
        <v>0</v>
      </c>
      <c r="L65"/>
      <c r="M65" s="497">
        <v>28694.9</v>
      </c>
      <c r="N65" s="548">
        <f t="shared" si="14"/>
        <v>0</v>
      </c>
      <c r="O65" s="547">
        <f t="shared" si="12"/>
        <v>28694.9</v>
      </c>
      <c r="P65" s="566">
        <f t="shared" si="13"/>
        <v>0</v>
      </c>
      <c r="Q65" s="499"/>
      <c r="R65" s="499"/>
      <c r="S65" s="542"/>
      <c r="T65" s="500"/>
      <c r="U65" s="500"/>
      <c r="V65" s="500"/>
      <c r="W65" s="555">
        <f t="shared" si="29"/>
        <v>28694.9</v>
      </c>
      <c r="X65" s="500"/>
      <c r="Y65" s="500"/>
      <c r="Z65" s="555">
        <f t="shared" si="15"/>
        <v>0</v>
      </c>
      <c r="AB65" s="500"/>
      <c r="AC65" s="500"/>
      <c r="AD65" s="500"/>
      <c r="AE65" s="500"/>
      <c r="AF65" s="500"/>
      <c r="AG65" s="555">
        <f t="shared" si="30"/>
        <v>28694.9</v>
      </c>
      <c r="AH65" s="500"/>
      <c r="AI65" s="500"/>
      <c r="AJ65" s="555">
        <f t="shared" si="16"/>
        <v>0</v>
      </c>
      <c r="AK65" s="535"/>
      <c r="AL65" s="416"/>
      <c r="AM65" s="416"/>
      <c r="AN65" s="416"/>
      <c r="AO65" s="416"/>
      <c r="AP65" s="416"/>
      <c r="AQ65" s="573">
        <f t="shared" si="31"/>
        <v>0</v>
      </c>
      <c r="AR65" s="416"/>
      <c r="AS65" s="416"/>
      <c r="AT65" s="416"/>
      <c r="AU65" s="416"/>
      <c r="AV65" s="416"/>
      <c r="AW65" s="416"/>
      <c r="AX65" s="416"/>
      <c r="AY65" s="416"/>
      <c r="AZ65" s="416"/>
      <c r="BA65" s="416"/>
      <c r="BB65" s="416"/>
      <c r="BC65" s="416"/>
      <c r="BD65" s="416"/>
      <c r="BE65" s="416"/>
      <c r="BF65" s="416"/>
    </row>
    <row r="66" spans="1:58" ht="12" customHeight="1">
      <c r="A66" s="495">
        <v>203</v>
      </c>
      <c r="B66" s="509" t="s">
        <v>75</v>
      </c>
      <c r="C66" s="509"/>
      <c r="D66" s="496">
        <v>34335</v>
      </c>
      <c r="E66" s="445"/>
      <c r="F66" s="451" t="s">
        <v>406</v>
      </c>
      <c r="G66" s="452">
        <v>15</v>
      </c>
      <c r="H66" s="445"/>
      <c r="I66" s="453">
        <v>26241.37</v>
      </c>
      <c r="J66" s="452">
        <v>100</v>
      </c>
      <c r="K66" s="452">
        <v>0</v>
      </c>
      <c r="L66"/>
      <c r="M66" s="497">
        <v>26241.37</v>
      </c>
      <c r="N66" s="548">
        <f t="shared" si="14"/>
        <v>0</v>
      </c>
      <c r="O66" s="547">
        <f t="shared" si="12"/>
        <v>26241.37</v>
      </c>
      <c r="P66" s="566">
        <f t="shared" si="13"/>
        <v>0</v>
      </c>
      <c r="Q66" s="499"/>
      <c r="R66" s="499"/>
      <c r="S66" s="542"/>
      <c r="T66" s="500"/>
      <c r="U66" s="500"/>
      <c r="V66" s="500"/>
      <c r="W66" s="555">
        <f t="shared" si="29"/>
        <v>26241.37</v>
      </c>
      <c r="X66" s="500"/>
      <c r="Y66" s="500"/>
      <c r="Z66" s="555">
        <f t="shared" si="15"/>
        <v>0</v>
      </c>
      <c r="AB66" s="500"/>
      <c r="AC66" s="500"/>
      <c r="AD66" s="500"/>
      <c r="AE66" s="500"/>
      <c r="AF66" s="500"/>
      <c r="AG66" s="555">
        <f t="shared" si="30"/>
        <v>26241.37</v>
      </c>
      <c r="AH66" s="500"/>
      <c r="AI66" s="500"/>
      <c r="AJ66" s="555">
        <f t="shared" si="16"/>
        <v>0</v>
      </c>
      <c r="AK66" s="535"/>
      <c r="AL66" s="416"/>
      <c r="AM66" s="416"/>
      <c r="AN66" s="416"/>
      <c r="AO66" s="416"/>
      <c r="AP66" s="416"/>
      <c r="AQ66" s="573">
        <f t="shared" si="31"/>
        <v>0</v>
      </c>
      <c r="AR66" s="416"/>
      <c r="AS66" s="416"/>
      <c r="AT66" s="416"/>
      <c r="AU66" s="416"/>
      <c r="AV66" s="416"/>
      <c r="AW66" s="416"/>
      <c r="AX66" s="416"/>
      <c r="AY66" s="416"/>
      <c r="AZ66" s="416"/>
      <c r="BA66" s="416"/>
      <c r="BB66" s="416"/>
      <c r="BC66" s="416"/>
      <c r="BD66" s="416"/>
      <c r="BE66" s="416"/>
      <c r="BF66" s="416"/>
    </row>
    <row r="67" spans="1:58" ht="12" customHeight="1">
      <c r="A67" s="495">
        <v>204</v>
      </c>
      <c r="B67" s="450" t="s">
        <v>76</v>
      </c>
      <c r="C67" s="450"/>
      <c r="D67" s="496">
        <v>34700</v>
      </c>
      <c r="E67" s="445"/>
      <c r="F67" s="451" t="s">
        <v>406</v>
      </c>
      <c r="G67" s="452">
        <v>15</v>
      </c>
      <c r="H67" s="445"/>
      <c r="I67" s="453">
        <v>17622.22</v>
      </c>
      <c r="J67" s="452">
        <v>100</v>
      </c>
      <c r="K67" s="452">
        <v>0</v>
      </c>
      <c r="L67"/>
      <c r="M67" s="497">
        <v>17622.22</v>
      </c>
      <c r="N67" s="548">
        <f t="shared" si="14"/>
        <v>0</v>
      </c>
      <c r="O67" s="547">
        <f t="shared" si="12"/>
        <v>17622.22</v>
      </c>
      <c r="P67" s="566">
        <f t="shared" si="13"/>
        <v>0</v>
      </c>
      <c r="Q67" s="499"/>
      <c r="R67" s="499"/>
      <c r="S67" s="542"/>
      <c r="T67" s="500"/>
      <c r="U67" s="500"/>
      <c r="V67" s="500"/>
      <c r="W67" s="555">
        <f t="shared" si="29"/>
        <v>17622.22</v>
      </c>
      <c r="X67" s="500"/>
      <c r="Y67" s="500"/>
      <c r="Z67" s="555">
        <f t="shared" si="15"/>
        <v>0</v>
      </c>
      <c r="AB67" s="500"/>
      <c r="AC67" s="500"/>
      <c r="AD67" s="500"/>
      <c r="AE67" s="500"/>
      <c r="AF67" s="500"/>
      <c r="AG67" s="555">
        <f t="shared" si="30"/>
        <v>17622.22</v>
      </c>
      <c r="AH67" s="500"/>
      <c r="AI67" s="500"/>
      <c r="AJ67" s="555">
        <f t="shared" si="16"/>
        <v>0</v>
      </c>
      <c r="AK67" s="535"/>
      <c r="AL67" s="416"/>
      <c r="AM67" s="416"/>
      <c r="AN67" s="416"/>
      <c r="AO67" s="416"/>
      <c r="AP67" s="416"/>
      <c r="AQ67" s="573">
        <f t="shared" si="31"/>
        <v>0</v>
      </c>
      <c r="AR67" s="416"/>
      <c r="AS67" s="416"/>
      <c r="AT67" s="416"/>
      <c r="AU67" s="416"/>
      <c r="AV67" s="416"/>
      <c r="AW67" s="416"/>
      <c r="AX67" s="416"/>
      <c r="AY67" s="416"/>
      <c r="AZ67" s="416"/>
      <c r="BA67" s="416"/>
      <c r="BB67" s="416"/>
      <c r="BC67" s="416"/>
      <c r="BD67" s="416"/>
      <c r="BE67" s="416"/>
      <c r="BF67" s="416"/>
    </row>
    <row r="68" spans="1:58" ht="12" customHeight="1">
      <c r="A68" s="495">
        <v>205</v>
      </c>
      <c r="B68" s="509" t="s">
        <v>66</v>
      </c>
      <c r="C68" s="509"/>
      <c r="D68" s="496">
        <v>34700</v>
      </c>
      <c r="E68" s="445"/>
      <c r="F68" s="451" t="s">
        <v>406</v>
      </c>
      <c r="G68" s="452">
        <v>15</v>
      </c>
      <c r="H68" s="445"/>
      <c r="I68" s="453">
        <v>13457.71</v>
      </c>
      <c r="J68" s="452">
        <v>100</v>
      </c>
      <c r="K68" s="452">
        <v>0</v>
      </c>
      <c r="L68"/>
      <c r="M68" s="497">
        <v>13457.71</v>
      </c>
      <c r="N68" s="548">
        <f t="shared" si="14"/>
        <v>0</v>
      </c>
      <c r="O68" s="547">
        <f t="shared" si="12"/>
        <v>13457.71</v>
      </c>
      <c r="P68" s="566">
        <f t="shared" si="13"/>
        <v>0</v>
      </c>
      <c r="Q68" s="499"/>
      <c r="R68" s="499"/>
      <c r="S68" s="542"/>
      <c r="T68" s="500"/>
      <c r="U68" s="500"/>
      <c r="V68" s="500"/>
      <c r="W68" s="555">
        <f t="shared" si="29"/>
        <v>13457.71</v>
      </c>
      <c r="X68" s="500"/>
      <c r="Y68" s="500"/>
      <c r="Z68" s="555">
        <f t="shared" si="15"/>
        <v>0</v>
      </c>
      <c r="AB68" s="500"/>
      <c r="AC68" s="500"/>
      <c r="AD68" s="500"/>
      <c r="AE68" s="500"/>
      <c r="AF68" s="500"/>
      <c r="AG68" s="555">
        <f t="shared" si="30"/>
        <v>13457.71</v>
      </c>
      <c r="AH68" s="500"/>
      <c r="AI68" s="500"/>
      <c r="AJ68" s="555">
        <f t="shared" si="16"/>
        <v>0</v>
      </c>
      <c r="AK68" s="535"/>
      <c r="AL68" s="416"/>
      <c r="AM68" s="416"/>
      <c r="AN68" s="416"/>
      <c r="AO68" s="416"/>
      <c r="AP68" s="416"/>
      <c r="AQ68" s="573">
        <f t="shared" si="31"/>
        <v>0</v>
      </c>
      <c r="AR68" s="416"/>
      <c r="AS68" s="416"/>
      <c r="AT68" s="416"/>
      <c r="AU68" s="416"/>
      <c r="AV68" s="416"/>
      <c r="AW68" s="416"/>
      <c r="AX68" s="416"/>
      <c r="AY68" s="416"/>
      <c r="AZ68" s="416"/>
      <c r="BA68" s="416"/>
      <c r="BB68" s="416"/>
      <c r="BC68" s="416"/>
      <c r="BD68" s="416"/>
      <c r="BE68" s="416"/>
      <c r="BF68" s="416"/>
    </row>
    <row r="69" spans="1:58" ht="12" customHeight="1">
      <c r="A69" s="495">
        <v>206</v>
      </c>
      <c r="B69" s="509" t="s">
        <v>38</v>
      </c>
      <c r="C69" s="509"/>
      <c r="D69" s="496">
        <v>34700</v>
      </c>
      <c r="E69" s="445"/>
      <c r="F69" s="451" t="s">
        <v>406</v>
      </c>
      <c r="G69" s="452">
        <v>15</v>
      </c>
      <c r="H69" s="445"/>
      <c r="I69" s="453">
        <v>23787.65</v>
      </c>
      <c r="J69" s="452">
        <v>100</v>
      </c>
      <c r="K69" s="452">
        <v>0</v>
      </c>
      <c r="L69"/>
      <c r="M69" s="497">
        <v>23787.65</v>
      </c>
      <c r="N69" s="548">
        <f t="shared" si="14"/>
        <v>0</v>
      </c>
      <c r="O69" s="547">
        <f t="shared" si="12"/>
        <v>23787.65</v>
      </c>
      <c r="P69" s="566">
        <f t="shared" si="13"/>
        <v>0</v>
      </c>
      <c r="Q69" s="499"/>
      <c r="R69" s="499"/>
      <c r="S69" s="541">
        <f t="shared" ref="S69:S70" si="32">I69</f>
        <v>23787.65</v>
      </c>
      <c r="T69" s="500"/>
      <c r="U69" s="500"/>
      <c r="V69" s="500"/>
      <c r="W69" s="505"/>
      <c r="X69" s="500"/>
      <c r="Y69" s="500"/>
      <c r="Z69" s="555">
        <f t="shared" si="15"/>
        <v>0</v>
      </c>
      <c r="AB69" s="500"/>
      <c r="AC69" s="505">
        <v>23787.65</v>
      </c>
      <c r="AD69" s="500"/>
      <c r="AE69" s="500"/>
      <c r="AF69" s="500"/>
      <c r="AG69" s="500"/>
      <c r="AH69" s="500"/>
      <c r="AI69" s="500"/>
      <c r="AJ69" s="555">
        <f t="shared" si="16"/>
        <v>0</v>
      </c>
      <c r="AK69" s="535"/>
      <c r="AL69" s="416"/>
      <c r="AM69" s="573">
        <f t="shared" ref="AM69:AM70" si="33">N69</f>
        <v>0</v>
      </c>
      <c r="AN69" s="416"/>
      <c r="AO69" s="416"/>
      <c r="AP69" s="416"/>
      <c r="AQ69" s="416"/>
      <c r="AR69" s="416"/>
      <c r="AS69" s="416"/>
      <c r="AT69" s="416"/>
      <c r="AU69" s="416"/>
      <c r="AV69" s="416"/>
      <c r="AW69" s="416"/>
      <c r="AX69" s="416"/>
      <c r="AY69" s="416"/>
      <c r="AZ69" s="416"/>
      <c r="BA69" s="416"/>
      <c r="BB69" s="416"/>
      <c r="BC69" s="416"/>
      <c r="BD69" s="416"/>
      <c r="BE69" s="416"/>
      <c r="BF69" s="416"/>
    </row>
    <row r="70" spans="1:58" ht="12" customHeight="1">
      <c r="A70" s="495">
        <v>207</v>
      </c>
      <c r="B70" s="509" t="s">
        <v>39</v>
      </c>
      <c r="C70" s="509"/>
      <c r="D70" s="496">
        <v>34700</v>
      </c>
      <c r="E70" s="445"/>
      <c r="F70" s="451" t="s">
        <v>406</v>
      </c>
      <c r="G70" s="452">
        <v>15</v>
      </c>
      <c r="H70" s="445"/>
      <c r="I70" s="453">
        <v>11464.05</v>
      </c>
      <c r="J70" s="452">
        <v>100</v>
      </c>
      <c r="K70" s="452">
        <v>0</v>
      </c>
      <c r="L70"/>
      <c r="M70" s="497">
        <v>11464.05</v>
      </c>
      <c r="N70" s="548">
        <f t="shared" si="14"/>
        <v>0</v>
      </c>
      <c r="O70" s="547">
        <f t="shared" si="12"/>
        <v>11464.05</v>
      </c>
      <c r="P70" s="566">
        <f t="shared" si="13"/>
        <v>0</v>
      </c>
      <c r="Q70" s="499"/>
      <c r="R70" s="499"/>
      <c r="S70" s="541">
        <f t="shared" si="32"/>
        <v>11464.05</v>
      </c>
      <c r="T70" s="500"/>
      <c r="U70" s="500"/>
      <c r="V70" s="500"/>
      <c r="W70" s="505"/>
      <c r="X70" s="500"/>
      <c r="Y70" s="500"/>
      <c r="Z70" s="555">
        <f t="shared" si="15"/>
        <v>0</v>
      </c>
      <c r="AB70" s="500"/>
      <c r="AC70" s="505">
        <v>11464.05</v>
      </c>
      <c r="AD70" s="500"/>
      <c r="AE70" s="500"/>
      <c r="AF70" s="500"/>
      <c r="AG70" s="500"/>
      <c r="AH70" s="500"/>
      <c r="AI70" s="500"/>
      <c r="AJ70" s="555">
        <f t="shared" si="16"/>
        <v>0</v>
      </c>
      <c r="AK70" s="535"/>
      <c r="AL70" s="416"/>
      <c r="AM70" s="573">
        <f t="shared" si="33"/>
        <v>0</v>
      </c>
      <c r="AN70" s="416"/>
      <c r="AO70" s="416"/>
      <c r="AP70" s="416"/>
      <c r="AQ70" s="416"/>
      <c r="AR70" s="416"/>
      <c r="AS70" s="416"/>
      <c r="AT70" s="416"/>
      <c r="AU70" s="416"/>
      <c r="AV70" s="416"/>
      <c r="AW70" s="416"/>
      <c r="AX70" s="416"/>
      <c r="AY70" s="416"/>
      <c r="AZ70" s="416"/>
      <c r="BA70" s="416"/>
      <c r="BB70" s="416"/>
      <c r="BC70" s="416"/>
      <c r="BD70" s="416"/>
      <c r="BE70" s="416"/>
      <c r="BF70" s="416"/>
    </row>
    <row r="71" spans="1:58" ht="12" customHeight="1">
      <c r="A71" s="495">
        <v>208</v>
      </c>
      <c r="B71" s="509" t="s">
        <v>66</v>
      </c>
      <c r="C71" s="509"/>
      <c r="D71" s="496">
        <v>35065</v>
      </c>
      <c r="E71" s="445"/>
      <c r="F71" s="451" t="s">
        <v>406</v>
      </c>
      <c r="G71" s="452">
        <v>15</v>
      </c>
      <c r="H71" s="445"/>
      <c r="I71" s="453">
        <v>1499.92</v>
      </c>
      <c r="J71" s="452">
        <v>100</v>
      </c>
      <c r="K71" s="452">
        <v>0</v>
      </c>
      <c r="L71"/>
      <c r="M71" s="497">
        <v>1499.92</v>
      </c>
      <c r="N71" s="548">
        <f t="shared" si="14"/>
        <v>0</v>
      </c>
      <c r="O71" s="547">
        <f t="shared" si="12"/>
        <v>1499.92</v>
      </c>
      <c r="P71" s="566">
        <f t="shared" si="13"/>
        <v>0</v>
      </c>
      <c r="Q71" s="499"/>
      <c r="R71" s="499"/>
      <c r="S71" s="542"/>
      <c r="T71" s="500"/>
      <c r="U71" s="500"/>
      <c r="V71" s="500"/>
      <c r="W71" s="555">
        <f t="shared" ref="W71:W78" si="34">I71</f>
        <v>1499.92</v>
      </c>
      <c r="X71" s="500"/>
      <c r="Y71" s="500"/>
      <c r="Z71" s="555">
        <f t="shared" si="15"/>
        <v>0</v>
      </c>
      <c r="AB71" s="500"/>
      <c r="AC71" s="500"/>
      <c r="AD71" s="500"/>
      <c r="AE71" s="500"/>
      <c r="AF71" s="500"/>
      <c r="AG71" s="555">
        <f t="shared" ref="AG71:AG77" si="35">O71</f>
        <v>1499.92</v>
      </c>
      <c r="AH71" s="500"/>
      <c r="AI71" s="500"/>
      <c r="AJ71" s="555">
        <f t="shared" si="16"/>
        <v>0</v>
      </c>
      <c r="AK71" s="535"/>
      <c r="AL71" s="416"/>
      <c r="AM71" s="416"/>
      <c r="AN71" s="416"/>
      <c r="AO71" s="416"/>
      <c r="AP71" s="416"/>
      <c r="AQ71" s="573">
        <f t="shared" ref="AQ71:AQ79" si="36">N71</f>
        <v>0</v>
      </c>
      <c r="AR71" s="416"/>
      <c r="AS71" s="416"/>
      <c r="AT71" s="416"/>
      <c r="AU71" s="416"/>
      <c r="AV71" s="416"/>
      <c r="AW71" s="416"/>
      <c r="AX71" s="416"/>
      <c r="AY71" s="416"/>
      <c r="AZ71" s="416"/>
      <c r="BA71" s="416"/>
      <c r="BB71" s="416"/>
      <c r="BC71" s="416"/>
      <c r="BD71" s="416"/>
      <c r="BE71" s="416"/>
      <c r="BF71" s="416"/>
    </row>
    <row r="72" spans="1:58" ht="12" customHeight="1">
      <c r="A72" s="495">
        <v>209</v>
      </c>
      <c r="B72" s="509" t="s">
        <v>77</v>
      </c>
      <c r="C72" s="509"/>
      <c r="D72" s="496">
        <v>35065</v>
      </c>
      <c r="E72" s="445"/>
      <c r="F72" s="451" t="s">
        <v>406</v>
      </c>
      <c r="G72" s="452">
        <v>40</v>
      </c>
      <c r="H72" s="445"/>
      <c r="I72" s="453">
        <v>6818.69</v>
      </c>
      <c r="J72" s="452">
        <v>100</v>
      </c>
      <c r="K72" s="452">
        <v>0</v>
      </c>
      <c r="L72"/>
      <c r="M72" s="497">
        <v>3068.9897500000006</v>
      </c>
      <c r="N72" s="548">
        <f t="shared" si="14"/>
        <v>170.46725000000015</v>
      </c>
      <c r="O72" s="547">
        <f t="shared" si="12"/>
        <v>3239.4570000000008</v>
      </c>
      <c r="P72" s="566">
        <f t="shared" si="13"/>
        <v>3579.2329999999988</v>
      </c>
      <c r="Q72" s="499"/>
      <c r="R72" s="499"/>
      <c r="S72" s="542"/>
      <c r="T72" s="500"/>
      <c r="U72" s="500"/>
      <c r="V72" s="500"/>
      <c r="W72" s="555">
        <f t="shared" si="34"/>
        <v>6818.69</v>
      </c>
      <c r="X72" s="500"/>
      <c r="Y72" s="500"/>
      <c r="Z72" s="555">
        <f t="shared" si="15"/>
        <v>0</v>
      </c>
      <c r="AB72" s="500"/>
      <c r="AC72" s="500"/>
      <c r="AD72" s="500"/>
      <c r="AE72" s="500"/>
      <c r="AF72" s="500"/>
      <c r="AG72" s="555">
        <f t="shared" si="35"/>
        <v>3239.4570000000008</v>
      </c>
      <c r="AH72" s="500"/>
      <c r="AI72" s="500"/>
      <c r="AJ72" s="555">
        <f t="shared" si="16"/>
        <v>0</v>
      </c>
      <c r="AK72" s="535"/>
      <c r="AL72" s="416"/>
      <c r="AM72" s="416"/>
      <c r="AN72" s="416"/>
      <c r="AO72" s="416"/>
      <c r="AP72" s="416"/>
      <c r="AQ72" s="573">
        <f t="shared" si="36"/>
        <v>170.46725000000015</v>
      </c>
      <c r="AR72" s="416"/>
      <c r="AS72" s="416"/>
      <c r="AT72" s="416"/>
      <c r="AU72" s="416"/>
      <c r="AV72" s="416"/>
      <c r="AW72" s="416"/>
      <c r="AX72" s="416"/>
      <c r="AY72" s="416"/>
      <c r="AZ72" s="416"/>
      <c r="BA72" s="416"/>
      <c r="BB72" s="416"/>
      <c r="BC72" s="416"/>
      <c r="BD72" s="416"/>
      <c r="BE72" s="416"/>
      <c r="BF72" s="416"/>
    </row>
    <row r="73" spans="1:58" ht="12" customHeight="1">
      <c r="A73" s="495">
        <v>210</v>
      </c>
      <c r="B73" s="509" t="s">
        <v>78</v>
      </c>
      <c r="C73" s="509"/>
      <c r="D73" s="496">
        <v>35065</v>
      </c>
      <c r="E73" s="445"/>
      <c r="F73" s="451" t="s">
        <v>406</v>
      </c>
      <c r="G73" s="452">
        <v>40</v>
      </c>
      <c r="H73" s="445"/>
      <c r="I73" s="453">
        <v>4154.97</v>
      </c>
      <c r="J73" s="452">
        <v>100</v>
      </c>
      <c r="K73" s="452">
        <v>0</v>
      </c>
      <c r="L73"/>
      <c r="M73" s="497">
        <v>1870.2567500000007</v>
      </c>
      <c r="N73" s="548">
        <f t="shared" si="14"/>
        <v>103.87425000000007</v>
      </c>
      <c r="O73" s="547">
        <f t="shared" si="12"/>
        <v>1974.1310000000008</v>
      </c>
      <c r="P73" s="566">
        <f t="shared" si="13"/>
        <v>2180.8389999999995</v>
      </c>
      <c r="Q73" s="499"/>
      <c r="R73" s="499"/>
      <c r="S73" s="542"/>
      <c r="T73" s="500"/>
      <c r="U73" s="500"/>
      <c r="V73" s="500"/>
      <c r="W73" s="555">
        <f t="shared" si="34"/>
        <v>4154.97</v>
      </c>
      <c r="X73" s="500"/>
      <c r="Y73" s="500"/>
      <c r="Z73" s="555">
        <f t="shared" si="15"/>
        <v>0</v>
      </c>
      <c r="AB73" s="500"/>
      <c r="AC73" s="500"/>
      <c r="AD73" s="500"/>
      <c r="AE73" s="500"/>
      <c r="AF73" s="500"/>
      <c r="AG73" s="555">
        <f t="shared" si="35"/>
        <v>1974.1310000000008</v>
      </c>
      <c r="AH73" s="500"/>
      <c r="AI73" s="500"/>
      <c r="AJ73" s="555">
        <f t="shared" si="16"/>
        <v>0</v>
      </c>
      <c r="AK73" s="535"/>
      <c r="AL73" s="416"/>
      <c r="AM73" s="416"/>
      <c r="AN73" s="416"/>
      <c r="AO73" s="416"/>
      <c r="AP73" s="416"/>
      <c r="AQ73" s="573">
        <f t="shared" si="36"/>
        <v>103.87425000000007</v>
      </c>
      <c r="AR73" s="416"/>
      <c r="AS73" s="416"/>
      <c r="AT73" s="416"/>
      <c r="AU73" s="416"/>
      <c r="AV73" s="416"/>
      <c r="AW73" s="416"/>
      <c r="AX73" s="416"/>
      <c r="AY73" s="416"/>
      <c r="AZ73" s="416"/>
      <c r="BA73" s="416"/>
      <c r="BB73" s="416"/>
      <c r="BC73" s="416"/>
      <c r="BD73" s="416"/>
      <c r="BE73" s="416"/>
      <c r="BF73" s="416"/>
    </row>
    <row r="74" spans="1:58" ht="12" customHeight="1">
      <c r="A74" s="495">
        <v>211</v>
      </c>
      <c r="B74" s="509" t="s">
        <v>79</v>
      </c>
      <c r="C74" s="509"/>
      <c r="D74" s="496">
        <v>35065</v>
      </c>
      <c r="E74" s="445"/>
      <c r="F74" s="451" t="s">
        <v>406</v>
      </c>
      <c r="G74" s="452">
        <v>15</v>
      </c>
      <c r="H74" s="445"/>
      <c r="I74" s="453">
        <v>483.42</v>
      </c>
      <c r="J74" s="452">
        <v>100</v>
      </c>
      <c r="K74" s="452">
        <v>0</v>
      </c>
      <c r="L74"/>
      <c r="M74" s="497">
        <v>483.42</v>
      </c>
      <c r="N74" s="548">
        <f t="shared" si="14"/>
        <v>0</v>
      </c>
      <c r="O74" s="547">
        <f t="shared" si="12"/>
        <v>483.42</v>
      </c>
      <c r="P74" s="566">
        <f t="shared" si="13"/>
        <v>0</v>
      </c>
      <c r="Q74" s="499"/>
      <c r="R74" s="499"/>
      <c r="S74" s="542"/>
      <c r="T74" s="500"/>
      <c r="U74" s="500"/>
      <c r="V74" s="500"/>
      <c r="W74" s="555">
        <f t="shared" si="34"/>
        <v>483.42</v>
      </c>
      <c r="X74" s="500"/>
      <c r="Y74" s="500"/>
      <c r="Z74" s="555">
        <f t="shared" si="15"/>
        <v>0</v>
      </c>
      <c r="AB74" s="500"/>
      <c r="AC74" s="500"/>
      <c r="AD74" s="500"/>
      <c r="AE74" s="500"/>
      <c r="AF74" s="500"/>
      <c r="AG74" s="555">
        <f t="shared" si="35"/>
        <v>483.42</v>
      </c>
      <c r="AH74" s="500"/>
      <c r="AI74" s="500"/>
      <c r="AJ74" s="555">
        <f t="shared" si="16"/>
        <v>0</v>
      </c>
      <c r="AK74" s="535"/>
      <c r="AL74" s="416"/>
      <c r="AM74" s="416"/>
      <c r="AN74" s="416"/>
      <c r="AO74" s="416"/>
      <c r="AP74" s="416"/>
      <c r="AQ74" s="573">
        <f t="shared" si="36"/>
        <v>0</v>
      </c>
      <c r="AR74" s="416"/>
      <c r="AS74" s="416"/>
      <c r="AT74" s="416"/>
      <c r="AU74" s="416"/>
      <c r="AV74" s="416"/>
      <c r="AW74" s="416"/>
      <c r="AX74" s="416"/>
      <c r="AY74" s="416"/>
      <c r="AZ74" s="416"/>
      <c r="BA74" s="416"/>
      <c r="BB74" s="416"/>
      <c r="BC74" s="416"/>
      <c r="BD74" s="416"/>
      <c r="BE74" s="416"/>
      <c r="BF74" s="416"/>
    </row>
    <row r="75" spans="1:58" ht="12" customHeight="1">
      <c r="A75" s="495">
        <v>212</v>
      </c>
      <c r="B75" s="509" t="s">
        <v>80</v>
      </c>
      <c r="C75" s="509"/>
      <c r="D75" s="496">
        <v>35065</v>
      </c>
      <c r="E75" s="445"/>
      <c r="F75" s="451" t="s">
        <v>406</v>
      </c>
      <c r="G75" s="452">
        <v>15</v>
      </c>
      <c r="H75" s="445"/>
      <c r="I75" s="453">
        <v>3764</v>
      </c>
      <c r="J75" s="452">
        <v>100</v>
      </c>
      <c r="K75" s="452">
        <v>0</v>
      </c>
      <c r="L75"/>
      <c r="M75" s="497">
        <v>3764</v>
      </c>
      <c r="N75" s="548">
        <f t="shared" si="14"/>
        <v>0</v>
      </c>
      <c r="O75" s="547">
        <f t="shared" si="12"/>
        <v>3764</v>
      </c>
      <c r="P75" s="566">
        <f t="shared" si="13"/>
        <v>0</v>
      </c>
      <c r="Q75" s="499"/>
      <c r="R75" s="499"/>
      <c r="S75" s="542"/>
      <c r="T75" s="500"/>
      <c r="U75" s="500"/>
      <c r="V75" s="500"/>
      <c r="W75" s="555">
        <f t="shared" si="34"/>
        <v>3764</v>
      </c>
      <c r="X75" s="500"/>
      <c r="Y75" s="500"/>
      <c r="Z75" s="555">
        <f t="shared" si="15"/>
        <v>0</v>
      </c>
      <c r="AB75" s="500"/>
      <c r="AC75" s="500"/>
      <c r="AD75" s="500"/>
      <c r="AE75" s="500"/>
      <c r="AF75" s="500"/>
      <c r="AG75" s="555">
        <f t="shared" si="35"/>
        <v>3764</v>
      </c>
      <c r="AH75" s="500"/>
      <c r="AI75" s="500"/>
      <c r="AJ75" s="555">
        <f t="shared" si="16"/>
        <v>0</v>
      </c>
      <c r="AK75" s="535"/>
      <c r="AL75" s="416"/>
      <c r="AM75" s="416"/>
      <c r="AN75" s="416"/>
      <c r="AO75" s="416"/>
      <c r="AP75" s="416"/>
      <c r="AQ75" s="573">
        <f t="shared" si="36"/>
        <v>0</v>
      </c>
      <c r="AR75" s="416"/>
      <c r="AS75" s="416"/>
      <c r="AT75" s="416"/>
      <c r="AU75" s="416"/>
      <c r="AV75" s="416"/>
      <c r="AW75" s="416"/>
      <c r="AX75" s="416"/>
      <c r="AY75" s="416"/>
      <c r="AZ75" s="416"/>
      <c r="BA75" s="416"/>
      <c r="BB75" s="416"/>
      <c r="BC75" s="416"/>
      <c r="BD75" s="416"/>
      <c r="BE75" s="416"/>
      <c r="BF75" s="416"/>
    </row>
    <row r="76" spans="1:58" ht="12" customHeight="1">
      <c r="A76" s="495">
        <v>213</v>
      </c>
      <c r="B76" s="509" t="s">
        <v>81</v>
      </c>
      <c r="C76" s="509"/>
      <c r="D76" s="496">
        <v>35065</v>
      </c>
      <c r="E76" s="445"/>
      <c r="F76" s="451" t="s">
        <v>406</v>
      </c>
      <c r="G76" s="452">
        <v>15</v>
      </c>
      <c r="H76" s="445"/>
      <c r="I76" s="453">
        <v>3594.48</v>
      </c>
      <c r="J76" s="452">
        <v>100</v>
      </c>
      <c r="K76" s="452">
        <v>0</v>
      </c>
      <c r="L76"/>
      <c r="M76" s="497">
        <v>3594.48</v>
      </c>
      <c r="N76" s="548">
        <f t="shared" si="14"/>
        <v>0</v>
      </c>
      <c r="O76" s="547">
        <f t="shared" si="12"/>
        <v>3594.48</v>
      </c>
      <c r="P76" s="566">
        <f t="shared" si="13"/>
        <v>0</v>
      </c>
      <c r="Q76" s="499"/>
      <c r="R76" s="499"/>
      <c r="S76" s="542"/>
      <c r="T76" s="500"/>
      <c r="U76" s="500"/>
      <c r="V76" s="500"/>
      <c r="W76" s="555">
        <f t="shared" si="34"/>
        <v>3594.48</v>
      </c>
      <c r="X76" s="500"/>
      <c r="Y76" s="500"/>
      <c r="Z76" s="555">
        <f t="shared" si="15"/>
        <v>0</v>
      </c>
      <c r="AB76" s="500"/>
      <c r="AC76" s="500"/>
      <c r="AD76" s="500"/>
      <c r="AE76" s="500"/>
      <c r="AF76" s="500"/>
      <c r="AG76" s="555">
        <f t="shared" si="35"/>
        <v>3594.48</v>
      </c>
      <c r="AH76" s="500"/>
      <c r="AI76" s="500"/>
      <c r="AJ76" s="555">
        <f t="shared" si="16"/>
        <v>0</v>
      </c>
      <c r="AK76" s="535"/>
      <c r="AL76" s="416"/>
      <c r="AM76" s="416"/>
      <c r="AN76" s="416"/>
      <c r="AO76" s="416"/>
      <c r="AP76" s="416"/>
      <c r="AQ76" s="573">
        <f t="shared" si="36"/>
        <v>0</v>
      </c>
      <c r="AR76" s="416"/>
      <c r="AS76" s="416"/>
      <c r="AT76" s="416"/>
      <c r="AU76" s="416"/>
      <c r="AV76" s="416"/>
      <c r="AW76" s="416"/>
      <c r="AX76" s="416"/>
      <c r="AY76" s="416"/>
      <c r="AZ76" s="416"/>
      <c r="BA76" s="416"/>
      <c r="BB76" s="416"/>
      <c r="BC76" s="416"/>
      <c r="BD76" s="416"/>
      <c r="BE76" s="416"/>
      <c r="BF76" s="416"/>
    </row>
    <row r="77" spans="1:58" ht="12" customHeight="1">
      <c r="A77" s="495">
        <v>214</v>
      </c>
      <c r="B77" s="509" t="s">
        <v>117</v>
      </c>
      <c r="C77" s="509"/>
      <c r="D77" s="496">
        <v>35065</v>
      </c>
      <c r="E77" s="445"/>
      <c r="F77" s="451" t="s">
        <v>406</v>
      </c>
      <c r="G77" s="452">
        <v>15</v>
      </c>
      <c r="H77" s="445"/>
      <c r="I77" s="453">
        <v>4579.38</v>
      </c>
      <c r="J77" s="452">
        <v>100</v>
      </c>
      <c r="K77" s="452">
        <v>0</v>
      </c>
      <c r="L77"/>
      <c r="M77" s="497">
        <v>4579.38</v>
      </c>
      <c r="N77" s="548">
        <f t="shared" si="14"/>
        <v>0</v>
      </c>
      <c r="O77" s="547">
        <f t="shared" si="12"/>
        <v>4579.38</v>
      </c>
      <c r="P77" s="566">
        <f t="shared" si="13"/>
        <v>0</v>
      </c>
      <c r="Q77" s="499"/>
      <c r="R77" s="499"/>
      <c r="S77" s="542"/>
      <c r="T77" s="500"/>
      <c r="U77" s="500"/>
      <c r="V77" s="500"/>
      <c r="W77" s="555">
        <f t="shared" si="34"/>
        <v>4579.38</v>
      </c>
      <c r="X77" s="500"/>
      <c r="Y77" s="535"/>
      <c r="Z77" s="555">
        <f t="shared" si="15"/>
        <v>0</v>
      </c>
      <c r="AB77" s="500"/>
      <c r="AC77" s="500"/>
      <c r="AD77" s="500"/>
      <c r="AE77" s="500"/>
      <c r="AF77" s="500"/>
      <c r="AG77" s="555">
        <f t="shared" si="35"/>
        <v>4579.38</v>
      </c>
      <c r="AH77" s="500"/>
      <c r="AI77" s="505"/>
      <c r="AJ77" s="555">
        <f t="shared" si="16"/>
        <v>0</v>
      </c>
      <c r="AK77" s="535"/>
      <c r="AL77" s="416"/>
      <c r="AM77" s="416"/>
      <c r="AN77" s="416"/>
      <c r="AO77" s="416"/>
      <c r="AP77" s="416"/>
      <c r="AQ77" s="573">
        <f t="shared" si="36"/>
        <v>0</v>
      </c>
      <c r="AR77" s="416"/>
      <c r="AS77" s="416"/>
      <c r="AT77" s="416"/>
      <c r="AU77" s="416"/>
      <c r="AV77" s="416"/>
      <c r="AW77" s="416"/>
      <c r="AX77" s="416"/>
      <c r="AY77" s="416"/>
      <c r="AZ77" s="416"/>
      <c r="BA77" s="416"/>
      <c r="BB77" s="416"/>
      <c r="BC77" s="416"/>
      <c r="BD77" s="416"/>
      <c r="BE77" s="416"/>
      <c r="BF77" s="416"/>
    </row>
    <row r="78" spans="1:58" ht="12" customHeight="1">
      <c r="A78" s="495">
        <v>215</v>
      </c>
      <c r="B78" s="509" t="s">
        <v>82</v>
      </c>
      <c r="C78" s="509"/>
      <c r="D78" s="496">
        <v>35065</v>
      </c>
      <c r="E78" s="445"/>
      <c r="F78" s="451" t="s">
        <v>406</v>
      </c>
      <c r="G78" s="452">
        <v>15</v>
      </c>
      <c r="H78" s="445"/>
      <c r="I78" s="453">
        <v>17979.439999999999</v>
      </c>
      <c r="J78" s="452">
        <v>100</v>
      </c>
      <c r="K78" s="452">
        <v>0</v>
      </c>
      <c r="L78"/>
      <c r="M78" s="497">
        <v>17979.439999999999</v>
      </c>
      <c r="N78" s="548">
        <f t="shared" si="14"/>
        <v>0</v>
      </c>
      <c r="O78" s="547">
        <f t="shared" si="12"/>
        <v>17979.439999999999</v>
      </c>
      <c r="P78" s="566">
        <f t="shared" si="13"/>
        <v>0</v>
      </c>
      <c r="Q78" s="499"/>
      <c r="R78" s="499"/>
      <c r="S78" s="542"/>
      <c r="T78" s="500"/>
      <c r="U78" s="500"/>
      <c r="V78" s="500"/>
      <c r="W78" s="555">
        <f t="shared" si="34"/>
        <v>17979.439999999999</v>
      </c>
      <c r="X78" s="500"/>
      <c r="Y78" s="500"/>
      <c r="Z78" s="555">
        <f t="shared" si="15"/>
        <v>0</v>
      </c>
      <c r="AB78" s="500"/>
      <c r="AC78" s="500"/>
      <c r="AD78" s="500"/>
      <c r="AE78" s="500"/>
      <c r="AF78" s="500"/>
      <c r="AG78" s="555">
        <f t="shared" ref="AG78:AG79" si="37">O78</f>
        <v>17979.439999999999</v>
      </c>
      <c r="AH78" s="500"/>
      <c r="AI78" s="500"/>
      <c r="AJ78" s="555">
        <f t="shared" si="16"/>
        <v>0</v>
      </c>
      <c r="AK78" s="535"/>
      <c r="AL78" s="416"/>
      <c r="AM78" s="416"/>
      <c r="AN78" s="416"/>
      <c r="AO78" s="416"/>
      <c r="AP78" s="416"/>
      <c r="AQ78" s="573">
        <f t="shared" si="36"/>
        <v>0</v>
      </c>
      <c r="AR78" s="416"/>
      <c r="AS78" s="416"/>
      <c r="AT78" s="416"/>
      <c r="AU78" s="416"/>
      <c r="AV78" s="416"/>
      <c r="AW78" s="416"/>
      <c r="AX78" s="416"/>
      <c r="AY78" s="416"/>
      <c r="AZ78" s="416"/>
      <c r="BA78" s="416"/>
      <c r="BB78" s="416"/>
      <c r="BC78" s="416"/>
      <c r="BD78" s="416"/>
      <c r="BE78" s="416"/>
      <c r="BF78" s="416"/>
    </row>
    <row r="79" spans="1:58" ht="12" customHeight="1">
      <c r="A79" s="495">
        <v>216</v>
      </c>
      <c r="B79" s="450" t="s">
        <v>40</v>
      </c>
      <c r="C79" s="450"/>
      <c r="D79" s="496">
        <v>35431</v>
      </c>
      <c r="E79" s="445"/>
      <c r="F79" s="451" t="s">
        <v>406</v>
      </c>
      <c r="G79" s="452">
        <v>15</v>
      </c>
      <c r="H79" s="445"/>
      <c r="I79" s="453">
        <v>25622.01</v>
      </c>
      <c r="J79" s="452">
        <v>100</v>
      </c>
      <c r="K79" s="452">
        <v>0</v>
      </c>
      <c r="L79"/>
      <c r="M79" s="497">
        <v>25622.01</v>
      </c>
      <c r="N79" s="548">
        <f t="shared" si="14"/>
        <v>0</v>
      </c>
      <c r="O79" s="547">
        <f t="shared" si="12"/>
        <v>25622.01</v>
      </c>
      <c r="P79" s="566">
        <f t="shared" si="13"/>
        <v>0</v>
      </c>
      <c r="Q79" s="499"/>
      <c r="R79" s="499"/>
      <c r="S79" s="541">
        <f>I79</f>
        <v>25622.01</v>
      </c>
      <c r="T79" s="500"/>
      <c r="U79" s="500"/>
      <c r="V79" s="500"/>
      <c r="W79" s="500"/>
      <c r="X79" s="500"/>
      <c r="Y79" s="500"/>
      <c r="Z79" s="555">
        <f t="shared" si="15"/>
        <v>0</v>
      </c>
      <c r="AB79" s="500"/>
      <c r="AC79" s="500"/>
      <c r="AD79" s="500"/>
      <c r="AE79" s="500"/>
      <c r="AF79" s="500"/>
      <c r="AG79" s="555">
        <f t="shared" si="37"/>
        <v>25622.01</v>
      </c>
      <c r="AH79" s="500"/>
      <c r="AI79" s="500"/>
      <c r="AJ79" s="555">
        <f t="shared" si="16"/>
        <v>0</v>
      </c>
      <c r="AK79" s="535"/>
      <c r="AL79" s="416"/>
      <c r="AM79" s="416"/>
      <c r="AN79" s="416"/>
      <c r="AO79" s="416"/>
      <c r="AP79" s="416"/>
      <c r="AQ79" s="573">
        <f t="shared" si="36"/>
        <v>0</v>
      </c>
      <c r="AR79" s="416"/>
      <c r="AS79" s="416"/>
      <c r="AT79" s="416"/>
      <c r="AU79" s="416"/>
      <c r="AV79" s="416"/>
      <c r="AW79" s="416"/>
      <c r="AX79" s="416"/>
      <c r="AY79" s="416"/>
      <c r="AZ79" s="416"/>
      <c r="BA79" s="416"/>
      <c r="BB79" s="416"/>
      <c r="BC79" s="416"/>
      <c r="BD79" s="416"/>
      <c r="BE79" s="416"/>
      <c r="BF79" s="416"/>
    </row>
    <row r="80" spans="1:58" ht="12" customHeight="1">
      <c r="A80" s="495">
        <v>217</v>
      </c>
      <c r="B80" s="509" t="s">
        <v>83</v>
      </c>
      <c r="C80" s="509"/>
      <c r="D80" s="496">
        <v>35796</v>
      </c>
      <c r="E80" s="445"/>
      <c r="F80" s="451" t="s">
        <v>406</v>
      </c>
      <c r="G80" s="452">
        <v>15</v>
      </c>
      <c r="H80" s="445"/>
      <c r="I80" s="453">
        <v>52220.81</v>
      </c>
      <c r="J80" s="452">
        <v>100</v>
      </c>
      <c r="K80" s="452">
        <v>0</v>
      </c>
      <c r="L80"/>
      <c r="M80" s="497">
        <v>52220.81</v>
      </c>
      <c r="N80" s="548">
        <f t="shared" si="14"/>
        <v>0</v>
      </c>
      <c r="O80" s="547">
        <f t="shared" si="12"/>
        <v>52220.81</v>
      </c>
      <c r="P80" s="566">
        <f t="shared" si="13"/>
        <v>0</v>
      </c>
      <c r="Q80" s="499"/>
      <c r="R80" s="499"/>
      <c r="S80" s="542"/>
      <c r="T80" s="500"/>
      <c r="U80" s="500"/>
      <c r="V80" s="500"/>
      <c r="W80" s="555">
        <f t="shared" ref="W80:W81" si="38">I80</f>
        <v>52220.81</v>
      </c>
      <c r="X80" s="500"/>
      <c r="Y80" s="500"/>
      <c r="Z80" s="555">
        <f t="shared" si="15"/>
        <v>0</v>
      </c>
      <c r="AB80" s="500"/>
      <c r="AC80" s="505">
        <v>52220.81</v>
      </c>
      <c r="AD80" s="500"/>
      <c r="AE80" s="500"/>
      <c r="AF80" s="500"/>
      <c r="AG80" s="500"/>
      <c r="AH80" s="500"/>
      <c r="AI80" s="500"/>
      <c r="AJ80" s="555">
        <f t="shared" si="16"/>
        <v>0</v>
      </c>
      <c r="AK80" s="535"/>
      <c r="AL80" s="416"/>
      <c r="AM80" s="573">
        <f>N80</f>
        <v>0</v>
      </c>
      <c r="AN80" s="416"/>
      <c r="AO80" s="416"/>
      <c r="AP80" s="416"/>
      <c r="AQ80" s="416"/>
      <c r="AR80" s="416"/>
      <c r="AS80" s="416"/>
      <c r="AT80" s="416"/>
      <c r="AU80" s="416"/>
      <c r="AV80" s="416"/>
      <c r="AW80" s="416"/>
      <c r="AX80" s="416"/>
      <c r="AY80" s="416"/>
      <c r="AZ80" s="416"/>
      <c r="BA80" s="416"/>
      <c r="BB80" s="416"/>
      <c r="BC80" s="416"/>
      <c r="BD80" s="416"/>
      <c r="BE80" s="416"/>
      <c r="BF80" s="416"/>
    </row>
    <row r="81" spans="1:58" ht="12" customHeight="1">
      <c r="A81" s="495">
        <v>218</v>
      </c>
      <c r="B81" s="450" t="s">
        <v>84</v>
      </c>
      <c r="C81" s="450"/>
      <c r="D81" s="496">
        <v>35796</v>
      </c>
      <c r="E81" s="445"/>
      <c r="F81" s="451" t="s">
        <v>406</v>
      </c>
      <c r="G81" s="452">
        <v>15</v>
      </c>
      <c r="H81" s="445"/>
      <c r="I81" s="453">
        <v>1738.44</v>
      </c>
      <c r="J81" s="452">
        <v>100</v>
      </c>
      <c r="K81" s="452">
        <v>0</v>
      </c>
      <c r="L81"/>
      <c r="M81" s="497">
        <v>1738.44</v>
      </c>
      <c r="N81" s="548">
        <f t="shared" si="14"/>
        <v>0</v>
      </c>
      <c r="O81" s="547">
        <f t="shared" si="12"/>
        <v>1738.44</v>
      </c>
      <c r="P81" s="566">
        <f t="shared" si="13"/>
        <v>0</v>
      </c>
      <c r="Q81" s="499"/>
      <c r="R81" s="499"/>
      <c r="S81" s="542"/>
      <c r="T81" s="500"/>
      <c r="U81" s="500"/>
      <c r="V81" s="500"/>
      <c r="W81" s="555">
        <f t="shared" si="38"/>
        <v>1738.44</v>
      </c>
      <c r="X81" s="500"/>
      <c r="Y81" s="500"/>
      <c r="Z81" s="555">
        <f t="shared" si="15"/>
        <v>0</v>
      </c>
      <c r="AB81" s="500"/>
      <c r="AC81" s="500"/>
      <c r="AD81" s="500"/>
      <c r="AE81" s="500"/>
      <c r="AF81" s="500"/>
      <c r="AG81" s="555">
        <f>O81</f>
        <v>1738.44</v>
      </c>
      <c r="AH81" s="500"/>
      <c r="AI81" s="500"/>
      <c r="AJ81" s="555">
        <f t="shared" si="16"/>
        <v>0</v>
      </c>
      <c r="AK81" s="535"/>
      <c r="AL81" s="416"/>
      <c r="AM81" s="416"/>
      <c r="AN81" s="416"/>
      <c r="AO81" s="416"/>
      <c r="AP81" s="416"/>
      <c r="AQ81" s="573">
        <f>N81</f>
        <v>0</v>
      </c>
      <c r="AR81" s="416"/>
      <c r="AS81" s="416"/>
      <c r="AT81" s="416"/>
      <c r="AU81" s="416"/>
      <c r="AV81" s="416"/>
      <c r="AW81" s="416"/>
      <c r="AX81" s="416"/>
      <c r="AY81" s="416"/>
      <c r="AZ81" s="416"/>
      <c r="BA81" s="416"/>
      <c r="BB81" s="416"/>
      <c r="BC81" s="416"/>
      <c r="BD81" s="416"/>
      <c r="BE81" s="416"/>
      <c r="BF81" s="416"/>
    </row>
    <row r="82" spans="1:58" ht="12" customHeight="1">
      <c r="A82" s="495">
        <v>219</v>
      </c>
      <c r="B82" s="450" t="s">
        <v>41</v>
      </c>
      <c r="C82" s="450"/>
      <c r="D82" s="496">
        <v>35796</v>
      </c>
      <c r="E82" s="445"/>
      <c r="F82" s="451" t="s">
        <v>406</v>
      </c>
      <c r="G82" s="452">
        <v>15</v>
      </c>
      <c r="H82" s="445"/>
      <c r="I82" s="453">
        <v>24445.22</v>
      </c>
      <c r="J82" s="452">
        <v>100</v>
      </c>
      <c r="K82" s="452">
        <v>0</v>
      </c>
      <c r="L82"/>
      <c r="M82" s="497">
        <v>24445.22</v>
      </c>
      <c r="N82" s="548">
        <f t="shared" si="14"/>
        <v>0</v>
      </c>
      <c r="O82" s="547">
        <f t="shared" si="12"/>
        <v>24445.22</v>
      </c>
      <c r="P82" s="566">
        <f t="shared" si="13"/>
        <v>0</v>
      </c>
      <c r="Q82" s="499"/>
      <c r="R82" s="499"/>
      <c r="S82" s="541">
        <f t="shared" ref="S82:S86" si="39">I82</f>
        <v>24445.22</v>
      </c>
      <c r="T82" s="500"/>
      <c r="U82" s="500"/>
      <c r="V82" s="500"/>
      <c r="W82" s="500"/>
      <c r="X82" s="500"/>
      <c r="Y82" s="500"/>
      <c r="Z82" s="555">
        <f t="shared" si="15"/>
        <v>0</v>
      </c>
      <c r="AB82" s="500"/>
      <c r="AC82" s="555">
        <f>O82</f>
        <v>24445.22</v>
      </c>
      <c r="AD82" s="500"/>
      <c r="AE82" s="500"/>
      <c r="AF82" s="500"/>
      <c r="AG82" s="500"/>
      <c r="AH82" s="500"/>
      <c r="AI82" s="500"/>
      <c r="AJ82" s="555">
        <f t="shared" si="16"/>
        <v>0</v>
      </c>
      <c r="AK82" s="535"/>
      <c r="AL82" s="416"/>
      <c r="AM82" s="573">
        <f t="shared" ref="AM82:AM86" si="40">N82</f>
        <v>0</v>
      </c>
      <c r="AN82" s="416"/>
      <c r="AO82" s="416"/>
      <c r="AP82" s="416"/>
      <c r="AQ82" s="416"/>
      <c r="AR82" s="416"/>
      <c r="AS82" s="416"/>
      <c r="AT82" s="416"/>
      <c r="AU82" s="416"/>
      <c r="AV82" s="416"/>
      <c r="AW82" s="416"/>
      <c r="AX82" s="416"/>
      <c r="AY82" s="416"/>
      <c r="AZ82" s="416"/>
      <c r="BA82" s="416"/>
      <c r="BB82" s="416"/>
      <c r="BC82" s="416"/>
      <c r="BD82" s="416"/>
      <c r="BE82" s="416"/>
      <c r="BF82" s="416"/>
    </row>
    <row r="83" spans="1:58" ht="12" customHeight="1">
      <c r="A83" s="495">
        <v>290</v>
      </c>
      <c r="B83" s="509" t="s">
        <v>42</v>
      </c>
      <c r="C83" s="509"/>
      <c r="D83" s="496">
        <v>36161</v>
      </c>
      <c r="E83" s="445"/>
      <c r="F83" s="451" t="s">
        <v>406</v>
      </c>
      <c r="G83" s="452">
        <v>7</v>
      </c>
      <c r="H83" s="445"/>
      <c r="I83" s="453">
        <v>-1868.21</v>
      </c>
      <c r="J83" s="452">
        <v>100</v>
      </c>
      <c r="K83" s="452">
        <v>0</v>
      </c>
      <c r="L83"/>
      <c r="M83" s="497">
        <v>-4537.0814285714287</v>
      </c>
      <c r="N83" s="566">
        <f t="shared" si="14"/>
        <v>2668.8714285714286</v>
      </c>
      <c r="O83" s="547">
        <f t="shared" si="12"/>
        <v>-1868.21</v>
      </c>
      <c r="P83" s="566">
        <f t="shared" si="13"/>
        <v>0</v>
      </c>
      <c r="Q83" s="499"/>
      <c r="R83" s="499"/>
      <c r="S83" s="541">
        <f t="shared" si="39"/>
        <v>-1868.21</v>
      </c>
      <c r="T83" s="500"/>
      <c r="U83" s="500"/>
      <c r="V83" s="500"/>
      <c r="W83" s="500"/>
      <c r="X83" s="500"/>
      <c r="Y83" s="500"/>
      <c r="Z83" s="555">
        <f t="shared" si="15"/>
        <v>0</v>
      </c>
      <c r="AB83" s="500"/>
      <c r="AC83" s="555">
        <f>O83</f>
        <v>-1868.21</v>
      </c>
      <c r="AD83" s="500"/>
      <c r="AE83" s="500"/>
      <c r="AF83" s="500"/>
      <c r="AG83" s="500"/>
      <c r="AH83" s="500"/>
      <c r="AI83" s="500"/>
      <c r="AJ83" s="555">
        <f t="shared" si="16"/>
        <v>0</v>
      </c>
      <c r="AK83" s="535"/>
      <c r="AL83" s="416"/>
      <c r="AM83" s="573">
        <f t="shared" si="40"/>
        <v>2668.8714285714286</v>
      </c>
      <c r="AN83" s="416"/>
      <c r="AO83" s="416"/>
      <c r="AP83" s="416"/>
      <c r="AQ83" s="416"/>
      <c r="AR83" s="416"/>
      <c r="AS83" s="416"/>
      <c r="AT83" s="416"/>
      <c r="AU83" s="416"/>
      <c r="AV83" s="416"/>
      <c r="AW83" s="416"/>
      <c r="AX83" s="416"/>
      <c r="AY83" s="416"/>
      <c r="AZ83" s="416"/>
      <c r="BA83" s="416"/>
      <c r="BB83" s="416"/>
      <c r="BC83" s="416"/>
      <c r="BD83" s="416"/>
      <c r="BE83" s="416"/>
      <c r="BF83" s="416"/>
    </row>
    <row r="84" spans="1:58" ht="12" customHeight="1">
      <c r="A84" s="495">
        <v>282</v>
      </c>
      <c r="B84" s="450" t="s">
        <v>43</v>
      </c>
      <c r="C84" s="450"/>
      <c r="D84" s="496">
        <v>36312</v>
      </c>
      <c r="E84" s="445"/>
      <c r="F84" s="451" t="s">
        <v>406</v>
      </c>
      <c r="G84" s="452">
        <v>10</v>
      </c>
      <c r="H84" s="445"/>
      <c r="I84" s="453">
        <v>1715.35</v>
      </c>
      <c r="J84" s="452">
        <v>100</v>
      </c>
      <c r="K84" s="452">
        <v>0</v>
      </c>
      <c r="L84"/>
      <c r="M84" s="497">
        <v>1715.35</v>
      </c>
      <c r="N84" s="548">
        <f t="shared" si="14"/>
        <v>0</v>
      </c>
      <c r="O84" s="547">
        <f t="shared" si="12"/>
        <v>1715.35</v>
      </c>
      <c r="P84" s="566">
        <f t="shared" si="13"/>
        <v>0</v>
      </c>
      <c r="Q84" s="499"/>
      <c r="R84" s="499"/>
      <c r="S84" s="541">
        <f t="shared" si="39"/>
        <v>1715.35</v>
      </c>
      <c r="T84" s="500"/>
      <c r="U84" s="500"/>
      <c r="V84" s="500"/>
      <c r="W84" s="500"/>
      <c r="X84" s="500"/>
      <c r="Y84" s="500"/>
      <c r="Z84" s="555">
        <f t="shared" si="15"/>
        <v>0</v>
      </c>
      <c r="AB84" s="500"/>
      <c r="AC84" s="555">
        <f t="shared" ref="AC84:AC85" si="41">O84</f>
        <v>1715.35</v>
      </c>
      <c r="AD84" s="500"/>
      <c r="AE84" s="500"/>
      <c r="AF84" s="500"/>
      <c r="AG84" s="500"/>
      <c r="AH84" s="500"/>
      <c r="AI84" s="500"/>
      <c r="AJ84" s="555">
        <f t="shared" si="16"/>
        <v>0</v>
      </c>
      <c r="AK84" s="535"/>
      <c r="AL84" s="416"/>
      <c r="AM84" s="573">
        <f t="shared" si="40"/>
        <v>0</v>
      </c>
      <c r="AN84" s="416"/>
      <c r="AO84" s="416"/>
      <c r="AP84" s="416"/>
      <c r="AQ84" s="416"/>
      <c r="AR84" s="416"/>
      <c r="AS84" s="416"/>
      <c r="AT84" s="416"/>
      <c r="AU84" s="416"/>
      <c r="AV84" s="416"/>
      <c r="AW84" s="416"/>
      <c r="AX84" s="416"/>
      <c r="AY84" s="416"/>
      <c r="AZ84" s="416"/>
      <c r="BA84" s="416"/>
      <c r="BB84" s="416"/>
      <c r="BC84" s="416"/>
      <c r="BD84" s="416"/>
      <c r="BE84" s="416"/>
      <c r="BF84" s="416"/>
    </row>
    <row r="85" spans="1:58" ht="12" customHeight="1">
      <c r="A85" s="495">
        <v>285</v>
      </c>
      <c r="B85" s="509" t="s">
        <v>44</v>
      </c>
      <c r="C85" s="509"/>
      <c r="D85" s="496">
        <v>36373</v>
      </c>
      <c r="E85" s="445"/>
      <c r="F85" s="451" t="s">
        <v>406</v>
      </c>
      <c r="G85" s="452">
        <v>10</v>
      </c>
      <c r="H85" s="445"/>
      <c r="I85" s="453">
        <v>2050.4299999999998</v>
      </c>
      <c r="J85" s="452">
        <v>100</v>
      </c>
      <c r="K85" s="452">
        <v>0</v>
      </c>
      <c r="L85"/>
      <c r="M85" s="497">
        <v>2050.4299999999998</v>
      </c>
      <c r="N85" s="548">
        <f t="shared" si="14"/>
        <v>0</v>
      </c>
      <c r="O85" s="547">
        <f t="shared" si="12"/>
        <v>2050.4299999999998</v>
      </c>
      <c r="P85" s="566">
        <f t="shared" si="13"/>
        <v>0</v>
      </c>
      <c r="Q85" s="499"/>
      <c r="R85" s="499"/>
      <c r="S85" s="541">
        <f t="shared" si="39"/>
        <v>2050.4299999999998</v>
      </c>
      <c r="T85" s="500"/>
      <c r="U85" s="500"/>
      <c r="V85" s="500"/>
      <c r="W85" s="500"/>
      <c r="X85" s="500"/>
      <c r="Y85" s="500"/>
      <c r="Z85" s="555">
        <f t="shared" si="15"/>
        <v>0</v>
      </c>
      <c r="AB85" s="500"/>
      <c r="AC85" s="555">
        <f t="shared" si="41"/>
        <v>2050.4299999999998</v>
      </c>
      <c r="AD85" s="500"/>
      <c r="AE85" s="500"/>
      <c r="AF85" s="500"/>
      <c r="AG85" s="500"/>
      <c r="AH85" s="500"/>
      <c r="AI85" s="500"/>
      <c r="AJ85" s="555">
        <f t="shared" si="16"/>
        <v>0</v>
      </c>
      <c r="AK85" s="535"/>
      <c r="AL85" s="416"/>
      <c r="AM85" s="573">
        <f t="shared" si="40"/>
        <v>0</v>
      </c>
      <c r="AN85" s="416"/>
      <c r="AO85" s="416"/>
      <c r="AP85" s="416"/>
      <c r="AQ85" s="416"/>
      <c r="AR85" s="416"/>
      <c r="AS85" s="416"/>
      <c r="AT85" s="416"/>
      <c r="AU85" s="416"/>
      <c r="AV85" s="416"/>
      <c r="AW85" s="416"/>
      <c r="AX85" s="416"/>
      <c r="AY85" s="416"/>
      <c r="AZ85" s="416"/>
      <c r="BA85" s="416"/>
      <c r="BB85" s="416"/>
      <c r="BC85" s="416"/>
      <c r="BD85" s="416"/>
      <c r="BE85" s="416"/>
      <c r="BF85" s="416"/>
    </row>
    <row r="86" spans="1:58" ht="12" customHeight="1">
      <c r="A86" s="495">
        <v>310</v>
      </c>
      <c r="B86" s="450" t="s">
        <v>45</v>
      </c>
      <c r="C86" s="450"/>
      <c r="D86" s="496">
        <v>36383</v>
      </c>
      <c r="E86" s="445"/>
      <c r="F86" s="451" t="s">
        <v>406</v>
      </c>
      <c r="G86" s="452">
        <v>20</v>
      </c>
      <c r="H86" s="445"/>
      <c r="I86" s="453">
        <v>205804.1</v>
      </c>
      <c r="J86" s="452">
        <v>100</v>
      </c>
      <c r="K86" s="452">
        <v>0</v>
      </c>
      <c r="L86"/>
      <c r="M86" s="497">
        <v>148350.47499999998</v>
      </c>
      <c r="N86" s="548">
        <f t="shared" si="14"/>
        <v>10290.204999999987</v>
      </c>
      <c r="O86" s="547">
        <f t="shared" si="12"/>
        <v>158640.67999999996</v>
      </c>
      <c r="P86" s="566">
        <f t="shared" si="13"/>
        <v>47163.420000000042</v>
      </c>
      <c r="Q86" s="499"/>
      <c r="R86" s="499"/>
      <c r="S86" s="541">
        <f t="shared" si="39"/>
        <v>205804.1</v>
      </c>
      <c r="T86" s="500"/>
      <c r="U86" s="500"/>
      <c r="V86" s="500"/>
      <c r="W86" s="500"/>
      <c r="X86" s="500"/>
      <c r="Y86" s="500"/>
      <c r="Z86" s="555">
        <f t="shared" si="15"/>
        <v>0</v>
      </c>
      <c r="AB86" s="500"/>
      <c r="AC86" s="555">
        <f>O86</f>
        <v>158640.67999999996</v>
      </c>
      <c r="AD86" s="500"/>
      <c r="AE86" s="500"/>
      <c r="AF86" s="500"/>
      <c r="AG86" s="500"/>
      <c r="AH86" s="500"/>
      <c r="AI86" s="500"/>
      <c r="AJ86" s="555">
        <f t="shared" si="16"/>
        <v>0</v>
      </c>
      <c r="AK86" s="535"/>
      <c r="AL86" s="416"/>
      <c r="AM86" s="573">
        <f t="shared" si="40"/>
        <v>10290.204999999987</v>
      </c>
      <c r="AN86" s="416"/>
      <c r="AO86" s="416"/>
      <c r="AP86" s="416"/>
      <c r="AQ86" s="416"/>
      <c r="AR86" s="416"/>
      <c r="AS86" s="416"/>
      <c r="AT86" s="416"/>
      <c r="AU86" s="416"/>
      <c r="AV86" s="416"/>
      <c r="AW86" s="416"/>
      <c r="AX86" s="416"/>
      <c r="AY86" s="416"/>
      <c r="AZ86" s="416"/>
      <c r="BA86" s="416"/>
      <c r="BB86" s="416"/>
      <c r="BC86" s="416"/>
      <c r="BD86" s="416"/>
      <c r="BE86" s="416"/>
      <c r="BF86" s="416"/>
    </row>
    <row r="87" spans="1:58" ht="12" customHeight="1">
      <c r="A87" s="495">
        <v>291</v>
      </c>
      <c r="B87" s="509" t="s">
        <v>85</v>
      </c>
      <c r="C87" s="509"/>
      <c r="D87" s="496">
        <v>36447</v>
      </c>
      <c r="E87" s="445"/>
      <c r="F87" s="451" t="s">
        <v>406</v>
      </c>
      <c r="G87" s="452">
        <v>20</v>
      </c>
      <c r="H87" s="445"/>
      <c r="I87" s="453">
        <v>3189.68</v>
      </c>
      <c r="J87" s="452">
        <v>100</v>
      </c>
      <c r="K87" s="452">
        <v>0</v>
      </c>
      <c r="L87"/>
      <c r="M87" s="497">
        <v>2272.6339999999991</v>
      </c>
      <c r="N87" s="548">
        <f t="shared" si="14"/>
        <v>159.48399999999992</v>
      </c>
      <c r="O87" s="547">
        <f t="shared" si="12"/>
        <v>2432.117999999999</v>
      </c>
      <c r="P87" s="566">
        <f t="shared" si="13"/>
        <v>757.56200000000081</v>
      </c>
      <c r="Q87" s="499"/>
      <c r="R87" s="499"/>
      <c r="S87" s="542"/>
      <c r="T87" s="500"/>
      <c r="U87" s="500"/>
      <c r="V87" s="500"/>
      <c r="W87" s="555">
        <f t="shared" ref="W87:W93" si="42">I87</f>
        <v>3189.68</v>
      </c>
      <c r="X87" s="500"/>
      <c r="Y87" s="500"/>
      <c r="Z87" s="555">
        <f t="shared" si="15"/>
        <v>0</v>
      </c>
      <c r="AB87" s="500"/>
      <c r="AC87" s="500"/>
      <c r="AD87" s="500"/>
      <c r="AE87" s="500"/>
      <c r="AF87" s="500"/>
      <c r="AG87" s="555">
        <f t="shared" ref="AG87:AG93" si="43">O87</f>
        <v>2432.117999999999</v>
      </c>
      <c r="AH87" s="500"/>
      <c r="AI87" s="500"/>
      <c r="AJ87" s="555">
        <f t="shared" si="16"/>
        <v>0</v>
      </c>
      <c r="AK87" s="535"/>
      <c r="AL87" s="416"/>
      <c r="AM87" s="416"/>
      <c r="AN87" s="416"/>
      <c r="AO87" s="416"/>
      <c r="AP87" s="416"/>
      <c r="AQ87" s="573">
        <f t="shared" ref="AQ87:AQ93" si="44">N87</f>
        <v>159.48399999999992</v>
      </c>
      <c r="AR87" s="416"/>
      <c r="AS87" s="416"/>
      <c r="AT87" s="416"/>
      <c r="AU87" s="416"/>
      <c r="AV87" s="416"/>
      <c r="AW87" s="416"/>
      <c r="AX87" s="416"/>
      <c r="AY87" s="416"/>
      <c r="AZ87" s="416"/>
      <c r="BA87" s="416"/>
      <c r="BB87" s="416"/>
      <c r="BC87" s="416"/>
      <c r="BD87" s="416"/>
      <c r="BE87" s="416"/>
      <c r="BF87" s="416"/>
    </row>
    <row r="88" spans="1:58" ht="12" customHeight="1">
      <c r="A88" s="495">
        <v>301</v>
      </c>
      <c r="B88" s="509" t="s">
        <v>86</v>
      </c>
      <c r="C88" s="509"/>
      <c r="D88" s="496">
        <v>36525</v>
      </c>
      <c r="E88" s="445"/>
      <c r="F88" s="451" t="s">
        <v>406</v>
      </c>
      <c r="G88" s="452">
        <v>7</v>
      </c>
      <c r="H88" s="445"/>
      <c r="I88" s="453">
        <v>2158.29</v>
      </c>
      <c r="J88" s="452">
        <v>100</v>
      </c>
      <c r="K88" s="452">
        <v>0</v>
      </c>
      <c r="L88"/>
      <c r="M88" s="497">
        <v>2158.29</v>
      </c>
      <c r="N88" s="548">
        <f t="shared" si="14"/>
        <v>0</v>
      </c>
      <c r="O88" s="547">
        <f t="shared" si="12"/>
        <v>2158.29</v>
      </c>
      <c r="P88" s="566">
        <f t="shared" si="13"/>
        <v>0</v>
      </c>
      <c r="Q88" s="499"/>
      <c r="R88" s="499"/>
      <c r="S88" s="542"/>
      <c r="T88" s="500"/>
      <c r="U88" s="500"/>
      <c r="V88" s="500"/>
      <c r="W88" s="555">
        <f t="shared" si="42"/>
        <v>2158.29</v>
      </c>
      <c r="X88" s="500"/>
      <c r="Y88" s="500"/>
      <c r="Z88" s="555">
        <f t="shared" si="15"/>
        <v>0</v>
      </c>
      <c r="AB88" s="500"/>
      <c r="AC88" s="500"/>
      <c r="AD88" s="500"/>
      <c r="AE88" s="500"/>
      <c r="AF88" s="500"/>
      <c r="AG88" s="555">
        <f t="shared" si="43"/>
        <v>2158.29</v>
      </c>
      <c r="AH88" s="500"/>
      <c r="AI88" s="500"/>
      <c r="AJ88" s="555">
        <f t="shared" si="16"/>
        <v>0</v>
      </c>
      <c r="AK88" s="535"/>
      <c r="AL88" s="416"/>
      <c r="AM88" s="416"/>
      <c r="AN88" s="416"/>
      <c r="AO88" s="416"/>
      <c r="AP88" s="416"/>
      <c r="AQ88" s="573">
        <f t="shared" si="44"/>
        <v>0</v>
      </c>
      <c r="AR88" s="416"/>
      <c r="AS88" s="416"/>
      <c r="AT88" s="416"/>
      <c r="AU88" s="416"/>
      <c r="AV88" s="416"/>
      <c r="AW88" s="416"/>
      <c r="AX88" s="416"/>
      <c r="AY88" s="416"/>
      <c r="AZ88" s="416"/>
      <c r="BA88" s="416"/>
      <c r="BB88" s="416"/>
      <c r="BC88" s="416"/>
      <c r="BD88" s="416"/>
      <c r="BE88" s="416"/>
      <c r="BF88" s="416"/>
    </row>
    <row r="89" spans="1:58" ht="12" customHeight="1">
      <c r="A89" s="495">
        <v>302</v>
      </c>
      <c r="B89" s="509" t="s">
        <v>87</v>
      </c>
      <c r="C89" s="509"/>
      <c r="D89" s="496">
        <v>36525</v>
      </c>
      <c r="E89" s="445"/>
      <c r="F89" s="451" t="s">
        <v>406</v>
      </c>
      <c r="G89" s="452">
        <v>7</v>
      </c>
      <c r="H89" s="445"/>
      <c r="I89" s="453">
        <v>2197.17</v>
      </c>
      <c r="J89" s="452">
        <v>100</v>
      </c>
      <c r="K89" s="452">
        <v>0</v>
      </c>
      <c r="L89"/>
      <c r="M89" s="497">
        <v>2197.17</v>
      </c>
      <c r="N89" s="548">
        <f t="shared" si="14"/>
        <v>0</v>
      </c>
      <c r="O89" s="547">
        <f t="shared" si="12"/>
        <v>2197.17</v>
      </c>
      <c r="P89" s="566">
        <f t="shared" si="13"/>
        <v>0</v>
      </c>
      <c r="Q89" s="499"/>
      <c r="R89" s="499"/>
      <c r="S89" s="542"/>
      <c r="T89" s="500"/>
      <c r="U89" s="500"/>
      <c r="V89" s="500"/>
      <c r="W89" s="555">
        <f t="shared" si="42"/>
        <v>2197.17</v>
      </c>
      <c r="X89" s="500"/>
      <c r="Y89" s="500"/>
      <c r="Z89" s="555">
        <f t="shared" si="15"/>
        <v>0</v>
      </c>
      <c r="AB89" s="500"/>
      <c r="AC89" s="500"/>
      <c r="AD89" s="500"/>
      <c r="AE89" s="500"/>
      <c r="AF89" s="500"/>
      <c r="AG89" s="555">
        <f t="shared" si="43"/>
        <v>2197.17</v>
      </c>
      <c r="AH89" s="500"/>
      <c r="AI89" s="500"/>
      <c r="AJ89" s="555">
        <f t="shared" si="16"/>
        <v>0</v>
      </c>
      <c r="AK89" s="535"/>
      <c r="AL89" s="416"/>
      <c r="AM89" s="416"/>
      <c r="AN89" s="416"/>
      <c r="AO89" s="416"/>
      <c r="AP89" s="416"/>
      <c r="AQ89" s="573">
        <f t="shared" si="44"/>
        <v>0</v>
      </c>
      <c r="AR89" s="416"/>
      <c r="AS89" s="416"/>
      <c r="AT89" s="416"/>
      <c r="AU89" s="416"/>
      <c r="AV89" s="416"/>
      <c r="AW89" s="416"/>
      <c r="AX89" s="416"/>
      <c r="AY89" s="416"/>
      <c r="AZ89" s="416"/>
      <c r="BA89" s="416"/>
      <c r="BB89" s="416"/>
      <c r="BC89" s="416"/>
      <c r="BD89" s="416"/>
      <c r="BE89" s="416"/>
      <c r="BF89" s="416"/>
    </row>
    <row r="90" spans="1:58" ht="12" customHeight="1">
      <c r="A90" s="495">
        <v>303</v>
      </c>
      <c r="B90" s="509" t="s">
        <v>88</v>
      </c>
      <c r="C90" s="509"/>
      <c r="D90" s="496">
        <v>36525</v>
      </c>
      <c r="E90" s="445"/>
      <c r="F90" s="451" t="s">
        <v>406</v>
      </c>
      <c r="G90" s="452">
        <v>7</v>
      </c>
      <c r="H90" s="445"/>
      <c r="I90" s="453">
        <v>101.23</v>
      </c>
      <c r="J90" s="452">
        <v>100</v>
      </c>
      <c r="K90" s="452">
        <v>0</v>
      </c>
      <c r="L90"/>
      <c r="M90" s="497">
        <v>101.23</v>
      </c>
      <c r="N90" s="548">
        <f t="shared" si="14"/>
        <v>0</v>
      </c>
      <c r="O90" s="547">
        <f t="shared" si="12"/>
        <v>101.23</v>
      </c>
      <c r="P90" s="566">
        <f t="shared" si="13"/>
        <v>0</v>
      </c>
      <c r="Q90" s="499"/>
      <c r="R90" s="499"/>
      <c r="S90" s="542"/>
      <c r="T90" s="500"/>
      <c r="U90" s="500"/>
      <c r="V90" s="500"/>
      <c r="W90" s="555">
        <f t="shared" si="42"/>
        <v>101.23</v>
      </c>
      <c r="X90" s="500"/>
      <c r="Y90" s="500"/>
      <c r="Z90" s="555">
        <f t="shared" si="15"/>
        <v>0</v>
      </c>
      <c r="AB90" s="500"/>
      <c r="AC90" s="500"/>
      <c r="AD90" s="500"/>
      <c r="AE90" s="500"/>
      <c r="AF90" s="500"/>
      <c r="AG90" s="555">
        <f t="shared" si="43"/>
        <v>101.23</v>
      </c>
      <c r="AH90" s="500"/>
      <c r="AI90" s="500"/>
      <c r="AJ90" s="555">
        <f t="shared" si="16"/>
        <v>0</v>
      </c>
      <c r="AK90" s="535"/>
      <c r="AL90" s="416"/>
      <c r="AM90" s="416"/>
      <c r="AN90" s="416"/>
      <c r="AO90" s="416"/>
      <c r="AP90" s="416"/>
      <c r="AQ90" s="573">
        <f t="shared" si="44"/>
        <v>0</v>
      </c>
      <c r="AR90" s="416"/>
      <c r="AS90" s="416"/>
      <c r="AT90" s="416"/>
      <c r="AU90" s="416"/>
      <c r="AV90" s="416"/>
      <c r="AW90" s="416"/>
      <c r="AX90" s="416"/>
      <c r="AY90" s="416"/>
      <c r="AZ90" s="416"/>
      <c r="BA90" s="416"/>
      <c r="BB90" s="416"/>
      <c r="BC90" s="416"/>
      <c r="BD90" s="416"/>
      <c r="BE90" s="416"/>
      <c r="BF90" s="416"/>
    </row>
    <row r="91" spans="1:58" ht="12" customHeight="1">
      <c r="A91" s="495">
        <v>304</v>
      </c>
      <c r="B91" s="509" t="s">
        <v>88</v>
      </c>
      <c r="C91" s="509"/>
      <c r="D91" s="496">
        <v>36525</v>
      </c>
      <c r="E91" s="445"/>
      <c r="F91" s="451" t="s">
        <v>406</v>
      </c>
      <c r="G91" s="452">
        <v>7</v>
      </c>
      <c r="H91" s="445"/>
      <c r="I91" s="453">
        <v>3121.74</v>
      </c>
      <c r="J91" s="452">
        <v>100</v>
      </c>
      <c r="K91" s="452">
        <v>0</v>
      </c>
      <c r="L91"/>
      <c r="M91" s="497">
        <v>3121.74</v>
      </c>
      <c r="N91" s="548">
        <f t="shared" si="14"/>
        <v>0</v>
      </c>
      <c r="O91" s="547">
        <f t="shared" si="12"/>
        <v>3121.74</v>
      </c>
      <c r="P91" s="566">
        <f t="shared" si="13"/>
        <v>0</v>
      </c>
      <c r="Q91" s="499"/>
      <c r="R91" s="499"/>
      <c r="S91" s="542"/>
      <c r="T91" s="500"/>
      <c r="U91" s="500"/>
      <c r="V91" s="500"/>
      <c r="W91" s="555">
        <f t="shared" si="42"/>
        <v>3121.74</v>
      </c>
      <c r="X91" s="500"/>
      <c r="Y91" s="500"/>
      <c r="Z91" s="555">
        <f t="shared" si="15"/>
        <v>0</v>
      </c>
      <c r="AB91" s="500"/>
      <c r="AC91" s="500"/>
      <c r="AD91" s="500"/>
      <c r="AE91" s="500"/>
      <c r="AF91" s="500"/>
      <c r="AG91" s="555">
        <f t="shared" si="43"/>
        <v>3121.74</v>
      </c>
      <c r="AH91" s="500"/>
      <c r="AI91" s="500"/>
      <c r="AJ91" s="555">
        <f t="shared" si="16"/>
        <v>0</v>
      </c>
      <c r="AK91" s="535"/>
      <c r="AL91" s="416"/>
      <c r="AM91" s="416"/>
      <c r="AN91" s="416"/>
      <c r="AO91" s="416"/>
      <c r="AP91" s="416"/>
      <c r="AQ91" s="573">
        <f t="shared" si="44"/>
        <v>0</v>
      </c>
      <c r="AR91" s="416"/>
      <c r="AS91" s="416"/>
      <c r="AT91" s="416"/>
      <c r="AU91" s="416"/>
      <c r="AV91" s="416"/>
      <c r="AW91" s="416"/>
      <c r="AX91" s="416"/>
      <c r="AY91" s="416"/>
      <c r="AZ91" s="416"/>
      <c r="BA91" s="416"/>
      <c r="BB91" s="416"/>
      <c r="BC91" s="416"/>
      <c r="BD91" s="416"/>
      <c r="BE91" s="416"/>
      <c r="BF91" s="416"/>
    </row>
    <row r="92" spans="1:58" ht="12" customHeight="1">
      <c r="A92" s="495">
        <v>305</v>
      </c>
      <c r="B92" s="509" t="s">
        <v>88</v>
      </c>
      <c r="C92" s="509"/>
      <c r="D92" s="496">
        <v>36525</v>
      </c>
      <c r="E92" s="445"/>
      <c r="F92" s="451" t="s">
        <v>406</v>
      </c>
      <c r="G92" s="452">
        <v>7</v>
      </c>
      <c r="H92" s="445"/>
      <c r="I92" s="453">
        <v>2146.86</v>
      </c>
      <c r="J92" s="452">
        <v>100</v>
      </c>
      <c r="K92" s="452">
        <v>0</v>
      </c>
      <c r="L92"/>
      <c r="M92" s="497">
        <v>2146.86</v>
      </c>
      <c r="N92" s="548">
        <f t="shared" si="14"/>
        <v>0</v>
      </c>
      <c r="O92" s="547">
        <f t="shared" ref="O92:O147" si="45">IF(ABS(M92)&lt;ABS(I92),IF(M92+I92/G92&gt;I92,I92,M92+I92/G92),I92)</f>
        <v>2146.86</v>
      </c>
      <c r="P92" s="566">
        <f t="shared" ref="P92:P146" si="46">I92-O92</f>
        <v>0</v>
      </c>
      <c r="Q92" s="499"/>
      <c r="R92" s="499"/>
      <c r="S92" s="542"/>
      <c r="T92" s="500"/>
      <c r="U92" s="500"/>
      <c r="V92" s="500"/>
      <c r="W92" s="555">
        <f t="shared" si="42"/>
        <v>2146.86</v>
      </c>
      <c r="X92" s="500"/>
      <c r="Y92" s="500"/>
      <c r="Z92" s="555">
        <f t="shared" si="15"/>
        <v>0</v>
      </c>
      <c r="AB92" s="500"/>
      <c r="AC92" s="500"/>
      <c r="AD92" s="500"/>
      <c r="AE92" s="500"/>
      <c r="AF92" s="500"/>
      <c r="AG92" s="555">
        <f t="shared" si="43"/>
        <v>2146.86</v>
      </c>
      <c r="AH92" s="500"/>
      <c r="AI92" s="500"/>
      <c r="AJ92" s="555">
        <f t="shared" si="16"/>
        <v>0</v>
      </c>
      <c r="AK92" s="535"/>
      <c r="AL92" s="416"/>
      <c r="AM92" s="416"/>
      <c r="AN92" s="416"/>
      <c r="AO92" s="416"/>
      <c r="AP92" s="416"/>
      <c r="AQ92" s="573">
        <f t="shared" si="44"/>
        <v>0</v>
      </c>
      <c r="AR92" s="416"/>
      <c r="AS92" s="416"/>
      <c r="AT92" s="416"/>
      <c r="AU92" s="416"/>
      <c r="AV92" s="416"/>
      <c r="AW92" s="416"/>
      <c r="AX92" s="416"/>
      <c r="AY92" s="416"/>
      <c r="AZ92" s="416"/>
      <c r="BA92" s="416"/>
      <c r="BB92" s="416"/>
      <c r="BC92" s="416"/>
      <c r="BD92" s="416"/>
      <c r="BE92" s="416"/>
      <c r="BF92" s="416"/>
    </row>
    <row r="93" spans="1:58" ht="12" customHeight="1">
      <c r="A93" s="495">
        <v>306</v>
      </c>
      <c r="B93" s="509" t="s">
        <v>89</v>
      </c>
      <c r="C93" s="509"/>
      <c r="D93" s="496">
        <v>36525</v>
      </c>
      <c r="E93" s="445"/>
      <c r="F93" s="451" t="s">
        <v>406</v>
      </c>
      <c r="G93" s="452">
        <v>7</v>
      </c>
      <c r="H93" s="445"/>
      <c r="I93" s="453">
        <v>249.04</v>
      </c>
      <c r="J93" s="452">
        <v>100</v>
      </c>
      <c r="K93" s="452">
        <v>0</v>
      </c>
      <c r="L93"/>
      <c r="M93" s="497">
        <v>249.04</v>
      </c>
      <c r="N93" s="548">
        <f t="shared" ref="N93:N147" si="47">O93-M93</f>
        <v>0</v>
      </c>
      <c r="O93" s="547">
        <f t="shared" si="45"/>
        <v>249.04</v>
      </c>
      <c r="P93" s="566">
        <f t="shared" si="46"/>
        <v>0</v>
      </c>
      <c r="Q93" s="499"/>
      <c r="R93" s="499"/>
      <c r="S93" s="542"/>
      <c r="T93" s="500"/>
      <c r="U93" s="500"/>
      <c r="V93" s="500"/>
      <c r="W93" s="555">
        <f t="shared" si="42"/>
        <v>249.04</v>
      </c>
      <c r="X93" s="500"/>
      <c r="Y93" s="500"/>
      <c r="Z93" s="555">
        <f t="shared" ref="Z93:Z147" si="48">SUM(S93:Y93)-I93</f>
        <v>0</v>
      </c>
      <c r="AB93" s="500"/>
      <c r="AC93" s="500"/>
      <c r="AD93" s="500"/>
      <c r="AE93" s="500"/>
      <c r="AF93" s="500"/>
      <c r="AG93" s="555">
        <f t="shared" si="43"/>
        <v>249.04</v>
      </c>
      <c r="AH93" s="500"/>
      <c r="AI93" s="500"/>
      <c r="AJ93" s="555">
        <f t="shared" ref="AJ93:AJ147" si="49">SUM(AC93:AI93)-O93</f>
        <v>0</v>
      </c>
      <c r="AK93" s="535"/>
      <c r="AL93" s="416"/>
      <c r="AM93" s="416"/>
      <c r="AN93" s="416"/>
      <c r="AO93" s="416"/>
      <c r="AP93" s="416"/>
      <c r="AQ93" s="573">
        <f t="shared" si="44"/>
        <v>0</v>
      </c>
      <c r="AR93" s="416"/>
      <c r="AS93" s="416"/>
      <c r="AT93" s="416"/>
      <c r="AU93" s="416"/>
      <c r="AV93" s="416"/>
      <c r="AW93" s="416"/>
      <c r="AX93" s="416"/>
      <c r="AY93" s="416"/>
      <c r="AZ93" s="416"/>
      <c r="BA93" s="416"/>
      <c r="BB93" s="416"/>
      <c r="BC93" s="416"/>
      <c r="BD93" s="416"/>
      <c r="BE93" s="416"/>
      <c r="BF93" s="416"/>
    </row>
    <row r="94" spans="1:58" ht="12" customHeight="1">
      <c r="A94" s="495">
        <v>308</v>
      </c>
      <c r="B94" s="509" t="s">
        <v>46</v>
      </c>
      <c r="C94" s="509"/>
      <c r="D94" s="496">
        <v>36525</v>
      </c>
      <c r="E94" s="445"/>
      <c r="F94" s="451" t="s">
        <v>406</v>
      </c>
      <c r="G94" s="452">
        <v>30</v>
      </c>
      <c r="H94" s="445"/>
      <c r="I94" s="453">
        <v>1192933.32</v>
      </c>
      <c r="J94" s="452">
        <v>100</v>
      </c>
      <c r="K94" s="452">
        <v>0</v>
      </c>
      <c r="L94"/>
      <c r="M94" s="497">
        <v>556702.20400000014</v>
      </c>
      <c r="N94" s="548">
        <f t="shared" si="47"/>
        <v>39764.444000000018</v>
      </c>
      <c r="O94" s="547">
        <f t="shared" si="45"/>
        <v>596466.64800000016</v>
      </c>
      <c r="P94" s="566">
        <f t="shared" si="46"/>
        <v>596466.6719999999</v>
      </c>
      <c r="Q94" s="499"/>
      <c r="R94" s="499"/>
      <c r="S94" s="541">
        <f>I94</f>
        <v>1192933.32</v>
      </c>
      <c r="T94" s="500"/>
      <c r="U94" s="500"/>
      <c r="V94" s="500"/>
      <c r="W94" s="505"/>
      <c r="X94" s="500"/>
      <c r="Y94" s="500"/>
      <c r="Z94" s="555">
        <f t="shared" si="48"/>
        <v>0</v>
      </c>
      <c r="AB94" s="500"/>
      <c r="AC94" s="555">
        <f>O94</f>
        <v>596466.64800000016</v>
      </c>
      <c r="AD94" s="500"/>
      <c r="AE94" s="500"/>
      <c r="AF94" s="500"/>
      <c r="AG94" s="500"/>
      <c r="AH94" s="500"/>
      <c r="AI94" s="500"/>
      <c r="AJ94" s="555">
        <f t="shared" si="49"/>
        <v>0</v>
      </c>
      <c r="AK94" s="535"/>
      <c r="AL94" s="416"/>
      <c r="AM94" s="573">
        <f>N94</f>
        <v>39764.444000000018</v>
      </c>
      <c r="AN94" s="416"/>
      <c r="AO94" s="416"/>
      <c r="AP94" s="416"/>
      <c r="AQ94" s="416"/>
      <c r="AR94" s="416"/>
      <c r="AS94" s="416"/>
      <c r="AT94" s="416"/>
      <c r="AU94" s="416"/>
      <c r="AV94" s="416"/>
      <c r="AW94" s="416"/>
      <c r="AX94" s="416"/>
      <c r="AY94" s="416"/>
      <c r="AZ94" s="416"/>
      <c r="BA94" s="416"/>
      <c r="BB94" s="416"/>
      <c r="BC94" s="416"/>
      <c r="BD94" s="416"/>
      <c r="BE94" s="416"/>
      <c r="BF94" s="416"/>
    </row>
    <row r="95" spans="1:58" ht="12" customHeight="1">
      <c r="A95" s="495">
        <v>330</v>
      </c>
      <c r="B95" s="509" t="s">
        <v>90</v>
      </c>
      <c r="C95" s="509"/>
      <c r="D95" s="496">
        <v>36616</v>
      </c>
      <c r="E95" s="445"/>
      <c r="F95" s="451" t="s">
        <v>406</v>
      </c>
      <c r="G95" s="452">
        <v>10</v>
      </c>
      <c r="H95" s="445"/>
      <c r="I95" s="453">
        <v>20346.98</v>
      </c>
      <c r="J95" s="452">
        <v>100</v>
      </c>
      <c r="K95" s="452">
        <v>0</v>
      </c>
      <c r="L95"/>
      <c r="M95" s="497">
        <v>20346.98</v>
      </c>
      <c r="N95" s="548">
        <f t="shared" si="47"/>
        <v>0</v>
      </c>
      <c r="O95" s="547">
        <f t="shared" si="45"/>
        <v>20346.98</v>
      </c>
      <c r="P95" s="566">
        <f t="shared" si="46"/>
        <v>0</v>
      </c>
      <c r="Q95" s="499"/>
      <c r="R95" s="499"/>
      <c r="S95" s="542"/>
      <c r="T95" s="500"/>
      <c r="U95" s="500"/>
      <c r="V95" s="500"/>
      <c r="W95" s="555">
        <f t="shared" ref="W95:W101" si="50">I95</f>
        <v>20346.98</v>
      </c>
      <c r="X95" s="500"/>
      <c r="Y95" s="500"/>
      <c r="Z95" s="555">
        <f t="shared" si="48"/>
        <v>0</v>
      </c>
      <c r="AB95" s="500"/>
      <c r="AC95" s="500"/>
      <c r="AD95" s="500"/>
      <c r="AE95" s="500"/>
      <c r="AF95" s="500"/>
      <c r="AG95" s="555">
        <f t="shared" ref="AG95:AG101" si="51">O95</f>
        <v>20346.98</v>
      </c>
      <c r="AH95" s="500"/>
      <c r="AI95" s="500"/>
      <c r="AJ95" s="555">
        <f t="shared" si="49"/>
        <v>0</v>
      </c>
      <c r="AK95" s="535"/>
      <c r="AL95" s="416"/>
      <c r="AM95" s="416"/>
      <c r="AN95" s="416"/>
      <c r="AO95" s="416"/>
      <c r="AP95" s="416"/>
      <c r="AQ95" s="573">
        <f t="shared" ref="AQ95:AQ101" si="52">N95</f>
        <v>0</v>
      </c>
      <c r="AR95" s="416"/>
      <c r="AS95" s="416"/>
      <c r="AT95" s="416"/>
      <c r="AU95" s="416"/>
      <c r="AV95" s="416"/>
      <c r="AW95" s="416"/>
      <c r="AX95" s="416"/>
      <c r="AY95" s="416"/>
      <c r="AZ95" s="416"/>
      <c r="BA95" s="416"/>
      <c r="BB95" s="416"/>
      <c r="BC95" s="416"/>
      <c r="BD95" s="416"/>
      <c r="BE95" s="416"/>
      <c r="BF95" s="416"/>
    </row>
    <row r="96" spans="1:58" ht="12" customHeight="1">
      <c r="A96" s="495">
        <v>331</v>
      </c>
      <c r="B96" s="509" t="s">
        <v>91</v>
      </c>
      <c r="C96" s="509"/>
      <c r="D96" s="496">
        <v>36717</v>
      </c>
      <c r="E96" s="445"/>
      <c r="F96" s="451" t="s">
        <v>406</v>
      </c>
      <c r="G96" s="452">
        <v>10</v>
      </c>
      <c r="H96" s="445"/>
      <c r="I96" s="453">
        <v>6667.62</v>
      </c>
      <c r="J96" s="452">
        <v>100</v>
      </c>
      <c r="K96" s="452">
        <v>0</v>
      </c>
      <c r="L96"/>
      <c r="M96" s="497">
        <v>6667.62</v>
      </c>
      <c r="N96" s="548">
        <f t="shared" si="47"/>
        <v>0</v>
      </c>
      <c r="O96" s="547">
        <f t="shared" si="45"/>
        <v>6667.62</v>
      </c>
      <c r="P96" s="566">
        <f t="shared" si="46"/>
        <v>0</v>
      </c>
      <c r="Q96" s="499"/>
      <c r="R96" s="499"/>
      <c r="S96" s="542"/>
      <c r="T96" s="500"/>
      <c r="U96" s="500"/>
      <c r="V96" s="500"/>
      <c r="W96" s="555">
        <f t="shared" si="50"/>
        <v>6667.62</v>
      </c>
      <c r="X96" s="500"/>
      <c r="Y96" s="500"/>
      <c r="Z96" s="555">
        <f t="shared" si="48"/>
        <v>0</v>
      </c>
      <c r="AB96" s="500"/>
      <c r="AC96" s="500"/>
      <c r="AD96" s="500"/>
      <c r="AE96" s="500"/>
      <c r="AF96" s="500"/>
      <c r="AG96" s="555">
        <f t="shared" si="51"/>
        <v>6667.62</v>
      </c>
      <c r="AH96" s="500"/>
      <c r="AI96" s="500"/>
      <c r="AJ96" s="555">
        <f t="shared" si="49"/>
        <v>0</v>
      </c>
      <c r="AK96" s="535"/>
      <c r="AL96" s="416"/>
      <c r="AM96" s="416"/>
      <c r="AN96" s="416"/>
      <c r="AO96" s="416"/>
      <c r="AP96" s="416"/>
      <c r="AQ96" s="573">
        <f t="shared" si="52"/>
        <v>0</v>
      </c>
      <c r="AR96" s="416"/>
      <c r="AS96" s="416"/>
      <c r="AT96" s="416"/>
      <c r="AU96" s="416"/>
      <c r="AV96" s="416"/>
      <c r="AW96" s="416"/>
      <c r="AX96" s="416"/>
      <c r="AY96" s="416"/>
      <c r="AZ96" s="416"/>
      <c r="BA96" s="416"/>
      <c r="BB96" s="416"/>
      <c r="BC96" s="416"/>
      <c r="BD96" s="416"/>
      <c r="BE96" s="416"/>
      <c r="BF96" s="416"/>
    </row>
    <row r="97" spans="1:58" ht="12" customHeight="1">
      <c r="A97" s="495">
        <v>334</v>
      </c>
      <c r="B97" s="509" t="s">
        <v>92</v>
      </c>
      <c r="C97" s="509"/>
      <c r="D97" s="496">
        <v>36739</v>
      </c>
      <c r="E97" s="445"/>
      <c r="F97" s="451" t="s">
        <v>406</v>
      </c>
      <c r="G97" s="452">
        <v>10</v>
      </c>
      <c r="H97" s="445"/>
      <c r="I97" s="453">
        <v>5472.65</v>
      </c>
      <c r="J97" s="452">
        <v>100</v>
      </c>
      <c r="K97" s="452">
        <v>0</v>
      </c>
      <c r="L97"/>
      <c r="M97" s="497">
        <v>5472.65</v>
      </c>
      <c r="N97" s="548">
        <f t="shared" si="47"/>
        <v>0</v>
      </c>
      <c r="O97" s="547">
        <f t="shared" si="45"/>
        <v>5472.65</v>
      </c>
      <c r="P97" s="566">
        <f t="shared" si="46"/>
        <v>0</v>
      </c>
      <c r="Q97" s="499"/>
      <c r="R97" s="499"/>
      <c r="S97" s="542"/>
      <c r="T97" s="500"/>
      <c r="U97" s="500"/>
      <c r="V97" s="500"/>
      <c r="W97" s="555">
        <f t="shared" si="50"/>
        <v>5472.65</v>
      </c>
      <c r="X97" s="500"/>
      <c r="Y97" s="500"/>
      <c r="Z97" s="555">
        <f t="shared" si="48"/>
        <v>0</v>
      </c>
      <c r="AB97" s="500"/>
      <c r="AC97" s="500"/>
      <c r="AD97" s="500"/>
      <c r="AE97" s="500"/>
      <c r="AF97" s="500"/>
      <c r="AG97" s="555">
        <f t="shared" si="51"/>
        <v>5472.65</v>
      </c>
      <c r="AH97" s="500"/>
      <c r="AI97" s="500"/>
      <c r="AJ97" s="555">
        <f t="shared" si="49"/>
        <v>0</v>
      </c>
      <c r="AK97" s="535"/>
      <c r="AL97" s="416"/>
      <c r="AM97" s="416"/>
      <c r="AN97" s="416"/>
      <c r="AO97" s="416"/>
      <c r="AP97" s="416"/>
      <c r="AQ97" s="573">
        <f t="shared" si="52"/>
        <v>0</v>
      </c>
      <c r="AR97" s="416"/>
      <c r="AS97" s="416"/>
      <c r="AT97" s="416"/>
      <c r="AU97" s="416"/>
      <c r="AV97" s="416"/>
      <c r="AW97" s="416"/>
      <c r="AX97" s="416"/>
      <c r="AY97" s="416"/>
      <c r="AZ97" s="416"/>
      <c r="BA97" s="416"/>
      <c r="BB97" s="416"/>
      <c r="BC97" s="416"/>
      <c r="BD97" s="416"/>
      <c r="BE97" s="416"/>
      <c r="BF97" s="416"/>
    </row>
    <row r="98" spans="1:58" ht="12" customHeight="1">
      <c r="A98" s="495">
        <v>333</v>
      </c>
      <c r="B98" s="509" t="s">
        <v>93</v>
      </c>
      <c r="C98" s="509"/>
      <c r="D98" s="496">
        <v>36810</v>
      </c>
      <c r="E98" s="445"/>
      <c r="F98" s="451" t="s">
        <v>406</v>
      </c>
      <c r="G98" s="452">
        <v>10</v>
      </c>
      <c r="H98" s="445"/>
      <c r="I98" s="453">
        <v>2942.5</v>
      </c>
      <c r="J98" s="452">
        <v>100</v>
      </c>
      <c r="K98" s="452">
        <v>0</v>
      </c>
      <c r="L98"/>
      <c r="M98" s="497">
        <v>2942.5</v>
      </c>
      <c r="N98" s="548">
        <f t="shared" si="47"/>
        <v>0</v>
      </c>
      <c r="O98" s="547">
        <f t="shared" si="45"/>
        <v>2942.5</v>
      </c>
      <c r="P98" s="566">
        <f t="shared" si="46"/>
        <v>0</v>
      </c>
      <c r="Q98" s="499"/>
      <c r="R98" s="499"/>
      <c r="S98" s="542"/>
      <c r="T98" s="500"/>
      <c r="U98" s="500"/>
      <c r="V98" s="500"/>
      <c r="W98" s="555">
        <f t="shared" si="50"/>
        <v>2942.5</v>
      </c>
      <c r="X98" s="500"/>
      <c r="Y98" s="500"/>
      <c r="Z98" s="555">
        <f t="shared" si="48"/>
        <v>0</v>
      </c>
      <c r="AB98" s="500"/>
      <c r="AC98" s="500"/>
      <c r="AD98" s="500"/>
      <c r="AE98" s="500"/>
      <c r="AF98" s="500"/>
      <c r="AG98" s="555">
        <f t="shared" si="51"/>
        <v>2942.5</v>
      </c>
      <c r="AH98" s="500"/>
      <c r="AI98" s="500"/>
      <c r="AJ98" s="555">
        <f t="shared" si="49"/>
        <v>0</v>
      </c>
      <c r="AK98" s="535"/>
      <c r="AL98" s="416"/>
      <c r="AM98" s="416"/>
      <c r="AN98" s="416"/>
      <c r="AO98" s="416"/>
      <c r="AP98" s="416"/>
      <c r="AQ98" s="573">
        <f t="shared" si="52"/>
        <v>0</v>
      </c>
      <c r="AR98" s="416"/>
      <c r="AS98" s="416"/>
      <c r="AT98" s="416"/>
      <c r="AU98" s="416"/>
      <c r="AV98" s="416"/>
      <c r="AW98" s="416"/>
      <c r="AX98" s="416"/>
      <c r="AY98" s="416"/>
      <c r="AZ98" s="416"/>
      <c r="BA98" s="416"/>
      <c r="BB98" s="416"/>
      <c r="BC98" s="416"/>
      <c r="BD98" s="416"/>
      <c r="BE98" s="416"/>
      <c r="BF98" s="416"/>
    </row>
    <row r="99" spans="1:58" ht="12" customHeight="1">
      <c r="A99" s="495">
        <v>332</v>
      </c>
      <c r="B99" s="509" t="s">
        <v>94</v>
      </c>
      <c r="C99" s="509"/>
      <c r="D99" s="496">
        <v>36831</v>
      </c>
      <c r="E99" s="445"/>
      <c r="F99" s="451" t="s">
        <v>406</v>
      </c>
      <c r="G99" s="452">
        <v>10</v>
      </c>
      <c r="H99" s="445"/>
      <c r="I99" s="453">
        <v>3803.69</v>
      </c>
      <c r="J99" s="452">
        <v>100</v>
      </c>
      <c r="K99" s="452">
        <v>0</v>
      </c>
      <c r="L99"/>
      <c r="M99" s="497">
        <v>3803.69</v>
      </c>
      <c r="N99" s="548">
        <f t="shared" si="47"/>
        <v>0</v>
      </c>
      <c r="O99" s="547">
        <f t="shared" si="45"/>
        <v>3803.69</v>
      </c>
      <c r="P99" s="566">
        <f t="shared" si="46"/>
        <v>0</v>
      </c>
      <c r="Q99" s="499"/>
      <c r="R99" s="499"/>
      <c r="S99" s="542"/>
      <c r="T99" s="500"/>
      <c r="U99" s="500"/>
      <c r="V99" s="500"/>
      <c r="W99" s="555">
        <f t="shared" si="50"/>
        <v>3803.69</v>
      </c>
      <c r="X99" s="500"/>
      <c r="Y99" s="500"/>
      <c r="Z99" s="555">
        <f t="shared" si="48"/>
        <v>0</v>
      </c>
      <c r="AB99" s="500"/>
      <c r="AC99" s="500"/>
      <c r="AD99" s="500"/>
      <c r="AE99" s="500"/>
      <c r="AF99" s="500"/>
      <c r="AG99" s="555">
        <f t="shared" si="51"/>
        <v>3803.69</v>
      </c>
      <c r="AH99" s="500"/>
      <c r="AI99" s="500"/>
      <c r="AJ99" s="555">
        <f t="shared" si="49"/>
        <v>0</v>
      </c>
      <c r="AK99" s="535"/>
      <c r="AL99" s="416"/>
      <c r="AM99" s="416"/>
      <c r="AN99" s="416"/>
      <c r="AO99" s="416"/>
      <c r="AP99" s="416"/>
      <c r="AQ99" s="573">
        <f t="shared" si="52"/>
        <v>0</v>
      </c>
      <c r="AR99" s="416"/>
      <c r="AS99" s="416"/>
      <c r="AT99" s="416"/>
      <c r="AU99" s="416"/>
      <c r="AV99" s="416"/>
      <c r="AW99" s="416"/>
      <c r="AX99" s="416"/>
      <c r="AY99" s="416"/>
      <c r="AZ99" s="416"/>
      <c r="BA99" s="416"/>
      <c r="BB99" s="416"/>
      <c r="BC99" s="416"/>
      <c r="BD99" s="416"/>
      <c r="BE99" s="416"/>
      <c r="BF99" s="416"/>
    </row>
    <row r="100" spans="1:58" ht="12" customHeight="1">
      <c r="A100" s="495">
        <v>319</v>
      </c>
      <c r="B100" s="509" t="s">
        <v>95</v>
      </c>
      <c r="C100" s="509"/>
      <c r="D100" s="496">
        <v>36836</v>
      </c>
      <c r="E100" s="445"/>
      <c r="F100" s="451" t="s">
        <v>406</v>
      </c>
      <c r="G100" s="452">
        <v>15</v>
      </c>
      <c r="H100" s="445"/>
      <c r="I100" s="453">
        <v>29297.26</v>
      </c>
      <c r="J100" s="452">
        <v>100</v>
      </c>
      <c r="K100" s="452">
        <v>0</v>
      </c>
      <c r="L100"/>
      <c r="M100" s="497">
        <v>25716.487333333338</v>
      </c>
      <c r="N100" s="548">
        <f t="shared" si="47"/>
        <v>1953.1506666666683</v>
      </c>
      <c r="O100" s="547">
        <f t="shared" si="45"/>
        <v>27669.638000000006</v>
      </c>
      <c r="P100" s="566">
        <f t="shared" si="46"/>
        <v>1627.6219999999921</v>
      </c>
      <c r="Q100" s="499"/>
      <c r="R100" s="499"/>
      <c r="S100" s="542"/>
      <c r="T100" s="500"/>
      <c r="U100" s="500"/>
      <c r="V100" s="500"/>
      <c r="W100" s="555">
        <f t="shared" si="50"/>
        <v>29297.26</v>
      </c>
      <c r="X100" s="500"/>
      <c r="Y100" s="500"/>
      <c r="Z100" s="555">
        <f t="shared" si="48"/>
        <v>0</v>
      </c>
      <c r="AB100" s="500"/>
      <c r="AC100" s="500"/>
      <c r="AD100" s="500"/>
      <c r="AE100" s="500"/>
      <c r="AF100" s="500"/>
      <c r="AG100" s="555">
        <f t="shared" si="51"/>
        <v>27669.638000000006</v>
      </c>
      <c r="AH100" s="500"/>
      <c r="AI100" s="500"/>
      <c r="AJ100" s="555">
        <f t="shared" si="49"/>
        <v>0</v>
      </c>
      <c r="AK100" s="535"/>
      <c r="AL100" s="416"/>
      <c r="AM100" s="416"/>
      <c r="AN100" s="416"/>
      <c r="AO100" s="416"/>
      <c r="AP100" s="416"/>
      <c r="AQ100" s="573">
        <f t="shared" si="52"/>
        <v>1953.1506666666683</v>
      </c>
      <c r="AR100" s="416"/>
      <c r="AS100" s="416"/>
      <c r="AT100" s="416"/>
      <c r="AU100" s="416"/>
      <c r="AV100" s="416"/>
      <c r="AW100" s="416"/>
      <c r="AX100" s="416"/>
      <c r="AY100" s="416"/>
      <c r="AZ100" s="416"/>
      <c r="BA100" s="416"/>
      <c r="BB100" s="416"/>
      <c r="BC100" s="416"/>
      <c r="BD100" s="416"/>
      <c r="BE100" s="416"/>
      <c r="BF100" s="416"/>
    </row>
    <row r="101" spans="1:58" ht="12" customHeight="1">
      <c r="A101" s="495">
        <v>335</v>
      </c>
      <c r="B101" s="509" t="s">
        <v>96</v>
      </c>
      <c r="C101" s="509"/>
      <c r="D101" s="496">
        <v>36891</v>
      </c>
      <c r="E101" s="445"/>
      <c r="F101" s="451" t="s">
        <v>406</v>
      </c>
      <c r="G101" s="452">
        <v>7</v>
      </c>
      <c r="H101" s="445"/>
      <c r="I101" s="453">
        <v>13331.62</v>
      </c>
      <c r="J101" s="452">
        <v>100</v>
      </c>
      <c r="K101" s="452">
        <v>0</v>
      </c>
      <c r="L101"/>
      <c r="M101" s="497">
        <v>13331.62</v>
      </c>
      <c r="N101" s="548">
        <f t="shared" si="47"/>
        <v>0</v>
      </c>
      <c r="O101" s="547">
        <f t="shared" si="45"/>
        <v>13331.62</v>
      </c>
      <c r="P101" s="566">
        <f t="shared" si="46"/>
        <v>0</v>
      </c>
      <c r="Q101" s="499"/>
      <c r="R101" s="499"/>
      <c r="S101" s="542"/>
      <c r="T101" s="500"/>
      <c r="U101" s="500"/>
      <c r="V101" s="500"/>
      <c r="W101" s="555">
        <f t="shared" si="50"/>
        <v>13331.62</v>
      </c>
      <c r="X101" s="500"/>
      <c r="Y101" s="500"/>
      <c r="Z101" s="555">
        <f t="shared" si="48"/>
        <v>0</v>
      </c>
      <c r="AB101" s="500"/>
      <c r="AC101" s="500"/>
      <c r="AD101" s="500"/>
      <c r="AE101" s="500"/>
      <c r="AF101" s="500"/>
      <c r="AG101" s="555">
        <f t="shared" si="51"/>
        <v>13331.62</v>
      </c>
      <c r="AH101" s="500"/>
      <c r="AI101" s="500"/>
      <c r="AJ101" s="555">
        <f t="shared" si="49"/>
        <v>0</v>
      </c>
      <c r="AK101" s="535"/>
      <c r="AL101" s="416"/>
      <c r="AM101" s="416"/>
      <c r="AN101" s="416"/>
      <c r="AO101" s="416"/>
      <c r="AP101" s="416"/>
      <c r="AQ101" s="573">
        <f t="shared" si="52"/>
        <v>0</v>
      </c>
      <c r="AR101" s="416"/>
      <c r="AS101" s="416"/>
      <c r="AT101" s="416"/>
      <c r="AU101" s="416"/>
      <c r="AV101" s="416"/>
      <c r="AW101" s="416"/>
      <c r="AX101" s="416"/>
      <c r="AY101" s="416"/>
      <c r="AZ101" s="416"/>
      <c r="BA101" s="416"/>
      <c r="BB101" s="416"/>
      <c r="BC101" s="416"/>
      <c r="BD101" s="416"/>
      <c r="BE101" s="416"/>
      <c r="BF101" s="416"/>
    </row>
    <row r="102" spans="1:58" ht="12" customHeight="1">
      <c r="A102" s="495">
        <v>341</v>
      </c>
      <c r="B102" s="509" t="s">
        <v>47</v>
      </c>
      <c r="C102" s="509"/>
      <c r="D102" s="496">
        <v>36895</v>
      </c>
      <c r="E102" s="445"/>
      <c r="F102" s="451" t="s">
        <v>406</v>
      </c>
      <c r="G102" s="452">
        <v>7</v>
      </c>
      <c r="H102" s="445"/>
      <c r="I102" s="453">
        <v>6461.91</v>
      </c>
      <c r="J102" s="452">
        <v>100</v>
      </c>
      <c r="K102" s="452">
        <v>0</v>
      </c>
      <c r="L102"/>
      <c r="M102" s="497">
        <v>6461.91</v>
      </c>
      <c r="N102" s="548">
        <f t="shared" si="47"/>
        <v>0</v>
      </c>
      <c r="O102" s="547">
        <f t="shared" si="45"/>
        <v>6461.91</v>
      </c>
      <c r="P102" s="566">
        <f t="shared" si="46"/>
        <v>0</v>
      </c>
      <c r="Q102" s="499"/>
      <c r="R102" s="499"/>
      <c r="S102" s="541">
        <f>I102</f>
        <v>6461.91</v>
      </c>
      <c r="T102" s="500"/>
      <c r="U102" s="500"/>
      <c r="V102" s="500"/>
      <c r="W102" s="500"/>
      <c r="X102" s="500"/>
      <c r="Y102" s="500"/>
      <c r="Z102" s="555">
        <f t="shared" si="48"/>
        <v>0</v>
      </c>
      <c r="AB102" s="500"/>
      <c r="AC102" s="555">
        <f>O102</f>
        <v>6461.91</v>
      </c>
      <c r="AD102" s="500"/>
      <c r="AE102" s="500"/>
      <c r="AF102" s="500"/>
      <c r="AG102" s="500"/>
      <c r="AH102" s="500"/>
      <c r="AI102" s="500"/>
      <c r="AJ102" s="555">
        <f t="shared" si="49"/>
        <v>0</v>
      </c>
      <c r="AK102" s="535"/>
      <c r="AL102" s="416"/>
      <c r="AM102" s="573">
        <f>N102</f>
        <v>0</v>
      </c>
      <c r="AN102" s="416"/>
      <c r="AO102" s="416"/>
      <c r="AP102" s="416"/>
      <c r="AQ102" s="416"/>
      <c r="AR102" s="416"/>
      <c r="AS102" s="416"/>
      <c r="AT102" s="416"/>
      <c r="AU102" s="416"/>
      <c r="AV102" s="416"/>
      <c r="AW102" s="416"/>
      <c r="AX102" s="416"/>
      <c r="AY102" s="416"/>
      <c r="AZ102" s="416"/>
      <c r="BA102" s="416"/>
      <c r="BB102" s="416"/>
      <c r="BC102" s="416"/>
      <c r="BD102" s="416"/>
      <c r="BE102" s="416"/>
      <c r="BF102" s="416"/>
    </row>
    <row r="103" spans="1:58" ht="12" customHeight="1">
      <c r="A103" s="495">
        <v>362</v>
      </c>
      <c r="B103" s="509" t="s">
        <v>97</v>
      </c>
      <c r="C103" s="509"/>
      <c r="D103" s="496">
        <v>36927</v>
      </c>
      <c r="E103" s="445"/>
      <c r="F103" s="451" t="s">
        <v>406</v>
      </c>
      <c r="G103" s="452">
        <v>15</v>
      </c>
      <c r="H103" s="445"/>
      <c r="I103" s="453">
        <v>49170.400000000001</v>
      </c>
      <c r="J103" s="452">
        <v>100</v>
      </c>
      <c r="K103" s="452">
        <v>0</v>
      </c>
      <c r="L103"/>
      <c r="M103" s="497">
        <v>42341.18333333332</v>
      </c>
      <c r="N103" s="548">
        <f t="shared" si="47"/>
        <v>3278.0266666666648</v>
      </c>
      <c r="O103" s="547">
        <f t="shared" si="45"/>
        <v>45619.209999999985</v>
      </c>
      <c r="P103" s="566">
        <f t="shared" si="46"/>
        <v>3551.1900000000169</v>
      </c>
      <c r="Q103" s="499"/>
      <c r="R103" s="499"/>
      <c r="S103" s="542"/>
      <c r="T103" s="500"/>
      <c r="U103" s="500"/>
      <c r="V103" s="500"/>
      <c r="W103" s="555">
        <f>I103</f>
        <v>49170.400000000001</v>
      </c>
      <c r="X103" s="500"/>
      <c r="Y103" s="500"/>
      <c r="Z103" s="555">
        <f t="shared" si="48"/>
        <v>0</v>
      </c>
      <c r="AB103" s="500"/>
      <c r="AC103" s="500"/>
      <c r="AD103" s="500"/>
      <c r="AE103" s="500"/>
      <c r="AF103" s="500"/>
      <c r="AG103" s="555">
        <f>O103</f>
        <v>45619.209999999985</v>
      </c>
      <c r="AH103" s="500"/>
      <c r="AI103" s="500"/>
      <c r="AJ103" s="555">
        <f t="shared" si="49"/>
        <v>0</v>
      </c>
      <c r="AK103" s="535"/>
      <c r="AL103" s="416"/>
      <c r="AM103" s="416"/>
      <c r="AN103" s="416"/>
      <c r="AO103" s="416"/>
      <c r="AP103" s="416"/>
      <c r="AQ103" s="573">
        <f>N103</f>
        <v>3278.0266666666648</v>
      </c>
      <c r="AR103" s="416"/>
      <c r="AS103" s="416"/>
      <c r="AT103" s="416"/>
      <c r="AU103" s="416"/>
      <c r="AV103" s="416"/>
      <c r="AW103" s="416"/>
      <c r="AX103" s="416"/>
      <c r="AY103" s="416"/>
      <c r="AZ103" s="416"/>
      <c r="BA103" s="416"/>
      <c r="BB103" s="416"/>
      <c r="BC103" s="416"/>
      <c r="BD103" s="416"/>
      <c r="BE103" s="416"/>
      <c r="BF103" s="416"/>
    </row>
    <row r="104" spans="1:58" ht="12" customHeight="1">
      <c r="A104" s="495">
        <v>356</v>
      </c>
      <c r="B104" s="509" t="s">
        <v>48</v>
      </c>
      <c r="C104" s="509"/>
      <c r="D104" s="496">
        <v>37082</v>
      </c>
      <c r="E104" s="445"/>
      <c r="F104" s="451" t="s">
        <v>406</v>
      </c>
      <c r="G104" s="452">
        <v>7</v>
      </c>
      <c r="H104" s="445"/>
      <c r="I104" s="453">
        <v>10889.55</v>
      </c>
      <c r="J104" s="452">
        <v>100</v>
      </c>
      <c r="K104" s="452">
        <v>0</v>
      </c>
      <c r="L104"/>
      <c r="M104" s="497">
        <v>10889.55</v>
      </c>
      <c r="N104" s="548">
        <f t="shared" si="47"/>
        <v>0</v>
      </c>
      <c r="O104" s="547">
        <f t="shared" si="45"/>
        <v>10889.55</v>
      </c>
      <c r="P104" s="566">
        <f t="shared" si="46"/>
        <v>0</v>
      </c>
      <c r="Q104" s="499"/>
      <c r="R104" s="499"/>
      <c r="S104" s="541">
        <f>I104</f>
        <v>10889.55</v>
      </c>
      <c r="T104" s="500"/>
      <c r="U104" s="500"/>
      <c r="V104" s="500"/>
      <c r="W104" s="500"/>
      <c r="X104" s="500"/>
      <c r="Y104" s="500"/>
      <c r="Z104" s="555">
        <f t="shared" si="48"/>
        <v>0</v>
      </c>
      <c r="AB104" s="500"/>
      <c r="AC104" s="555">
        <f>O104</f>
        <v>10889.55</v>
      </c>
      <c r="AD104" s="500"/>
      <c r="AE104" s="500"/>
      <c r="AF104" s="500"/>
      <c r="AG104" s="500"/>
      <c r="AH104" s="500"/>
      <c r="AI104" s="500"/>
      <c r="AJ104" s="555">
        <f t="shared" si="49"/>
        <v>0</v>
      </c>
      <c r="AK104" s="535"/>
      <c r="AL104" s="416"/>
      <c r="AM104" s="573">
        <f>N104</f>
        <v>0</v>
      </c>
      <c r="AN104" s="416"/>
      <c r="AO104" s="416"/>
      <c r="AP104" s="416"/>
      <c r="AQ104" s="416"/>
      <c r="AR104" s="416"/>
      <c r="AS104" s="416"/>
      <c r="AT104" s="416"/>
      <c r="AU104" s="416"/>
      <c r="AV104" s="416"/>
      <c r="AW104" s="416"/>
      <c r="AX104" s="416"/>
      <c r="AY104" s="416"/>
      <c r="AZ104" s="416"/>
      <c r="BA104" s="416"/>
      <c r="BB104" s="416"/>
      <c r="BC104" s="416"/>
      <c r="BD104" s="416"/>
      <c r="BE104" s="416"/>
      <c r="BF104" s="416"/>
    </row>
    <row r="105" spans="1:58" ht="12" customHeight="1">
      <c r="A105" s="495">
        <v>365</v>
      </c>
      <c r="B105" s="509" t="s">
        <v>98</v>
      </c>
      <c r="C105" s="509"/>
      <c r="D105" s="496">
        <v>37103</v>
      </c>
      <c r="E105" s="445"/>
      <c r="F105" s="451" t="s">
        <v>406</v>
      </c>
      <c r="G105" s="452">
        <v>10</v>
      </c>
      <c r="H105" s="445"/>
      <c r="I105" s="453">
        <v>4674.0600000000004</v>
      </c>
      <c r="J105" s="452">
        <v>100</v>
      </c>
      <c r="K105" s="452">
        <v>0</v>
      </c>
      <c r="L105"/>
      <c r="M105" s="497">
        <v>4674.0600000000004</v>
      </c>
      <c r="N105" s="548">
        <f t="shared" si="47"/>
        <v>0</v>
      </c>
      <c r="O105" s="547">
        <f t="shared" si="45"/>
        <v>4674.0600000000004</v>
      </c>
      <c r="P105" s="566">
        <f t="shared" si="46"/>
        <v>0</v>
      </c>
      <c r="Q105" s="499"/>
      <c r="R105" s="499"/>
      <c r="S105" s="542"/>
      <c r="T105" s="500"/>
      <c r="U105" s="500"/>
      <c r="V105" s="500"/>
      <c r="W105" s="555">
        <f t="shared" ref="W105:W114" si="53">I105</f>
        <v>4674.0600000000004</v>
      </c>
      <c r="X105" s="500"/>
      <c r="Y105" s="500"/>
      <c r="Z105" s="555">
        <f t="shared" si="48"/>
        <v>0</v>
      </c>
      <c r="AB105" s="500"/>
      <c r="AC105" s="500"/>
      <c r="AD105" s="500"/>
      <c r="AE105" s="500"/>
      <c r="AF105" s="500"/>
      <c r="AG105" s="555">
        <f t="shared" ref="AG105:AG114" si="54">O105</f>
        <v>4674.0600000000004</v>
      </c>
      <c r="AH105" s="500"/>
      <c r="AI105" s="500"/>
      <c r="AJ105" s="555">
        <f t="shared" si="49"/>
        <v>0</v>
      </c>
      <c r="AK105" s="535"/>
      <c r="AL105" s="416"/>
      <c r="AM105" s="416"/>
      <c r="AN105" s="416"/>
      <c r="AO105" s="416"/>
      <c r="AP105" s="416"/>
      <c r="AQ105" s="573">
        <f t="shared" ref="AQ105:AQ114" si="55">N105</f>
        <v>0</v>
      </c>
      <c r="AR105" s="416"/>
      <c r="AS105" s="416"/>
      <c r="AT105" s="416"/>
      <c r="AU105" s="416"/>
      <c r="AV105" s="416"/>
      <c r="AW105" s="416"/>
      <c r="AX105" s="416"/>
      <c r="AY105" s="416"/>
      <c r="AZ105" s="416"/>
      <c r="BA105" s="416"/>
      <c r="BB105" s="416"/>
      <c r="BC105" s="416"/>
      <c r="BD105" s="416"/>
      <c r="BE105" s="416"/>
      <c r="BF105" s="416"/>
    </row>
    <row r="106" spans="1:58" ht="12" customHeight="1">
      <c r="A106" s="495">
        <v>366</v>
      </c>
      <c r="B106" s="509" t="s">
        <v>99</v>
      </c>
      <c r="C106" s="509"/>
      <c r="D106" s="496">
        <v>37103</v>
      </c>
      <c r="E106" s="445"/>
      <c r="F106" s="451" t="s">
        <v>406</v>
      </c>
      <c r="G106" s="452">
        <v>10</v>
      </c>
      <c r="H106" s="445"/>
      <c r="I106" s="453">
        <v>10326.969999999999</v>
      </c>
      <c r="J106" s="452">
        <v>100</v>
      </c>
      <c r="K106" s="452">
        <v>0</v>
      </c>
      <c r="L106"/>
      <c r="M106" s="497">
        <v>10326.969999999999</v>
      </c>
      <c r="N106" s="548">
        <f t="shared" si="47"/>
        <v>0</v>
      </c>
      <c r="O106" s="547">
        <f t="shared" si="45"/>
        <v>10326.969999999999</v>
      </c>
      <c r="P106" s="566">
        <f t="shared" si="46"/>
        <v>0</v>
      </c>
      <c r="Q106" s="499"/>
      <c r="R106" s="499"/>
      <c r="S106" s="542"/>
      <c r="T106" s="500"/>
      <c r="U106" s="500"/>
      <c r="V106" s="500"/>
      <c r="W106" s="555">
        <f t="shared" si="53"/>
        <v>10326.969999999999</v>
      </c>
      <c r="X106" s="500"/>
      <c r="Y106" s="500"/>
      <c r="Z106" s="555">
        <f t="shared" si="48"/>
        <v>0</v>
      </c>
      <c r="AB106" s="500"/>
      <c r="AC106" s="500"/>
      <c r="AD106" s="500"/>
      <c r="AE106" s="500"/>
      <c r="AF106" s="500"/>
      <c r="AG106" s="555">
        <f t="shared" si="54"/>
        <v>10326.969999999999</v>
      </c>
      <c r="AH106" s="500"/>
      <c r="AI106" s="500"/>
      <c r="AJ106" s="555">
        <f t="shared" si="49"/>
        <v>0</v>
      </c>
      <c r="AK106" s="535"/>
      <c r="AL106" s="416"/>
      <c r="AM106" s="416"/>
      <c r="AN106" s="416"/>
      <c r="AO106" s="416"/>
      <c r="AP106" s="416"/>
      <c r="AQ106" s="573">
        <f t="shared" si="55"/>
        <v>0</v>
      </c>
      <c r="AR106" s="416"/>
      <c r="AS106" s="416"/>
      <c r="AT106" s="416"/>
      <c r="AU106" s="416"/>
      <c r="AV106" s="416"/>
      <c r="AW106" s="416"/>
      <c r="AX106" s="416"/>
      <c r="AY106" s="416"/>
      <c r="AZ106" s="416"/>
      <c r="BA106" s="416"/>
      <c r="BB106" s="416"/>
      <c r="BC106" s="416"/>
      <c r="BD106" s="416"/>
      <c r="BE106" s="416"/>
      <c r="BF106" s="416"/>
    </row>
    <row r="107" spans="1:58" ht="12" customHeight="1">
      <c r="A107" s="495">
        <v>367</v>
      </c>
      <c r="B107" s="509" t="s">
        <v>100</v>
      </c>
      <c r="C107" s="509"/>
      <c r="D107" s="496">
        <v>37103</v>
      </c>
      <c r="E107" s="445"/>
      <c r="F107" s="451" t="s">
        <v>406</v>
      </c>
      <c r="G107" s="452">
        <v>10</v>
      </c>
      <c r="H107" s="445"/>
      <c r="I107" s="453">
        <v>8120</v>
      </c>
      <c r="J107" s="452">
        <v>100</v>
      </c>
      <c r="K107" s="452">
        <v>0</v>
      </c>
      <c r="L107"/>
      <c r="M107" s="497">
        <v>8120</v>
      </c>
      <c r="N107" s="548">
        <f t="shared" si="47"/>
        <v>0</v>
      </c>
      <c r="O107" s="547">
        <f t="shared" si="45"/>
        <v>8120</v>
      </c>
      <c r="P107" s="566">
        <f t="shared" si="46"/>
        <v>0</v>
      </c>
      <c r="Q107" s="499"/>
      <c r="R107" s="499"/>
      <c r="S107" s="542"/>
      <c r="T107" s="500"/>
      <c r="U107" s="500"/>
      <c r="V107" s="500"/>
      <c r="W107" s="555">
        <f t="shared" si="53"/>
        <v>8120</v>
      </c>
      <c r="X107" s="500"/>
      <c r="Y107" s="500"/>
      <c r="Z107" s="555">
        <f t="shared" si="48"/>
        <v>0</v>
      </c>
      <c r="AB107" s="500"/>
      <c r="AC107" s="500"/>
      <c r="AD107" s="500"/>
      <c r="AE107" s="500"/>
      <c r="AF107" s="500"/>
      <c r="AG107" s="555">
        <f t="shared" si="54"/>
        <v>8120</v>
      </c>
      <c r="AH107" s="500"/>
      <c r="AI107" s="500"/>
      <c r="AJ107" s="555">
        <f t="shared" si="49"/>
        <v>0</v>
      </c>
      <c r="AK107" s="535"/>
      <c r="AL107" s="416"/>
      <c r="AM107" s="416"/>
      <c r="AN107" s="416"/>
      <c r="AO107" s="416"/>
      <c r="AP107" s="416"/>
      <c r="AQ107" s="573">
        <f t="shared" si="55"/>
        <v>0</v>
      </c>
      <c r="AR107" s="416"/>
      <c r="AS107" s="416"/>
      <c r="AT107" s="416"/>
      <c r="AU107" s="416"/>
      <c r="AV107" s="416"/>
      <c r="AW107" s="416"/>
      <c r="AX107" s="416"/>
      <c r="AY107" s="416"/>
      <c r="AZ107" s="416"/>
      <c r="BA107" s="416"/>
      <c r="BB107" s="416"/>
      <c r="BC107" s="416"/>
      <c r="BD107" s="416"/>
      <c r="BE107" s="416"/>
      <c r="BF107" s="416"/>
    </row>
    <row r="108" spans="1:58" ht="12" customHeight="1">
      <c r="A108" s="495">
        <v>364</v>
      </c>
      <c r="B108" s="509" t="s">
        <v>101</v>
      </c>
      <c r="C108" s="509"/>
      <c r="D108" s="496">
        <v>37195</v>
      </c>
      <c r="E108" s="445"/>
      <c r="F108" s="451" t="s">
        <v>406</v>
      </c>
      <c r="G108" s="452">
        <v>10</v>
      </c>
      <c r="H108" s="445"/>
      <c r="I108" s="453">
        <v>3651.35</v>
      </c>
      <c r="J108" s="452">
        <v>100</v>
      </c>
      <c r="K108" s="452">
        <v>0</v>
      </c>
      <c r="L108"/>
      <c r="M108" s="497">
        <v>3651.35</v>
      </c>
      <c r="N108" s="548">
        <f t="shared" si="47"/>
        <v>0</v>
      </c>
      <c r="O108" s="547">
        <f t="shared" si="45"/>
        <v>3651.35</v>
      </c>
      <c r="P108" s="566">
        <f t="shared" si="46"/>
        <v>0</v>
      </c>
      <c r="Q108" s="499"/>
      <c r="R108" s="499"/>
      <c r="S108" s="542"/>
      <c r="T108" s="500"/>
      <c r="U108" s="500"/>
      <c r="V108" s="500"/>
      <c r="W108" s="555">
        <f t="shared" si="53"/>
        <v>3651.35</v>
      </c>
      <c r="X108" s="500"/>
      <c r="Y108" s="500"/>
      <c r="Z108" s="555">
        <f t="shared" si="48"/>
        <v>0</v>
      </c>
      <c r="AB108" s="500"/>
      <c r="AC108" s="500"/>
      <c r="AD108" s="500"/>
      <c r="AE108" s="500"/>
      <c r="AF108" s="500"/>
      <c r="AG108" s="555">
        <f t="shared" si="54"/>
        <v>3651.35</v>
      </c>
      <c r="AH108" s="500"/>
      <c r="AI108" s="500"/>
      <c r="AJ108" s="555">
        <f t="shared" si="49"/>
        <v>0</v>
      </c>
      <c r="AK108" s="535"/>
      <c r="AL108" s="416"/>
      <c r="AM108" s="416"/>
      <c r="AN108" s="416"/>
      <c r="AO108" s="416"/>
      <c r="AP108" s="416"/>
      <c r="AQ108" s="573">
        <f t="shared" si="55"/>
        <v>0</v>
      </c>
      <c r="AR108" s="416"/>
      <c r="AS108" s="416"/>
      <c r="AT108" s="416"/>
      <c r="AU108" s="416"/>
      <c r="AV108" s="416"/>
      <c r="AW108" s="416"/>
      <c r="AX108" s="416"/>
      <c r="AY108" s="416"/>
      <c r="AZ108" s="416"/>
      <c r="BA108" s="416"/>
      <c r="BB108" s="416"/>
      <c r="BC108" s="416"/>
      <c r="BD108" s="416"/>
      <c r="BE108" s="416"/>
      <c r="BF108" s="416"/>
    </row>
    <row r="109" spans="1:58" ht="12" customHeight="1">
      <c r="A109" s="495">
        <v>354</v>
      </c>
      <c r="B109" s="509" t="s">
        <v>102</v>
      </c>
      <c r="C109" s="509"/>
      <c r="D109" s="496">
        <v>37256</v>
      </c>
      <c r="E109" s="445"/>
      <c r="F109" s="451" t="s">
        <v>406</v>
      </c>
      <c r="G109" s="452">
        <v>30</v>
      </c>
      <c r="H109" s="445"/>
      <c r="I109" s="453">
        <v>167423.85</v>
      </c>
      <c r="J109" s="452">
        <v>100</v>
      </c>
      <c r="K109" s="452">
        <v>0</v>
      </c>
      <c r="L109"/>
      <c r="M109" s="497">
        <v>66969.544999999998</v>
      </c>
      <c r="N109" s="548">
        <f t="shared" si="47"/>
        <v>5580.7949999999983</v>
      </c>
      <c r="O109" s="547">
        <f t="shared" si="45"/>
        <v>72550.34</v>
      </c>
      <c r="P109" s="566">
        <f t="shared" si="46"/>
        <v>94873.510000000009</v>
      </c>
      <c r="Q109" s="499"/>
      <c r="R109" s="499"/>
      <c r="S109" s="542"/>
      <c r="T109" s="500"/>
      <c r="U109" s="500"/>
      <c r="V109" s="500"/>
      <c r="W109" s="555">
        <f t="shared" si="53"/>
        <v>167423.85</v>
      </c>
      <c r="X109" s="500"/>
      <c r="Y109" s="500"/>
      <c r="Z109" s="555">
        <f t="shared" si="48"/>
        <v>0</v>
      </c>
      <c r="AB109" s="500"/>
      <c r="AC109" s="500"/>
      <c r="AD109" s="500"/>
      <c r="AE109" s="500"/>
      <c r="AF109" s="500"/>
      <c r="AG109" s="555">
        <f t="shared" si="54"/>
        <v>72550.34</v>
      </c>
      <c r="AH109" s="500"/>
      <c r="AI109" s="500"/>
      <c r="AJ109" s="555">
        <f t="shared" si="49"/>
        <v>0</v>
      </c>
      <c r="AK109" s="535"/>
      <c r="AL109" s="416"/>
      <c r="AM109" s="416"/>
      <c r="AN109" s="416"/>
      <c r="AO109" s="416"/>
      <c r="AP109" s="416"/>
      <c r="AQ109" s="573">
        <f t="shared" si="55"/>
        <v>5580.7949999999983</v>
      </c>
      <c r="AR109" s="416"/>
      <c r="AS109" s="416"/>
      <c r="AT109" s="416"/>
      <c r="AU109" s="416"/>
      <c r="AV109" s="416"/>
      <c r="AW109" s="416"/>
      <c r="AX109" s="416"/>
      <c r="AY109" s="416"/>
      <c r="AZ109" s="416"/>
      <c r="BA109" s="416"/>
      <c r="BB109" s="416"/>
      <c r="BC109" s="416"/>
      <c r="BD109" s="416"/>
      <c r="BE109" s="416"/>
      <c r="BF109" s="416"/>
    </row>
    <row r="110" spans="1:58" ht="12" customHeight="1">
      <c r="A110" s="495">
        <v>373</v>
      </c>
      <c r="B110" s="509" t="s">
        <v>103</v>
      </c>
      <c r="C110" s="509"/>
      <c r="D110" s="496">
        <v>37354</v>
      </c>
      <c r="E110" s="445"/>
      <c r="F110" s="451" t="s">
        <v>406</v>
      </c>
      <c r="G110" s="452">
        <v>15</v>
      </c>
      <c r="H110" s="445"/>
      <c r="I110" s="453">
        <v>901.32</v>
      </c>
      <c r="J110" s="452">
        <v>100</v>
      </c>
      <c r="K110" s="452">
        <v>0</v>
      </c>
      <c r="L110"/>
      <c r="M110" s="497">
        <v>706.03800000000001</v>
      </c>
      <c r="N110" s="548">
        <f t="shared" si="47"/>
        <v>60.087999999999965</v>
      </c>
      <c r="O110" s="547">
        <f t="shared" si="45"/>
        <v>766.12599999999998</v>
      </c>
      <c r="P110" s="566">
        <f t="shared" si="46"/>
        <v>135.19400000000007</v>
      </c>
      <c r="Q110" s="499"/>
      <c r="R110" s="499"/>
      <c r="S110" s="542"/>
      <c r="T110" s="500"/>
      <c r="U110" s="500"/>
      <c r="V110" s="500"/>
      <c r="W110" s="555">
        <f t="shared" si="53"/>
        <v>901.32</v>
      </c>
      <c r="X110" s="500"/>
      <c r="Y110" s="500"/>
      <c r="Z110" s="555">
        <f t="shared" si="48"/>
        <v>0</v>
      </c>
      <c r="AB110" s="500"/>
      <c r="AC110" s="500"/>
      <c r="AD110" s="500"/>
      <c r="AE110" s="500"/>
      <c r="AF110" s="500"/>
      <c r="AG110" s="555">
        <f t="shared" si="54"/>
        <v>766.12599999999998</v>
      </c>
      <c r="AH110" s="500"/>
      <c r="AI110" s="500"/>
      <c r="AJ110" s="555">
        <f t="shared" si="49"/>
        <v>0</v>
      </c>
      <c r="AK110" s="535"/>
      <c r="AL110" s="416"/>
      <c r="AM110" s="416"/>
      <c r="AN110" s="416"/>
      <c r="AO110" s="416"/>
      <c r="AP110" s="416"/>
      <c r="AQ110" s="573">
        <f t="shared" si="55"/>
        <v>60.087999999999965</v>
      </c>
      <c r="AR110" s="416"/>
      <c r="AS110" s="416"/>
      <c r="AT110" s="416"/>
      <c r="AU110" s="416"/>
      <c r="AV110" s="416"/>
      <c r="AW110" s="416"/>
      <c r="AX110" s="416"/>
      <c r="AY110" s="416"/>
      <c r="AZ110" s="416"/>
      <c r="BA110" s="416"/>
      <c r="BB110" s="416"/>
      <c r="BC110" s="416"/>
      <c r="BD110" s="416"/>
      <c r="BE110" s="416"/>
      <c r="BF110" s="416"/>
    </row>
    <row r="111" spans="1:58" ht="12" customHeight="1">
      <c r="A111" s="495">
        <v>376</v>
      </c>
      <c r="B111" s="509" t="s">
        <v>103</v>
      </c>
      <c r="C111" s="509"/>
      <c r="D111" s="496">
        <v>37453</v>
      </c>
      <c r="E111" s="445"/>
      <c r="F111" s="451" t="s">
        <v>406</v>
      </c>
      <c r="G111" s="452">
        <v>15</v>
      </c>
      <c r="H111" s="445"/>
      <c r="I111" s="453">
        <v>3195</v>
      </c>
      <c r="J111" s="452">
        <v>100</v>
      </c>
      <c r="K111" s="452">
        <v>0</v>
      </c>
      <c r="L111"/>
      <c r="M111" s="497">
        <v>2431.75</v>
      </c>
      <c r="N111" s="548">
        <f t="shared" si="47"/>
        <v>213</v>
      </c>
      <c r="O111" s="547">
        <f t="shared" si="45"/>
        <v>2644.75</v>
      </c>
      <c r="P111" s="566">
        <f t="shared" si="46"/>
        <v>550.25</v>
      </c>
      <c r="Q111" s="499"/>
      <c r="R111" s="499"/>
      <c r="S111" s="542"/>
      <c r="T111" s="500"/>
      <c r="U111" s="500"/>
      <c r="V111" s="500"/>
      <c r="W111" s="555">
        <f t="shared" si="53"/>
        <v>3195</v>
      </c>
      <c r="X111" s="500"/>
      <c r="Y111" s="500"/>
      <c r="Z111" s="555">
        <f t="shared" si="48"/>
        <v>0</v>
      </c>
      <c r="AB111" s="500"/>
      <c r="AC111" s="500"/>
      <c r="AD111" s="500"/>
      <c r="AE111" s="500"/>
      <c r="AF111" s="500"/>
      <c r="AG111" s="555">
        <f t="shared" si="54"/>
        <v>2644.75</v>
      </c>
      <c r="AH111" s="500"/>
      <c r="AI111" s="500"/>
      <c r="AJ111" s="555">
        <f t="shared" si="49"/>
        <v>0</v>
      </c>
      <c r="AK111" s="535"/>
      <c r="AL111" s="416"/>
      <c r="AM111" s="416"/>
      <c r="AN111" s="416"/>
      <c r="AO111" s="416"/>
      <c r="AP111" s="416"/>
      <c r="AQ111" s="573">
        <f t="shared" si="55"/>
        <v>213</v>
      </c>
      <c r="AR111" s="416"/>
      <c r="AS111" s="416"/>
      <c r="AT111" s="416"/>
      <c r="AU111" s="416"/>
      <c r="AV111" s="416"/>
      <c r="AW111" s="416"/>
      <c r="AX111" s="416"/>
      <c r="AY111" s="416"/>
      <c r="AZ111" s="416"/>
      <c r="BA111" s="416"/>
      <c r="BB111" s="416"/>
      <c r="BC111" s="416"/>
      <c r="BD111" s="416"/>
      <c r="BE111" s="416"/>
      <c r="BF111" s="416"/>
    </row>
    <row r="112" spans="1:58" ht="12" customHeight="1">
      <c r="A112" s="495">
        <v>379</v>
      </c>
      <c r="B112" s="509" t="s">
        <v>103</v>
      </c>
      <c r="C112" s="509"/>
      <c r="D112" s="496">
        <v>37468</v>
      </c>
      <c r="E112" s="445"/>
      <c r="F112" s="451" t="s">
        <v>406</v>
      </c>
      <c r="G112" s="452">
        <v>15</v>
      </c>
      <c r="H112" s="445"/>
      <c r="I112" s="453">
        <v>11229.51</v>
      </c>
      <c r="J112" s="452">
        <v>100</v>
      </c>
      <c r="K112" s="452">
        <v>0</v>
      </c>
      <c r="L112"/>
      <c r="M112" s="497">
        <v>8546.9040000000005</v>
      </c>
      <c r="N112" s="548">
        <f t="shared" si="47"/>
        <v>748.63400000000001</v>
      </c>
      <c r="O112" s="547">
        <f t="shared" si="45"/>
        <v>9295.5380000000005</v>
      </c>
      <c r="P112" s="566">
        <f t="shared" si="46"/>
        <v>1933.9719999999998</v>
      </c>
      <c r="Q112" s="499"/>
      <c r="R112" s="499"/>
      <c r="S112" s="542"/>
      <c r="T112" s="500"/>
      <c r="U112" s="500"/>
      <c r="V112" s="500"/>
      <c r="W112" s="555">
        <f t="shared" si="53"/>
        <v>11229.51</v>
      </c>
      <c r="X112" s="500"/>
      <c r="Y112" s="500"/>
      <c r="Z112" s="555">
        <f t="shared" si="48"/>
        <v>0</v>
      </c>
      <c r="AB112" s="500"/>
      <c r="AC112" s="500"/>
      <c r="AD112" s="500"/>
      <c r="AE112" s="500"/>
      <c r="AF112" s="500"/>
      <c r="AG112" s="555">
        <f t="shared" si="54"/>
        <v>9295.5380000000005</v>
      </c>
      <c r="AH112" s="500"/>
      <c r="AI112" s="500"/>
      <c r="AJ112" s="555">
        <f t="shared" si="49"/>
        <v>0</v>
      </c>
      <c r="AK112" s="535"/>
      <c r="AL112" s="416"/>
      <c r="AM112" s="416"/>
      <c r="AN112" s="416"/>
      <c r="AO112" s="416"/>
      <c r="AP112" s="416"/>
      <c r="AQ112" s="573">
        <f t="shared" si="55"/>
        <v>748.63400000000001</v>
      </c>
      <c r="AR112" s="416"/>
      <c r="AS112" s="416"/>
      <c r="AT112" s="416"/>
      <c r="AU112" s="416"/>
      <c r="AV112" s="416"/>
      <c r="AW112" s="416"/>
      <c r="AX112" s="416"/>
      <c r="AY112" s="416"/>
      <c r="AZ112" s="416"/>
      <c r="BA112" s="416"/>
      <c r="BB112" s="416"/>
      <c r="BC112" s="416"/>
      <c r="BD112" s="416"/>
      <c r="BE112" s="416"/>
      <c r="BF112" s="416"/>
    </row>
    <row r="113" spans="1:58" ht="12" customHeight="1">
      <c r="A113" s="495">
        <v>377</v>
      </c>
      <c r="B113" s="509" t="s">
        <v>104</v>
      </c>
      <c r="C113" s="509"/>
      <c r="D113" s="496">
        <v>37476</v>
      </c>
      <c r="E113" s="445"/>
      <c r="F113" s="451" t="s">
        <v>406</v>
      </c>
      <c r="G113" s="452">
        <v>15</v>
      </c>
      <c r="H113" s="445"/>
      <c r="I113" s="453">
        <v>3025</v>
      </c>
      <c r="J113" s="452">
        <v>100</v>
      </c>
      <c r="K113" s="452">
        <v>0</v>
      </c>
      <c r="L113"/>
      <c r="M113" s="497">
        <v>2302.3633333333332</v>
      </c>
      <c r="N113" s="548">
        <f t="shared" si="47"/>
        <v>201.66666666666652</v>
      </c>
      <c r="O113" s="547">
        <f t="shared" si="45"/>
        <v>2504.0299999999997</v>
      </c>
      <c r="P113" s="566">
        <f t="shared" si="46"/>
        <v>520.97000000000025</v>
      </c>
      <c r="Q113" s="499"/>
      <c r="R113" s="499"/>
      <c r="S113" s="542"/>
      <c r="T113" s="500"/>
      <c r="U113" s="500"/>
      <c r="V113" s="500"/>
      <c r="W113" s="555">
        <f t="shared" si="53"/>
        <v>3025</v>
      </c>
      <c r="X113" s="500"/>
      <c r="Y113" s="500"/>
      <c r="Z113" s="555">
        <f t="shared" si="48"/>
        <v>0</v>
      </c>
      <c r="AB113" s="500"/>
      <c r="AC113" s="500"/>
      <c r="AD113" s="500"/>
      <c r="AE113" s="500"/>
      <c r="AF113" s="500"/>
      <c r="AG113" s="555">
        <f t="shared" si="54"/>
        <v>2504.0299999999997</v>
      </c>
      <c r="AH113" s="500"/>
      <c r="AI113" s="500"/>
      <c r="AJ113" s="555">
        <f t="shared" si="49"/>
        <v>0</v>
      </c>
      <c r="AK113" s="535"/>
      <c r="AL113" s="416"/>
      <c r="AM113" s="416"/>
      <c r="AN113" s="416"/>
      <c r="AO113" s="416"/>
      <c r="AP113" s="416"/>
      <c r="AQ113" s="573">
        <f t="shared" si="55"/>
        <v>201.66666666666652</v>
      </c>
      <c r="AR113" s="416"/>
      <c r="AS113" s="416"/>
      <c r="AT113" s="416"/>
      <c r="AU113" s="416"/>
      <c r="AV113" s="416"/>
      <c r="AW113" s="416"/>
      <c r="AX113" s="416"/>
      <c r="AY113" s="416"/>
      <c r="AZ113" s="416"/>
      <c r="BA113" s="416"/>
      <c r="BB113" s="416"/>
      <c r="BC113" s="416"/>
      <c r="BD113" s="416"/>
      <c r="BE113" s="416"/>
      <c r="BF113" s="416"/>
    </row>
    <row r="114" spans="1:58" ht="12" customHeight="1">
      <c r="A114" s="495">
        <v>374</v>
      </c>
      <c r="B114" s="509" t="s">
        <v>105</v>
      </c>
      <c r="C114" s="509"/>
      <c r="D114" s="496">
        <v>37499</v>
      </c>
      <c r="E114" s="445"/>
      <c r="F114" s="451" t="s">
        <v>406</v>
      </c>
      <c r="G114" s="452">
        <v>15</v>
      </c>
      <c r="H114" s="445"/>
      <c r="I114" s="453">
        <v>1110.07</v>
      </c>
      <c r="J114" s="452">
        <v>100</v>
      </c>
      <c r="K114" s="452">
        <v>0</v>
      </c>
      <c r="L114"/>
      <c r="M114" s="497">
        <v>838.7213333333334</v>
      </c>
      <c r="N114" s="548">
        <f t="shared" si="47"/>
        <v>74.004666666666708</v>
      </c>
      <c r="O114" s="547">
        <f t="shared" si="45"/>
        <v>912.72600000000011</v>
      </c>
      <c r="P114" s="566">
        <f t="shared" si="46"/>
        <v>197.34399999999982</v>
      </c>
      <c r="Q114" s="499"/>
      <c r="R114" s="499"/>
      <c r="S114" s="542"/>
      <c r="T114" s="500"/>
      <c r="U114" s="500"/>
      <c r="V114" s="500"/>
      <c r="W114" s="555">
        <f t="shared" si="53"/>
        <v>1110.07</v>
      </c>
      <c r="X114" s="500"/>
      <c r="Y114" s="500"/>
      <c r="Z114" s="555">
        <f t="shared" si="48"/>
        <v>0</v>
      </c>
      <c r="AB114" s="500"/>
      <c r="AC114" s="500"/>
      <c r="AD114" s="500"/>
      <c r="AE114" s="500"/>
      <c r="AF114" s="500"/>
      <c r="AG114" s="555">
        <f t="shared" si="54"/>
        <v>912.72600000000011</v>
      </c>
      <c r="AH114" s="500"/>
      <c r="AI114" s="500"/>
      <c r="AJ114" s="555">
        <f t="shared" si="49"/>
        <v>0</v>
      </c>
      <c r="AK114" s="535"/>
      <c r="AL114" s="416"/>
      <c r="AM114" s="416"/>
      <c r="AN114" s="416"/>
      <c r="AO114" s="416"/>
      <c r="AP114" s="416"/>
      <c r="AQ114" s="573">
        <f t="shared" si="55"/>
        <v>74.004666666666708</v>
      </c>
      <c r="AR114" s="416"/>
      <c r="AS114" s="416"/>
      <c r="AT114" s="416"/>
      <c r="AU114" s="416"/>
      <c r="AV114" s="416"/>
      <c r="AW114" s="416"/>
      <c r="AX114" s="416"/>
      <c r="AY114" s="416"/>
      <c r="AZ114" s="416"/>
      <c r="BA114" s="416"/>
      <c r="BB114" s="416"/>
      <c r="BC114" s="416"/>
      <c r="BD114" s="416"/>
      <c r="BE114" s="416"/>
      <c r="BF114" s="416"/>
    </row>
    <row r="115" spans="1:58" ht="12" customHeight="1">
      <c r="A115" s="495">
        <v>388</v>
      </c>
      <c r="B115" s="509" t="s">
        <v>51</v>
      </c>
      <c r="C115" s="509"/>
      <c r="D115" s="496">
        <v>37508</v>
      </c>
      <c r="E115" s="445"/>
      <c r="F115" s="451" t="s">
        <v>406</v>
      </c>
      <c r="G115" s="452">
        <v>15</v>
      </c>
      <c r="H115" s="445"/>
      <c r="I115" s="453">
        <v>15000</v>
      </c>
      <c r="J115" s="452">
        <v>100</v>
      </c>
      <c r="K115" s="452">
        <v>0</v>
      </c>
      <c r="L115"/>
      <c r="M115" s="497">
        <v>11333.33</v>
      </c>
      <c r="N115" s="548">
        <f t="shared" si="47"/>
        <v>1000</v>
      </c>
      <c r="O115" s="547">
        <f t="shared" si="45"/>
        <v>12333.33</v>
      </c>
      <c r="P115" s="566">
        <f t="shared" si="46"/>
        <v>2666.67</v>
      </c>
      <c r="Q115" s="499"/>
      <c r="R115" s="499"/>
      <c r="S115" s="541">
        <f>I115*0.5</f>
        <v>7500</v>
      </c>
      <c r="T115" s="500"/>
      <c r="U115" s="500"/>
      <c r="V115" s="500"/>
      <c r="W115" s="555">
        <f>I115*0.5</f>
        <v>7500</v>
      </c>
      <c r="X115" s="500"/>
      <c r="Y115" s="500"/>
      <c r="Z115" s="555">
        <f t="shared" si="48"/>
        <v>0</v>
      </c>
      <c r="AB115" s="500"/>
      <c r="AC115" s="505">
        <f>ROUND(O115*0.5,2)</f>
        <v>6166.67</v>
      </c>
      <c r="AD115" s="500"/>
      <c r="AE115" s="500"/>
      <c r="AF115" s="500"/>
      <c r="AG115" s="505">
        <f>O115-AC115</f>
        <v>6166.66</v>
      </c>
      <c r="AH115" s="500"/>
      <c r="AI115" s="500"/>
      <c r="AJ115" s="555">
        <f t="shared" si="49"/>
        <v>0</v>
      </c>
      <c r="AK115" s="535"/>
      <c r="AL115" s="416"/>
      <c r="AM115" s="573">
        <f>N115*0.5</f>
        <v>500</v>
      </c>
      <c r="AN115" s="416"/>
      <c r="AO115" s="416"/>
      <c r="AP115" s="416"/>
      <c r="AQ115" s="573">
        <f>N115*0.5</f>
        <v>500</v>
      </c>
      <c r="AR115" s="416"/>
      <c r="AS115" s="416"/>
      <c r="AT115" s="416"/>
      <c r="AU115" s="416"/>
      <c r="AV115" s="416"/>
      <c r="AW115" s="416"/>
      <c r="AX115" s="416"/>
      <c r="AY115" s="416"/>
      <c r="AZ115" s="416"/>
      <c r="BA115" s="416"/>
      <c r="BB115" s="416"/>
      <c r="BC115" s="416"/>
      <c r="BD115" s="416"/>
      <c r="BE115" s="416"/>
      <c r="BF115" s="416"/>
    </row>
    <row r="116" spans="1:58" ht="12" customHeight="1">
      <c r="A116" s="495">
        <v>385</v>
      </c>
      <c r="B116" s="450" t="s">
        <v>49</v>
      </c>
      <c r="C116" s="450"/>
      <c r="D116" s="496">
        <v>37568</v>
      </c>
      <c r="E116" s="445"/>
      <c r="F116" s="451" t="s">
        <v>406</v>
      </c>
      <c r="G116" s="452">
        <v>10</v>
      </c>
      <c r="H116" s="445"/>
      <c r="I116" s="453">
        <v>1698.68</v>
      </c>
      <c r="J116" s="452">
        <v>100</v>
      </c>
      <c r="K116" s="452">
        <v>0</v>
      </c>
      <c r="L116"/>
      <c r="M116" s="497">
        <v>1698.68</v>
      </c>
      <c r="N116" s="548">
        <f t="shared" si="47"/>
        <v>0</v>
      </c>
      <c r="O116" s="547">
        <f t="shared" si="45"/>
        <v>1698.68</v>
      </c>
      <c r="P116" s="566">
        <f t="shared" si="46"/>
        <v>0</v>
      </c>
      <c r="Q116" s="499"/>
      <c r="R116" s="499"/>
      <c r="S116" s="541">
        <f t="shared" ref="S116" si="56">I116</f>
        <v>1698.68</v>
      </c>
      <c r="T116" s="500"/>
      <c r="U116" s="500"/>
      <c r="V116" s="500"/>
      <c r="W116" s="500"/>
      <c r="X116" s="500"/>
      <c r="Y116" s="500"/>
      <c r="Z116" s="555">
        <f t="shared" si="48"/>
        <v>0</v>
      </c>
      <c r="AB116" s="500"/>
      <c r="AC116" s="555">
        <f>O116</f>
        <v>1698.68</v>
      </c>
      <c r="AD116" s="500"/>
      <c r="AE116" s="500"/>
      <c r="AF116" s="500"/>
      <c r="AG116" s="500"/>
      <c r="AH116" s="500"/>
      <c r="AI116" s="500"/>
      <c r="AJ116" s="555">
        <f t="shared" si="49"/>
        <v>0</v>
      </c>
      <c r="AK116" s="535"/>
      <c r="AL116" s="416"/>
      <c r="AM116" s="573">
        <f t="shared" ref="AM116" si="57">N116</f>
        <v>0</v>
      </c>
      <c r="AN116" s="416"/>
      <c r="AO116" s="416"/>
      <c r="AP116" s="416"/>
      <c r="AQ116" s="416"/>
      <c r="AR116" s="416"/>
      <c r="AS116" s="416"/>
      <c r="AT116" s="416"/>
      <c r="AU116" s="416"/>
      <c r="AV116" s="416"/>
      <c r="AW116" s="416"/>
      <c r="AX116" s="416"/>
      <c r="AY116" s="416"/>
      <c r="AZ116" s="416"/>
      <c r="BA116" s="416"/>
      <c r="BB116" s="416"/>
      <c r="BC116" s="416"/>
      <c r="BD116" s="416"/>
      <c r="BE116" s="416"/>
      <c r="BF116" s="416"/>
    </row>
    <row r="117" spans="1:58" ht="12" customHeight="1">
      <c r="A117" s="495">
        <v>371</v>
      </c>
      <c r="B117" s="509" t="s">
        <v>103</v>
      </c>
      <c r="C117" s="509"/>
      <c r="D117" s="496">
        <v>37621</v>
      </c>
      <c r="E117" s="445"/>
      <c r="F117" s="451" t="s">
        <v>406</v>
      </c>
      <c r="G117" s="452">
        <v>15</v>
      </c>
      <c r="H117" s="445"/>
      <c r="I117" s="453">
        <v>3364</v>
      </c>
      <c r="J117" s="452">
        <v>100</v>
      </c>
      <c r="K117" s="452">
        <v>0</v>
      </c>
      <c r="L117"/>
      <c r="M117" s="497">
        <v>2466.9333333333334</v>
      </c>
      <c r="N117" s="548">
        <f t="shared" si="47"/>
        <v>224.26666666666688</v>
      </c>
      <c r="O117" s="547">
        <f t="shared" si="45"/>
        <v>2691.2000000000003</v>
      </c>
      <c r="P117" s="566">
        <f t="shared" si="46"/>
        <v>672.79999999999973</v>
      </c>
      <c r="Q117" s="499"/>
      <c r="R117" s="499"/>
      <c r="S117" s="542"/>
      <c r="T117" s="500"/>
      <c r="U117" s="500"/>
      <c r="V117" s="500"/>
      <c r="W117" s="555">
        <f t="shared" ref="W117:W147" si="58">I117</f>
        <v>3364</v>
      </c>
      <c r="X117" s="500"/>
      <c r="Y117" s="500"/>
      <c r="Z117" s="555">
        <f t="shared" si="48"/>
        <v>0</v>
      </c>
      <c r="AB117" s="500"/>
      <c r="AC117" s="500"/>
      <c r="AD117" s="500"/>
      <c r="AE117" s="500"/>
      <c r="AF117" s="500"/>
      <c r="AG117" s="555">
        <f t="shared" ref="AG117:AG120" si="59">O117</f>
        <v>2691.2000000000003</v>
      </c>
      <c r="AH117" s="500"/>
      <c r="AI117" s="500"/>
      <c r="AJ117" s="555">
        <f t="shared" si="49"/>
        <v>0</v>
      </c>
      <c r="AK117" s="535"/>
      <c r="AL117" s="416"/>
      <c r="AM117" s="416"/>
      <c r="AN117" s="416"/>
      <c r="AO117" s="416"/>
      <c r="AP117" s="416"/>
      <c r="AQ117" s="573">
        <f t="shared" ref="AQ117:AQ147" si="60">N117</f>
        <v>224.26666666666688</v>
      </c>
      <c r="AR117" s="416"/>
      <c r="AS117" s="416"/>
      <c r="AT117" s="416"/>
      <c r="AU117" s="416"/>
      <c r="AV117" s="416"/>
      <c r="AW117" s="416"/>
      <c r="AX117" s="416"/>
      <c r="AY117" s="416"/>
      <c r="AZ117" s="416"/>
      <c r="BA117" s="416"/>
      <c r="BB117" s="416"/>
      <c r="BC117" s="416"/>
      <c r="BD117" s="416"/>
      <c r="BE117" s="416"/>
      <c r="BF117" s="416"/>
    </row>
    <row r="118" spans="1:58" ht="12" customHeight="1">
      <c r="A118" s="495">
        <v>372</v>
      </c>
      <c r="B118" s="509" t="s">
        <v>103</v>
      </c>
      <c r="C118" s="509"/>
      <c r="D118" s="496">
        <v>37621</v>
      </c>
      <c r="E118" s="445"/>
      <c r="F118" s="451" t="s">
        <v>406</v>
      </c>
      <c r="G118" s="452">
        <v>15</v>
      </c>
      <c r="H118" s="445"/>
      <c r="I118" s="453">
        <v>5870.32</v>
      </c>
      <c r="J118" s="452">
        <v>100</v>
      </c>
      <c r="K118" s="452">
        <v>0</v>
      </c>
      <c r="L118"/>
      <c r="M118" s="497">
        <v>4304.9013333333332</v>
      </c>
      <c r="N118" s="548">
        <f t="shared" si="47"/>
        <v>391.35466666666707</v>
      </c>
      <c r="O118" s="547">
        <f t="shared" si="45"/>
        <v>4696.2560000000003</v>
      </c>
      <c r="P118" s="566">
        <f t="shared" si="46"/>
        <v>1174.0639999999994</v>
      </c>
      <c r="Q118" s="499"/>
      <c r="R118" s="499"/>
      <c r="S118" s="542"/>
      <c r="T118" s="500"/>
      <c r="U118" s="500"/>
      <c r="V118" s="500"/>
      <c r="W118" s="555">
        <f t="shared" si="58"/>
        <v>5870.32</v>
      </c>
      <c r="X118" s="500"/>
      <c r="Y118" s="500"/>
      <c r="Z118" s="555">
        <f t="shared" si="48"/>
        <v>0</v>
      </c>
      <c r="AB118" s="500"/>
      <c r="AC118" s="500"/>
      <c r="AD118" s="500"/>
      <c r="AE118" s="500"/>
      <c r="AF118" s="500"/>
      <c r="AG118" s="555">
        <f t="shared" si="59"/>
        <v>4696.2560000000003</v>
      </c>
      <c r="AH118" s="500"/>
      <c r="AI118" s="500"/>
      <c r="AJ118" s="555">
        <f t="shared" si="49"/>
        <v>0</v>
      </c>
      <c r="AK118" s="535"/>
      <c r="AL118" s="416"/>
      <c r="AM118" s="416"/>
      <c r="AN118" s="416"/>
      <c r="AO118" s="416"/>
      <c r="AP118" s="416"/>
      <c r="AQ118" s="573">
        <f t="shared" si="60"/>
        <v>391.35466666666707</v>
      </c>
      <c r="AR118" s="416"/>
      <c r="AS118" s="416"/>
      <c r="AT118" s="416"/>
      <c r="AU118" s="416"/>
      <c r="AV118" s="416"/>
      <c r="AW118" s="416"/>
      <c r="AX118" s="416"/>
      <c r="AY118" s="416"/>
      <c r="AZ118" s="416"/>
      <c r="BA118" s="416"/>
      <c r="BB118" s="416"/>
      <c r="BC118" s="416"/>
      <c r="BD118" s="416"/>
      <c r="BE118" s="416"/>
      <c r="BF118" s="416"/>
    </row>
    <row r="119" spans="1:58" ht="12" customHeight="1">
      <c r="A119" s="495">
        <v>375</v>
      </c>
      <c r="B119" s="509" t="s">
        <v>103</v>
      </c>
      <c r="C119" s="509"/>
      <c r="D119" s="496">
        <v>37621</v>
      </c>
      <c r="E119" s="445"/>
      <c r="F119" s="451" t="s">
        <v>406</v>
      </c>
      <c r="G119" s="452">
        <v>15</v>
      </c>
      <c r="H119" s="445"/>
      <c r="I119" s="453">
        <v>14136.81</v>
      </c>
      <c r="J119" s="452">
        <v>100</v>
      </c>
      <c r="K119" s="452">
        <v>0</v>
      </c>
      <c r="L119"/>
      <c r="M119" s="497">
        <v>10366.993999999999</v>
      </c>
      <c r="N119" s="548">
        <f t="shared" si="47"/>
        <v>942.45399999999972</v>
      </c>
      <c r="O119" s="547">
        <f t="shared" si="45"/>
        <v>11309.447999999999</v>
      </c>
      <c r="P119" s="566">
        <f t="shared" si="46"/>
        <v>2827.362000000001</v>
      </c>
      <c r="Q119" s="499"/>
      <c r="R119" s="499"/>
      <c r="S119" s="542"/>
      <c r="T119" s="500"/>
      <c r="U119" s="500"/>
      <c r="V119" s="500"/>
      <c r="W119" s="555">
        <f t="shared" si="58"/>
        <v>14136.81</v>
      </c>
      <c r="X119" s="500"/>
      <c r="Y119" s="500"/>
      <c r="Z119" s="555">
        <f t="shared" si="48"/>
        <v>0</v>
      </c>
      <c r="AB119" s="500"/>
      <c r="AC119" s="500"/>
      <c r="AD119" s="500"/>
      <c r="AE119" s="500"/>
      <c r="AF119" s="500"/>
      <c r="AG119" s="555">
        <f t="shared" si="59"/>
        <v>11309.447999999999</v>
      </c>
      <c r="AH119" s="500"/>
      <c r="AI119" s="500"/>
      <c r="AJ119" s="555">
        <f t="shared" si="49"/>
        <v>0</v>
      </c>
      <c r="AK119" s="535"/>
      <c r="AL119" s="416"/>
      <c r="AM119" s="416"/>
      <c r="AN119" s="416"/>
      <c r="AO119" s="416"/>
      <c r="AP119" s="416"/>
      <c r="AQ119" s="573">
        <f t="shared" si="60"/>
        <v>942.45399999999972</v>
      </c>
      <c r="AR119" s="416"/>
      <c r="AS119" s="416"/>
      <c r="AT119" s="416"/>
      <c r="AU119" s="416"/>
      <c r="AV119" s="416"/>
      <c r="AW119" s="416"/>
      <c r="AX119" s="416"/>
      <c r="AY119" s="416"/>
      <c r="AZ119" s="416"/>
      <c r="BA119" s="416"/>
      <c r="BB119" s="416"/>
      <c r="BC119" s="416"/>
      <c r="BD119" s="416"/>
      <c r="BE119" s="416"/>
      <c r="BF119" s="416"/>
    </row>
    <row r="120" spans="1:58" ht="12" customHeight="1">
      <c r="A120" s="495">
        <v>378</v>
      </c>
      <c r="B120" s="509" t="s">
        <v>106</v>
      </c>
      <c r="C120" s="509"/>
      <c r="D120" s="496">
        <v>37621</v>
      </c>
      <c r="E120" s="445"/>
      <c r="F120" s="451" t="s">
        <v>406</v>
      </c>
      <c r="G120" s="452">
        <v>15</v>
      </c>
      <c r="H120" s="445"/>
      <c r="I120" s="453">
        <v>2138.7399999999998</v>
      </c>
      <c r="J120" s="452">
        <v>100</v>
      </c>
      <c r="K120" s="452">
        <v>0</v>
      </c>
      <c r="L120"/>
      <c r="M120" s="497">
        <v>1568.4093333333333</v>
      </c>
      <c r="N120" s="548">
        <f t="shared" si="47"/>
        <v>142.58266666666668</v>
      </c>
      <c r="O120" s="547">
        <f t="shared" si="45"/>
        <v>1710.992</v>
      </c>
      <c r="P120" s="566">
        <f t="shared" si="46"/>
        <v>427.74799999999982</v>
      </c>
      <c r="Q120" s="499"/>
      <c r="R120" s="499"/>
      <c r="S120" s="542"/>
      <c r="T120" s="500"/>
      <c r="U120" s="500"/>
      <c r="V120" s="500"/>
      <c r="W120" s="555">
        <f t="shared" si="58"/>
        <v>2138.7399999999998</v>
      </c>
      <c r="X120" s="500"/>
      <c r="Y120" s="500"/>
      <c r="Z120" s="555">
        <f t="shared" si="48"/>
        <v>0</v>
      </c>
      <c r="AB120" s="500"/>
      <c r="AC120" s="500"/>
      <c r="AD120" s="500"/>
      <c r="AE120" s="500"/>
      <c r="AF120" s="500"/>
      <c r="AG120" s="555">
        <f t="shared" si="59"/>
        <v>1710.992</v>
      </c>
      <c r="AH120" s="500"/>
      <c r="AI120" s="500"/>
      <c r="AJ120" s="555">
        <f t="shared" si="49"/>
        <v>0</v>
      </c>
      <c r="AK120" s="535"/>
      <c r="AL120" s="416"/>
      <c r="AM120" s="416"/>
      <c r="AN120" s="416"/>
      <c r="AO120" s="416"/>
      <c r="AP120" s="416"/>
      <c r="AQ120" s="573">
        <f t="shared" si="60"/>
        <v>142.58266666666668</v>
      </c>
      <c r="AR120" s="416"/>
      <c r="AS120" s="416"/>
      <c r="AT120" s="416"/>
      <c r="AU120" s="416"/>
      <c r="AV120" s="416"/>
      <c r="AW120" s="416"/>
      <c r="AX120" s="416"/>
      <c r="AY120" s="416"/>
      <c r="AZ120" s="416"/>
      <c r="BA120" s="416"/>
      <c r="BB120" s="416"/>
      <c r="BC120" s="416"/>
      <c r="BD120" s="416"/>
      <c r="BE120" s="416"/>
      <c r="BF120" s="416"/>
    </row>
    <row r="121" spans="1:58" ht="12" customHeight="1">
      <c r="A121" s="495">
        <v>381</v>
      </c>
      <c r="B121" s="509" t="s">
        <v>95</v>
      </c>
      <c r="C121" s="509"/>
      <c r="D121" s="496">
        <v>37621</v>
      </c>
      <c r="E121" s="445"/>
      <c r="F121" s="451" t="s">
        <v>406</v>
      </c>
      <c r="G121" s="452">
        <v>25</v>
      </c>
      <c r="H121" s="445"/>
      <c r="I121" s="453">
        <v>40436.550000000003</v>
      </c>
      <c r="J121" s="452">
        <v>100</v>
      </c>
      <c r="K121" s="452">
        <v>0</v>
      </c>
      <c r="L121"/>
      <c r="M121" s="497">
        <v>17792.081999999999</v>
      </c>
      <c r="N121" s="548">
        <f t="shared" si="47"/>
        <v>1617.4619999999995</v>
      </c>
      <c r="O121" s="547">
        <f t="shared" si="45"/>
        <v>19409.543999999998</v>
      </c>
      <c r="P121" s="566">
        <f t="shared" si="46"/>
        <v>21027.006000000005</v>
      </c>
      <c r="Q121" s="499"/>
      <c r="R121" s="499"/>
      <c r="S121" s="542"/>
      <c r="T121" s="500"/>
      <c r="U121" s="500"/>
      <c r="V121" s="500"/>
      <c r="W121" s="555">
        <f t="shared" si="58"/>
        <v>40436.550000000003</v>
      </c>
      <c r="X121" s="500"/>
      <c r="Y121" s="500"/>
      <c r="Z121" s="555">
        <f t="shared" si="48"/>
        <v>0</v>
      </c>
      <c r="AB121" s="500"/>
      <c r="AC121" s="500"/>
      <c r="AD121" s="500"/>
      <c r="AE121" s="500"/>
      <c r="AF121" s="500"/>
      <c r="AG121" s="555">
        <f>O121</f>
        <v>19409.543999999998</v>
      </c>
      <c r="AH121" s="500"/>
      <c r="AI121" s="500"/>
      <c r="AJ121" s="555">
        <f t="shared" si="49"/>
        <v>0</v>
      </c>
      <c r="AK121" s="535"/>
      <c r="AL121" s="416"/>
      <c r="AM121" s="416"/>
      <c r="AN121" s="416"/>
      <c r="AO121" s="416"/>
      <c r="AP121" s="416"/>
      <c r="AQ121" s="573">
        <f t="shared" si="60"/>
        <v>1617.4619999999995</v>
      </c>
      <c r="AR121" s="416"/>
      <c r="AS121" s="416"/>
      <c r="AT121" s="416"/>
      <c r="AU121" s="416"/>
      <c r="AV121" s="416"/>
      <c r="AW121" s="416"/>
      <c r="AX121" s="416"/>
      <c r="AY121" s="416"/>
      <c r="AZ121" s="416"/>
      <c r="BA121" s="416"/>
      <c r="BB121" s="416"/>
      <c r="BC121" s="416"/>
      <c r="BD121" s="416"/>
      <c r="BE121" s="416"/>
      <c r="BF121" s="416"/>
    </row>
    <row r="122" spans="1:58" ht="12" customHeight="1">
      <c r="A122" s="495">
        <v>399</v>
      </c>
      <c r="B122" s="509" t="s">
        <v>121</v>
      </c>
      <c r="C122" s="509"/>
      <c r="D122" s="496">
        <v>37949</v>
      </c>
      <c r="E122" s="445"/>
      <c r="F122" s="451" t="s">
        <v>406</v>
      </c>
      <c r="G122" s="452">
        <v>15</v>
      </c>
      <c r="H122" s="445"/>
      <c r="I122" s="453">
        <v>15000</v>
      </c>
      <c r="J122" s="452">
        <v>100</v>
      </c>
      <c r="K122" s="452">
        <v>0</v>
      </c>
      <c r="L122"/>
      <c r="M122" s="497">
        <v>10083.33</v>
      </c>
      <c r="N122" s="548">
        <f t="shared" si="47"/>
        <v>1000</v>
      </c>
      <c r="O122" s="547">
        <f t="shared" si="45"/>
        <v>11083.33</v>
      </c>
      <c r="P122" s="566">
        <f t="shared" si="46"/>
        <v>3916.67</v>
      </c>
      <c r="Q122" s="499"/>
      <c r="R122" s="499"/>
      <c r="S122" s="542"/>
      <c r="T122" s="500"/>
      <c r="U122" s="500"/>
      <c r="V122" s="500"/>
      <c r="W122" s="555">
        <f t="shared" si="58"/>
        <v>15000</v>
      </c>
      <c r="X122" s="500"/>
      <c r="Y122" s="535"/>
      <c r="Z122" s="555">
        <f t="shared" si="48"/>
        <v>0</v>
      </c>
      <c r="AB122" s="500"/>
      <c r="AC122" s="500"/>
      <c r="AD122" s="500"/>
      <c r="AE122" s="500"/>
      <c r="AF122" s="500"/>
      <c r="AG122" s="555">
        <f>O122</f>
        <v>11083.33</v>
      </c>
      <c r="AH122" s="500"/>
      <c r="AI122" s="505"/>
      <c r="AJ122" s="555">
        <f t="shared" si="49"/>
        <v>0</v>
      </c>
      <c r="AK122" s="535"/>
      <c r="AL122" s="416"/>
      <c r="AM122" s="416"/>
      <c r="AN122" s="416"/>
      <c r="AO122" s="416"/>
      <c r="AP122" s="416"/>
      <c r="AQ122" s="573">
        <f t="shared" si="60"/>
        <v>1000</v>
      </c>
      <c r="AR122" s="416"/>
      <c r="AS122" s="416"/>
      <c r="AT122" s="416"/>
      <c r="AU122" s="416"/>
      <c r="AV122" s="416"/>
      <c r="AW122" s="416"/>
      <c r="AX122" s="416"/>
      <c r="AY122" s="416"/>
      <c r="AZ122" s="416"/>
      <c r="BA122" s="416"/>
      <c r="BB122" s="416"/>
      <c r="BC122" s="416"/>
      <c r="BD122" s="416"/>
      <c r="BE122" s="416"/>
      <c r="BF122" s="416"/>
    </row>
    <row r="123" spans="1:58" ht="12" customHeight="1">
      <c r="A123" s="495">
        <v>397</v>
      </c>
      <c r="B123" s="509" t="s">
        <v>107</v>
      </c>
      <c r="C123" s="509"/>
      <c r="D123" s="496">
        <v>37986</v>
      </c>
      <c r="E123" s="445"/>
      <c r="F123" s="451" t="s">
        <v>406</v>
      </c>
      <c r="G123" s="452">
        <v>20</v>
      </c>
      <c r="H123" s="445"/>
      <c r="I123" s="453">
        <v>23864.68</v>
      </c>
      <c r="J123" s="452">
        <v>100</v>
      </c>
      <c r="K123" s="452">
        <v>0</v>
      </c>
      <c r="L123"/>
      <c r="M123" s="497">
        <v>11932.340000000002</v>
      </c>
      <c r="N123" s="548">
        <f t="shared" si="47"/>
        <v>1193.2340000000004</v>
      </c>
      <c r="O123" s="547">
        <f t="shared" si="45"/>
        <v>13125.574000000002</v>
      </c>
      <c r="P123" s="566">
        <f t="shared" si="46"/>
        <v>10739.105999999998</v>
      </c>
      <c r="Q123" s="499"/>
      <c r="R123" s="499"/>
      <c r="S123" s="542"/>
      <c r="T123" s="500"/>
      <c r="U123" s="500"/>
      <c r="V123" s="500"/>
      <c r="W123" s="555">
        <f t="shared" si="58"/>
        <v>23864.68</v>
      </c>
      <c r="X123" s="500"/>
      <c r="Y123" s="500"/>
      <c r="Z123" s="555">
        <f t="shared" si="48"/>
        <v>0</v>
      </c>
      <c r="AB123" s="500"/>
      <c r="AC123" s="500"/>
      <c r="AD123" s="500"/>
      <c r="AE123" s="500"/>
      <c r="AF123" s="500"/>
      <c r="AG123" s="555">
        <f>O123</f>
        <v>13125.574000000002</v>
      </c>
      <c r="AH123" s="500"/>
      <c r="AI123" s="500"/>
      <c r="AJ123" s="555">
        <f t="shared" si="49"/>
        <v>0</v>
      </c>
      <c r="AK123" s="535"/>
      <c r="AL123" s="416"/>
      <c r="AM123" s="416"/>
      <c r="AN123" s="416"/>
      <c r="AO123" s="416"/>
      <c r="AP123" s="416"/>
      <c r="AQ123" s="573">
        <f t="shared" si="60"/>
        <v>1193.2340000000004</v>
      </c>
      <c r="AR123" s="416"/>
      <c r="AS123" s="416"/>
      <c r="AT123" s="416"/>
      <c r="AU123" s="416"/>
      <c r="AV123" s="416"/>
      <c r="AW123" s="416"/>
      <c r="AX123" s="416"/>
      <c r="AY123" s="416"/>
      <c r="AZ123" s="416"/>
      <c r="BA123" s="416"/>
      <c r="BB123" s="416"/>
      <c r="BC123" s="416"/>
      <c r="BD123" s="416"/>
      <c r="BE123" s="416"/>
      <c r="BF123" s="416"/>
    </row>
    <row r="124" spans="1:58" ht="12" customHeight="1">
      <c r="A124" s="495"/>
      <c r="B124" s="509" t="s">
        <v>122</v>
      </c>
      <c r="C124" s="509"/>
      <c r="D124" s="496">
        <v>38638</v>
      </c>
      <c r="E124" s="445"/>
      <c r="F124" s="451" t="s">
        <v>406</v>
      </c>
      <c r="G124" s="452">
        <v>20</v>
      </c>
      <c r="H124" s="445"/>
      <c r="I124" s="453">
        <v>16109.78</v>
      </c>
      <c r="J124" s="452">
        <v>100</v>
      </c>
      <c r="K124" s="452">
        <v>0</v>
      </c>
      <c r="L124"/>
      <c r="M124" s="497">
        <v>6578.1601666666666</v>
      </c>
      <c r="N124" s="548">
        <f t="shared" si="47"/>
        <v>805.48899999999958</v>
      </c>
      <c r="O124" s="547">
        <f t="shared" si="45"/>
        <v>7383.6491666666661</v>
      </c>
      <c r="P124" s="566">
        <f t="shared" si="46"/>
        <v>8726.1308333333345</v>
      </c>
      <c r="Q124" s="512"/>
      <c r="R124" s="518"/>
      <c r="S124" s="535"/>
      <c r="T124" s="500"/>
      <c r="U124" s="500"/>
      <c r="V124" s="500"/>
      <c r="W124" s="555">
        <f t="shared" si="58"/>
        <v>16109.78</v>
      </c>
      <c r="X124" s="500"/>
      <c r="Y124" s="535"/>
      <c r="Z124" s="555">
        <f t="shared" si="48"/>
        <v>0</v>
      </c>
      <c r="AB124" s="500"/>
      <c r="AC124" s="500"/>
      <c r="AD124" s="500"/>
      <c r="AE124" s="500"/>
      <c r="AF124" s="500"/>
      <c r="AG124" s="555">
        <f>O124</f>
        <v>7383.6491666666661</v>
      </c>
      <c r="AH124" s="500"/>
      <c r="AI124" s="505"/>
      <c r="AJ124" s="555">
        <f t="shared" si="49"/>
        <v>0</v>
      </c>
      <c r="AK124" s="535"/>
      <c r="AL124" s="416"/>
      <c r="AM124" s="416"/>
      <c r="AN124" s="416"/>
      <c r="AO124" s="416"/>
      <c r="AP124" s="416"/>
      <c r="AQ124" s="573">
        <f t="shared" si="60"/>
        <v>805.48899999999958</v>
      </c>
      <c r="AR124" s="416"/>
      <c r="AS124" s="416"/>
      <c r="AT124" s="416"/>
      <c r="AU124" s="416"/>
      <c r="AV124" s="416"/>
      <c r="AW124" s="416"/>
      <c r="AX124" s="416"/>
      <c r="AY124" s="416"/>
      <c r="AZ124" s="416"/>
      <c r="BA124" s="416"/>
      <c r="BB124" s="416"/>
      <c r="BC124" s="416"/>
      <c r="BD124" s="416"/>
      <c r="BE124" s="416"/>
      <c r="BF124" s="416"/>
    </row>
    <row r="125" spans="1:58" ht="12" customHeight="1">
      <c r="A125" s="495"/>
      <c r="B125" s="509" t="s">
        <v>108</v>
      </c>
      <c r="C125" s="509"/>
      <c r="D125" s="496">
        <v>38626</v>
      </c>
      <c r="E125" s="445"/>
      <c r="F125" s="451" t="s">
        <v>406</v>
      </c>
      <c r="G125" s="452">
        <v>15</v>
      </c>
      <c r="H125" s="445"/>
      <c r="I125" s="453">
        <v>8157.01</v>
      </c>
      <c r="J125" s="452">
        <v>100</v>
      </c>
      <c r="K125" s="452">
        <v>0</v>
      </c>
      <c r="L125"/>
      <c r="M125" s="497">
        <v>4486.3554999999997</v>
      </c>
      <c r="N125" s="548">
        <f t="shared" si="47"/>
        <v>543.80066666666698</v>
      </c>
      <c r="O125" s="547">
        <f t="shared" si="45"/>
        <v>5030.1561666666666</v>
      </c>
      <c r="P125" s="566">
        <f t="shared" si="46"/>
        <v>3126.8538333333336</v>
      </c>
      <c r="Q125" s="512"/>
      <c r="R125" s="499"/>
      <c r="S125" s="542"/>
      <c r="T125" s="500"/>
      <c r="U125" s="500"/>
      <c r="V125" s="500"/>
      <c r="W125" s="555">
        <f t="shared" si="58"/>
        <v>8157.01</v>
      </c>
      <c r="X125" s="500"/>
      <c r="Y125" s="500"/>
      <c r="Z125" s="555">
        <f t="shared" si="48"/>
        <v>0</v>
      </c>
      <c r="AB125" s="500"/>
      <c r="AC125" s="500"/>
      <c r="AD125" s="500"/>
      <c r="AE125" s="500"/>
      <c r="AF125" s="500"/>
      <c r="AG125" s="555">
        <f t="shared" ref="AG125:AG129" si="61">O125</f>
        <v>5030.1561666666666</v>
      </c>
      <c r="AH125" s="500"/>
      <c r="AI125" s="500"/>
      <c r="AJ125" s="555">
        <f t="shared" si="49"/>
        <v>0</v>
      </c>
      <c r="AK125" s="535"/>
      <c r="AL125" s="416"/>
      <c r="AM125" s="416"/>
      <c r="AN125" s="416"/>
      <c r="AO125" s="416"/>
      <c r="AP125" s="416"/>
      <c r="AQ125" s="573">
        <f t="shared" si="60"/>
        <v>543.80066666666698</v>
      </c>
      <c r="AR125" s="416"/>
      <c r="AS125" s="416"/>
      <c r="AT125" s="416"/>
      <c r="AU125" s="416"/>
      <c r="AV125" s="416"/>
      <c r="AW125" s="416"/>
      <c r="AX125" s="416"/>
      <c r="AY125" s="416"/>
      <c r="AZ125" s="416"/>
      <c r="BA125" s="416"/>
      <c r="BB125" s="416"/>
      <c r="BC125" s="416"/>
      <c r="BD125" s="416"/>
      <c r="BE125" s="416"/>
      <c r="BF125" s="416"/>
    </row>
    <row r="126" spans="1:58" ht="12" customHeight="1">
      <c r="A126" s="495"/>
      <c r="B126" s="509" t="s">
        <v>109</v>
      </c>
      <c r="C126" s="509"/>
      <c r="D126" s="496">
        <v>38353</v>
      </c>
      <c r="E126" s="445"/>
      <c r="F126" s="451" t="s">
        <v>406</v>
      </c>
      <c r="G126" s="452">
        <v>15</v>
      </c>
      <c r="H126" s="445"/>
      <c r="I126" s="453">
        <v>10772.85</v>
      </c>
      <c r="J126" s="452">
        <v>100</v>
      </c>
      <c r="K126" s="452">
        <v>0</v>
      </c>
      <c r="L126"/>
      <c r="M126" s="497">
        <v>6463.7100000000009</v>
      </c>
      <c r="N126" s="548">
        <f t="shared" si="47"/>
        <v>718.19000000000051</v>
      </c>
      <c r="O126" s="547">
        <f t="shared" si="45"/>
        <v>7181.9000000000015</v>
      </c>
      <c r="P126" s="566">
        <f t="shared" si="46"/>
        <v>3590.9499999999989</v>
      </c>
      <c r="Q126" s="512"/>
      <c r="R126" s="499"/>
      <c r="S126" s="542"/>
      <c r="T126" s="500"/>
      <c r="U126" s="500"/>
      <c r="V126" s="500"/>
      <c r="W126" s="555">
        <f t="shared" si="58"/>
        <v>10772.85</v>
      </c>
      <c r="X126" s="500"/>
      <c r="Y126" s="500"/>
      <c r="Z126" s="555">
        <f t="shared" si="48"/>
        <v>0</v>
      </c>
      <c r="AB126" s="500"/>
      <c r="AC126" s="500"/>
      <c r="AD126" s="500"/>
      <c r="AE126" s="500"/>
      <c r="AF126" s="500"/>
      <c r="AG126" s="555">
        <f t="shared" si="61"/>
        <v>7181.9000000000015</v>
      </c>
      <c r="AH126" s="500"/>
      <c r="AI126" s="500"/>
      <c r="AJ126" s="555">
        <f t="shared" si="49"/>
        <v>0</v>
      </c>
      <c r="AK126" s="535"/>
      <c r="AL126" s="416"/>
      <c r="AM126" s="416"/>
      <c r="AN126" s="416"/>
      <c r="AO126" s="416"/>
      <c r="AP126" s="416"/>
      <c r="AQ126" s="573">
        <f t="shared" si="60"/>
        <v>718.19000000000051</v>
      </c>
      <c r="AR126" s="416"/>
      <c r="AS126" s="416"/>
      <c r="AT126" s="416"/>
      <c r="AU126" s="416"/>
      <c r="AV126" s="416"/>
      <c r="AW126" s="416"/>
      <c r="AX126" s="416"/>
      <c r="AY126" s="416"/>
      <c r="AZ126" s="416"/>
      <c r="BA126" s="416"/>
      <c r="BB126" s="416"/>
      <c r="BC126" s="416"/>
      <c r="BD126" s="416"/>
      <c r="BE126" s="416"/>
      <c r="BF126" s="416"/>
    </row>
    <row r="127" spans="1:58" ht="12" customHeight="1">
      <c r="A127" s="495"/>
      <c r="B127" s="509" t="s">
        <v>110</v>
      </c>
      <c r="C127" s="509"/>
      <c r="D127" s="496">
        <v>38626</v>
      </c>
      <c r="E127" s="445"/>
      <c r="F127" s="451" t="s">
        <v>406</v>
      </c>
      <c r="G127" s="452">
        <v>15</v>
      </c>
      <c r="H127" s="445"/>
      <c r="I127" s="453">
        <v>7098.77</v>
      </c>
      <c r="J127" s="452">
        <v>100</v>
      </c>
      <c r="K127" s="452">
        <v>0</v>
      </c>
      <c r="L127"/>
      <c r="M127" s="497">
        <v>3904.3235000000013</v>
      </c>
      <c r="N127" s="548">
        <f t="shared" si="47"/>
        <v>473.2513333333336</v>
      </c>
      <c r="O127" s="547">
        <f t="shared" si="45"/>
        <v>4377.5748333333349</v>
      </c>
      <c r="P127" s="566">
        <f t="shared" si="46"/>
        <v>2721.1951666666655</v>
      </c>
      <c r="Q127" s="512"/>
      <c r="R127" s="499"/>
      <c r="S127" s="542"/>
      <c r="T127" s="500"/>
      <c r="U127" s="500"/>
      <c r="V127" s="500"/>
      <c r="W127" s="555">
        <f t="shared" si="58"/>
        <v>7098.77</v>
      </c>
      <c r="X127" s="500"/>
      <c r="Y127" s="500"/>
      <c r="Z127" s="555">
        <f t="shared" si="48"/>
        <v>0</v>
      </c>
      <c r="AB127" s="500"/>
      <c r="AC127" s="500"/>
      <c r="AD127" s="500"/>
      <c r="AE127" s="500"/>
      <c r="AF127" s="500"/>
      <c r="AG127" s="555">
        <f t="shared" si="61"/>
        <v>4377.5748333333349</v>
      </c>
      <c r="AH127" s="500"/>
      <c r="AI127" s="500"/>
      <c r="AJ127" s="555">
        <f t="shared" si="49"/>
        <v>0</v>
      </c>
      <c r="AK127" s="535"/>
      <c r="AL127" s="416"/>
      <c r="AM127" s="416"/>
      <c r="AN127" s="416"/>
      <c r="AO127" s="416"/>
      <c r="AP127" s="416"/>
      <c r="AQ127" s="573">
        <f t="shared" si="60"/>
        <v>473.2513333333336</v>
      </c>
      <c r="AR127" s="416"/>
      <c r="AS127" s="416"/>
      <c r="AT127" s="416"/>
      <c r="AU127" s="416"/>
      <c r="AV127" s="416"/>
      <c r="AW127" s="416"/>
      <c r="AX127" s="416"/>
      <c r="AY127" s="416"/>
      <c r="AZ127" s="416"/>
      <c r="BA127" s="416"/>
      <c r="BB127" s="416"/>
      <c r="BC127" s="416"/>
      <c r="BD127" s="416"/>
      <c r="BE127" s="416"/>
      <c r="BF127" s="416"/>
    </row>
    <row r="128" spans="1:58" ht="12" customHeight="1">
      <c r="A128" s="495"/>
      <c r="B128" s="509" t="s">
        <v>111</v>
      </c>
      <c r="C128" s="509"/>
      <c r="D128" s="496">
        <v>38353</v>
      </c>
      <c r="E128" s="445"/>
      <c r="F128" s="451" t="s">
        <v>406</v>
      </c>
      <c r="G128" s="452">
        <v>20</v>
      </c>
      <c r="H128" s="445"/>
      <c r="I128" s="453">
        <v>11244.75</v>
      </c>
      <c r="J128" s="452">
        <v>100</v>
      </c>
      <c r="K128" s="452">
        <v>0</v>
      </c>
      <c r="L128"/>
      <c r="M128" s="497">
        <v>5060.1375000000007</v>
      </c>
      <c r="N128" s="548">
        <f t="shared" si="47"/>
        <v>562.23750000000018</v>
      </c>
      <c r="O128" s="547">
        <f t="shared" si="45"/>
        <v>5622.3750000000009</v>
      </c>
      <c r="P128" s="566">
        <f t="shared" si="46"/>
        <v>5622.3749999999991</v>
      </c>
      <c r="Q128" s="512"/>
      <c r="R128" s="499"/>
      <c r="S128" s="542"/>
      <c r="T128" s="500"/>
      <c r="U128" s="500"/>
      <c r="V128" s="500"/>
      <c r="W128" s="555">
        <f t="shared" si="58"/>
        <v>11244.75</v>
      </c>
      <c r="X128" s="500"/>
      <c r="Y128" s="500"/>
      <c r="Z128" s="555">
        <f t="shared" si="48"/>
        <v>0</v>
      </c>
      <c r="AB128" s="500"/>
      <c r="AC128" s="500"/>
      <c r="AD128" s="500"/>
      <c r="AE128" s="500"/>
      <c r="AF128" s="500"/>
      <c r="AG128" s="555">
        <f t="shared" si="61"/>
        <v>5622.3750000000009</v>
      </c>
      <c r="AH128" s="500"/>
      <c r="AI128" s="500"/>
      <c r="AJ128" s="555">
        <f t="shared" si="49"/>
        <v>0</v>
      </c>
      <c r="AK128" s="535"/>
      <c r="AL128" s="416"/>
      <c r="AM128" s="416"/>
      <c r="AN128" s="416"/>
      <c r="AO128" s="416"/>
      <c r="AP128" s="416"/>
      <c r="AQ128" s="573">
        <f t="shared" si="60"/>
        <v>562.23750000000018</v>
      </c>
      <c r="AR128" s="416"/>
      <c r="AS128" s="416"/>
      <c r="AT128" s="416"/>
      <c r="AU128" s="416"/>
      <c r="AV128" s="416"/>
      <c r="AW128" s="416"/>
      <c r="AX128" s="416"/>
      <c r="AY128" s="416"/>
      <c r="AZ128" s="416"/>
      <c r="BA128" s="416"/>
      <c r="BB128" s="416"/>
      <c r="BC128" s="416"/>
      <c r="BD128" s="416"/>
      <c r="BE128" s="416"/>
      <c r="BF128" s="416"/>
    </row>
    <row r="129" spans="1:58" ht="12" customHeight="1">
      <c r="A129" s="495"/>
      <c r="B129" s="509" t="s">
        <v>112</v>
      </c>
      <c r="C129" s="509"/>
      <c r="D129" s="496">
        <v>38504</v>
      </c>
      <c r="E129" s="445"/>
      <c r="F129" s="451" t="s">
        <v>406</v>
      </c>
      <c r="G129" s="452">
        <v>15</v>
      </c>
      <c r="H129" s="445"/>
      <c r="I129" s="453">
        <v>2765</v>
      </c>
      <c r="J129" s="452">
        <v>100</v>
      </c>
      <c r="K129" s="452">
        <v>0</v>
      </c>
      <c r="L129"/>
      <c r="M129" s="497">
        <v>1566.8333333333333</v>
      </c>
      <c r="N129" s="548">
        <f t="shared" si="47"/>
        <v>184.33333333333326</v>
      </c>
      <c r="O129" s="547">
        <f t="shared" si="45"/>
        <v>1751.1666666666665</v>
      </c>
      <c r="P129" s="566">
        <f t="shared" si="46"/>
        <v>1013.8333333333335</v>
      </c>
      <c r="Q129" s="512"/>
      <c r="R129" s="499"/>
      <c r="S129" s="542"/>
      <c r="T129" s="500"/>
      <c r="U129" s="500"/>
      <c r="V129" s="500"/>
      <c r="W129" s="555">
        <f t="shared" si="58"/>
        <v>2765</v>
      </c>
      <c r="X129" s="500"/>
      <c r="Y129" s="500"/>
      <c r="Z129" s="555">
        <f t="shared" si="48"/>
        <v>0</v>
      </c>
      <c r="AB129" s="500"/>
      <c r="AC129" s="500"/>
      <c r="AD129" s="500"/>
      <c r="AE129" s="500"/>
      <c r="AF129" s="500"/>
      <c r="AG129" s="555">
        <f t="shared" si="61"/>
        <v>1751.1666666666665</v>
      </c>
      <c r="AH129" s="500"/>
      <c r="AI129" s="500"/>
      <c r="AJ129" s="555">
        <f t="shared" si="49"/>
        <v>0</v>
      </c>
      <c r="AK129" s="535"/>
      <c r="AL129" s="416"/>
      <c r="AM129" s="416"/>
      <c r="AN129" s="416"/>
      <c r="AO129" s="416"/>
      <c r="AP129" s="416"/>
      <c r="AQ129" s="573">
        <f t="shared" si="60"/>
        <v>184.33333333333326</v>
      </c>
      <c r="AR129" s="416"/>
      <c r="AS129" s="416"/>
      <c r="AT129" s="416"/>
      <c r="AU129" s="416"/>
      <c r="AV129" s="416"/>
      <c r="AW129" s="416"/>
      <c r="AX129" s="416"/>
      <c r="AY129" s="416"/>
      <c r="AZ129" s="416"/>
      <c r="BA129" s="416"/>
      <c r="BB129" s="416"/>
      <c r="BC129" s="416"/>
      <c r="BD129" s="416"/>
      <c r="BE129" s="416"/>
      <c r="BF129" s="416"/>
    </row>
    <row r="130" spans="1:58" ht="12" customHeight="1">
      <c r="A130" s="495"/>
      <c r="B130" s="509" t="s">
        <v>123</v>
      </c>
      <c r="C130" s="509"/>
      <c r="D130" s="496">
        <v>38936</v>
      </c>
      <c r="E130" s="445"/>
      <c r="F130" s="451" t="s">
        <v>406</v>
      </c>
      <c r="G130" s="452">
        <v>15</v>
      </c>
      <c r="H130" s="445"/>
      <c r="I130" s="453">
        <v>190604.02999999997</v>
      </c>
      <c r="J130" s="452">
        <v>100</v>
      </c>
      <c r="K130" s="452">
        <v>0</v>
      </c>
      <c r="L130"/>
      <c r="M130" s="497">
        <v>95302.01499999997</v>
      </c>
      <c r="N130" s="548">
        <f t="shared" si="47"/>
        <v>12706.935333333327</v>
      </c>
      <c r="O130" s="547">
        <f t="shared" si="45"/>
        <v>108008.9503333333</v>
      </c>
      <c r="P130" s="566">
        <f t="shared" si="46"/>
        <v>82595.079666666672</v>
      </c>
      <c r="Q130" s="512"/>
      <c r="R130" s="499"/>
      <c r="S130" s="542"/>
      <c r="T130" s="500"/>
      <c r="U130" s="500"/>
      <c r="V130" s="500"/>
      <c r="W130" s="555">
        <f t="shared" si="58"/>
        <v>190604.02999999997</v>
      </c>
      <c r="X130" s="500"/>
      <c r="Y130" s="535"/>
      <c r="Z130" s="555">
        <f t="shared" si="48"/>
        <v>0</v>
      </c>
      <c r="AB130" s="500"/>
      <c r="AC130" s="500"/>
      <c r="AD130" s="500"/>
      <c r="AE130" s="500"/>
      <c r="AF130" s="500"/>
      <c r="AG130" s="555">
        <f>O130</f>
        <v>108008.9503333333</v>
      </c>
      <c r="AH130" s="500"/>
      <c r="AI130" s="505"/>
      <c r="AJ130" s="555">
        <f t="shared" si="49"/>
        <v>0</v>
      </c>
      <c r="AK130" s="535"/>
      <c r="AL130" s="416"/>
      <c r="AM130" s="416"/>
      <c r="AN130" s="416"/>
      <c r="AO130" s="416"/>
      <c r="AP130" s="416"/>
      <c r="AQ130" s="573">
        <f t="shared" si="60"/>
        <v>12706.935333333327</v>
      </c>
      <c r="AR130" s="416"/>
      <c r="AS130" s="416"/>
      <c r="AT130" s="416"/>
      <c r="AU130" s="416"/>
      <c r="AV130" s="416"/>
      <c r="AW130" s="416"/>
      <c r="AX130" s="416"/>
      <c r="AY130" s="416"/>
      <c r="AZ130" s="416"/>
      <c r="BA130" s="416"/>
      <c r="BB130" s="416"/>
      <c r="BC130" s="416"/>
      <c r="BD130" s="416"/>
      <c r="BE130" s="416"/>
      <c r="BF130" s="416"/>
    </row>
    <row r="131" spans="1:58" ht="12" customHeight="1">
      <c r="A131" s="495"/>
      <c r="B131" s="509" t="s">
        <v>113</v>
      </c>
      <c r="C131" s="509"/>
      <c r="D131" s="496">
        <v>39078</v>
      </c>
      <c r="E131" s="445"/>
      <c r="F131" s="451" t="s">
        <v>406</v>
      </c>
      <c r="G131" s="452">
        <v>15</v>
      </c>
      <c r="H131" s="445"/>
      <c r="I131" s="453">
        <v>26985.31</v>
      </c>
      <c r="J131" s="452">
        <v>100</v>
      </c>
      <c r="K131" s="452">
        <v>0</v>
      </c>
      <c r="L131"/>
      <c r="M131" s="497">
        <v>13492.655000000002</v>
      </c>
      <c r="N131" s="548">
        <f t="shared" si="47"/>
        <v>1799.0206666666672</v>
      </c>
      <c r="O131" s="547">
        <f t="shared" si="45"/>
        <v>15291.67566666667</v>
      </c>
      <c r="P131" s="566">
        <f t="shared" si="46"/>
        <v>11693.634333333332</v>
      </c>
      <c r="Q131" s="512"/>
      <c r="R131" s="499"/>
      <c r="S131" s="542"/>
      <c r="T131" s="500"/>
      <c r="U131" s="500"/>
      <c r="V131" s="500"/>
      <c r="W131" s="555">
        <f t="shared" si="58"/>
        <v>26985.31</v>
      </c>
      <c r="X131" s="500"/>
      <c r="Y131" s="500"/>
      <c r="Z131" s="555">
        <f t="shared" si="48"/>
        <v>0</v>
      </c>
      <c r="AB131" s="500"/>
      <c r="AC131" s="500"/>
      <c r="AD131" s="500"/>
      <c r="AE131" s="500"/>
      <c r="AF131" s="500"/>
      <c r="AG131" s="555">
        <f t="shared" ref="AG131:AG135" si="62">O131</f>
        <v>15291.67566666667</v>
      </c>
      <c r="AH131" s="500"/>
      <c r="AI131" s="500"/>
      <c r="AJ131" s="555">
        <f t="shared" si="49"/>
        <v>0</v>
      </c>
      <c r="AK131" s="535"/>
      <c r="AL131" s="416"/>
      <c r="AM131" s="416"/>
      <c r="AN131" s="416"/>
      <c r="AO131" s="416"/>
      <c r="AP131" s="416"/>
      <c r="AQ131" s="573">
        <f t="shared" si="60"/>
        <v>1799.0206666666672</v>
      </c>
      <c r="AR131" s="416"/>
      <c r="AS131" s="416"/>
      <c r="AT131" s="416"/>
      <c r="AU131" s="416"/>
      <c r="AV131" s="416"/>
      <c r="AW131" s="416"/>
      <c r="AX131" s="416"/>
      <c r="AY131" s="416"/>
      <c r="AZ131" s="416"/>
      <c r="BA131" s="416"/>
      <c r="BB131" s="416"/>
      <c r="BC131" s="416"/>
      <c r="BD131" s="416"/>
      <c r="BE131" s="416"/>
      <c r="BF131" s="416"/>
    </row>
    <row r="132" spans="1:58" ht="12" customHeight="1">
      <c r="A132" s="495"/>
      <c r="B132" s="509" t="s">
        <v>114</v>
      </c>
      <c r="C132" s="509"/>
      <c r="D132" s="496">
        <v>39078</v>
      </c>
      <c r="E132" s="445"/>
      <c r="F132" s="451" t="s">
        <v>406</v>
      </c>
      <c r="G132" s="452">
        <v>15</v>
      </c>
      <c r="H132" s="445"/>
      <c r="I132" s="453">
        <v>28565.119999999999</v>
      </c>
      <c r="J132" s="596">
        <v>100</v>
      </c>
      <c r="K132" s="596">
        <v>0</v>
      </c>
      <c r="L132"/>
      <c r="M132" s="497">
        <v>14282.560000000001</v>
      </c>
      <c r="N132" s="548">
        <f t="shared" si="47"/>
        <v>1904.3413333333338</v>
      </c>
      <c r="O132" s="547">
        <f t="shared" si="45"/>
        <v>16186.901333333335</v>
      </c>
      <c r="P132" s="566">
        <f t="shared" si="46"/>
        <v>12378.218666666664</v>
      </c>
      <c r="Q132" s="512"/>
      <c r="R132" s="499"/>
      <c r="S132" s="542"/>
      <c r="T132" s="500"/>
      <c r="U132" s="500"/>
      <c r="V132" s="500"/>
      <c r="W132" s="555">
        <f t="shared" si="58"/>
        <v>28565.119999999999</v>
      </c>
      <c r="X132" s="500"/>
      <c r="Y132" s="500"/>
      <c r="Z132" s="555">
        <f t="shared" si="48"/>
        <v>0</v>
      </c>
      <c r="AB132" s="500"/>
      <c r="AC132" s="500"/>
      <c r="AD132" s="500"/>
      <c r="AE132" s="500"/>
      <c r="AF132" s="500"/>
      <c r="AG132" s="555">
        <f t="shared" si="62"/>
        <v>16186.901333333335</v>
      </c>
      <c r="AH132" s="500"/>
      <c r="AI132" s="500"/>
      <c r="AJ132" s="555">
        <f t="shared" si="49"/>
        <v>0</v>
      </c>
      <c r="AK132" s="535"/>
      <c r="AL132" s="416"/>
      <c r="AM132" s="416"/>
      <c r="AN132" s="416"/>
      <c r="AO132" s="416"/>
      <c r="AP132" s="416"/>
      <c r="AQ132" s="573">
        <f t="shared" si="60"/>
        <v>1904.3413333333338</v>
      </c>
      <c r="AR132" s="416"/>
      <c r="AS132" s="416"/>
      <c r="AT132" s="416"/>
      <c r="AU132" s="416"/>
      <c r="AV132" s="416"/>
      <c r="AW132" s="416"/>
      <c r="AX132" s="416"/>
      <c r="AY132" s="416"/>
      <c r="AZ132" s="416"/>
      <c r="BA132" s="416"/>
      <c r="BB132" s="416"/>
      <c r="BC132" s="416"/>
      <c r="BD132" s="416"/>
      <c r="BE132" s="416"/>
      <c r="BF132" s="416"/>
    </row>
    <row r="133" spans="1:58" ht="12" customHeight="1">
      <c r="A133" s="495"/>
      <c r="B133" s="509" t="s">
        <v>409</v>
      </c>
      <c r="C133" s="509"/>
      <c r="D133" s="496">
        <v>39447</v>
      </c>
      <c r="E133" s="445"/>
      <c r="F133" s="451" t="s">
        <v>406</v>
      </c>
      <c r="G133" s="452">
        <v>25</v>
      </c>
      <c r="H133" s="445"/>
      <c r="I133" s="453">
        <v>153125</v>
      </c>
      <c r="J133" s="596">
        <v>100</v>
      </c>
      <c r="K133" s="596">
        <v>0</v>
      </c>
      <c r="L133"/>
      <c r="M133" s="497">
        <v>39812.5</v>
      </c>
      <c r="N133" s="548">
        <f t="shared" si="47"/>
        <v>6125</v>
      </c>
      <c r="O133" s="547">
        <f t="shared" si="45"/>
        <v>45937.5</v>
      </c>
      <c r="P133" s="566">
        <f t="shared" si="46"/>
        <v>107187.5</v>
      </c>
      <c r="Q133" s="519"/>
      <c r="R133" s="499"/>
      <c r="S133" s="542"/>
      <c r="T133" s="500"/>
      <c r="U133" s="500"/>
      <c r="V133" s="500"/>
      <c r="W133" s="555">
        <f t="shared" si="58"/>
        <v>153125</v>
      </c>
      <c r="X133" s="500"/>
      <c r="Y133" s="500"/>
      <c r="Z133" s="555">
        <f t="shared" si="48"/>
        <v>0</v>
      </c>
      <c r="AB133" s="500"/>
      <c r="AC133" s="555"/>
      <c r="AD133" s="500"/>
      <c r="AE133" s="500"/>
      <c r="AF133" s="500"/>
      <c r="AG133" s="555">
        <f t="shared" si="62"/>
        <v>45937.5</v>
      </c>
      <c r="AH133" s="500"/>
      <c r="AI133" s="500"/>
      <c r="AJ133" s="555">
        <f t="shared" si="49"/>
        <v>0</v>
      </c>
      <c r="AK133" s="535"/>
      <c r="AL133" s="416"/>
      <c r="AM133" s="416"/>
      <c r="AN133" s="416"/>
      <c r="AO133" s="416"/>
      <c r="AP133" s="416"/>
      <c r="AQ133" s="573">
        <f t="shared" si="60"/>
        <v>6125</v>
      </c>
      <c r="AR133" s="416"/>
      <c r="AS133" s="416"/>
      <c r="AT133" s="416"/>
      <c r="AU133" s="416"/>
      <c r="AV133" s="416"/>
      <c r="AW133" s="416"/>
      <c r="AX133" s="416"/>
      <c r="AY133" s="416"/>
      <c r="AZ133" s="416"/>
      <c r="BA133" s="416"/>
      <c r="BB133" s="416"/>
      <c r="BC133" s="416"/>
      <c r="BD133" s="416"/>
      <c r="BE133" s="416"/>
      <c r="BF133" s="416"/>
    </row>
    <row r="134" spans="1:58" ht="12" customHeight="1">
      <c r="A134" s="495"/>
      <c r="B134" s="509" t="s">
        <v>410</v>
      </c>
      <c r="C134" s="509"/>
      <c r="D134" s="496">
        <v>39447</v>
      </c>
      <c r="E134" s="445"/>
      <c r="F134" s="451" t="s">
        <v>406</v>
      </c>
      <c r="G134" s="452">
        <v>20</v>
      </c>
      <c r="H134" s="445"/>
      <c r="I134" s="453">
        <v>13257</v>
      </c>
      <c r="J134" s="596">
        <v>100</v>
      </c>
      <c r="K134" s="596">
        <v>0</v>
      </c>
      <c r="L134"/>
      <c r="M134" s="497">
        <v>4308.5249999999996</v>
      </c>
      <c r="N134" s="548">
        <f t="shared" si="47"/>
        <v>662.85000000000036</v>
      </c>
      <c r="O134" s="547">
        <f t="shared" si="45"/>
        <v>4971.375</v>
      </c>
      <c r="P134" s="566">
        <f t="shared" si="46"/>
        <v>8285.625</v>
      </c>
      <c r="Q134" s="519"/>
      <c r="R134" s="499"/>
      <c r="S134" s="542"/>
      <c r="T134" s="500"/>
      <c r="U134" s="500"/>
      <c r="V134" s="500"/>
      <c r="W134" s="555">
        <f t="shared" si="58"/>
        <v>13257</v>
      </c>
      <c r="X134" s="500"/>
      <c r="Y134" s="500"/>
      <c r="Z134" s="555">
        <f t="shared" si="48"/>
        <v>0</v>
      </c>
      <c r="AB134" s="500"/>
      <c r="AC134" s="500"/>
      <c r="AD134" s="500"/>
      <c r="AE134" s="500"/>
      <c r="AF134" s="500"/>
      <c r="AG134" s="555">
        <f t="shared" si="62"/>
        <v>4971.375</v>
      </c>
      <c r="AH134" s="500"/>
      <c r="AI134" s="500"/>
      <c r="AJ134" s="555">
        <f t="shared" si="49"/>
        <v>0</v>
      </c>
      <c r="AK134" s="535"/>
      <c r="AL134" s="416"/>
      <c r="AM134" s="416"/>
      <c r="AN134" s="416"/>
      <c r="AO134" s="416"/>
      <c r="AP134" s="416"/>
      <c r="AQ134" s="573">
        <f t="shared" si="60"/>
        <v>662.85000000000036</v>
      </c>
      <c r="AR134" s="416"/>
      <c r="AS134" s="416"/>
      <c r="AT134" s="416"/>
      <c r="AU134" s="416"/>
      <c r="AV134" s="416"/>
      <c r="AW134" s="416"/>
      <c r="AX134" s="416"/>
      <c r="AY134" s="416"/>
      <c r="AZ134" s="416"/>
      <c r="BA134" s="416"/>
      <c r="BB134" s="416"/>
      <c r="BC134" s="416"/>
      <c r="BD134" s="416"/>
      <c r="BE134" s="416"/>
      <c r="BF134" s="416"/>
    </row>
    <row r="135" spans="1:58" ht="12" customHeight="1">
      <c r="A135" s="495"/>
      <c r="B135" s="509" t="s">
        <v>411</v>
      </c>
      <c r="C135" s="509"/>
      <c r="D135" s="496">
        <v>39447</v>
      </c>
      <c r="E135" s="445"/>
      <c r="F135" s="451" t="s">
        <v>406</v>
      </c>
      <c r="G135" s="452">
        <v>15</v>
      </c>
      <c r="H135" s="445"/>
      <c r="I135" s="453">
        <v>18032</v>
      </c>
      <c r="J135" s="596">
        <v>100</v>
      </c>
      <c r="K135" s="596">
        <v>0</v>
      </c>
      <c r="L135"/>
      <c r="M135" s="497">
        <v>7813.8666666666668</v>
      </c>
      <c r="N135" s="548">
        <f t="shared" si="47"/>
        <v>1202.1333333333332</v>
      </c>
      <c r="O135" s="547">
        <f t="shared" si="45"/>
        <v>9016</v>
      </c>
      <c r="P135" s="566">
        <f t="shared" si="46"/>
        <v>9016</v>
      </c>
      <c r="Q135" s="519"/>
      <c r="R135" s="499"/>
      <c r="S135" s="542"/>
      <c r="T135" s="500"/>
      <c r="U135" s="500"/>
      <c r="V135" s="500"/>
      <c r="W135" s="555">
        <f t="shared" si="58"/>
        <v>18032</v>
      </c>
      <c r="X135" s="500"/>
      <c r="Y135" s="500"/>
      <c r="Z135" s="555">
        <f t="shared" si="48"/>
        <v>0</v>
      </c>
      <c r="AB135" s="500"/>
      <c r="AC135" s="500"/>
      <c r="AD135" s="500"/>
      <c r="AE135" s="500"/>
      <c r="AF135" s="500"/>
      <c r="AG135" s="555">
        <f t="shared" si="62"/>
        <v>9016</v>
      </c>
      <c r="AH135" s="500"/>
      <c r="AI135" s="500"/>
      <c r="AJ135" s="555">
        <f t="shared" si="49"/>
        <v>0</v>
      </c>
      <c r="AK135" s="535"/>
      <c r="AL135" s="416"/>
      <c r="AM135" s="416"/>
      <c r="AN135" s="416"/>
      <c r="AO135" s="416"/>
      <c r="AP135" s="416"/>
      <c r="AQ135" s="573">
        <f t="shared" si="60"/>
        <v>1202.1333333333332</v>
      </c>
      <c r="AR135" s="416"/>
      <c r="AS135" s="416"/>
      <c r="AT135" s="416"/>
      <c r="AU135" s="416"/>
      <c r="AV135" s="416"/>
      <c r="AW135" s="416"/>
      <c r="AX135" s="416"/>
      <c r="AY135" s="416"/>
      <c r="AZ135" s="416"/>
      <c r="BA135" s="416"/>
      <c r="BB135" s="416"/>
      <c r="BC135" s="416"/>
      <c r="BD135" s="416"/>
      <c r="BE135" s="416"/>
      <c r="BF135" s="416"/>
    </row>
    <row r="136" spans="1:58" ht="12" customHeight="1">
      <c r="A136" s="495"/>
      <c r="B136" s="509" t="s">
        <v>412</v>
      </c>
      <c r="C136" s="509"/>
      <c r="D136" s="496">
        <v>39447</v>
      </c>
      <c r="E136" s="445"/>
      <c r="F136" s="451" t="s">
        <v>406</v>
      </c>
      <c r="G136" s="452">
        <v>15</v>
      </c>
      <c r="H136" s="445"/>
      <c r="I136" s="453">
        <v>5975</v>
      </c>
      <c r="J136" s="596">
        <v>100</v>
      </c>
      <c r="K136" s="596">
        <v>0</v>
      </c>
      <c r="L136"/>
      <c r="M136" s="497">
        <v>2589.1666666666665</v>
      </c>
      <c r="N136" s="548">
        <f t="shared" si="47"/>
        <v>398.33333333333348</v>
      </c>
      <c r="O136" s="547">
        <f t="shared" si="45"/>
        <v>2987.5</v>
      </c>
      <c r="P136" s="566">
        <f t="shared" si="46"/>
        <v>2987.5</v>
      </c>
      <c r="Q136" s="519"/>
      <c r="R136" s="499"/>
      <c r="S136" s="542"/>
      <c r="T136" s="500"/>
      <c r="U136" s="500"/>
      <c r="V136" s="500"/>
      <c r="W136" s="555">
        <f t="shared" si="58"/>
        <v>5975</v>
      </c>
      <c r="X136" s="500"/>
      <c r="Y136" s="500"/>
      <c r="Z136" s="555">
        <f t="shared" si="48"/>
        <v>0</v>
      </c>
      <c r="AB136" s="500"/>
      <c r="AC136" s="500"/>
      <c r="AD136" s="500"/>
      <c r="AE136" s="500"/>
      <c r="AF136" s="500"/>
      <c r="AG136" s="505">
        <f>O136</f>
        <v>2987.5</v>
      </c>
      <c r="AH136" s="500"/>
      <c r="AI136" s="500"/>
      <c r="AJ136" s="555">
        <f t="shared" si="49"/>
        <v>0</v>
      </c>
      <c r="AK136" s="535"/>
      <c r="AL136" s="416"/>
      <c r="AM136" s="416"/>
      <c r="AN136" s="416"/>
      <c r="AO136" s="416"/>
      <c r="AP136" s="416"/>
      <c r="AQ136" s="573">
        <f t="shared" si="60"/>
        <v>398.33333333333348</v>
      </c>
      <c r="AR136" s="416"/>
      <c r="AS136" s="416"/>
      <c r="AT136" s="416"/>
      <c r="AU136" s="416"/>
      <c r="AV136" s="416"/>
      <c r="AW136" s="416"/>
      <c r="AX136" s="416"/>
      <c r="AY136" s="416"/>
      <c r="AZ136" s="416"/>
      <c r="BA136" s="416"/>
      <c r="BB136" s="416"/>
      <c r="BC136" s="416"/>
      <c r="BD136" s="416"/>
      <c r="BE136" s="416"/>
      <c r="BF136" s="416"/>
    </row>
    <row r="137" spans="1:58" ht="12" customHeight="1">
      <c r="A137" s="495"/>
      <c r="B137" s="509" t="s">
        <v>413</v>
      </c>
      <c r="C137" s="509"/>
      <c r="D137" s="496">
        <v>39447</v>
      </c>
      <c r="E137" s="445"/>
      <c r="F137" s="451" t="s">
        <v>406</v>
      </c>
      <c r="G137" s="452">
        <v>20</v>
      </c>
      <c r="H137" s="445"/>
      <c r="I137" s="453">
        <v>1991417</v>
      </c>
      <c r="J137" s="596">
        <v>100</v>
      </c>
      <c r="K137" s="596">
        <v>0</v>
      </c>
      <c r="L137"/>
      <c r="M137" s="497">
        <v>647210.52500000002</v>
      </c>
      <c r="N137" s="548">
        <f t="shared" si="47"/>
        <v>99570.849999999977</v>
      </c>
      <c r="O137" s="547">
        <f t="shared" si="45"/>
        <v>746781.375</v>
      </c>
      <c r="P137" s="566">
        <f t="shared" si="46"/>
        <v>1244635.625</v>
      </c>
      <c r="Q137" s="519"/>
      <c r="R137" s="499"/>
      <c r="S137" s="542"/>
      <c r="T137" s="500"/>
      <c r="U137" s="500"/>
      <c r="V137" s="500"/>
      <c r="W137" s="555">
        <f t="shared" si="58"/>
        <v>1991417</v>
      </c>
      <c r="X137" s="500"/>
      <c r="Y137" s="500"/>
      <c r="Z137" s="555">
        <f t="shared" si="48"/>
        <v>0</v>
      </c>
      <c r="AB137" s="500"/>
      <c r="AC137" s="500"/>
      <c r="AD137" s="500"/>
      <c r="AE137" s="500"/>
      <c r="AF137" s="500"/>
      <c r="AG137" s="555">
        <f t="shared" ref="AG137:AG147" si="63">O137</f>
        <v>746781.375</v>
      </c>
      <c r="AH137" s="500"/>
      <c r="AI137" s="500"/>
      <c r="AJ137" s="555">
        <f t="shared" si="49"/>
        <v>0</v>
      </c>
      <c r="AK137" s="535"/>
      <c r="AL137" s="416"/>
      <c r="AM137" s="416"/>
      <c r="AN137" s="416"/>
      <c r="AO137" s="416"/>
      <c r="AP137" s="416"/>
      <c r="AQ137" s="573">
        <f t="shared" si="60"/>
        <v>99570.849999999977</v>
      </c>
      <c r="AR137" s="416"/>
      <c r="AS137" s="416"/>
      <c r="AT137" s="416"/>
      <c r="AU137" s="416"/>
      <c r="AV137" s="416"/>
      <c r="AW137" s="416"/>
      <c r="AX137" s="416"/>
      <c r="AY137" s="416"/>
      <c r="AZ137" s="416"/>
      <c r="BA137" s="416"/>
      <c r="BB137" s="416"/>
      <c r="BC137" s="416"/>
      <c r="BD137" s="416"/>
      <c r="BE137" s="416"/>
      <c r="BF137" s="416"/>
    </row>
    <row r="138" spans="1:58" ht="12" customHeight="1">
      <c r="A138" s="495"/>
      <c r="B138" s="509" t="s">
        <v>410</v>
      </c>
      <c r="C138" s="509"/>
      <c r="D138" s="496">
        <v>39813</v>
      </c>
      <c r="E138" s="445"/>
      <c r="F138" s="451" t="s">
        <v>406</v>
      </c>
      <c r="G138" s="452">
        <v>20</v>
      </c>
      <c r="H138" s="445"/>
      <c r="I138" s="453">
        <v>17762</v>
      </c>
      <c r="J138" s="596">
        <v>100</v>
      </c>
      <c r="K138" s="596">
        <v>0</v>
      </c>
      <c r="L138"/>
      <c r="M138" s="497">
        <v>4440.5</v>
      </c>
      <c r="N138" s="548">
        <f t="shared" si="47"/>
        <v>888.10000000000036</v>
      </c>
      <c r="O138" s="547">
        <f t="shared" si="45"/>
        <v>5328.6</v>
      </c>
      <c r="P138" s="566">
        <f t="shared" si="46"/>
        <v>12433.4</v>
      </c>
      <c r="Q138" s="520"/>
      <c r="R138" s="499"/>
      <c r="S138" s="542"/>
      <c r="T138" s="500"/>
      <c r="U138" s="500"/>
      <c r="V138" s="500"/>
      <c r="W138" s="555">
        <f t="shared" si="58"/>
        <v>17762</v>
      </c>
      <c r="X138" s="500"/>
      <c r="Y138" s="500"/>
      <c r="Z138" s="555">
        <f t="shared" si="48"/>
        <v>0</v>
      </c>
      <c r="AB138" s="500"/>
      <c r="AC138" s="500"/>
      <c r="AD138" s="500"/>
      <c r="AE138" s="500"/>
      <c r="AF138" s="500"/>
      <c r="AG138" s="555">
        <f t="shared" si="63"/>
        <v>5328.6</v>
      </c>
      <c r="AH138" s="500"/>
      <c r="AI138" s="500"/>
      <c r="AJ138" s="555">
        <f t="shared" si="49"/>
        <v>0</v>
      </c>
      <c r="AK138" s="535"/>
      <c r="AL138" s="416"/>
      <c r="AM138" s="416"/>
      <c r="AN138" s="416"/>
      <c r="AO138" s="416"/>
      <c r="AP138" s="416"/>
      <c r="AQ138" s="573">
        <f t="shared" si="60"/>
        <v>888.10000000000036</v>
      </c>
      <c r="AR138" s="416"/>
      <c r="AS138" s="416"/>
      <c r="AT138" s="416"/>
      <c r="AU138" s="416"/>
      <c r="AV138" s="416"/>
      <c r="AW138" s="416"/>
      <c r="AX138" s="416"/>
      <c r="AY138" s="416"/>
      <c r="AZ138" s="416"/>
      <c r="BA138" s="416"/>
      <c r="BB138" s="416"/>
      <c r="BC138" s="416"/>
      <c r="BD138" s="416"/>
      <c r="BE138" s="416"/>
      <c r="BF138" s="416"/>
    </row>
    <row r="139" spans="1:58" ht="12" customHeight="1">
      <c r="A139" s="502"/>
      <c r="B139" s="450" t="s">
        <v>752</v>
      </c>
      <c r="C139" s="450"/>
      <c r="D139" s="496">
        <v>40441</v>
      </c>
      <c r="E139" s="445"/>
      <c r="F139" s="451" t="s">
        <v>406</v>
      </c>
      <c r="G139" s="452">
        <v>15</v>
      </c>
      <c r="H139" s="445"/>
      <c r="I139" s="453">
        <v>11467</v>
      </c>
      <c r="J139" s="596">
        <v>100</v>
      </c>
      <c r="K139" s="596">
        <v>0</v>
      </c>
      <c r="L139"/>
      <c r="M139" s="453">
        <v>3057.8666666666668</v>
      </c>
      <c r="N139" s="548">
        <f t="shared" si="47"/>
        <v>764.4666666666667</v>
      </c>
      <c r="O139" s="547">
        <f t="shared" si="45"/>
        <v>3822.3333333333335</v>
      </c>
      <c r="P139" s="566">
        <f t="shared" si="46"/>
        <v>7644.6666666666661</v>
      </c>
      <c r="Q139" s="520"/>
      <c r="R139" s="499"/>
      <c r="S139" s="542"/>
      <c r="T139" s="500"/>
      <c r="U139" s="500"/>
      <c r="V139" s="500"/>
      <c r="W139" s="555">
        <f t="shared" si="58"/>
        <v>11467</v>
      </c>
      <c r="X139" s="500"/>
      <c r="Y139" s="500"/>
      <c r="Z139" s="555">
        <f t="shared" si="48"/>
        <v>0</v>
      </c>
      <c r="AB139" s="500"/>
      <c r="AC139" s="500"/>
      <c r="AD139" s="500"/>
      <c r="AE139" s="500"/>
      <c r="AF139" s="500"/>
      <c r="AG139" s="555">
        <f t="shared" si="63"/>
        <v>3822.3333333333335</v>
      </c>
      <c r="AH139" s="500"/>
      <c r="AI139" s="500"/>
      <c r="AJ139" s="555">
        <f t="shared" si="49"/>
        <v>0</v>
      </c>
      <c r="AK139" s="535"/>
      <c r="AL139" s="416"/>
      <c r="AM139" s="416"/>
      <c r="AN139" s="416"/>
      <c r="AO139" s="416"/>
      <c r="AP139" s="416"/>
      <c r="AQ139" s="573">
        <f t="shared" si="60"/>
        <v>764.4666666666667</v>
      </c>
      <c r="AR139" s="416"/>
      <c r="AS139" s="416"/>
      <c r="AT139" s="416"/>
      <c r="AU139" s="416"/>
      <c r="AV139" s="416"/>
      <c r="AW139" s="416"/>
      <c r="AX139" s="416"/>
      <c r="AY139" s="416"/>
      <c r="AZ139" s="416"/>
      <c r="BA139" s="416"/>
      <c r="BB139" s="416"/>
      <c r="BC139" s="416"/>
      <c r="BD139" s="416"/>
      <c r="BE139" s="416"/>
      <c r="BF139" s="416"/>
    </row>
    <row r="140" spans="1:58" ht="12" customHeight="1">
      <c r="A140" s="502"/>
      <c r="B140" s="450" t="s">
        <v>764</v>
      </c>
      <c r="C140" s="450"/>
      <c r="D140" s="496">
        <v>40709</v>
      </c>
      <c r="E140" s="445"/>
      <c r="F140" s="451" t="s">
        <v>406</v>
      </c>
      <c r="G140" s="452">
        <v>40</v>
      </c>
      <c r="H140" s="445"/>
      <c r="I140" s="453">
        <v>33650</v>
      </c>
      <c r="J140" s="596">
        <v>100</v>
      </c>
      <c r="K140" s="596">
        <v>0</v>
      </c>
      <c r="L140"/>
      <c r="M140" s="453">
        <v>2103.125</v>
      </c>
      <c r="N140" s="548">
        <f t="shared" si="47"/>
        <v>841.25</v>
      </c>
      <c r="O140" s="547">
        <f t="shared" si="45"/>
        <v>2944.375</v>
      </c>
      <c r="P140" s="566">
        <f t="shared" si="46"/>
        <v>30705.625</v>
      </c>
      <c r="Q140" s="520"/>
      <c r="R140" s="499"/>
      <c r="S140" s="542"/>
      <c r="T140" s="500"/>
      <c r="U140" s="500"/>
      <c r="V140" s="500"/>
      <c r="W140" s="555">
        <f t="shared" si="58"/>
        <v>33650</v>
      </c>
      <c r="X140" s="500"/>
      <c r="Y140" s="500"/>
      <c r="Z140" s="555">
        <f t="shared" si="48"/>
        <v>0</v>
      </c>
      <c r="AB140" s="500"/>
      <c r="AC140" s="500"/>
      <c r="AD140" s="500"/>
      <c r="AE140" s="500"/>
      <c r="AF140" s="500"/>
      <c r="AG140" s="555">
        <f t="shared" si="63"/>
        <v>2944.375</v>
      </c>
      <c r="AH140" s="500"/>
      <c r="AI140" s="500"/>
      <c r="AJ140" s="555">
        <f t="shared" si="49"/>
        <v>0</v>
      </c>
      <c r="AK140" s="535"/>
      <c r="AL140" s="416"/>
      <c r="AM140" s="416"/>
      <c r="AN140" s="416"/>
      <c r="AO140" s="416"/>
      <c r="AP140" s="416"/>
      <c r="AQ140" s="573">
        <f t="shared" si="60"/>
        <v>841.25</v>
      </c>
      <c r="AR140" s="416"/>
      <c r="AS140" s="416"/>
      <c r="AT140" s="416"/>
      <c r="AU140" s="416"/>
      <c r="AV140" s="416"/>
      <c r="AW140" s="416"/>
      <c r="AX140" s="416"/>
      <c r="AY140" s="416"/>
      <c r="AZ140" s="416"/>
      <c r="BA140" s="416"/>
      <c r="BB140" s="416"/>
      <c r="BC140" s="416"/>
      <c r="BD140" s="416"/>
      <c r="BE140" s="416"/>
      <c r="BF140" s="416"/>
    </row>
    <row r="141" spans="1:58" ht="12" customHeight="1">
      <c r="A141" s="502"/>
      <c r="B141" s="450" t="s">
        <v>765</v>
      </c>
      <c r="C141" s="450"/>
      <c r="D141" s="496">
        <v>40617</v>
      </c>
      <c r="E141" s="445"/>
      <c r="F141" s="451" t="s">
        <v>406</v>
      </c>
      <c r="G141" s="452">
        <v>40</v>
      </c>
      <c r="H141" s="445"/>
      <c r="I141" s="453">
        <v>669272</v>
      </c>
      <c r="J141" s="596">
        <v>100</v>
      </c>
      <c r="K141" s="596">
        <v>0</v>
      </c>
      <c r="L141"/>
      <c r="M141" s="453">
        <v>41829.5</v>
      </c>
      <c r="N141" s="548">
        <f t="shared" si="47"/>
        <v>16731.800000000003</v>
      </c>
      <c r="O141" s="547">
        <f t="shared" si="45"/>
        <v>58561.3</v>
      </c>
      <c r="P141" s="566">
        <f t="shared" si="46"/>
        <v>610710.69999999995</v>
      </c>
      <c r="Q141" s="520"/>
      <c r="R141" s="499"/>
      <c r="S141" s="542"/>
      <c r="T141" s="500"/>
      <c r="U141" s="500"/>
      <c r="V141" s="500"/>
      <c r="W141" s="555">
        <f t="shared" si="58"/>
        <v>669272</v>
      </c>
      <c r="X141" s="500"/>
      <c r="Y141" s="500"/>
      <c r="Z141" s="555">
        <f t="shared" si="48"/>
        <v>0</v>
      </c>
      <c r="AB141" s="500"/>
      <c r="AC141" s="500"/>
      <c r="AD141" s="500"/>
      <c r="AE141" s="500"/>
      <c r="AF141" s="500"/>
      <c r="AG141" s="555">
        <f t="shared" si="63"/>
        <v>58561.3</v>
      </c>
      <c r="AH141" s="500"/>
      <c r="AI141" s="500"/>
      <c r="AJ141" s="555">
        <f t="shared" si="49"/>
        <v>0</v>
      </c>
      <c r="AK141" s="535"/>
      <c r="AL141" s="416"/>
      <c r="AM141" s="416"/>
      <c r="AN141" s="416"/>
      <c r="AO141" s="416"/>
      <c r="AP141" s="416"/>
      <c r="AQ141" s="573">
        <f t="shared" si="60"/>
        <v>16731.800000000003</v>
      </c>
      <c r="AR141" s="416"/>
      <c r="AS141" s="416"/>
      <c r="AT141" s="416"/>
      <c r="AU141" s="416"/>
      <c r="AV141" s="416"/>
      <c r="AW141" s="416"/>
      <c r="AX141" s="416"/>
      <c r="AY141" s="416"/>
      <c r="AZ141" s="416"/>
      <c r="BA141" s="416"/>
      <c r="BB141" s="416"/>
      <c r="BC141" s="416"/>
      <c r="BD141" s="416"/>
      <c r="BE141" s="416"/>
      <c r="BF141" s="416"/>
    </row>
    <row r="142" spans="1:58" s="571" customFormat="1" ht="12" customHeight="1">
      <c r="A142" s="502"/>
      <c r="B142" s="450" t="s">
        <v>770</v>
      </c>
      <c r="C142" s="450"/>
      <c r="D142" s="496">
        <v>41218</v>
      </c>
      <c r="F142" s="451" t="s">
        <v>406</v>
      </c>
      <c r="G142" s="596">
        <v>15</v>
      </c>
      <c r="I142" s="453">
        <v>9565.31</v>
      </c>
      <c r="J142" s="596">
        <v>100</v>
      </c>
      <c r="K142" s="596">
        <v>0</v>
      </c>
      <c r="M142" s="453">
        <v>743.96855555555555</v>
      </c>
      <c r="N142" s="566">
        <f t="shared" si="47"/>
        <v>637.68733333333341</v>
      </c>
      <c r="O142" s="547">
        <f t="shared" si="45"/>
        <v>1381.655888888889</v>
      </c>
      <c r="P142" s="566">
        <f t="shared" si="46"/>
        <v>8183.654111111111</v>
      </c>
      <c r="Q142" s="499"/>
      <c r="R142" s="499"/>
      <c r="S142" s="538"/>
      <c r="T142" s="457"/>
      <c r="U142" s="457"/>
      <c r="V142" s="457"/>
      <c r="W142" s="555">
        <f t="shared" si="58"/>
        <v>9565.31</v>
      </c>
      <c r="X142" s="457"/>
      <c r="Y142" s="457"/>
      <c r="Z142" s="555">
        <f t="shared" si="48"/>
        <v>0</v>
      </c>
      <c r="AB142" s="457"/>
      <c r="AC142" s="457"/>
      <c r="AD142" s="457"/>
      <c r="AE142" s="457"/>
      <c r="AF142" s="457"/>
      <c r="AG142" s="555">
        <f t="shared" si="63"/>
        <v>1381.655888888889</v>
      </c>
      <c r="AH142" s="457"/>
      <c r="AI142" s="457"/>
      <c r="AJ142" s="555">
        <f t="shared" si="49"/>
        <v>0</v>
      </c>
      <c r="AK142" s="535"/>
      <c r="AQ142" s="579">
        <f t="shared" si="60"/>
        <v>637.68733333333341</v>
      </c>
    </row>
    <row r="143" spans="1:58" s="571" customFormat="1" ht="12" customHeight="1">
      <c r="A143" s="502"/>
      <c r="B143" s="450" t="s">
        <v>771</v>
      </c>
      <c r="C143" s="450"/>
      <c r="D143" s="496">
        <v>41123</v>
      </c>
      <c r="F143" s="451" t="s">
        <v>406</v>
      </c>
      <c r="G143" s="596">
        <v>15</v>
      </c>
      <c r="I143" s="453">
        <v>11214</v>
      </c>
      <c r="J143" s="596">
        <v>100</v>
      </c>
      <c r="K143" s="596">
        <v>0</v>
      </c>
      <c r="M143" s="453">
        <v>1059.0999999999999</v>
      </c>
      <c r="N143" s="566">
        <f t="shared" si="47"/>
        <v>747.59999999999991</v>
      </c>
      <c r="O143" s="547">
        <f t="shared" si="45"/>
        <v>1806.6999999999998</v>
      </c>
      <c r="P143" s="566">
        <f t="shared" si="46"/>
        <v>9407.2999999999993</v>
      </c>
      <c r="Q143" s="499"/>
      <c r="R143" s="499"/>
      <c r="S143" s="538"/>
      <c r="T143" s="457"/>
      <c r="U143" s="457"/>
      <c r="V143" s="457"/>
      <c r="W143" s="555">
        <f t="shared" si="58"/>
        <v>11214</v>
      </c>
      <c r="X143" s="457"/>
      <c r="Y143" s="457"/>
      <c r="Z143" s="555">
        <f t="shared" si="48"/>
        <v>0</v>
      </c>
      <c r="AB143" s="457"/>
      <c r="AC143" s="457"/>
      <c r="AD143" s="457"/>
      <c r="AE143" s="457"/>
      <c r="AF143" s="457"/>
      <c r="AG143" s="555">
        <f t="shared" si="63"/>
        <v>1806.6999999999998</v>
      </c>
      <c r="AH143" s="457"/>
      <c r="AI143" s="457"/>
      <c r="AJ143" s="555">
        <f t="shared" si="49"/>
        <v>0</v>
      </c>
      <c r="AK143" s="535"/>
      <c r="AQ143" s="579">
        <f t="shared" si="60"/>
        <v>747.59999999999991</v>
      </c>
    </row>
    <row r="144" spans="1:58" s="571" customFormat="1" ht="12" customHeight="1">
      <c r="A144" s="502"/>
      <c r="B144" s="450" t="s">
        <v>772</v>
      </c>
      <c r="C144" s="450"/>
      <c r="D144" s="496">
        <v>41213</v>
      </c>
      <c r="F144" s="451" t="s">
        <v>406</v>
      </c>
      <c r="G144" s="596">
        <v>15</v>
      </c>
      <c r="I144" s="453">
        <v>18058</v>
      </c>
      <c r="J144" s="596">
        <v>100</v>
      </c>
      <c r="K144" s="596">
        <v>0</v>
      </c>
      <c r="M144" s="453">
        <v>1404.5111111111109</v>
      </c>
      <c r="N144" s="566">
        <f t="shared" si="47"/>
        <v>1203.8666666666668</v>
      </c>
      <c r="O144" s="547">
        <f t="shared" si="45"/>
        <v>2608.3777777777777</v>
      </c>
      <c r="P144" s="566">
        <f t="shared" si="46"/>
        <v>15449.622222222222</v>
      </c>
      <c r="Q144" s="499"/>
      <c r="R144" s="499"/>
      <c r="S144" s="538"/>
      <c r="T144" s="457"/>
      <c r="U144" s="457"/>
      <c r="V144" s="457"/>
      <c r="W144" s="555">
        <f t="shared" si="58"/>
        <v>18058</v>
      </c>
      <c r="X144" s="457"/>
      <c r="Y144" s="457"/>
      <c r="Z144" s="555">
        <f t="shared" si="48"/>
        <v>0</v>
      </c>
      <c r="AB144" s="457"/>
      <c r="AC144" s="457"/>
      <c r="AD144" s="457"/>
      <c r="AE144" s="457"/>
      <c r="AF144" s="457"/>
      <c r="AG144" s="555">
        <f t="shared" si="63"/>
        <v>2608.3777777777777</v>
      </c>
      <c r="AH144" s="457"/>
      <c r="AI144" s="457"/>
      <c r="AJ144" s="555">
        <f t="shared" si="49"/>
        <v>0</v>
      </c>
      <c r="AK144" s="535"/>
      <c r="AQ144" s="579">
        <f t="shared" si="60"/>
        <v>1203.8666666666668</v>
      </c>
    </row>
    <row r="145" spans="1:58" s="571" customFormat="1" ht="12" customHeight="1">
      <c r="A145" s="502"/>
      <c r="B145" s="450" t="s">
        <v>773</v>
      </c>
      <c r="C145" s="450"/>
      <c r="D145" s="496">
        <v>41123</v>
      </c>
      <c r="F145" s="451" t="s">
        <v>406</v>
      </c>
      <c r="G145" s="596">
        <v>15</v>
      </c>
      <c r="I145" s="453">
        <v>30337</v>
      </c>
      <c r="J145" s="596">
        <v>100</v>
      </c>
      <c r="K145" s="596">
        <v>0</v>
      </c>
      <c r="M145" s="453">
        <v>2865.161111111111</v>
      </c>
      <c r="N145" s="566">
        <f t="shared" si="47"/>
        <v>2022.4666666666667</v>
      </c>
      <c r="O145" s="547">
        <f t="shared" si="45"/>
        <v>4887.6277777777777</v>
      </c>
      <c r="P145" s="566">
        <f t="shared" si="46"/>
        <v>25449.37222222222</v>
      </c>
      <c r="Q145" s="499"/>
      <c r="R145" s="499"/>
      <c r="S145" s="538"/>
      <c r="T145" s="457"/>
      <c r="U145" s="457"/>
      <c r="V145" s="457"/>
      <c r="W145" s="555">
        <f t="shared" si="58"/>
        <v>30337</v>
      </c>
      <c r="X145" s="457"/>
      <c r="Y145" s="457"/>
      <c r="Z145" s="555">
        <f t="shared" si="48"/>
        <v>0</v>
      </c>
      <c r="AB145" s="457"/>
      <c r="AC145" s="457"/>
      <c r="AD145" s="457"/>
      <c r="AE145" s="457"/>
      <c r="AF145" s="457"/>
      <c r="AG145" s="555">
        <f t="shared" si="63"/>
        <v>4887.6277777777777</v>
      </c>
      <c r="AH145" s="457"/>
      <c r="AI145" s="457"/>
      <c r="AJ145" s="555">
        <f t="shared" si="49"/>
        <v>0</v>
      </c>
      <c r="AK145" s="535"/>
      <c r="AQ145" s="579">
        <f t="shared" si="60"/>
        <v>2022.4666666666667</v>
      </c>
    </row>
    <row r="146" spans="1:58" ht="12" customHeight="1">
      <c r="B146" s="450" t="s">
        <v>834</v>
      </c>
      <c r="C146" s="571"/>
      <c r="D146" s="668">
        <v>41617</v>
      </c>
      <c r="E146" s="571"/>
      <c r="F146" s="451" t="s">
        <v>406</v>
      </c>
      <c r="G146" s="665">
        <v>15</v>
      </c>
      <c r="H146" s="571"/>
      <c r="I146" s="453">
        <v>43890.98</v>
      </c>
      <c r="J146" s="665">
        <v>100</v>
      </c>
      <c r="K146" s="665">
        <v>0</v>
      </c>
      <c r="L146" s="579" t="s">
        <v>157</v>
      </c>
      <c r="M146" s="453">
        <v>243.83877777777778</v>
      </c>
      <c r="N146" s="566">
        <f t="shared" si="47"/>
        <v>2926.0653333333335</v>
      </c>
      <c r="O146" s="547">
        <f t="shared" si="45"/>
        <v>3169.9041111111114</v>
      </c>
      <c r="P146" s="566">
        <f t="shared" si="46"/>
        <v>40721.075888888889</v>
      </c>
      <c r="Q146" s="674" t="s">
        <v>157</v>
      </c>
      <c r="S146" s="535"/>
      <c r="T146" s="535"/>
      <c r="U146" s="535"/>
      <c r="V146" s="535"/>
      <c r="W146" s="555">
        <f t="shared" si="58"/>
        <v>43890.98</v>
      </c>
      <c r="X146" s="535"/>
      <c r="Y146" s="535"/>
      <c r="Z146" s="555">
        <f t="shared" si="48"/>
        <v>0</v>
      </c>
      <c r="AB146" s="535"/>
      <c r="AC146" s="535"/>
      <c r="AD146" s="535"/>
      <c r="AE146" s="535"/>
      <c r="AF146" s="535"/>
      <c r="AG146" s="555">
        <f t="shared" si="63"/>
        <v>3169.9041111111114</v>
      </c>
      <c r="AH146" s="535"/>
      <c r="AI146" s="535"/>
      <c r="AJ146" s="555">
        <f t="shared" si="49"/>
        <v>0</v>
      </c>
      <c r="AK146" s="535"/>
      <c r="AQ146" s="579">
        <f t="shared" si="60"/>
        <v>2926.0653333333335</v>
      </c>
    </row>
    <row r="147" spans="1:58" ht="12" customHeight="1">
      <c r="B147" s="450" t="s">
        <v>835</v>
      </c>
      <c r="C147" s="571"/>
      <c r="D147" s="668">
        <v>41639</v>
      </c>
      <c r="E147" s="571"/>
      <c r="F147" s="451" t="s">
        <v>406</v>
      </c>
      <c r="G147" s="665">
        <v>15</v>
      </c>
      <c r="H147" s="571"/>
      <c r="I147" s="669">
        <v>5029.6000000000004</v>
      </c>
      <c r="J147" s="670">
        <v>100</v>
      </c>
      <c r="K147" s="670">
        <v>0</v>
      </c>
      <c r="L147" s="571"/>
      <c r="M147" s="671">
        <v>0</v>
      </c>
      <c r="N147" s="566">
        <f t="shared" si="47"/>
        <v>335.30666666666667</v>
      </c>
      <c r="O147" s="547">
        <f t="shared" si="45"/>
        <v>335.30666666666667</v>
      </c>
      <c r="P147" s="566">
        <f t="shared" ref="P147" si="64">I147-O147</f>
        <v>4694.293333333334</v>
      </c>
      <c r="S147" s="535"/>
      <c r="T147" s="535"/>
      <c r="U147" s="535"/>
      <c r="V147" s="535"/>
      <c r="W147" s="555">
        <f t="shared" si="58"/>
        <v>5029.6000000000004</v>
      </c>
      <c r="X147" s="535"/>
      <c r="Y147" s="535"/>
      <c r="Z147" s="555">
        <f t="shared" si="48"/>
        <v>0</v>
      </c>
      <c r="AB147" s="535"/>
      <c r="AC147" s="535"/>
      <c r="AD147" s="535"/>
      <c r="AE147" s="535"/>
      <c r="AF147" s="535"/>
      <c r="AG147" s="555">
        <f t="shared" si="63"/>
        <v>335.30666666666667</v>
      </c>
      <c r="AH147" s="535"/>
      <c r="AI147" s="535"/>
      <c r="AJ147" s="555">
        <f t="shared" si="49"/>
        <v>0</v>
      </c>
      <c r="AK147" s="535"/>
      <c r="AQ147" s="579">
        <f t="shared" si="60"/>
        <v>335.30666666666667</v>
      </c>
    </row>
    <row r="148" spans="1:58" ht="12" customHeight="1">
      <c r="S148" s="540"/>
      <c r="T148" s="535"/>
      <c r="U148" s="535"/>
      <c r="V148" s="535"/>
      <c r="W148" s="535"/>
      <c r="X148" s="535"/>
      <c r="Y148" s="535"/>
      <c r="Z148" s="535"/>
      <c r="AB148" s="535"/>
      <c r="AC148" s="535"/>
      <c r="AD148" s="535"/>
      <c r="AE148" s="535"/>
      <c r="AF148" s="535"/>
      <c r="AG148" s="535"/>
      <c r="AH148" s="535"/>
      <c r="AI148" s="535"/>
      <c r="AJ148" s="535"/>
      <c r="AK148" s="535"/>
    </row>
    <row r="149" spans="1:58" ht="12" customHeight="1">
      <c r="B149" s="482"/>
      <c r="C149" s="482"/>
      <c r="D149" s="522"/>
      <c r="E149" s="501"/>
      <c r="F149" s="523"/>
      <c r="G149" s="482" t="s">
        <v>414</v>
      </c>
      <c r="H149" s="501"/>
      <c r="I149" s="483">
        <f>SUM(I28:I148)</f>
        <v>8638750.3900000006</v>
      </c>
      <c r="J149" s="524"/>
      <c r="K149" s="525"/>
      <c r="L149" t="s">
        <v>157</v>
      </c>
      <c r="M149" s="483">
        <v>5178465.4279603176</v>
      </c>
      <c r="N149" s="483">
        <f>SUM(N28:N148)</f>
        <v>249349.67376190476</v>
      </c>
      <c r="O149" s="483">
        <f>SUM(O28:O148)</f>
        <v>5427815.1017222218</v>
      </c>
      <c r="P149" s="483">
        <f>SUM(P28:P148)</f>
        <v>3210935.2882777778</v>
      </c>
      <c r="Q149" s="510"/>
      <c r="R149" s="510"/>
      <c r="S149" s="543">
        <f>SUM(S28:S148)</f>
        <v>3318517.355</v>
      </c>
      <c r="T149" s="500"/>
      <c r="U149" s="543">
        <f>SUM(U28:U148)</f>
        <v>449034.47000000003</v>
      </c>
      <c r="V149" s="500"/>
      <c r="W149" s="543">
        <f>SUM(W28:W148)</f>
        <v>4871198.5650000004</v>
      </c>
      <c r="X149" s="500"/>
      <c r="Y149" s="543">
        <f>SUM(Y28:Y148)</f>
        <v>0</v>
      </c>
      <c r="Z149" s="557">
        <f>SUM(S148:Y149)</f>
        <v>8638750.3900000006</v>
      </c>
      <c r="AB149" s="500"/>
      <c r="AC149" s="543">
        <f>SUM(AC28:AC148)</f>
        <v>2694214.4830000005</v>
      </c>
      <c r="AD149" s="500"/>
      <c r="AE149" s="543">
        <f>SUM(AE28:AE148)</f>
        <v>375098.94800000003</v>
      </c>
      <c r="AF149" s="500"/>
      <c r="AG149" s="543">
        <f>SUM(AG28:AG148)</f>
        <v>2358501.6707222224</v>
      </c>
      <c r="AH149" s="500"/>
      <c r="AI149" s="543">
        <f>SUM(AI28:AI148)</f>
        <v>0</v>
      </c>
      <c r="AJ149" s="555">
        <f>SUM(AC148:AI149)</f>
        <v>5427815.1017222228</v>
      </c>
      <c r="AK149" s="559">
        <f>O149-AJ149</f>
        <v>0</v>
      </c>
      <c r="AL149" s="416"/>
      <c r="AM149" s="543">
        <f>SUM(AM28:AM148)</f>
        <v>59160.480428571434</v>
      </c>
      <c r="AN149" s="554"/>
      <c r="AO149" s="543">
        <f>SUM(AO28:AO148)</f>
        <v>3696.7839999999997</v>
      </c>
      <c r="AP149" s="554"/>
      <c r="AQ149" s="543">
        <f>SUM(AQ28:AQ148)</f>
        <v>186492.40933333331</v>
      </c>
      <c r="AR149" s="554"/>
      <c r="AS149" s="543">
        <f>SUM(AS28:AS148)</f>
        <v>0</v>
      </c>
      <c r="AT149" s="555">
        <f>SUM(AM148:AS149)</f>
        <v>249349.67376190476</v>
      </c>
      <c r="AU149" s="416"/>
      <c r="AV149" s="416"/>
      <c r="AW149" s="416"/>
      <c r="AX149" s="416"/>
      <c r="AY149" s="416"/>
      <c r="AZ149" s="416"/>
      <c r="BA149" s="416"/>
      <c r="BB149" s="416"/>
      <c r="BC149" s="416"/>
      <c r="BD149" s="416"/>
      <c r="BE149" s="416"/>
      <c r="BF149" s="416"/>
    </row>
    <row r="150" spans="1:58" ht="12" customHeight="1">
      <c r="A150" s="526" t="s">
        <v>148</v>
      </c>
      <c r="B150" s="450"/>
      <c r="C150" s="450"/>
      <c r="D150" s="451"/>
      <c r="E150" s="450"/>
      <c r="F150" s="451"/>
      <c r="G150" s="452"/>
      <c r="H150" s="450"/>
      <c r="I150" s="514"/>
      <c r="J150" s="452"/>
      <c r="K150" s="452"/>
      <c r="L150" s="452"/>
      <c r="M150" s="453"/>
      <c r="N150" s="453"/>
      <c r="O150" s="453"/>
      <c r="P150" s="453"/>
      <c r="Q150" s="450"/>
      <c r="R150" s="445"/>
      <c r="S150" s="542"/>
      <c r="T150" s="500"/>
      <c r="U150" s="500"/>
      <c r="V150" s="500"/>
      <c r="W150" s="500"/>
      <c r="X150" s="500"/>
      <c r="Y150" s="500"/>
      <c r="Z150" s="555">
        <f>I149-Z149</f>
        <v>0</v>
      </c>
      <c r="AB150" s="500"/>
      <c r="AC150" s="500"/>
      <c r="AD150" s="500"/>
      <c r="AE150" s="500"/>
      <c r="AF150" s="500"/>
      <c r="AG150" s="500"/>
      <c r="AH150" s="500"/>
      <c r="AI150" s="500"/>
      <c r="AJ150" s="554"/>
      <c r="AK150" s="535"/>
      <c r="AL150" s="416"/>
      <c r="AM150" s="416"/>
      <c r="AN150" s="416"/>
      <c r="AO150" s="416"/>
      <c r="AP150" s="416"/>
      <c r="AQ150" s="416"/>
      <c r="AR150" s="416"/>
      <c r="AS150" s="416"/>
      <c r="AT150" s="416"/>
      <c r="AU150" s="416"/>
      <c r="AV150" s="416"/>
      <c r="AW150" s="416"/>
      <c r="AX150" s="416"/>
      <c r="AY150" s="416"/>
      <c r="AZ150" s="416"/>
      <c r="BA150" s="416"/>
      <c r="BB150" s="416"/>
      <c r="BC150" s="416"/>
      <c r="BD150" s="416"/>
      <c r="BE150" s="416"/>
      <c r="BF150" s="416"/>
    </row>
    <row r="151" spans="1:58" ht="12" customHeight="1">
      <c r="A151" s="495">
        <v>220</v>
      </c>
      <c r="B151" s="509" t="s">
        <v>124</v>
      </c>
      <c r="C151" s="509"/>
      <c r="D151" s="496">
        <v>27395</v>
      </c>
      <c r="E151" s="445"/>
      <c r="F151" s="451" t="s">
        <v>406</v>
      </c>
      <c r="G151" s="452">
        <v>20</v>
      </c>
      <c r="H151" s="445"/>
      <c r="I151" s="453">
        <v>29495.78</v>
      </c>
      <c r="J151" s="452">
        <v>100</v>
      </c>
      <c r="K151" s="452">
        <v>0</v>
      </c>
      <c r="L151"/>
      <c r="M151" s="497">
        <v>29495.78</v>
      </c>
      <c r="N151" s="481">
        <f>O151-M151</f>
        <v>0</v>
      </c>
      <c r="O151" s="547">
        <f t="shared" ref="O151:O180" si="65">IF(ABS(M151)&lt;ABS(I151),IF(M151+I151/G151&gt;I151,I151,M151+I151/G151),I151)</f>
        <v>29495.78</v>
      </c>
      <c r="P151" s="566">
        <f t="shared" ref="P151:P180" si="66">I151-O151</f>
        <v>0</v>
      </c>
      <c r="Q151" s="499"/>
      <c r="R151" s="499"/>
      <c r="S151" s="542"/>
      <c r="T151" s="500"/>
      <c r="U151" s="500"/>
      <c r="V151" s="500"/>
      <c r="W151" s="500"/>
      <c r="X151" s="500"/>
      <c r="Y151" s="505">
        <f>I151</f>
        <v>29495.78</v>
      </c>
      <c r="Z151" s="500"/>
      <c r="AB151" s="500"/>
      <c r="AC151" s="500"/>
      <c r="AD151" s="500"/>
      <c r="AE151" s="500"/>
      <c r="AF151" s="500"/>
      <c r="AG151" s="500"/>
      <c r="AH151" s="500"/>
      <c r="AI151" s="505">
        <f>O151</f>
        <v>29495.78</v>
      </c>
      <c r="AJ151" s="555">
        <f t="shared" ref="AJ151:AJ180" si="67">SUM(AC151:AI151)-O151</f>
        <v>0</v>
      </c>
      <c r="AK151" s="535"/>
      <c r="AL151" s="416"/>
      <c r="AM151" s="416"/>
      <c r="AN151" s="416"/>
      <c r="AO151" s="416"/>
      <c r="AP151" s="416"/>
      <c r="AQ151" s="416"/>
      <c r="AR151" s="416"/>
      <c r="AS151" s="573">
        <f>N151</f>
        <v>0</v>
      </c>
      <c r="AT151" s="416"/>
      <c r="AU151" s="416"/>
      <c r="AV151" s="416"/>
      <c r="AW151" s="416"/>
      <c r="AX151" s="416"/>
      <c r="AY151" s="416"/>
      <c r="AZ151" s="416"/>
      <c r="BA151" s="416"/>
      <c r="BB151" s="416"/>
      <c r="BC151" s="416"/>
      <c r="BD151" s="416"/>
      <c r="BE151" s="416"/>
      <c r="BF151" s="416"/>
    </row>
    <row r="152" spans="1:58" ht="12" customHeight="1">
      <c r="A152" s="495">
        <v>221</v>
      </c>
      <c r="B152" s="509" t="s">
        <v>125</v>
      </c>
      <c r="C152" s="509"/>
      <c r="D152" s="496">
        <v>27395</v>
      </c>
      <c r="E152" s="445"/>
      <c r="F152" s="451" t="s">
        <v>406</v>
      </c>
      <c r="G152" s="452">
        <v>5</v>
      </c>
      <c r="H152" s="445"/>
      <c r="I152" s="453">
        <v>11951.74</v>
      </c>
      <c r="J152" s="452">
        <v>100</v>
      </c>
      <c r="K152" s="452">
        <v>0</v>
      </c>
      <c r="L152"/>
      <c r="M152" s="497">
        <v>11951.74</v>
      </c>
      <c r="N152" s="566">
        <f t="shared" ref="N152:N180" si="68">O152-M152</f>
        <v>0</v>
      </c>
      <c r="O152" s="547">
        <f t="shared" si="65"/>
        <v>11951.74</v>
      </c>
      <c r="P152" s="566">
        <f t="shared" si="66"/>
        <v>0</v>
      </c>
      <c r="Q152" s="499"/>
      <c r="R152" s="499"/>
      <c r="S152" s="542"/>
      <c r="T152" s="500"/>
      <c r="U152" s="500"/>
      <c r="V152" s="500"/>
      <c r="W152" s="500"/>
      <c r="X152" s="500"/>
      <c r="Y152" s="555">
        <f t="shared" ref="Y152:Y173" si="69">I152</f>
        <v>11951.74</v>
      </c>
      <c r="Z152" s="500"/>
      <c r="AB152" s="500"/>
      <c r="AC152" s="500"/>
      <c r="AD152" s="500"/>
      <c r="AE152" s="500"/>
      <c r="AF152" s="500"/>
      <c r="AG152" s="500"/>
      <c r="AH152" s="500"/>
      <c r="AI152" s="555">
        <f t="shared" ref="AI152:AI173" si="70">O152</f>
        <v>11951.74</v>
      </c>
      <c r="AJ152" s="555">
        <f t="shared" si="67"/>
        <v>0</v>
      </c>
      <c r="AK152" s="535"/>
      <c r="AL152" s="416"/>
      <c r="AM152" s="416"/>
      <c r="AN152" s="416"/>
      <c r="AO152" s="416"/>
      <c r="AP152" s="416"/>
      <c r="AQ152" s="416"/>
      <c r="AR152" s="416"/>
      <c r="AS152" s="573">
        <f t="shared" ref="AS152:AS173" si="71">N152</f>
        <v>0</v>
      </c>
      <c r="AT152" s="416"/>
      <c r="AU152" s="416"/>
      <c r="AV152" s="416"/>
      <c r="AW152" s="416"/>
      <c r="AX152" s="416"/>
      <c r="AY152" s="416"/>
      <c r="AZ152" s="416"/>
      <c r="BA152" s="416"/>
      <c r="BB152" s="416"/>
      <c r="BC152" s="416"/>
      <c r="BD152" s="416"/>
      <c r="BE152" s="416"/>
      <c r="BF152" s="416"/>
    </row>
    <row r="153" spans="1:58" ht="12" customHeight="1">
      <c r="A153" s="495">
        <v>222</v>
      </c>
      <c r="B153" s="509" t="s">
        <v>126</v>
      </c>
      <c r="C153" s="509"/>
      <c r="D153" s="496">
        <v>27395</v>
      </c>
      <c r="E153" s="445"/>
      <c r="F153" s="451" t="s">
        <v>406</v>
      </c>
      <c r="G153" s="452">
        <v>20</v>
      </c>
      <c r="H153" s="445"/>
      <c r="I153" s="453">
        <v>32012.53</v>
      </c>
      <c r="J153" s="452">
        <v>100</v>
      </c>
      <c r="K153" s="452">
        <v>0</v>
      </c>
      <c r="L153"/>
      <c r="M153" s="497">
        <v>32012.53</v>
      </c>
      <c r="N153" s="566">
        <f t="shared" si="68"/>
        <v>0</v>
      </c>
      <c r="O153" s="547">
        <f t="shared" si="65"/>
        <v>32012.53</v>
      </c>
      <c r="P153" s="566">
        <f t="shared" si="66"/>
        <v>0</v>
      </c>
      <c r="Q153" s="499"/>
      <c r="R153" s="499"/>
      <c r="S153" s="542"/>
      <c r="T153" s="500"/>
      <c r="U153" s="500"/>
      <c r="V153" s="500"/>
      <c r="W153" s="500"/>
      <c r="X153" s="500"/>
      <c r="Y153" s="555">
        <f t="shared" si="69"/>
        <v>32012.53</v>
      </c>
      <c r="Z153" s="500"/>
      <c r="AB153" s="500"/>
      <c r="AC153" s="500"/>
      <c r="AD153" s="500"/>
      <c r="AE153" s="500"/>
      <c r="AF153" s="500"/>
      <c r="AG153" s="500"/>
      <c r="AH153" s="500"/>
      <c r="AI153" s="555">
        <f t="shared" si="70"/>
        <v>32012.53</v>
      </c>
      <c r="AJ153" s="555">
        <f t="shared" si="67"/>
        <v>0</v>
      </c>
      <c r="AK153" s="535"/>
      <c r="AL153" s="416"/>
      <c r="AM153" s="416"/>
      <c r="AN153" s="416"/>
      <c r="AO153" s="416"/>
      <c r="AP153" s="416"/>
      <c r="AQ153" s="416"/>
      <c r="AR153" s="416"/>
      <c r="AS153" s="573">
        <f t="shared" si="71"/>
        <v>0</v>
      </c>
      <c r="AT153" s="416"/>
      <c r="AU153" s="416"/>
      <c r="AV153" s="416"/>
      <c r="AW153" s="416"/>
      <c r="AX153" s="416"/>
      <c r="AY153" s="416"/>
      <c r="AZ153" s="416"/>
      <c r="BA153" s="416"/>
      <c r="BB153" s="416"/>
      <c r="BC153" s="416"/>
      <c r="BD153" s="416"/>
      <c r="BE153" s="416"/>
      <c r="BF153" s="416"/>
    </row>
    <row r="154" spans="1:58" ht="12" customHeight="1">
      <c r="A154" s="495">
        <v>223</v>
      </c>
      <c r="B154" s="509" t="s">
        <v>126</v>
      </c>
      <c r="C154" s="509"/>
      <c r="D154" s="496">
        <v>30682</v>
      </c>
      <c r="E154" s="445"/>
      <c r="F154" s="451" t="s">
        <v>406</v>
      </c>
      <c r="G154" s="452">
        <v>20</v>
      </c>
      <c r="H154" s="445"/>
      <c r="I154" s="453">
        <v>73575</v>
      </c>
      <c r="J154" s="452">
        <v>100</v>
      </c>
      <c r="K154" s="452">
        <v>0</v>
      </c>
      <c r="L154"/>
      <c r="M154" s="497">
        <v>73575</v>
      </c>
      <c r="N154" s="566">
        <f t="shared" si="68"/>
        <v>0</v>
      </c>
      <c r="O154" s="547">
        <f t="shared" si="65"/>
        <v>73575</v>
      </c>
      <c r="P154" s="566">
        <f t="shared" si="66"/>
        <v>0</v>
      </c>
      <c r="Q154" s="499"/>
      <c r="R154" s="499"/>
      <c r="S154" s="542"/>
      <c r="T154" s="500"/>
      <c r="U154" s="500"/>
      <c r="V154" s="500"/>
      <c r="W154" s="500"/>
      <c r="X154" s="500"/>
      <c r="Y154" s="555">
        <f t="shared" si="69"/>
        <v>73575</v>
      </c>
      <c r="Z154" s="500"/>
      <c r="AB154" s="500"/>
      <c r="AC154" s="500"/>
      <c r="AD154" s="500"/>
      <c r="AE154" s="500"/>
      <c r="AF154" s="500"/>
      <c r="AG154" s="500"/>
      <c r="AH154" s="500"/>
      <c r="AI154" s="555">
        <f t="shared" si="70"/>
        <v>73575</v>
      </c>
      <c r="AJ154" s="555">
        <f t="shared" si="67"/>
        <v>0</v>
      </c>
      <c r="AK154" s="535"/>
      <c r="AL154" s="416"/>
      <c r="AM154" s="416"/>
      <c r="AN154" s="416"/>
      <c r="AO154" s="416"/>
      <c r="AP154" s="416"/>
      <c r="AQ154" s="416"/>
      <c r="AR154" s="416"/>
      <c r="AS154" s="573">
        <f t="shared" si="71"/>
        <v>0</v>
      </c>
      <c r="AT154" s="416"/>
      <c r="AU154" s="416"/>
      <c r="AV154" s="416"/>
      <c r="AW154" s="416"/>
      <c r="AX154" s="416"/>
      <c r="AY154" s="416"/>
      <c r="AZ154" s="416"/>
      <c r="BA154" s="416"/>
      <c r="BB154" s="416"/>
      <c r="BC154" s="416"/>
      <c r="BD154" s="416"/>
      <c r="BE154" s="416"/>
      <c r="BF154" s="416"/>
    </row>
    <row r="155" spans="1:58" ht="12" customHeight="1">
      <c r="A155" s="495">
        <v>225</v>
      </c>
      <c r="B155" s="509" t="s">
        <v>124</v>
      </c>
      <c r="C155" s="509"/>
      <c r="D155" s="496">
        <v>31048</v>
      </c>
      <c r="E155" s="445"/>
      <c r="F155" s="451" t="s">
        <v>406</v>
      </c>
      <c r="G155" s="452">
        <v>10</v>
      </c>
      <c r="H155" s="445"/>
      <c r="I155" s="453">
        <v>6000</v>
      </c>
      <c r="J155" s="452">
        <v>100</v>
      </c>
      <c r="K155" s="452">
        <v>0</v>
      </c>
      <c r="L155"/>
      <c r="M155" s="497">
        <v>6000</v>
      </c>
      <c r="N155" s="566">
        <f t="shared" si="68"/>
        <v>0</v>
      </c>
      <c r="O155" s="547">
        <f t="shared" si="65"/>
        <v>6000</v>
      </c>
      <c r="P155" s="566">
        <f t="shared" si="66"/>
        <v>0</v>
      </c>
      <c r="Q155" s="499"/>
      <c r="R155" s="499"/>
      <c r="S155" s="542"/>
      <c r="T155" s="500"/>
      <c r="U155" s="500"/>
      <c r="V155" s="500"/>
      <c r="W155" s="500"/>
      <c r="X155" s="500"/>
      <c r="Y155" s="555">
        <f t="shared" si="69"/>
        <v>6000</v>
      </c>
      <c r="Z155" s="500"/>
      <c r="AB155" s="500"/>
      <c r="AC155" s="500"/>
      <c r="AD155" s="500"/>
      <c r="AE155" s="500"/>
      <c r="AF155" s="500"/>
      <c r="AG155" s="500"/>
      <c r="AH155" s="500"/>
      <c r="AI155" s="555">
        <f t="shared" si="70"/>
        <v>6000</v>
      </c>
      <c r="AJ155" s="555">
        <f t="shared" si="67"/>
        <v>0</v>
      </c>
      <c r="AK155" s="535"/>
      <c r="AL155" s="416"/>
      <c r="AM155" s="416"/>
      <c r="AN155" s="416"/>
      <c r="AO155" s="416"/>
      <c r="AP155" s="416"/>
      <c r="AQ155" s="416"/>
      <c r="AR155" s="416"/>
      <c r="AS155" s="573">
        <f t="shared" si="71"/>
        <v>0</v>
      </c>
      <c r="AT155" s="416"/>
      <c r="AU155" s="416"/>
      <c r="AV155" s="416"/>
      <c r="AW155" s="416"/>
      <c r="AX155" s="416"/>
      <c r="AY155" s="416"/>
      <c r="AZ155" s="416"/>
      <c r="BA155" s="416"/>
      <c r="BB155" s="416"/>
      <c r="BC155" s="416"/>
      <c r="BD155" s="416"/>
      <c r="BE155" s="416"/>
      <c r="BF155" s="416"/>
    </row>
    <row r="156" spans="1:58" ht="12" customHeight="1">
      <c r="A156" s="495">
        <v>238</v>
      </c>
      <c r="B156" s="509" t="s">
        <v>127</v>
      </c>
      <c r="C156" s="509"/>
      <c r="D156" s="496">
        <v>31778</v>
      </c>
      <c r="E156" s="445"/>
      <c r="F156" s="451" t="s">
        <v>406</v>
      </c>
      <c r="G156" s="452">
        <v>5</v>
      </c>
      <c r="H156" s="445"/>
      <c r="I156" s="453">
        <v>6997.9</v>
      </c>
      <c r="J156" s="452">
        <v>100</v>
      </c>
      <c r="K156" s="452">
        <v>0</v>
      </c>
      <c r="L156"/>
      <c r="M156" s="497">
        <v>6997.9</v>
      </c>
      <c r="N156" s="566">
        <f t="shared" si="68"/>
        <v>0</v>
      </c>
      <c r="O156" s="547">
        <f t="shared" si="65"/>
        <v>6997.9</v>
      </c>
      <c r="P156" s="566">
        <f t="shared" si="66"/>
        <v>0</v>
      </c>
      <c r="Q156" s="499"/>
      <c r="R156" s="499"/>
      <c r="S156" s="542"/>
      <c r="T156" s="500"/>
      <c r="U156" s="500"/>
      <c r="V156" s="500"/>
      <c r="W156" s="500"/>
      <c r="X156" s="500"/>
      <c r="Y156" s="555">
        <f t="shared" si="69"/>
        <v>6997.9</v>
      </c>
      <c r="Z156" s="500"/>
      <c r="AB156" s="500"/>
      <c r="AC156" s="500"/>
      <c r="AD156" s="500"/>
      <c r="AE156" s="500"/>
      <c r="AF156" s="500"/>
      <c r="AG156" s="500"/>
      <c r="AH156" s="500"/>
      <c r="AI156" s="555">
        <f t="shared" si="70"/>
        <v>6997.9</v>
      </c>
      <c r="AJ156" s="555">
        <f t="shared" si="67"/>
        <v>0</v>
      </c>
      <c r="AK156" s="535"/>
      <c r="AL156" s="416"/>
      <c r="AM156" s="416"/>
      <c r="AN156" s="416"/>
      <c r="AO156" s="416"/>
      <c r="AP156" s="416"/>
      <c r="AQ156" s="416"/>
      <c r="AR156" s="416"/>
      <c r="AS156" s="573">
        <f t="shared" si="71"/>
        <v>0</v>
      </c>
      <c r="AT156" s="416"/>
      <c r="AU156" s="416"/>
      <c r="AV156" s="416"/>
      <c r="AW156" s="416"/>
      <c r="AX156" s="416"/>
      <c r="AY156" s="416"/>
      <c r="AZ156" s="416"/>
      <c r="BA156" s="416"/>
      <c r="BB156" s="416"/>
      <c r="BC156" s="416"/>
      <c r="BD156" s="416"/>
      <c r="BE156" s="416"/>
      <c r="BF156" s="416"/>
    </row>
    <row r="157" spans="1:58" ht="12" customHeight="1">
      <c r="A157" s="495">
        <v>247</v>
      </c>
      <c r="B157" s="450" t="s">
        <v>128</v>
      </c>
      <c r="C157" s="450"/>
      <c r="D157" s="496">
        <v>32509</v>
      </c>
      <c r="E157" s="445"/>
      <c r="F157" s="451" t="s">
        <v>406</v>
      </c>
      <c r="G157" s="452">
        <v>10</v>
      </c>
      <c r="H157" s="445"/>
      <c r="I157" s="453">
        <v>1190.24</v>
      </c>
      <c r="J157" s="452">
        <v>100</v>
      </c>
      <c r="K157" s="452">
        <v>0</v>
      </c>
      <c r="L157"/>
      <c r="M157" s="497">
        <v>1190.24</v>
      </c>
      <c r="N157" s="566">
        <f t="shared" si="68"/>
        <v>0</v>
      </c>
      <c r="O157" s="547">
        <f t="shared" si="65"/>
        <v>1190.24</v>
      </c>
      <c r="P157" s="566">
        <f t="shared" si="66"/>
        <v>0</v>
      </c>
      <c r="Q157" s="499"/>
      <c r="R157" s="499"/>
      <c r="S157" s="536"/>
      <c r="T157" s="508"/>
      <c r="U157" s="508"/>
      <c r="V157" s="508"/>
      <c r="W157" s="508"/>
      <c r="X157" s="508"/>
      <c r="Y157" s="555">
        <f t="shared" si="69"/>
        <v>1190.24</v>
      </c>
      <c r="Z157" s="508"/>
      <c r="AB157" s="508"/>
      <c r="AC157" s="508"/>
      <c r="AD157" s="508"/>
      <c r="AE157" s="508"/>
      <c r="AF157" s="508"/>
      <c r="AG157" s="508"/>
      <c r="AH157" s="508"/>
      <c r="AI157" s="555">
        <f t="shared" si="70"/>
        <v>1190.24</v>
      </c>
      <c r="AJ157" s="555">
        <f t="shared" si="67"/>
        <v>0</v>
      </c>
      <c r="AK157" s="535"/>
      <c r="AL157" s="416"/>
      <c r="AM157" s="416"/>
      <c r="AN157" s="416"/>
      <c r="AO157" s="416"/>
      <c r="AP157" s="416"/>
      <c r="AQ157" s="416"/>
      <c r="AR157" s="416"/>
      <c r="AS157" s="573">
        <f t="shared" si="71"/>
        <v>0</v>
      </c>
      <c r="AT157" s="416"/>
      <c r="AU157" s="416"/>
      <c r="AV157" s="416"/>
      <c r="AW157" s="416"/>
      <c r="AX157" s="416"/>
      <c r="AY157" s="416"/>
      <c r="AZ157" s="416"/>
      <c r="BA157" s="416"/>
      <c r="BB157" s="416"/>
      <c r="BC157" s="416"/>
      <c r="BD157" s="416"/>
      <c r="BE157" s="416"/>
      <c r="BF157" s="416"/>
    </row>
    <row r="158" spans="1:58" ht="12" customHeight="1">
      <c r="A158" s="495">
        <v>263</v>
      </c>
      <c r="B158" s="509" t="s">
        <v>129</v>
      </c>
      <c r="C158" s="509"/>
      <c r="D158" s="496">
        <v>33970</v>
      </c>
      <c r="E158" s="445"/>
      <c r="F158" s="451" t="s">
        <v>406</v>
      </c>
      <c r="G158" s="452">
        <v>5</v>
      </c>
      <c r="H158" s="445"/>
      <c r="I158" s="453">
        <v>5677.23</v>
      </c>
      <c r="J158" s="452">
        <v>100</v>
      </c>
      <c r="K158" s="452">
        <v>0</v>
      </c>
      <c r="L158"/>
      <c r="M158" s="497">
        <v>5677.23</v>
      </c>
      <c r="N158" s="566">
        <f t="shared" si="68"/>
        <v>0</v>
      </c>
      <c r="O158" s="547">
        <f t="shared" si="65"/>
        <v>5677.23</v>
      </c>
      <c r="P158" s="566">
        <f t="shared" si="66"/>
        <v>0</v>
      </c>
      <c r="Q158" s="499"/>
      <c r="R158" s="499"/>
      <c r="S158" s="542"/>
      <c r="T158" s="500"/>
      <c r="U158" s="500"/>
      <c r="V158" s="500"/>
      <c r="W158" s="500"/>
      <c r="X158" s="500"/>
      <c r="Y158" s="555">
        <f t="shared" si="69"/>
        <v>5677.23</v>
      </c>
      <c r="Z158" s="500"/>
      <c r="AB158" s="500"/>
      <c r="AC158" s="500"/>
      <c r="AD158" s="500"/>
      <c r="AE158" s="500"/>
      <c r="AF158" s="500"/>
      <c r="AG158" s="500"/>
      <c r="AH158" s="500"/>
      <c r="AI158" s="555">
        <f t="shared" si="70"/>
        <v>5677.23</v>
      </c>
      <c r="AJ158" s="555">
        <f t="shared" si="67"/>
        <v>0</v>
      </c>
      <c r="AK158" s="535"/>
      <c r="AL158" s="416"/>
      <c r="AM158" s="416"/>
      <c r="AN158" s="416"/>
      <c r="AO158" s="416"/>
      <c r="AP158" s="416"/>
      <c r="AQ158" s="416"/>
      <c r="AR158" s="416"/>
      <c r="AS158" s="573">
        <f t="shared" si="71"/>
        <v>0</v>
      </c>
      <c r="AT158" s="416"/>
      <c r="AU158" s="416"/>
      <c r="AV158" s="416"/>
      <c r="AW158" s="416"/>
      <c r="AX158" s="416"/>
      <c r="AY158" s="416"/>
      <c r="AZ158" s="416"/>
      <c r="BA158" s="416"/>
      <c r="BB158" s="416"/>
      <c r="BC158" s="416"/>
      <c r="BD158" s="416"/>
      <c r="BE158" s="416"/>
      <c r="BF158" s="416"/>
    </row>
    <row r="159" spans="1:58" ht="12" customHeight="1">
      <c r="A159" s="495">
        <v>265</v>
      </c>
      <c r="B159" s="450" t="s">
        <v>130</v>
      </c>
      <c r="C159" s="450"/>
      <c r="D159" s="496">
        <v>33970</v>
      </c>
      <c r="E159" s="445"/>
      <c r="F159" s="451" t="s">
        <v>406</v>
      </c>
      <c r="G159" s="452">
        <v>10</v>
      </c>
      <c r="H159" s="445"/>
      <c r="I159" s="453">
        <v>6500</v>
      </c>
      <c r="J159" s="452">
        <v>100</v>
      </c>
      <c r="K159" s="452">
        <v>0</v>
      </c>
      <c r="L159"/>
      <c r="M159" s="497">
        <v>6500</v>
      </c>
      <c r="N159" s="566">
        <f t="shared" si="68"/>
        <v>0</v>
      </c>
      <c r="O159" s="547">
        <f t="shared" si="65"/>
        <v>6500</v>
      </c>
      <c r="P159" s="566">
        <f t="shared" si="66"/>
        <v>0</v>
      </c>
      <c r="Q159" s="499"/>
      <c r="R159" s="499"/>
      <c r="S159" s="542"/>
      <c r="T159" s="500"/>
      <c r="U159" s="500"/>
      <c r="V159" s="500"/>
      <c r="W159" s="500"/>
      <c r="X159" s="500"/>
      <c r="Y159" s="555">
        <f t="shared" si="69"/>
        <v>6500</v>
      </c>
      <c r="Z159" s="500"/>
      <c r="AB159" s="500"/>
      <c r="AC159" s="500"/>
      <c r="AD159" s="500"/>
      <c r="AE159" s="500"/>
      <c r="AF159" s="500"/>
      <c r="AG159" s="500"/>
      <c r="AH159" s="500"/>
      <c r="AI159" s="555">
        <f t="shared" si="70"/>
        <v>6500</v>
      </c>
      <c r="AJ159" s="555">
        <f t="shared" si="67"/>
        <v>0</v>
      </c>
      <c r="AK159" s="535"/>
      <c r="AL159" s="416"/>
      <c r="AM159" s="416"/>
      <c r="AN159" s="416"/>
      <c r="AO159" s="416"/>
      <c r="AP159" s="416"/>
      <c r="AQ159" s="416"/>
      <c r="AR159" s="416"/>
      <c r="AS159" s="573">
        <f t="shared" si="71"/>
        <v>0</v>
      </c>
      <c r="AT159" s="416"/>
      <c r="AU159" s="416"/>
      <c r="AV159" s="416"/>
      <c r="AW159" s="416"/>
      <c r="AX159" s="416"/>
      <c r="AY159" s="416"/>
      <c r="AZ159" s="416"/>
      <c r="BA159" s="416"/>
      <c r="BB159" s="416"/>
      <c r="BC159" s="416"/>
      <c r="BD159" s="416"/>
      <c r="BE159" s="416"/>
      <c r="BF159" s="416"/>
    </row>
    <row r="160" spans="1:58" ht="12" customHeight="1">
      <c r="A160" s="495">
        <v>269</v>
      </c>
      <c r="B160" s="450" t="s">
        <v>131</v>
      </c>
      <c r="C160" s="450"/>
      <c r="D160" s="496">
        <v>34700</v>
      </c>
      <c r="E160" s="445"/>
      <c r="F160" s="451" t="s">
        <v>406</v>
      </c>
      <c r="G160" s="452">
        <v>5</v>
      </c>
      <c r="H160" s="445"/>
      <c r="I160" s="453">
        <v>15708.75</v>
      </c>
      <c r="J160" s="452">
        <v>100</v>
      </c>
      <c r="K160" s="452">
        <v>0</v>
      </c>
      <c r="L160"/>
      <c r="M160" s="497">
        <v>15708.75</v>
      </c>
      <c r="N160" s="566">
        <f t="shared" si="68"/>
        <v>0</v>
      </c>
      <c r="O160" s="547">
        <f t="shared" si="65"/>
        <v>15708.75</v>
      </c>
      <c r="P160" s="566">
        <f t="shared" si="66"/>
        <v>0</v>
      </c>
      <c r="Q160" s="499"/>
      <c r="R160" s="499"/>
      <c r="S160" s="536"/>
      <c r="T160" s="508"/>
      <c r="U160" s="508"/>
      <c r="V160" s="508"/>
      <c r="W160" s="508"/>
      <c r="X160" s="508"/>
      <c r="Y160" s="555">
        <f t="shared" si="69"/>
        <v>15708.75</v>
      </c>
      <c r="Z160" s="508"/>
      <c r="AB160" s="508"/>
      <c r="AC160" s="508"/>
      <c r="AD160" s="508"/>
      <c r="AE160" s="508"/>
      <c r="AF160" s="508"/>
      <c r="AG160" s="508"/>
      <c r="AH160" s="508"/>
      <c r="AI160" s="555">
        <f t="shared" si="70"/>
        <v>15708.75</v>
      </c>
      <c r="AJ160" s="555">
        <f t="shared" si="67"/>
        <v>0</v>
      </c>
      <c r="AK160" s="535"/>
      <c r="AL160" s="416"/>
      <c r="AM160" s="416"/>
      <c r="AN160" s="416"/>
      <c r="AO160" s="416"/>
      <c r="AP160" s="416"/>
      <c r="AQ160" s="416"/>
      <c r="AR160" s="416"/>
      <c r="AS160" s="573">
        <f t="shared" si="71"/>
        <v>0</v>
      </c>
      <c r="AT160" s="416"/>
      <c r="AU160" s="416"/>
      <c r="AV160" s="416"/>
      <c r="AW160" s="416"/>
      <c r="AX160" s="416"/>
      <c r="AY160" s="416"/>
      <c r="AZ160" s="416"/>
      <c r="BA160" s="416"/>
      <c r="BB160" s="416"/>
      <c r="BC160" s="416"/>
      <c r="BD160" s="416"/>
      <c r="BE160" s="416"/>
      <c r="BF160" s="416"/>
    </row>
    <row r="161" spans="1:58" ht="12" customHeight="1">
      <c r="A161" s="495">
        <v>299</v>
      </c>
      <c r="B161" s="509" t="s">
        <v>132</v>
      </c>
      <c r="C161" s="509"/>
      <c r="D161" s="496">
        <v>36290</v>
      </c>
      <c r="E161" s="445"/>
      <c r="F161" s="451" t="s">
        <v>406</v>
      </c>
      <c r="G161" s="452">
        <v>7</v>
      </c>
      <c r="H161" s="445"/>
      <c r="I161" s="453">
        <v>125.99</v>
      </c>
      <c r="J161" s="452">
        <v>100</v>
      </c>
      <c r="K161" s="452">
        <v>0</v>
      </c>
      <c r="L161"/>
      <c r="M161" s="497">
        <v>125.99</v>
      </c>
      <c r="N161" s="566">
        <f t="shared" si="68"/>
        <v>0</v>
      </c>
      <c r="O161" s="547">
        <f t="shared" si="65"/>
        <v>125.99</v>
      </c>
      <c r="P161" s="566">
        <f t="shared" si="66"/>
        <v>0</v>
      </c>
      <c r="Q161" s="499"/>
      <c r="R161" s="499"/>
      <c r="S161" s="542"/>
      <c r="T161" s="500"/>
      <c r="U161" s="500"/>
      <c r="V161" s="500"/>
      <c r="W161" s="500"/>
      <c r="X161" s="500"/>
      <c r="Y161" s="555">
        <f t="shared" si="69"/>
        <v>125.99</v>
      </c>
      <c r="Z161" s="500"/>
      <c r="AB161" s="500"/>
      <c r="AC161" s="500"/>
      <c r="AD161" s="500"/>
      <c r="AE161" s="500"/>
      <c r="AF161" s="500"/>
      <c r="AG161" s="500"/>
      <c r="AH161" s="500"/>
      <c r="AI161" s="555">
        <f t="shared" si="70"/>
        <v>125.99</v>
      </c>
      <c r="AJ161" s="555">
        <f t="shared" si="67"/>
        <v>0</v>
      </c>
      <c r="AK161" s="535"/>
      <c r="AL161" s="416"/>
      <c r="AM161" s="416"/>
      <c r="AN161" s="416"/>
      <c r="AO161" s="416"/>
      <c r="AP161" s="416"/>
      <c r="AQ161" s="416"/>
      <c r="AR161" s="416"/>
      <c r="AS161" s="573">
        <f t="shared" si="71"/>
        <v>0</v>
      </c>
      <c r="AT161" s="416"/>
      <c r="AU161" s="416"/>
      <c r="AV161" s="416"/>
      <c r="AW161" s="416"/>
      <c r="AX161" s="416"/>
      <c r="AY161" s="416"/>
      <c r="AZ161" s="416"/>
      <c r="BA161" s="416"/>
      <c r="BB161" s="416"/>
      <c r="BC161" s="416"/>
      <c r="BD161" s="416"/>
      <c r="BE161" s="416"/>
      <c r="BF161" s="416"/>
    </row>
    <row r="162" spans="1:58" ht="12" customHeight="1">
      <c r="A162" s="495">
        <v>289</v>
      </c>
      <c r="B162" s="509" t="s">
        <v>133</v>
      </c>
      <c r="C162" s="509"/>
      <c r="D162" s="496">
        <v>36318</v>
      </c>
      <c r="E162" s="445"/>
      <c r="F162" s="451" t="s">
        <v>406</v>
      </c>
      <c r="G162" s="452">
        <v>7</v>
      </c>
      <c r="H162" s="445"/>
      <c r="I162" s="453">
        <v>352.13</v>
      </c>
      <c r="J162" s="452">
        <v>100</v>
      </c>
      <c r="K162" s="452">
        <v>0</v>
      </c>
      <c r="L162"/>
      <c r="M162" s="497">
        <v>352.13</v>
      </c>
      <c r="N162" s="566">
        <f t="shared" si="68"/>
        <v>0</v>
      </c>
      <c r="O162" s="547">
        <f t="shared" si="65"/>
        <v>352.13</v>
      </c>
      <c r="P162" s="566">
        <f t="shared" si="66"/>
        <v>0</v>
      </c>
      <c r="Q162" s="499"/>
      <c r="R162" s="499"/>
      <c r="S162" s="542"/>
      <c r="T162" s="500"/>
      <c r="U162" s="500"/>
      <c r="V162" s="500"/>
      <c r="W162" s="500"/>
      <c r="X162" s="500"/>
      <c r="Y162" s="555">
        <f t="shared" si="69"/>
        <v>352.13</v>
      </c>
      <c r="Z162" s="500"/>
      <c r="AB162" s="500"/>
      <c r="AC162" s="500"/>
      <c r="AD162" s="500"/>
      <c r="AE162" s="500"/>
      <c r="AF162" s="500"/>
      <c r="AG162" s="500"/>
      <c r="AH162" s="500"/>
      <c r="AI162" s="555">
        <f t="shared" si="70"/>
        <v>352.13</v>
      </c>
      <c r="AJ162" s="555">
        <f t="shared" si="67"/>
        <v>0</v>
      </c>
      <c r="AK162" s="535"/>
      <c r="AL162" s="416"/>
      <c r="AM162" s="416"/>
      <c r="AN162" s="416"/>
      <c r="AO162" s="416"/>
      <c r="AP162" s="416"/>
      <c r="AQ162" s="416"/>
      <c r="AR162" s="416"/>
      <c r="AS162" s="573">
        <f t="shared" si="71"/>
        <v>0</v>
      </c>
      <c r="AT162" s="416"/>
      <c r="AU162" s="416"/>
      <c r="AV162" s="416"/>
      <c r="AW162" s="416"/>
      <c r="AX162" s="416"/>
      <c r="AY162" s="416"/>
      <c r="AZ162" s="416"/>
      <c r="BA162" s="416"/>
      <c r="BB162" s="416"/>
      <c r="BC162" s="416"/>
      <c r="BD162" s="416"/>
      <c r="BE162" s="416"/>
      <c r="BF162" s="416"/>
    </row>
    <row r="163" spans="1:58" ht="12" customHeight="1">
      <c r="A163" s="495">
        <v>300</v>
      </c>
      <c r="B163" s="509" t="s">
        <v>134</v>
      </c>
      <c r="C163" s="509"/>
      <c r="D163" s="496">
        <v>36354</v>
      </c>
      <c r="E163" s="445"/>
      <c r="F163" s="451" t="s">
        <v>406</v>
      </c>
      <c r="G163" s="452">
        <v>7</v>
      </c>
      <c r="H163" s="445"/>
      <c r="I163" s="453">
        <v>1467.7</v>
      </c>
      <c r="J163" s="452">
        <v>100</v>
      </c>
      <c r="K163" s="452">
        <v>0</v>
      </c>
      <c r="L163"/>
      <c r="M163" s="497">
        <v>1467.7</v>
      </c>
      <c r="N163" s="566">
        <f t="shared" si="68"/>
        <v>0</v>
      </c>
      <c r="O163" s="547">
        <f t="shared" si="65"/>
        <v>1467.7</v>
      </c>
      <c r="P163" s="566">
        <f t="shared" si="66"/>
        <v>0</v>
      </c>
      <c r="Q163" s="499"/>
      <c r="R163" s="499"/>
      <c r="S163" s="542"/>
      <c r="T163" s="500"/>
      <c r="U163" s="500"/>
      <c r="V163" s="500"/>
      <c r="W163" s="500"/>
      <c r="X163" s="500"/>
      <c r="Y163" s="555">
        <f t="shared" si="69"/>
        <v>1467.7</v>
      </c>
      <c r="Z163" s="500"/>
      <c r="AB163" s="500"/>
      <c r="AC163" s="500"/>
      <c r="AD163" s="500"/>
      <c r="AE163" s="500"/>
      <c r="AF163" s="500"/>
      <c r="AG163" s="500"/>
      <c r="AH163" s="500"/>
      <c r="AI163" s="555">
        <f t="shared" si="70"/>
        <v>1467.7</v>
      </c>
      <c r="AJ163" s="555">
        <f t="shared" si="67"/>
        <v>0</v>
      </c>
      <c r="AK163" s="535"/>
      <c r="AL163" s="416"/>
      <c r="AM163" s="416"/>
      <c r="AN163" s="416"/>
      <c r="AO163" s="416"/>
      <c r="AP163" s="416"/>
      <c r="AQ163" s="416"/>
      <c r="AR163" s="416"/>
      <c r="AS163" s="573">
        <f t="shared" si="71"/>
        <v>0</v>
      </c>
      <c r="AT163" s="416"/>
      <c r="AU163" s="416"/>
      <c r="AV163" s="416"/>
      <c r="AW163" s="416"/>
      <c r="AX163" s="416"/>
      <c r="AY163" s="416"/>
      <c r="AZ163" s="416"/>
      <c r="BA163" s="416"/>
      <c r="BB163" s="416"/>
      <c r="BC163" s="416"/>
      <c r="BD163" s="416"/>
      <c r="BE163" s="416"/>
      <c r="BF163" s="416"/>
    </row>
    <row r="164" spans="1:58" ht="12" customHeight="1">
      <c r="A164" s="495">
        <v>328</v>
      </c>
      <c r="B164" s="450" t="s">
        <v>135</v>
      </c>
      <c r="C164" s="450"/>
      <c r="D164" s="496">
        <v>36559</v>
      </c>
      <c r="E164" s="445"/>
      <c r="F164" s="451" t="s">
        <v>406</v>
      </c>
      <c r="G164" s="452">
        <v>7</v>
      </c>
      <c r="H164" s="445"/>
      <c r="I164" s="453">
        <v>2832.9</v>
      </c>
      <c r="J164" s="452">
        <v>100</v>
      </c>
      <c r="K164" s="452">
        <v>0</v>
      </c>
      <c r="L164"/>
      <c r="M164" s="497">
        <v>2832.9</v>
      </c>
      <c r="N164" s="566">
        <f t="shared" si="68"/>
        <v>0</v>
      </c>
      <c r="O164" s="547">
        <f t="shared" si="65"/>
        <v>2832.9</v>
      </c>
      <c r="P164" s="566">
        <f t="shared" si="66"/>
        <v>0</v>
      </c>
      <c r="Q164" s="499"/>
      <c r="R164" s="499"/>
      <c r="S164" s="542"/>
      <c r="T164" s="500"/>
      <c r="U164" s="500"/>
      <c r="V164" s="500"/>
      <c r="W164" s="500"/>
      <c r="X164" s="500"/>
      <c r="Y164" s="555">
        <f t="shared" si="69"/>
        <v>2832.9</v>
      </c>
      <c r="Z164" s="500"/>
      <c r="AB164" s="500"/>
      <c r="AC164" s="500"/>
      <c r="AD164" s="500"/>
      <c r="AE164" s="500"/>
      <c r="AF164" s="500"/>
      <c r="AG164" s="500"/>
      <c r="AH164" s="500"/>
      <c r="AI164" s="555">
        <f t="shared" si="70"/>
        <v>2832.9</v>
      </c>
      <c r="AJ164" s="555">
        <f t="shared" si="67"/>
        <v>0</v>
      </c>
      <c r="AK164" s="535"/>
      <c r="AL164" s="416"/>
      <c r="AM164" s="416"/>
      <c r="AN164" s="416"/>
      <c r="AO164" s="416"/>
      <c r="AP164" s="416"/>
      <c r="AQ164" s="416"/>
      <c r="AR164" s="416"/>
      <c r="AS164" s="573">
        <f t="shared" si="71"/>
        <v>0</v>
      </c>
      <c r="AT164" s="416"/>
      <c r="AU164" s="416"/>
      <c r="AV164" s="416"/>
      <c r="AW164" s="416"/>
      <c r="AX164" s="416"/>
      <c r="AY164" s="416"/>
      <c r="AZ164" s="416"/>
      <c r="BA164" s="416"/>
      <c r="BB164" s="416"/>
      <c r="BC164" s="416"/>
      <c r="BD164" s="416"/>
      <c r="BE164" s="416"/>
      <c r="BF164" s="416"/>
    </row>
    <row r="165" spans="1:58" ht="12" customHeight="1">
      <c r="A165" s="495">
        <v>326</v>
      </c>
      <c r="B165" s="509" t="s">
        <v>136</v>
      </c>
      <c r="C165" s="509"/>
      <c r="D165" s="496">
        <v>36836</v>
      </c>
      <c r="E165" s="445"/>
      <c r="F165" s="451" t="s">
        <v>406</v>
      </c>
      <c r="G165" s="452">
        <v>7</v>
      </c>
      <c r="H165" s="445"/>
      <c r="I165" s="453">
        <v>4935.78</v>
      </c>
      <c r="J165" s="452">
        <v>100</v>
      </c>
      <c r="K165" s="452">
        <v>0</v>
      </c>
      <c r="L165"/>
      <c r="M165" s="497">
        <v>4935.78</v>
      </c>
      <c r="N165" s="566">
        <f t="shared" si="68"/>
        <v>0</v>
      </c>
      <c r="O165" s="547">
        <f t="shared" si="65"/>
        <v>4935.78</v>
      </c>
      <c r="P165" s="566">
        <f t="shared" si="66"/>
        <v>0</v>
      </c>
      <c r="Q165" s="499"/>
      <c r="R165" s="499"/>
      <c r="S165" s="542"/>
      <c r="T165" s="500"/>
      <c r="U165" s="500"/>
      <c r="V165" s="500"/>
      <c r="W165" s="500"/>
      <c r="X165" s="500"/>
      <c r="Y165" s="555">
        <f t="shared" si="69"/>
        <v>4935.78</v>
      </c>
      <c r="Z165" s="500"/>
      <c r="AB165" s="500"/>
      <c r="AC165" s="500"/>
      <c r="AD165" s="500"/>
      <c r="AE165" s="500"/>
      <c r="AF165" s="500"/>
      <c r="AG165" s="500"/>
      <c r="AH165" s="500"/>
      <c r="AI165" s="555">
        <f t="shared" si="70"/>
        <v>4935.78</v>
      </c>
      <c r="AJ165" s="555">
        <f t="shared" si="67"/>
        <v>0</v>
      </c>
      <c r="AK165" s="535"/>
      <c r="AL165" s="416"/>
      <c r="AM165" s="416"/>
      <c r="AN165" s="416"/>
      <c r="AO165" s="416"/>
      <c r="AP165" s="416"/>
      <c r="AQ165" s="416"/>
      <c r="AR165" s="416"/>
      <c r="AS165" s="573">
        <f t="shared" si="71"/>
        <v>0</v>
      </c>
      <c r="AT165" s="416"/>
      <c r="AU165" s="416"/>
      <c r="AV165" s="416"/>
      <c r="AW165" s="416"/>
      <c r="AX165" s="416"/>
      <c r="AY165" s="416"/>
      <c r="AZ165" s="416"/>
      <c r="BA165" s="416"/>
      <c r="BB165" s="416"/>
      <c r="BC165" s="416"/>
      <c r="BD165" s="416"/>
      <c r="BE165" s="416"/>
      <c r="BF165" s="416"/>
    </row>
    <row r="166" spans="1:58" ht="12" customHeight="1">
      <c r="A166" s="495">
        <v>339</v>
      </c>
      <c r="B166" s="450" t="s">
        <v>137</v>
      </c>
      <c r="C166" s="450"/>
      <c r="D166" s="496">
        <v>37239</v>
      </c>
      <c r="E166" s="445"/>
      <c r="F166" s="451" t="s">
        <v>406</v>
      </c>
      <c r="G166" s="452">
        <v>7</v>
      </c>
      <c r="H166" s="445"/>
      <c r="I166" s="453">
        <v>773.27</v>
      </c>
      <c r="J166" s="452">
        <v>100</v>
      </c>
      <c r="K166" s="452">
        <v>0</v>
      </c>
      <c r="L166"/>
      <c r="M166" s="497">
        <v>773.27</v>
      </c>
      <c r="N166" s="566">
        <f t="shared" si="68"/>
        <v>0</v>
      </c>
      <c r="O166" s="547">
        <f t="shared" si="65"/>
        <v>773.27</v>
      </c>
      <c r="P166" s="566">
        <f t="shared" si="66"/>
        <v>0</v>
      </c>
      <c r="Q166" s="499"/>
      <c r="R166" s="499"/>
      <c r="S166" s="542"/>
      <c r="T166" s="500"/>
      <c r="U166" s="500"/>
      <c r="V166" s="500"/>
      <c r="W166" s="500"/>
      <c r="X166" s="500"/>
      <c r="Y166" s="555">
        <f t="shared" si="69"/>
        <v>773.27</v>
      </c>
      <c r="Z166" s="500"/>
      <c r="AB166" s="500"/>
      <c r="AC166" s="500"/>
      <c r="AD166" s="500"/>
      <c r="AE166" s="500"/>
      <c r="AF166" s="500"/>
      <c r="AG166" s="500"/>
      <c r="AH166" s="500"/>
      <c r="AI166" s="555">
        <f t="shared" si="70"/>
        <v>773.27</v>
      </c>
      <c r="AJ166" s="555">
        <f t="shared" si="67"/>
        <v>0</v>
      </c>
      <c r="AK166" s="535"/>
      <c r="AL166" s="416"/>
      <c r="AM166" s="416"/>
      <c r="AN166" s="416"/>
      <c r="AO166" s="416"/>
      <c r="AP166" s="416"/>
      <c r="AQ166" s="416"/>
      <c r="AR166" s="416"/>
      <c r="AS166" s="573">
        <f t="shared" si="71"/>
        <v>0</v>
      </c>
      <c r="AT166" s="416"/>
      <c r="AU166" s="416"/>
      <c r="AV166" s="416"/>
      <c r="AW166" s="416"/>
      <c r="AX166" s="416"/>
      <c r="AY166" s="416"/>
      <c r="AZ166" s="416"/>
      <c r="BA166" s="416"/>
      <c r="BB166" s="416"/>
      <c r="BC166" s="416"/>
      <c r="BD166" s="416"/>
      <c r="BE166" s="416"/>
      <c r="BF166" s="416"/>
    </row>
    <row r="167" spans="1:58" ht="12" customHeight="1">
      <c r="A167" s="495">
        <v>390</v>
      </c>
      <c r="B167" s="509" t="s">
        <v>138</v>
      </c>
      <c r="C167" s="509"/>
      <c r="D167" s="496">
        <v>37279</v>
      </c>
      <c r="E167" s="445"/>
      <c r="F167" s="451" t="s">
        <v>406</v>
      </c>
      <c r="G167" s="452">
        <v>15</v>
      </c>
      <c r="H167" s="445"/>
      <c r="I167" s="453">
        <v>53116.18</v>
      </c>
      <c r="J167" s="452">
        <v>100</v>
      </c>
      <c r="K167" s="452">
        <v>0</v>
      </c>
      <c r="L167"/>
      <c r="M167" s="497">
        <v>42197.865333333342</v>
      </c>
      <c r="N167" s="566">
        <f t="shared" si="68"/>
        <v>3541.0786666666681</v>
      </c>
      <c r="O167" s="547">
        <f t="shared" si="65"/>
        <v>45738.94400000001</v>
      </c>
      <c r="P167" s="566">
        <f t="shared" si="66"/>
        <v>7377.2359999999899</v>
      </c>
      <c r="Q167" s="499"/>
      <c r="R167" s="499"/>
      <c r="S167" s="542"/>
      <c r="T167" s="500"/>
      <c r="U167" s="500"/>
      <c r="V167" s="500"/>
      <c r="W167" s="500"/>
      <c r="X167" s="500"/>
      <c r="Y167" s="555">
        <f t="shared" si="69"/>
        <v>53116.18</v>
      </c>
      <c r="Z167" s="500"/>
      <c r="AB167" s="500"/>
      <c r="AC167" s="500"/>
      <c r="AD167" s="500"/>
      <c r="AE167" s="500"/>
      <c r="AF167" s="500"/>
      <c r="AG167" s="500"/>
      <c r="AH167" s="500"/>
      <c r="AI167" s="555">
        <f t="shared" si="70"/>
        <v>45738.94400000001</v>
      </c>
      <c r="AJ167" s="555">
        <f t="shared" si="67"/>
        <v>0</v>
      </c>
      <c r="AK167" s="535"/>
      <c r="AL167" s="416"/>
      <c r="AM167" s="416"/>
      <c r="AN167" s="416"/>
      <c r="AO167" s="416"/>
      <c r="AP167" s="416"/>
      <c r="AQ167" s="416"/>
      <c r="AR167" s="416"/>
      <c r="AS167" s="573">
        <f t="shared" si="71"/>
        <v>3541.0786666666681</v>
      </c>
      <c r="AT167" s="416"/>
      <c r="AU167" s="416"/>
      <c r="AV167" s="416"/>
      <c r="AW167" s="416"/>
      <c r="AX167" s="416"/>
      <c r="AY167" s="416"/>
      <c r="AZ167" s="416"/>
      <c r="BA167" s="416"/>
      <c r="BB167" s="416"/>
      <c r="BC167" s="416"/>
      <c r="BD167" s="416"/>
      <c r="BE167" s="416"/>
      <c r="BF167" s="416"/>
    </row>
    <row r="168" spans="1:58" ht="12" customHeight="1">
      <c r="A168" s="495">
        <v>387</v>
      </c>
      <c r="B168" s="450" t="s">
        <v>139</v>
      </c>
      <c r="C168" s="450"/>
      <c r="D168" s="496">
        <v>37379</v>
      </c>
      <c r="E168" s="445"/>
      <c r="F168" s="451" t="s">
        <v>406</v>
      </c>
      <c r="G168" s="452">
        <v>7</v>
      </c>
      <c r="H168" s="445"/>
      <c r="I168" s="453">
        <v>4409.1000000000004</v>
      </c>
      <c r="J168" s="452">
        <v>100</v>
      </c>
      <c r="K168" s="452">
        <v>0</v>
      </c>
      <c r="L168"/>
      <c r="M168" s="497">
        <v>4409.1000000000004</v>
      </c>
      <c r="N168" s="566">
        <f t="shared" si="68"/>
        <v>0</v>
      </c>
      <c r="O168" s="547">
        <f t="shared" si="65"/>
        <v>4409.1000000000004</v>
      </c>
      <c r="P168" s="566">
        <f t="shared" si="66"/>
        <v>0</v>
      </c>
      <c r="Q168" s="499"/>
      <c r="R168" s="499"/>
      <c r="S168" s="542"/>
      <c r="T168" s="500"/>
      <c r="U168" s="500"/>
      <c r="V168" s="500"/>
      <c r="W168" s="500"/>
      <c r="X168" s="500"/>
      <c r="Y168" s="555">
        <f t="shared" si="69"/>
        <v>4409.1000000000004</v>
      </c>
      <c r="Z168" s="500"/>
      <c r="AB168" s="500"/>
      <c r="AC168" s="500"/>
      <c r="AD168" s="500"/>
      <c r="AE168" s="500"/>
      <c r="AF168" s="500"/>
      <c r="AG168" s="500"/>
      <c r="AH168" s="500"/>
      <c r="AI168" s="555">
        <f t="shared" si="70"/>
        <v>4409.1000000000004</v>
      </c>
      <c r="AJ168" s="555">
        <f t="shared" si="67"/>
        <v>0</v>
      </c>
      <c r="AK168" s="535"/>
      <c r="AL168" s="416"/>
      <c r="AM168" s="416"/>
      <c r="AN168" s="416"/>
      <c r="AO168" s="416"/>
      <c r="AP168" s="416"/>
      <c r="AQ168" s="416"/>
      <c r="AR168" s="416"/>
      <c r="AS168" s="573">
        <f t="shared" si="71"/>
        <v>0</v>
      </c>
      <c r="AT168" s="416"/>
      <c r="AU168" s="416"/>
      <c r="AV168" s="416"/>
      <c r="AW168" s="416"/>
      <c r="AX168" s="416"/>
      <c r="AY168" s="416"/>
      <c r="AZ168" s="416"/>
      <c r="BA168" s="416"/>
      <c r="BB168" s="416"/>
      <c r="BC168" s="416"/>
      <c r="BD168" s="416"/>
      <c r="BE168" s="416"/>
      <c r="BF168" s="416"/>
    </row>
    <row r="169" spans="1:58" ht="12" customHeight="1">
      <c r="A169" s="495"/>
      <c r="B169" s="450" t="s">
        <v>140</v>
      </c>
      <c r="C169" s="450"/>
      <c r="D169" s="496">
        <v>38653</v>
      </c>
      <c r="E169" s="445"/>
      <c r="F169" s="451" t="s">
        <v>406</v>
      </c>
      <c r="G169" s="452">
        <v>7</v>
      </c>
      <c r="H169" s="445"/>
      <c r="I169" s="453">
        <v>6470.12</v>
      </c>
      <c r="J169" s="452">
        <v>100</v>
      </c>
      <c r="K169" s="452">
        <v>0</v>
      </c>
      <c r="L169"/>
      <c r="M169" s="497">
        <v>6470.12</v>
      </c>
      <c r="N169" s="566">
        <f t="shared" si="68"/>
        <v>0</v>
      </c>
      <c r="O169" s="547">
        <f t="shared" si="65"/>
        <v>6470.12</v>
      </c>
      <c r="P169" s="566">
        <f t="shared" si="66"/>
        <v>0</v>
      </c>
      <c r="Q169" s="512"/>
      <c r="R169" s="499"/>
      <c r="S169" s="542"/>
      <c r="T169" s="500"/>
      <c r="U169" s="500"/>
      <c r="V169" s="500"/>
      <c r="W169" s="500"/>
      <c r="X169" s="500"/>
      <c r="Y169" s="555">
        <f t="shared" si="69"/>
        <v>6470.12</v>
      </c>
      <c r="Z169" s="500"/>
      <c r="AB169" s="500"/>
      <c r="AC169" s="500"/>
      <c r="AD169" s="500"/>
      <c r="AE169" s="500"/>
      <c r="AF169" s="500"/>
      <c r="AG169" s="500"/>
      <c r="AH169" s="500"/>
      <c r="AI169" s="555">
        <f t="shared" si="70"/>
        <v>6470.12</v>
      </c>
      <c r="AJ169" s="555">
        <f t="shared" si="67"/>
        <v>0</v>
      </c>
      <c r="AK169" s="535"/>
      <c r="AL169" s="416"/>
      <c r="AM169" s="416"/>
      <c r="AN169" s="416"/>
      <c r="AO169" s="416"/>
      <c r="AP169" s="416"/>
      <c r="AQ169" s="416"/>
      <c r="AR169" s="416"/>
      <c r="AS169" s="573">
        <f t="shared" si="71"/>
        <v>0</v>
      </c>
      <c r="AT169" s="416"/>
      <c r="AU169" s="416"/>
      <c r="AV169" s="416"/>
      <c r="AW169" s="416"/>
      <c r="AX169" s="416"/>
      <c r="AY169" s="416"/>
      <c r="AZ169" s="416"/>
      <c r="BA169" s="416"/>
      <c r="BB169" s="416"/>
      <c r="BC169" s="416"/>
      <c r="BD169" s="416"/>
      <c r="BE169" s="416"/>
      <c r="BF169" s="416"/>
    </row>
    <row r="170" spans="1:58" ht="12" customHeight="1">
      <c r="A170" s="495"/>
      <c r="B170" s="450" t="s">
        <v>141</v>
      </c>
      <c r="C170" s="450"/>
      <c r="D170" s="496">
        <v>38748</v>
      </c>
      <c r="E170" s="445"/>
      <c r="F170" s="451" t="s">
        <v>406</v>
      </c>
      <c r="G170" s="452">
        <v>10</v>
      </c>
      <c r="H170" s="445"/>
      <c r="I170" s="453">
        <v>2874</v>
      </c>
      <c r="J170" s="596">
        <v>100</v>
      </c>
      <c r="K170" s="596">
        <v>0</v>
      </c>
      <c r="L170"/>
      <c r="M170" s="497">
        <v>2299.2000000000003</v>
      </c>
      <c r="N170" s="566">
        <f t="shared" si="68"/>
        <v>287.40000000000009</v>
      </c>
      <c r="O170" s="547">
        <f t="shared" si="65"/>
        <v>2586.6000000000004</v>
      </c>
      <c r="P170" s="566">
        <f t="shared" si="66"/>
        <v>287.39999999999964</v>
      </c>
      <c r="Q170" s="512"/>
      <c r="R170" s="499"/>
      <c r="S170" s="542"/>
      <c r="T170" s="500"/>
      <c r="U170" s="500"/>
      <c r="V170" s="500"/>
      <c r="W170" s="500"/>
      <c r="X170" s="500"/>
      <c r="Y170" s="555">
        <f t="shared" si="69"/>
        <v>2874</v>
      </c>
      <c r="Z170" s="500"/>
      <c r="AB170" s="500"/>
      <c r="AC170" s="500"/>
      <c r="AD170" s="500"/>
      <c r="AE170" s="500"/>
      <c r="AF170" s="500"/>
      <c r="AG170" s="500"/>
      <c r="AH170" s="500"/>
      <c r="AI170" s="555">
        <f t="shared" si="70"/>
        <v>2586.6000000000004</v>
      </c>
      <c r="AJ170" s="555">
        <f t="shared" si="67"/>
        <v>0</v>
      </c>
      <c r="AK170" s="535"/>
      <c r="AL170" s="416"/>
      <c r="AM170" s="416"/>
      <c r="AN170" s="416"/>
      <c r="AO170" s="416"/>
      <c r="AP170" s="416"/>
      <c r="AQ170" s="416"/>
      <c r="AR170" s="416"/>
      <c r="AS170" s="573">
        <f t="shared" si="71"/>
        <v>287.40000000000009</v>
      </c>
      <c r="AT170" s="416"/>
      <c r="AU170" s="416"/>
      <c r="AV170" s="416"/>
      <c r="AW170" s="416"/>
      <c r="AX170" s="416"/>
      <c r="AY170" s="416"/>
      <c r="AZ170" s="416"/>
      <c r="BA170" s="416"/>
      <c r="BB170" s="416"/>
      <c r="BC170" s="416"/>
      <c r="BD170" s="416"/>
      <c r="BE170" s="416"/>
      <c r="BF170" s="416"/>
    </row>
    <row r="171" spans="1:58" ht="12" customHeight="1">
      <c r="A171" s="495"/>
      <c r="B171" s="450" t="s">
        <v>706</v>
      </c>
      <c r="C171" s="450"/>
      <c r="D171" s="496">
        <v>39653</v>
      </c>
      <c r="E171" s="445"/>
      <c r="F171" s="451" t="s">
        <v>406</v>
      </c>
      <c r="G171" s="452">
        <v>7</v>
      </c>
      <c r="H171" s="445"/>
      <c r="I171" s="453">
        <v>7800</v>
      </c>
      <c r="J171" s="596">
        <v>100</v>
      </c>
      <c r="K171" s="596">
        <v>0</v>
      </c>
      <c r="L171"/>
      <c r="M171" s="497">
        <v>6685.7142857142844</v>
      </c>
      <c r="N171" s="566">
        <f t="shared" si="68"/>
        <v>1114.2857142857138</v>
      </c>
      <c r="O171" s="547">
        <f t="shared" si="65"/>
        <v>7799.9999999999982</v>
      </c>
      <c r="P171" s="566">
        <f t="shared" si="66"/>
        <v>0</v>
      </c>
      <c r="Q171" s="512"/>
      <c r="R171" s="499"/>
      <c r="S171" s="542"/>
      <c r="T171" s="500"/>
      <c r="U171" s="500"/>
      <c r="V171" s="500"/>
      <c r="W171" s="500"/>
      <c r="X171" s="500"/>
      <c r="Y171" s="555">
        <f t="shared" si="69"/>
        <v>7800</v>
      </c>
      <c r="Z171" s="500"/>
      <c r="AB171" s="500"/>
      <c r="AC171" s="500"/>
      <c r="AD171" s="500"/>
      <c r="AE171" s="500"/>
      <c r="AF171" s="500"/>
      <c r="AG171" s="500"/>
      <c r="AH171" s="500"/>
      <c r="AI171" s="555">
        <f t="shared" si="70"/>
        <v>7799.9999999999982</v>
      </c>
      <c r="AJ171" s="555">
        <f t="shared" si="67"/>
        <v>0</v>
      </c>
      <c r="AK171" s="535"/>
      <c r="AL171" s="416"/>
      <c r="AM171" s="416"/>
      <c r="AN171" s="416"/>
      <c r="AO171" s="416"/>
      <c r="AP171" s="416"/>
      <c r="AQ171" s="416"/>
      <c r="AR171" s="416"/>
      <c r="AS171" s="573">
        <f t="shared" si="71"/>
        <v>1114.2857142857138</v>
      </c>
      <c r="AT171" s="416"/>
      <c r="AU171" s="416"/>
      <c r="AV171" s="416"/>
      <c r="AW171" s="416"/>
      <c r="AX171" s="416"/>
      <c r="AY171" s="416"/>
      <c r="AZ171" s="416"/>
      <c r="BA171" s="416"/>
      <c r="BB171" s="416"/>
      <c r="BC171" s="416"/>
      <c r="BD171" s="416"/>
      <c r="BE171" s="416"/>
      <c r="BF171" s="416"/>
    </row>
    <row r="172" spans="1:58" ht="12" customHeight="1">
      <c r="A172" s="495"/>
      <c r="B172" s="450" t="s">
        <v>774</v>
      </c>
      <c r="C172" s="450"/>
      <c r="D172" s="496">
        <v>39813</v>
      </c>
      <c r="E172" s="445"/>
      <c r="F172" s="451" t="s">
        <v>406</v>
      </c>
      <c r="G172" s="452">
        <v>7</v>
      </c>
      <c r="H172" s="445"/>
      <c r="I172" s="453">
        <v>1196</v>
      </c>
      <c r="J172" s="596">
        <v>100</v>
      </c>
      <c r="K172" s="596">
        <v>0</v>
      </c>
      <c r="L172"/>
      <c r="M172" s="497">
        <v>1025.1428571428571</v>
      </c>
      <c r="N172" s="566">
        <f t="shared" si="68"/>
        <v>170.85714285714289</v>
      </c>
      <c r="O172" s="547">
        <f t="shared" si="65"/>
        <v>1196</v>
      </c>
      <c r="P172" s="566">
        <f t="shared" si="66"/>
        <v>0</v>
      </c>
      <c r="Q172" s="512"/>
      <c r="R172" s="499"/>
      <c r="S172" s="542"/>
      <c r="T172" s="500"/>
      <c r="U172" s="500"/>
      <c r="V172" s="500"/>
      <c r="W172" s="500"/>
      <c r="X172" s="500"/>
      <c r="Y172" s="555">
        <f t="shared" si="69"/>
        <v>1196</v>
      </c>
      <c r="Z172" s="500"/>
      <c r="AB172" s="500"/>
      <c r="AC172" s="500"/>
      <c r="AD172" s="500"/>
      <c r="AE172" s="500"/>
      <c r="AF172" s="500"/>
      <c r="AG172" s="500"/>
      <c r="AH172" s="500"/>
      <c r="AI172" s="555">
        <f t="shared" si="70"/>
        <v>1196</v>
      </c>
      <c r="AJ172" s="555">
        <f t="shared" si="67"/>
        <v>0</v>
      </c>
      <c r="AK172" s="535"/>
      <c r="AL172" s="416"/>
      <c r="AM172" s="416"/>
      <c r="AN172" s="416"/>
      <c r="AO172" s="416"/>
      <c r="AP172" s="416"/>
      <c r="AQ172" s="416"/>
      <c r="AR172" s="416"/>
      <c r="AS172" s="573">
        <f t="shared" si="71"/>
        <v>170.85714285714289</v>
      </c>
      <c r="AT172" s="416"/>
      <c r="AU172" s="416"/>
      <c r="AV172" s="416"/>
      <c r="AW172" s="416"/>
      <c r="AX172" s="416"/>
      <c r="AY172" s="416"/>
      <c r="AZ172" s="416"/>
      <c r="BA172" s="416"/>
      <c r="BB172" s="416"/>
      <c r="BC172" s="416"/>
      <c r="BD172" s="416"/>
      <c r="BE172" s="416"/>
      <c r="BF172" s="416"/>
    </row>
    <row r="173" spans="1:58" ht="12" customHeight="1">
      <c r="A173" s="495"/>
      <c r="B173" s="450" t="s">
        <v>775</v>
      </c>
      <c r="C173" s="450"/>
      <c r="D173" s="496">
        <v>39813</v>
      </c>
      <c r="E173" s="445"/>
      <c r="F173" s="451" t="s">
        <v>406</v>
      </c>
      <c r="G173" s="452">
        <v>7</v>
      </c>
      <c r="H173" s="445"/>
      <c r="I173" s="453">
        <v>7200</v>
      </c>
      <c r="J173" s="596">
        <v>100</v>
      </c>
      <c r="K173" s="596">
        <v>0</v>
      </c>
      <c r="L173"/>
      <c r="M173" s="497">
        <v>6171.4285714285716</v>
      </c>
      <c r="N173" s="566">
        <f t="shared" si="68"/>
        <v>1028.5714285714284</v>
      </c>
      <c r="O173" s="547">
        <f t="shared" si="65"/>
        <v>7200</v>
      </c>
      <c r="P173" s="566">
        <f t="shared" si="66"/>
        <v>0</v>
      </c>
      <c r="Q173" s="512"/>
      <c r="R173" s="499"/>
      <c r="S173" s="542"/>
      <c r="T173" s="500"/>
      <c r="U173" s="500"/>
      <c r="V173" s="500"/>
      <c r="W173" s="500"/>
      <c r="X173" s="500"/>
      <c r="Y173" s="555">
        <f t="shared" si="69"/>
        <v>7200</v>
      </c>
      <c r="Z173" s="500"/>
      <c r="AB173" s="500"/>
      <c r="AC173" s="500"/>
      <c r="AD173" s="500"/>
      <c r="AE173" s="500"/>
      <c r="AF173" s="500"/>
      <c r="AG173" s="500"/>
      <c r="AH173" s="500"/>
      <c r="AI173" s="555">
        <f t="shared" si="70"/>
        <v>7200</v>
      </c>
      <c r="AJ173" s="555">
        <f t="shared" si="67"/>
        <v>0</v>
      </c>
      <c r="AK173" s="535"/>
      <c r="AL173" s="416"/>
      <c r="AM173" s="416"/>
      <c r="AN173" s="416"/>
      <c r="AO173" s="416"/>
      <c r="AP173" s="416"/>
      <c r="AQ173" s="416"/>
      <c r="AR173" s="416"/>
      <c r="AS173" s="573">
        <f t="shared" si="71"/>
        <v>1028.5714285714284</v>
      </c>
      <c r="AT173" s="416"/>
      <c r="AU173" s="416"/>
      <c r="AV173" s="416"/>
      <c r="AW173" s="416"/>
      <c r="AX173" s="416"/>
      <c r="AY173" s="416"/>
      <c r="AZ173" s="416"/>
      <c r="BA173" s="416"/>
      <c r="BB173" s="416"/>
      <c r="BC173" s="416"/>
      <c r="BD173" s="416"/>
      <c r="BE173" s="416"/>
      <c r="BF173" s="416"/>
    </row>
    <row r="174" spans="1:58" ht="12" customHeight="1">
      <c r="A174" s="502"/>
      <c r="B174" s="450" t="s">
        <v>776</v>
      </c>
      <c r="C174" s="450"/>
      <c r="D174" s="496">
        <v>40178</v>
      </c>
      <c r="E174" s="445"/>
      <c r="F174" s="451" t="s">
        <v>406</v>
      </c>
      <c r="G174" s="452">
        <v>15</v>
      </c>
      <c r="H174" s="445"/>
      <c r="I174" s="453">
        <v>8500</v>
      </c>
      <c r="J174" s="596">
        <v>100</v>
      </c>
      <c r="K174" s="596">
        <v>0</v>
      </c>
      <c r="L174"/>
      <c r="M174" s="453">
        <v>2833.333333333333</v>
      </c>
      <c r="N174" s="566">
        <f t="shared" si="68"/>
        <v>566.66666666666652</v>
      </c>
      <c r="O174" s="547">
        <f t="shared" si="65"/>
        <v>3399.9999999999995</v>
      </c>
      <c r="P174" s="566">
        <f t="shared" si="66"/>
        <v>5100</v>
      </c>
      <c r="Q174" s="499"/>
      <c r="R174" s="499"/>
      <c r="S174" s="542"/>
      <c r="T174" s="500"/>
      <c r="U174" s="500"/>
      <c r="V174" s="500"/>
      <c r="W174" s="617">
        <f>I174</f>
        <v>8500</v>
      </c>
      <c r="X174" s="500"/>
      <c r="Y174" s="535"/>
      <c r="Z174" s="500"/>
      <c r="AB174" s="500"/>
      <c r="AC174" s="500"/>
      <c r="AD174" s="500"/>
      <c r="AE174" s="500"/>
      <c r="AF174" s="500"/>
      <c r="AG174" s="672">
        <f>O174</f>
        <v>3399.9999999999995</v>
      </c>
      <c r="AH174" s="500"/>
      <c r="AI174" s="555"/>
      <c r="AJ174" s="555">
        <f t="shared" si="67"/>
        <v>0</v>
      </c>
      <c r="AK174" s="535"/>
      <c r="AL174" s="416"/>
      <c r="AM174" s="416"/>
      <c r="AN174" s="416"/>
      <c r="AO174" s="416"/>
      <c r="AP174" s="416"/>
      <c r="AQ174" s="573">
        <f>N174</f>
        <v>566.66666666666652</v>
      </c>
      <c r="AR174" s="416"/>
      <c r="AT174" s="416"/>
      <c r="AU174" s="416"/>
      <c r="AV174" s="416"/>
      <c r="AW174" s="416"/>
      <c r="AX174" s="416"/>
      <c r="AY174" s="416"/>
      <c r="AZ174" s="416"/>
      <c r="BA174" s="416"/>
      <c r="BB174" s="416"/>
      <c r="BC174" s="416"/>
      <c r="BD174" s="416"/>
      <c r="BE174" s="416"/>
      <c r="BF174" s="416"/>
    </row>
    <row r="175" spans="1:58" ht="12" customHeight="1">
      <c r="A175" s="502"/>
      <c r="B175" s="450" t="s">
        <v>777</v>
      </c>
      <c r="C175" s="450"/>
      <c r="D175" s="496">
        <v>40308</v>
      </c>
      <c r="E175" s="445"/>
      <c r="F175" s="451" t="s">
        <v>406</v>
      </c>
      <c r="G175" s="452">
        <v>15</v>
      </c>
      <c r="H175" s="445"/>
      <c r="I175" s="453">
        <v>11050</v>
      </c>
      <c r="J175" s="596">
        <v>100</v>
      </c>
      <c r="K175" s="596">
        <v>0</v>
      </c>
      <c r="L175"/>
      <c r="M175" s="453">
        <v>2946.6666666666665</v>
      </c>
      <c r="N175" s="566">
        <f t="shared" si="68"/>
        <v>736.66666666666652</v>
      </c>
      <c r="O175" s="547">
        <f t="shared" si="65"/>
        <v>3683.333333333333</v>
      </c>
      <c r="P175" s="566">
        <f t="shared" si="66"/>
        <v>7366.666666666667</v>
      </c>
      <c r="Q175" s="499"/>
      <c r="R175" s="499"/>
      <c r="S175" s="542"/>
      <c r="T175" s="500"/>
      <c r="U175" s="500"/>
      <c r="V175" s="500"/>
      <c r="W175" s="617">
        <f>I175</f>
        <v>11050</v>
      </c>
      <c r="X175" s="500"/>
      <c r="Y175" s="555"/>
      <c r="Z175" s="500"/>
      <c r="AB175" s="500"/>
      <c r="AC175" s="500"/>
      <c r="AD175" s="500"/>
      <c r="AE175" s="500"/>
      <c r="AF175" s="500"/>
      <c r="AG175" s="672">
        <f>O175</f>
        <v>3683.333333333333</v>
      </c>
      <c r="AH175" s="500"/>
      <c r="AI175" s="555"/>
      <c r="AJ175" s="555">
        <f t="shared" si="67"/>
        <v>0</v>
      </c>
      <c r="AK175" s="535"/>
      <c r="AL175" s="416"/>
      <c r="AM175" s="416"/>
      <c r="AN175" s="416"/>
      <c r="AO175" s="416"/>
      <c r="AP175" s="416"/>
      <c r="AQ175" s="573">
        <f>N175</f>
        <v>736.66666666666652</v>
      </c>
      <c r="AR175" s="416"/>
      <c r="AT175" s="416"/>
      <c r="AU175" s="416"/>
      <c r="AV175" s="416"/>
      <c r="AW175" s="416"/>
      <c r="AX175" s="416"/>
      <c r="AY175" s="416"/>
      <c r="AZ175" s="416"/>
      <c r="BA175" s="416"/>
      <c r="BB175" s="416"/>
      <c r="BC175" s="416"/>
      <c r="BD175" s="416"/>
      <c r="BE175" s="416"/>
      <c r="BF175" s="416"/>
    </row>
    <row r="176" spans="1:58" ht="12" customHeight="1">
      <c r="A176" s="502"/>
      <c r="B176" s="450" t="s">
        <v>778</v>
      </c>
      <c r="C176" s="450"/>
      <c r="D176" s="496">
        <v>40486</v>
      </c>
      <c r="E176" s="445"/>
      <c r="F176" s="451" t="s">
        <v>406</v>
      </c>
      <c r="G176" s="452">
        <v>10</v>
      </c>
      <c r="H176" s="445"/>
      <c r="I176" s="453">
        <v>2939.0650000000001</v>
      </c>
      <c r="J176" s="596">
        <v>100</v>
      </c>
      <c r="K176" s="596">
        <v>0</v>
      </c>
      <c r="L176"/>
      <c r="M176" s="453">
        <v>1175.626</v>
      </c>
      <c r="N176" s="566">
        <f t="shared" si="68"/>
        <v>293.90650000000005</v>
      </c>
      <c r="O176" s="547">
        <f t="shared" si="65"/>
        <v>1469.5325</v>
      </c>
      <c r="P176" s="566">
        <f t="shared" si="66"/>
        <v>1469.5325</v>
      </c>
      <c r="Q176" s="499"/>
      <c r="R176" s="499"/>
      <c r="S176" s="542"/>
      <c r="T176" s="500"/>
      <c r="U176" s="500"/>
      <c r="V176" s="500"/>
      <c r="W176" s="500"/>
      <c r="X176" s="500"/>
      <c r="Y176" s="555">
        <f t="shared" ref="Y176" si="72">I176</f>
        <v>2939.0650000000001</v>
      </c>
      <c r="Z176" s="500"/>
      <c r="AB176" s="500"/>
      <c r="AC176" s="500"/>
      <c r="AD176" s="500"/>
      <c r="AE176" s="500"/>
      <c r="AF176" s="500"/>
      <c r="AG176" s="500"/>
      <c r="AH176" s="500"/>
      <c r="AI176" s="555">
        <f t="shared" ref="AI176:AI177" si="73">O176</f>
        <v>1469.5325</v>
      </c>
      <c r="AJ176" s="555">
        <f t="shared" si="67"/>
        <v>0</v>
      </c>
      <c r="AK176" s="535"/>
      <c r="AL176" s="416"/>
      <c r="AM176" s="416"/>
      <c r="AN176" s="416"/>
      <c r="AO176" s="416"/>
      <c r="AP176" s="416"/>
      <c r="AQ176" s="416"/>
      <c r="AR176" s="416"/>
      <c r="AS176" s="573">
        <f t="shared" ref="AS176:AS177" si="74">N176</f>
        <v>293.90650000000005</v>
      </c>
      <c r="AT176" s="416"/>
      <c r="AU176" s="416"/>
      <c r="AV176" s="416"/>
      <c r="AW176" s="416"/>
      <c r="AX176" s="416"/>
      <c r="AY176" s="416"/>
      <c r="AZ176" s="416"/>
      <c r="BA176" s="416"/>
      <c r="BB176" s="416"/>
      <c r="BC176" s="416"/>
      <c r="BD176" s="416"/>
      <c r="BE176" s="416"/>
      <c r="BF176" s="416"/>
    </row>
    <row r="177" spans="1:58" ht="12" customHeight="1">
      <c r="A177" s="502"/>
      <c r="B177" s="450" t="s">
        <v>779</v>
      </c>
      <c r="C177" s="450"/>
      <c r="D177" s="496">
        <v>40898</v>
      </c>
      <c r="E177" s="445"/>
      <c r="F177" s="451" t="s">
        <v>406</v>
      </c>
      <c r="G177" s="452">
        <v>7</v>
      </c>
      <c r="H177" s="445"/>
      <c r="I177" s="453">
        <v>13555.36</v>
      </c>
      <c r="J177" s="596">
        <v>100</v>
      </c>
      <c r="K177" s="596">
        <v>0</v>
      </c>
      <c r="L177"/>
      <c r="M177" s="453">
        <v>3872.96</v>
      </c>
      <c r="N177" s="566">
        <f t="shared" si="68"/>
        <v>1936.4800000000005</v>
      </c>
      <c r="O177" s="547">
        <f t="shared" si="65"/>
        <v>5809.4400000000005</v>
      </c>
      <c r="P177" s="566">
        <f t="shared" si="66"/>
        <v>7745.92</v>
      </c>
      <c r="Q177" s="499"/>
      <c r="R177" s="499"/>
      <c r="S177" s="542"/>
      <c r="T177" s="500"/>
      <c r="U177" s="500"/>
      <c r="V177" s="500"/>
      <c r="W177" s="500"/>
      <c r="X177" s="500"/>
      <c r="Y177" s="527">
        <f>I177</f>
        <v>13555.36</v>
      </c>
      <c r="Z177" s="500"/>
      <c r="AB177" s="500"/>
      <c r="AC177" s="500"/>
      <c r="AD177" s="500"/>
      <c r="AE177" s="500"/>
      <c r="AF177" s="500"/>
      <c r="AG177" s="500"/>
      <c r="AH177" s="500"/>
      <c r="AI177" s="555">
        <f t="shared" si="73"/>
        <v>5809.4400000000005</v>
      </c>
      <c r="AJ177" s="555">
        <f t="shared" si="67"/>
        <v>0</v>
      </c>
      <c r="AK177" s="535"/>
      <c r="AL177" s="416"/>
      <c r="AM177" s="416"/>
      <c r="AN177" s="416"/>
      <c r="AO177" s="416"/>
      <c r="AP177" s="416"/>
      <c r="AQ177" s="416"/>
      <c r="AR177" s="416"/>
      <c r="AS177" s="573">
        <f t="shared" si="74"/>
        <v>1936.4800000000005</v>
      </c>
      <c r="AT177" s="416"/>
      <c r="AU177" s="416"/>
      <c r="AV177" s="416"/>
      <c r="AW177" s="416"/>
      <c r="AX177" s="416"/>
      <c r="AY177" s="416"/>
      <c r="AZ177" s="416"/>
      <c r="BA177" s="416"/>
      <c r="BB177" s="416"/>
      <c r="BC177" s="416"/>
      <c r="BD177" s="416"/>
      <c r="BE177" s="416"/>
      <c r="BF177" s="416"/>
    </row>
    <row r="178" spans="1:58" s="571" customFormat="1" ht="12" customHeight="1">
      <c r="A178" s="502"/>
      <c r="B178" s="450" t="s">
        <v>780</v>
      </c>
      <c r="C178" s="450"/>
      <c r="D178" s="496">
        <v>41241</v>
      </c>
      <c r="F178" s="451" t="s">
        <v>406</v>
      </c>
      <c r="G178" s="596">
        <v>15</v>
      </c>
      <c r="I178" s="453">
        <v>7100</v>
      </c>
      <c r="J178" s="596">
        <v>100</v>
      </c>
      <c r="K178" s="596">
        <v>0</v>
      </c>
      <c r="M178" s="453">
        <v>512.77777777777771</v>
      </c>
      <c r="N178" s="566">
        <f t="shared" si="68"/>
        <v>473.33333333333337</v>
      </c>
      <c r="O178" s="547">
        <f t="shared" si="65"/>
        <v>986.11111111111109</v>
      </c>
      <c r="P178" s="566">
        <f t="shared" si="66"/>
        <v>6113.8888888888887</v>
      </c>
      <c r="Q178" s="499"/>
      <c r="R178" s="499"/>
      <c r="S178" s="613"/>
      <c r="T178" s="567"/>
      <c r="U178" s="567"/>
      <c r="V178" s="567"/>
      <c r="W178" s="570">
        <f>I178</f>
        <v>7100</v>
      </c>
      <c r="X178" s="567"/>
      <c r="Y178" s="614"/>
      <c r="Z178" s="567"/>
      <c r="AB178" s="567"/>
      <c r="AC178" s="567"/>
      <c r="AD178" s="567"/>
      <c r="AE178" s="567"/>
      <c r="AF178" s="567"/>
      <c r="AG178" s="570">
        <f>O178</f>
        <v>986.11111111111109</v>
      </c>
      <c r="AH178" s="567"/>
      <c r="AI178" s="570"/>
      <c r="AJ178" s="570">
        <f t="shared" si="67"/>
        <v>0</v>
      </c>
      <c r="AQ178" s="579">
        <f>N178</f>
        <v>473.33333333333337</v>
      </c>
    </row>
    <row r="179" spans="1:58" s="571" customFormat="1" ht="12" customHeight="1">
      <c r="A179" s="502"/>
      <c r="B179" s="450" t="s">
        <v>781</v>
      </c>
      <c r="C179" s="450"/>
      <c r="D179" s="496">
        <v>41176</v>
      </c>
      <c r="F179" s="451" t="s">
        <v>406</v>
      </c>
      <c r="G179" s="596">
        <v>30</v>
      </c>
      <c r="I179" s="453">
        <v>16787.93</v>
      </c>
      <c r="J179" s="596">
        <v>100</v>
      </c>
      <c r="K179" s="596">
        <v>0</v>
      </c>
      <c r="M179" s="453">
        <v>699.49708333333331</v>
      </c>
      <c r="N179" s="566">
        <f t="shared" si="68"/>
        <v>559.59766666666667</v>
      </c>
      <c r="O179" s="547">
        <f t="shared" si="65"/>
        <v>1259.09475</v>
      </c>
      <c r="P179" s="566">
        <f t="shared" si="66"/>
        <v>15528.83525</v>
      </c>
      <c r="Q179" s="499"/>
      <c r="R179" s="499"/>
      <c r="S179" s="613"/>
      <c r="T179" s="567"/>
      <c r="U179" s="567"/>
      <c r="V179" s="567"/>
      <c r="W179" s="570">
        <f>I179</f>
        <v>16787.93</v>
      </c>
      <c r="X179" s="567"/>
      <c r="Y179" s="614"/>
      <c r="Z179" s="567"/>
      <c r="AB179" s="567"/>
      <c r="AC179" s="567"/>
      <c r="AD179" s="567"/>
      <c r="AE179" s="567"/>
      <c r="AF179" s="567"/>
      <c r="AG179" s="570">
        <f>O179</f>
        <v>1259.09475</v>
      </c>
      <c r="AH179" s="567"/>
      <c r="AI179" s="570"/>
      <c r="AJ179" s="570">
        <f t="shared" si="67"/>
        <v>0</v>
      </c>
      <c r="AQ179" s="579">
        <f>N179</f>
        <v>559.59766666666667</v>
      </c>
    </row>
    <row r="180" spans="1:58" s="571" customFormat="1" ht="12" customHeight="1">
      <c r="A180" s="502"/>
      <c r="B180" s="450" t="s">
        <v>782</v>
      </c>
      <c r="C180" s="450"/>
      <c r="D180" s="496">
        <v>40931</v>
      </c>
      <c r="F180" s="451" t="s">
        <v>406</v>
      </c>
      <c r="G180" s="596">
        <v>7</v>
      </c>
      <c r="I180" s="453">
        <v>6412.5</v>
      </c>
      <c r="J180" s="596">
        <v>100</v>
      </c>
      <c r="K180" s="596">
        <v>0</v>
      </c>
      <c r="M180" s="453">
        <v>1755.8035714285713</v>
      </c>
      <c r="N180" s="566">
        <f t="shared" si="68"/>
        <v>916.07142857142867</v>
      </c>
      <c r="O180" s="547">
        <f t="shared" si="65"/>
        <v>2671.875</v>
      </c>
      <c r="P180" s="566">
        <f t="shared" si="66"/>
        <v>3740.625</v>
      </c>
      <c r="Q180" s="499"/>
      <c r="R180" s="499"/>
      <c r="S180" s="613"/>
      <c r="T180" s="567"/>
      <c r="U180" s="567"/>
      <c r="V180" s="567"/>
      <c r="W180" s="567"/>
      <c r="X180" s="567"/>
      <c r="Y180" s="614">
        <f>I180</f>
        <v>6412.5</v>
      </c>
      <c r="Z180" s="567"/>
      <c r="AB180" s="567"/>
      <c r="AC180" s="567"/>
      <c r="AD180" s="567"/>
      <c r="AE180" s="567"/>
      <c r="AF180" s="567"/>
      <c r="AG180" s="567"/>
      <c r="AH180" s="567"/>
      <c r="AI180" s="570">
        <f>O180</f>
        <v>2671.875</v>
      </c>
      <c r="AJ180" s="570">
        <f t="shared" si="67"/>
        <v>0</v>
      </c>
      <c r="AS180" s="579">
        <f>N180</f>
        <v>916.07142857142867</v>
      </c>
    </row>
    <row r="181" spans="1:58" ht="12" customHeight="1">
      <c r="A181" s="502"/>
      <c r="B181" s="450"/>
      <c r="C181" s="450"/>
      <c r="D181" s="496"/>
      <c r="E181" s="445"/>
      <c r="F181" s="451"/>
      <c r="G181" s="452"/>
      <c r="H181" s="445"/>
      <c r="I181" s="453"/>
      <c r="J181" s="452"/>
      <c r="K181" s="452"/>
      <c r="L181"/>
      <c r="M181" s="453"/>
      <c r="N181" s="481"/>
      <c r="O181" s="498"/>
      <c r="P181" s="481"/>
      <c r="Q181" s="499"/>
      <c r="R181" s="499"/>
      <c r="S181" s="542"/>
      <c r="T181" s="500"/>
      <c r="U181" s="500"/>
      <c r="V181" s="500"/>
      <c r="W181" s="500"/>
      <c r="X181" s="500"/>
      <c r="Y181" s="500"/>
      <c r="Z181" s="500"/>
      <c r="AB181" s="500"/>
      <c r="AC181" s="500"/>
      <c r="AD181" s="500"/>
      <c r="AE181" s="500"/>
      <c r="AF181" s="500"/>
      <c r="AG181" s="500"/>
      <c r="AH181" s="500"/>
      <c r="AI181" s="505"/>
      <c r="AJ181" s="554"/>
      <c r="AK181" s="535"/>
      <c r="AL181" s="416"/>
      <c r="AM181" s="416"/>
      <c r="AN181" s="416"/>
      <c r="AO181" s="416"/>
      <c r="AP181" s="416"/>
      <c r="AQ181" s="416"/>
      <c r="AR181" s="416"/>
      <c r="AS181" s="416"/>
      <c r="AT181" s="416"/>
      <c r="AU181" s="416"/>
      <c r="AV181" s="416"/>
      <c r="AW181" s="416"/>
      <c r="AX181" s="416"/>
      <c r="AY181" s="416"/>
      <c r="AZ181" s="416"/>
      <c r="BA181" s="416"/>
      <c r="BB181" s="416"/>
      <c r="BC181" s="416"/>
      <c r="BD181" s="416"/>
      <c r="BE181" s="416"/>
      <c r="BF181" s="416"/>
    </row>
    <row r="182" spans="1:58" ht="12" customHeight="1">
      <c r="A182" s="445"/>
      <c r="B182" s="482"/>
      <c r="C182" s="482"/>
      <c r="D182" s="522"/>
      <c r="E182" s="482"/>
      <c r="F182" s="522"/>
      <c r="G182" s="482" t="s">
        <v>415</v>
      </c>
      <c r="H182" s="445"/>
      <c r="I182" s="483">
        <f>SUM(I151:I181)</f>
        <v>349007.19499999995</v>
      </c>
      <c r="J182" s="445"/>
      <c r="K182" s="452"/>
      <c r="L182"/>
      <c r="M182" s="483">
        <v>282652.17548015871</v>
      </c>
      <c r="N182" s="483">
        <f>SUM(N151:N181)</f>
        <v>11624.915214285717</v>
      </c>
      <c r="O182" s="483">
        <f>SUM(O151:O181)</f>
        <v>294277.09069444437</v>
      </c>
      <c r="P182" s="483">
        <f>SUM(P151:P181)</f>
        <v>54730.104305555549</v>
      </c>
      <c r="Q182" s="499" t="s">
        <v>157</v>
      </c>
      <c r="R182" s="445"/>
      <c r="S182" s="543">
        <f>SUM(S151:S181)</f>
        <v>0</v>
      </c>
      <c r="T182" s="500"/>
      <c r="U182" s="543">
        <f>SUM(U151:U181)</f>
        <v>0</v>
      </c>
      <c r="V182" s="500"/>
      <c r="W182" s="543">
        <f>SUM(W151:W181)</f>
        <v>43437.93</v>
      </c>
      <c r="X182" s="500"/>
      <c r="Y182" s="543">
        <f>SUM(Y151:Y181)</f>
        <v>305569.26499999996</v>
      </c>
      <c r="Z182" s="557">
        <f>SUM(S182:Y182)</f>
        <v>349007.19499999995</v>
      </c>
      <c r="AB182" s="500"/>
      <c r="AC182" s="543">
        <f>SUM(AC151:AC181)</f>
        <v>0</v>
      </c>
      <c r="AD182" s="554"/>
      <c r="AE182" s="543">
        <f>SUM(AE151:AE181)</f>
        <v>0</v>
      </c>
      <c r="AF182" s="554"/>
      <c r="AG182" s="543">
        <f>SUM(AG151:AG181)</f>
        <v>9328.5391944444436</v>
      </c>
      <c r="AH182" s="557">
        <f>SUM(AA182:AG182)</f>
        <v>9328.5391944444436</v>
      </c>
      <c r="AI182" s="543">
        <f>SUM(AI151:AI181)</f>
        <v>284948.55149999994</v>
      </c>
      <c r="AJ182" s="555">
        <f>AI182+AG182</f>
        <v>294277.09069444437</v>
      </c>
      <c r="AK182" s="559">
        <f>AJ182-O182</f>
        <v>0</v>
      </c>
      <c r="AL182" s="416"/>
      <c r="AM182" s="561">
        <f>SUM(AM151:AM181)</f>
        <v>0</v>
      </c>
      <c r="AN182" s="567"/>
      <c r="AO182" s="561">
        <f>SUM(AO151:AO181)</f>
        <v>0</v>
      </c>
      <c r="AP182" s="567"/>
      <c r="AQ182" s="561">
        <f>SUM(AQ151:AQ181)</f>
        <v>2336.2643333333331</v>
      </c>
      <c r="AR182" s="571"/>
      <c r="AS182" s="561">
        <f>SUM(AS151:AS181)</f>
        <v>9288.6508809523821</v>
      </c>
      <c r="AT182" s="570">
        <f>AS182+AQ182</f>
        <v>11624.915214285715</v>
      </c>
      <c r="AU182" s="416"/>
      <c r="AV182" s="416"/>
      <c r="AW182" s="416"/>
      <c r="AX182" s="416"/>
      <c r="AY182" s="416"/>
      <c r="AZ182" s="416"/>
      <c r="BA182" s="416"/>
      <c r="BB182" s="416"/>
      <c r="BC182" s="416"/>
      <c r="BD182" s="416"/>
      <c r="BE182" s="416"/>
      <c r="BF182" s="416"/>
    </row>
    <row r="183" spans="1:58" ht="12" customHeight="1">
      <c r="A183" s="528" t="s">
        <v>149</v>
      </c>
      <c r="B183" s="528"/>
      <c r="C183" s="528"/>
      <c r="D183" s="496"/>
      <c r="E183" s="445"/>
      <c r="F183" s="503"/>
      <c r="G183" s="452"/>
      <c r="H183" s="445"/>
      <c r="I183" s="453"/>
      <c r="J183" s="507"/>
      <c r="K183" s="507"/>
      <c r="L183" s="507"/>
      <c r="M183" s="497"/>
      <c r="N183" s="481"/>
      <c r="O183" s="498"/>
      <c r="P183" s="481"/>
      <c r="Q183" s="499"/>
      <c r="R183" s="499"/>
      <c r="S183" s="542"/>
      <c r="T183" s="500"/>
      <c r="U183" s="500"/>
      <c r="V183" s="500"/>
      <c r="W183" s="500"/>
      <c r="X183" s="500"/>
      <c r="Y183" s="500"/>
      <c r="Z183" s="500"/>
      <c r="AB183" s="500"/>
      <c r="AC183" s="500"/>
      <c r="AD183" s="500"/>
      <c r="AE183" s="500"/>
      <c r="AF183" s="500"/>
      <c r="AG183" s="500"/>
      <c r="AH183" s="500"/>
      <c r="AI183" s="500"/>
      <c r="AJ183" s="554"/>
      <c r="AK183" s="535"/>
      <c r="AL183" s="416"/>
      <c r="AM183" s="416"/>
      <c r="AN183" s="416"/>
      <c r="AO183" s="416"/>
      <c r="AP183" s="416"/>
      <c r="AQ183" s="416"/>
      <c r="AR183" s="416"/>
      <c r="AS183" s="416"/>
      <c r="AT183" s="416"/>
      <c r="AU183" s="416"/>
      <c r="AV183" s="416"/>
      <c r="AW183" s="416"/>
      <c r="AX183" s="416"/>
      <c r="AY183" s="416"/>
      <c r="AZ183" s="416"/>
      <c r="BA183" s="416"/>
      <c r="BB183" s="416"/>
      <c r="BC183" s="416"/>
      <c r="BD183" s="416"/>
      <c r="BE183" s="416"/>
      <c r="BF183" s="416"/>
    </row>
    <row r="184" spans="1:58" ht="12" customHeight="1">
      <c r="A184" s="495">
        <v>231</v>
      </c>
      <c r="B184" s="450" t="s">
        <v>142</v>
      </c>
      <c r="C184" s="450"/>
      <c r="D184" s="496">
        <v>31413</v>
      </c>
      <c r="E184" s="445"/>
      <c r="F184" s="451" t="s">
        <v>406</v>
      </c>
      <c r="G184" s="452">
        <v>5</v>
      </c>
      <c r="H184" s="445"/>
      <c r="I184" s="453">
        <v>5427.1</v>
      </c>
      <c r="J184" s="596">
        <v>100</v>
      </c>
      <c r="K184" s="596">
        <v>0</v>
      </c>
      <c r="L184"/>
      <c r="M184" s="497">
        <v>5427.1</v>
      </c>
      <c r="N184" s="481">
        <f>O184-M184</f>
        <v>0</v>
      </c>
      <c r="O184" s="547">
        <f t="shared" ref="O184:O190" si="75">IF(ABS(M184)&lt;ABS(I184),IF(M184+I184/G184&gt;I184,I184,M184+I184/G184),I184)</f>
        <v>5427.1</v>
      </c>
      <c r="P184" s="566">
        <f t="shared" ref="P184:P190" si="76">I184-O184</f>
        <v>0</v>
      </c>
      <c r="Q184" s="499"/>
      <c r="R184" s="499"/>
      <c r="S184" s="542"/>
      <c r="T184" s="500"/>
      <c r="U184" s="500"/>
      <c r="V184" s="553"/>
      <c r="W184" s="553"/>
      <c r="X184" s="553"/>
      <c r="Y184" s="552">
        <v>5427.1</v>
      </c>
      <c r="Z184" s="575"/>
      <c r="AB184" s="500"/>
      <c r="AC184" s="500"/>
      <c r="AD184" s="500"/>
      <c r="AE184" s="500"/>
      <c r="AF184" s="500"/>
      <c r="AG184" s="500"/>
      <c r="AH184" s="500"/>
      <c r="AI184" s="505">
        <f>O184</f>
        <v>5427.1</v>
      </c>
      <c r="AJ184" s="555">
        <f t="shared" ref="AJ184:AJ190" si="77">SUM(AC184:AI184)-O184</f>
        <v>0</v>
      </c>
      <c r="AK184" s="535"/>
      <c r="AL184" s="416"/>
      <c r="AM184" s="416"/>
      <c r="AN184" s="416"/>
      <c r="AO184" s="416"/>
      <c r="AP184" s="416"/>
      <c r="AQ184" s="416"/>
      <c r="AR184" s="416"/>
      <c r="AS184" s="573">
        <f>N184</f>
        <v>0</v>
      </c>
      <c r="AT184" s="416"/>
      <c r="AU184" s="416"/>
      <c r="AV184" s="416"/>
      <c r="AW184" s="416"/>
      <c r="AX184" s="416"/>
      <c r="AY184" s="416"/>
      <c r="AZ184" s="416"/>
      <c r="BA184" s="416"/>
      <c r="BB184" s="416"/>
      <c r="BC184" s="416"/>
      <c r="BD184" s="416"/>
      <c r="BE184" s="416"/>
      <c r="BF184" s="416"/>
    </row>
    <row r="185" spans="1:58" ht="12" customHeight="1">
      <c r="A185" s="495">
        <v>253</v>
      </c>
      <c r="B185" s="509" t="s">
        <v>143</v>
      </c>
      <c r="C185" s="509"/>
      <c r="D185" s="496">
        <v>32874</v>
      </c>
      <c r="E185" s="445"/>
      <c r="F185" s="451" t="s">
        <v>406</v>
      </c>
      <c r="G185" s="452">
        <v>10</v>
      </c>
      <c r="H185" s="445"/>
      <c r="I185" s="453">
        <v>26419.5</v>
      </c>
      <c r="J185" s="596">
        <v>100</v>
      </c>
      <c r="K185" s="596">
        <v>0</v>
      </c>
      <c r="L185"/>
      <c r="M185" s="497">
        <v>26419.5</v>
      </c>
      <c r="N185" s="566">
        <f t="shared" ref="N185:N190" si="78">O185-M185</f>
        <v>0</v>
      </c>
      <c r="O185" s="547">
        <f t="shared" si="75"/>
        <v>26419.5</v>
      </c>
      <c r="P185" s="566">
        <f t="shared" si="76"/>
        <v>0</v>
      </c>
      <c r="Q185" s="499"/>
      <c r="R185" s="499"/>
      <c r="S185" s="542"/>
      <c r="T185" s="500"/>
      <c r="U185" s="500"/>
      <c r="V185" s="500"/>
      <c r="W185" s="500"/>
      <c r="X185" s="500"/>
      <c r="Y185" s="505">
        <v>26419.5</v>
      </c>
      <c r="Z185" s="500"/>
      <c r="AB185" s="500"/>
      <c r="AC185" s="500"/>
      <c r="AD185" s="500"/>
      <c r="AE185" s="500"/>
      <c r="AF185" s="500"/>
      <c r="AG185" s="500"/>
      <c r="AH185" s="500"/>
      <c r="AI185" s="555">
        <f t="shared" ref="AI185:AI189" si="79">O185</f>
        <v>26419.5</v>
      </c>
      <c r="AJ185" s="555">
        <f t="shared" si="77"/>
        <v>0</v>
      </c>
      <c r="AK185" s="535"/>
      <c r="AL185" s="416"/>
      <c r="AM185" s="416"/>
      <c r="AN185" s="416"/>
      <c r="AO185" s="416"/>
      <c r="AP185" s="416"/>
      <c r="AQ185" s="416"/>
      <c r="AR185" s="416"/>
      <c r="AS185" s="573">
        <f t="shared" ref="AS185:AS189" si="80">N185</f>
        <v>0</v>
      </c>
      <c r="AT185" s="416"/>
      <c r="AU185" s="416"/>
      <c r="AV185" s="416"/>
      <c r="AW185" s="416"/>
      <c r="AX185" s="416"/>
      <c r="AY185" s="416"/>
      <c r="AZ185" s="416"/>
      <c r="BA185" s="416"/>
      <c r="BB185" s="416"/>
      <c r="BC185" s="416"/>
      <c r="BD185" s="416"/>
      <c r="BE185" s="416"/>
      <c r="BF185" s="416"/>
    </row>
    <row r="186" spans="1:58" ht="12" customHeight="1">
      <c r="A186" s="495">
        <v>400</v>
      </c>
      <c r="B186" s="509" t="s">
        <v>144</v>
      </c>
      <c r="C186" s="509"/>
      <c r="D186" s="496">
        <v>37679</v>
      </c>
      <c r="E186" s="445"/>
      <c r="F186" s="451" t="s">
        <v>406</v>
      </c>
      <c r="G186" s="452">
        <v>5</v>
      </c>
      <c r="H186" s="445"/>
      <c r="I186" s="453">
        <v>3197.25</v>
      </c>
      <c r="J186" s="596">
        <v>100</v>
      </c>
      <c r="K186" s="596">
        <v>0</v>
      </c>
      <c r="L186"/>
      <c r="M186" s="497">
        <v>3197.25</v>
      </c>
      <c r="N186" s="566">
        <f t="shared" si="78"/>
        <v>0</v>
      </c>
      <c r="O186" s="547">
        <f t="shared" si="75"/>
        <v>3197.25</v>
      </c>
      <c r="P186" s="566">
        <f t="shared" si="76"/>
        <v>0</v>
      </c>
      <c r="Q186" s="499"/>
      <c r="R186" s="499"/>
      <c r="S186" s="542"/>
      <c r="T186" s="500"/>
      <c r="U186" s="500"/>
      <c r="V186" s="500"/>
      <c r="W186" s="500"/>
      <c r="X186" s="500"/>
      <c r="Y186" s="505">
        <v>3197.25</v>
      </c>
      <c r="Z186" s="500"/>
      <c r="AB186" s="500"/>
      <c r="AC186" s="500"/>
      <c r="AD186" s="500"/>
      <c r="AE186" s="500"/>
      <c r="AF186" s="500"/>
      <c r="AG186" s="500"/>
      <c r="AH186" s="500"/>
      <c r="AI186" s="555">
        <f t="shared" si="79"/>
        <v>3197.25</v>
      </c>
      <c r="AJ186" s="555">
        <f t="shared" si="77"/>
        <v>0</v>
      </c>
      <c r="AK186" s="535"/>
      <c r="AL186" s="416"/>
      <c r="AM186" s="416"/>
      <c r="AN186" s="416"/>
      <c r="AO186" s="416"/>
      <c r="AP186" s="416"/>
      <c r="AQ186" s="416"/>
      <c r="AR186" s="416"/>
      <c r="AS186" s="573">
        <f t="shared" si="80"/>
        <v>0</v>
      </c>
      <c r="AT186" s="416"/>
      <c r="AU186" s="416"/>
      <c r="AV186" s="416"/>
      <c r="AW186" s="416"/>
      <c r="AX186" s="416"/>
      <c r="AY186" s="416"/>
      <c r="AZ186" s="416"/>
      <c r="BA186" s="416"/>
      <c r="BB186" s="416"/>
      <c r="BC186" s="416"/>
      <c r="BD186" s="416"/>
      <c r="BE186" s="416"/>
      <c r="BF186" s="416"/>
    </row>
    <row r="187" spans="1:58" ht="12" customHeight="1">
      <c r="A187" s="495">
        <v>398</v>
      </c>
      <c r="B187" s="509" t="s">
        <v>145</v>
      </c>
      <c r="C187" s="509"/>
      <c r="D187" s="496">
        <v>37924</v>
      </c>
      <c r="E187" s="445"/>
      <c r="F187" s="451" t="s">
        <v>406</v>
      </c>
      <c r="G187" s="452">
        <v>10</v>
      </c>
      <c r="H187" s="445"/>
      <c r="I187" s="453">
        <v>26410.85</v>
      </c>
      <c r="J187" s="596">
        <v>100</v>
      </c>
      <c r="K187" s="596">
        <v>0</v>
      </c>
      <c r="L187"/>
      <c r="M187" s="497">
        <v>26410.85</v>
      </c>
      <c r="N187" s="566">
        <f t="shared" si="78"/>
        <v>0</v>
      </c>
      <c r="O187" s="547">
        <f t="shared" si="75"/>
        <v>26410.85</v>
      </c>
      <c r="P187" s="566">
        <f t="shared" si="76"/>
        <v>0</v>
      </c>
      <c r="Q187" s="499"/>
      <c r="R187" s="499"/>
      <c r="S187" s="542"/>
      <c r="T187" s="500"/>
      <c r="U187" s="500"/>
      <c r="V187" s="500"/>
      <c r="W187" s="500"/>
      <c r="X187" s="500"/>
      <c r="Y187" s="505">
        <v>26410.85</v>
      </c>
      <c r="Z187" s="500"/>
      <c r="AB187" s="500"/>
      <c r="AC187" s="500"/>
      <c r="AD187" s="500"/>
      <c r="AE187" s="500"/>
      <c r="AF187" s="500"/>
      <c r="AG187" s="500"/>
      <c r="AH187" s="500"/>
      <c r="AI187" s="555">
        <f t="shared" si="79"/>
        <v>26410.85</v>
      </c>
      <c r="AJ187" s="555">
        <f t="shared" si="77"/>
        <v>0</v>
      </c>
      <c r="AK187" s="535"/>
      <c r="AL187" s="416"/>
      <c r="AM187" s="416"/>
      <c r="AN187" s="416"/>
      <c r="AO187" s="416"/>
      <c r="AP187" s="416"/>
      <c r="AQ187" s="416"/>
      <c r="AR187" s="416"/>
      <c r="AS187" s="573">
        <f t="shared" si="80"/>
        <v>0</v>
      </c>
      <c r="AT187" s="416"/>
      <c r="AU187" s="416"/>
      <c r="AV187" s="416"/>
      <c r="AW187" s="416"/>
      <c r="AX187" s="416"/>
      <c r="AY187" s="416"/>
      <c r="AZ187" s="416"/>
      <c r="BA187" s="416"/>
      <c r="BB187" s="416"/>
      <c r="BC187" s="416"/>
      <c r="BD187" s="416"/>
      <c r="BE187" s="416"/>
      <c r="BF187" s="416"/>
    </row>
    <row r="188" spans="1:58" ht="12" customHeight="1">
      <c r="A188" s="502"/>
      <c r="B188" s="509" t="s">
        <v>146</v>
      </c>
      <c r="C188" s="509"/>
      <c r="D188" s="496">
        <v>38040</v>
      </c>
      <c r="E188" s="445"/>
      <c r="F188" s="451" t="s">
        <v>406</v>
      </c>
      <c r="G188" s="452">
        <v>10</v>
      </c>
      <c r="H188" s="445"/>
      <c r="I188" s="453">
        <v>19391</v>
      </c>
      <c r="J188" s="596">
        <v>100</v>
      </c>
      <c r="K188" s="596">
        <v>0</v>
      </c>
      <c r="L188"/>
      <c r="M188" s="497">
        <v>19068.095000000001</v>
      </c>
      <c r="N188" s="566">
        <f t="shared" si="78"/>
        <v>322.90499999999884</v>
      </c>
      <c r="O188" s="547">
        <f t="shared" si="75"/>
        <v>19391</v>
      </c>
      <c r="P188" s="566">
        <f t="shared" si="76"/>
        <v>0</v>
      </c>
      <c r="Q188" s="499"/>
      <c r="R188" s="499"/>
      <c r="S188" s="542"/>
      <c r="T188" s="500"/>
      <c r="U188" s="500"/>
      <c r="V188" s="500"/>
      <c r="W188" s="500"/>
      <c r="X188" s="500"/>
      <c r="Y188" s="505">
        <v>19391</v>
      </c>
      <c r="Z188" s="500"/>
      <c r="AB188" s="500"/>
      <c r="AC188" s="500"/>
      <c r="AD188" s="500"/>
      <c r="AE188" s="500"/>
      <c r="AF188" s="500"/>
      <c r="AG188" s="500"/>
      <c r="AH188" s="500"/>
      <c r="AI188" s="555">
        <f t="shared" si="79"/>
        <v>19391</v>
      </c>
      <c r="AJ188" s="555">
        <f t="shared" si="77"/>
        <v>0</v>
      </c>
      <c r="AK188" s="535"/>
      <c r="AL188" s="416"/>
      <c r="AM188" s="416"/>
      <c r="AN188" s="416"/>
      <c r="AO188" s="416"/>
      <c r="AP188" s="416"/>
      <c r="AQ188" s="416"/>
      <c r="AR188" s="416"/>
      <c r="AS188" s="573">
        <f t="shared" si="80"/>
        <v>322.90499999999884</v>
      </c>
      <c r="AT188" s="416"/>
      <c r="AU188" s="416"/>
      <c r="AV188" s="416"/>
      <c r="AW188" s="416"/>
      <c r="AX188" s="416"/>
      <c r="AY188" s="416"/>
      <c r="AZ188" s="416"/>
      <c r="BA188" s="416"/>
      <c r="BB188" s="416"/>
      <c r="BC188" s="416"/>
      <c r="BD188" s="416"/>
      <c r="BE188" s="416"/>
      <c r="BF188" s="416"/>
    </row>
    <row r="189" spans="1:58" ht="12" customHeight="1">
      <c r="A189" s="502"/>
      <c r="B189" s="509" t="s">
        <v>416</v>
      </c>
      <c r="C189" s="509"/>
      <c r="D189" s="496">
        <v>39447</v>
      </c>
      <c r="E189" s="445"/>
      <c r="F189" s="451" t="s">
        <v>406</v>
      </c>
      <c r="G189" s="452">
        <v>10</v>
      </c>
      <c r="H189" s="445"/>
      <c r="I189" s="453">
        <v>20000</v>
      </c>
      <c r="J189" s="596">
        <v>100</v>
      </c>
      <c r="K189" s="596">
        <v>0</v>
      </c>
      <c r="L189"/>
      <c r="M189" s="497">
        <v>14000</v>
      </c>
      <c r="N189" s="566">
        <f t="shared" si="78"/>
        <v>2000</v>
      </c>
      <c r="O189" s="547">
        <f t="shared" si="75"/>
        <v>16000</v>
      </c>
      <c r="P189" s="566">
        <f t="shared" si="76"/>
        <v>4000</v>
      </c>
      <c r="Q189" s="499"/>
      <c r="R189" s="499"/>
      <c r="S189" s="542"/>
      <c r="T189" s="500"/>
      <c r="U189" s="500"/>
      <c r="V189" s="500"/>
      <c r="W189" s="500"/>
      <c r="X189" s="500"/>
      <c r="Y189" s="505">
        <v>20000</v>
      </c>
      <c r="Z189" s="500"/>
      <c r="AB189" s="500"/>
      <c r="AC189" s="500"/>
      <c r="AD189" s="500"/>
      <c r="AE189" s="500"/>
      <c r="AF189" s="500"/>
      <c r="AG189" s="500"/>
      <c r="AH189" s="500"/>
      <c r="AI189" s="555">
        <f t="shared" si="79"/>
        <v>16000</v>
      </c>
      <c r="AJ189" s="555">
        <f t="shared" si="77"/>
        <v>0</v>
      </c>
      <c r="AK189" s="535"/>
      <c r="AL189" s="416"/>
      <c r="AM189" s="416"/>
      <c r="AN189" s="416"/>
      <c r="AO189" s="416"/>
      <c r="AP189" s="416"/>
      <c r="AQ189" s="416"/>
      <c r="AR189" s="416"/>
      <c r="AS189" s="573">
        <f t="shared" si="80"/>
        <v>2000</v>
      </c>
      <c r="AT189" s="416"/>
      <c r="AU189" s="416"/>
      <c r="AV189" s="416"/>
      <c r="AW189" s="416"/>
      <c r="AX189" s="416"/>
      <c r="AY189" s="416"/>
      <c r="AZ189" s="416"/>
      <c r="BA189" s="416"/>
      <c r="BB189" s="416"/>
      <c r="BC189" s="416"/>
      <c r="BD189" s="416"/>
      <c r="BE189" s="416"/>
      <c r="BF189" s="416"/>
    </row>
    <row r="190" spans="1:58" s="571" customFormat="1" ht="12" customHeight="1">
      <c r="A190" s="502"/>
      <c r="B190" s="509" t="s">
        <v>783</v>
      </c>
      <c r="C190" s="509"/>
      <c r="D190" s="496">
        <v>40973</v>
      </c>
      <c r="F190" s="451" t="s">
        <v>406</v>
      </c>
      <c r="G190" s="596">
        <v>10</v>
      </c>
      <c r="I190" s="453">
        <v>165182.57</v>
      </c>
      <c r="J190" s="596">
        <v>100</v>
      </c>
      <c r="K190" s="596">
        <v>0</v>
      </c>
      <c r="M190" s="497">
        <v>30283.47116666667</v>
      </c>
      <c r="N190" s="566">
        <f t="shared" si="78"/>
        <v>16518.256999999998</v>
      </c>
      <c r="O190" s="547">
        <f t="shared" si="75"/>
        <v>46801.728166666668</v>
      </c>
      <c r="P190" s="566">
        <f t="shared" si="76"/>
        <v>118380.84183333334</v>
      </c>
      <c r="Q190" s="499"/>
      <c r="R190" s="499"/>
      <c r="S190" s="542"/>
      <c r="T190" s="554"/>
      <c r="U190" s="554"/>
      <c r="V190" s="554"/>
      <c r="W190" s="554"/>
      <c r="X190" s="554"/>
      <c r="Y190" s="555">
        <v>165182.57</v>
      </c>
      <c r="Z190" s="554"/>
      <c r="AB190" s="554"/>
      <c r="AC190" s="554"/>
      <c r="AD190" s="554"/>
      <c r="AE190" s="554"/>
      <c r="AF190" s="554"/>
      <c r="AG190" s="554"/>
      <c r="AH190" s="554"/>
      <c r="AI190" s="555">
        <f>O190</f>
        <v>46801.728166666668</v>
      </c>
      <c r="AJ190" s="555">
        <f t="shared" si="77"/>
        <v>0</v>
      </c>
      <c r="AK190" s="535"/>
      <c r="AS190" s="579">
        <f>N190</f>
        <v>16518.256999999998</v>
      </c>
    </row>
    <row r="191" spans="1:58" s="571" customFormat="1" ht="12" customHeight="1">
      <c r="B191" s="450" t="s">
        <v>906</v>
      </c>
      <c r="D191" s="710">
        <v>41730</v>
      </c>
      <c r="F191" s="451" t="s">
        <v>406</v>
      </c>
      <c r="G191" s="684">
        <v>15</v>
      </c>
      <c r="I191" s="461">
        <v>14412</v>
      </c>
      <c r="J191" s="521">
        <v>100</v>
      </c>
      <c r="K191" s="521">
        <v>0</v>
      </c>
      <c r="M191" s="461">
        <v>0</v>
      </c>
      <c r="N191" s="566">
        <f>O191-M191</f>
        <v>720.59999999999991</v>
      </c>
      <c r="O191" s="547">
        <f>IF(ABS(M191)&lt;ABS(I191),IF(M191+I191/G191&gt;I191,I191,M191+I191/G191),I191)/12*9</f>
        <v>720.59999999999991</v>
      </c>
      <c r="P191" s="566">
        <f>I191-O191</f>
        <v>13691.4</v>
      </c>
      <c r="Q191" s="458"/>
      <c r="S191" s="613"/>
      <c r="T191" s="567"/>
      <c r="U191" s="567"/>
      <c r="V191" s="567"/>
      <c r="W191" s="711"/>
      <c r="X191" s="567"/>
      <c r="Y191" s="570">
        <f>I191</f>
        <v>14412</v>
      </c>
      <c r="Z191" s="570">
        <f>SUM(S191:Y191)-I191</f>
        <v>0</v>
      </c>
      <c r="AB191" s="567"/>
      <c r="AC191" s="567"/>
      <c r="AD191" s="567"/>
      <c r="AE191" s="567"/>
      <c r="AF191" s="567"/>
      <c r="AH191" s="567"/>
      <c r="AI191" s="570">
        <f>O191</f>
        <v>720.59999999999991</v>
      </c>
      <c r="AJ191" s="570">
        <f>SUM(AC191:AI191)-O191</f>
        <v>0</v>
      </c>
      <c r="AQ191" s="579"/>
      <c r="AS191" s="579">
        <f>N191</f>
        <v>720.59999999999991</v>
      </c>
    </row>
    <row r="192" spans="1:58" ht="12" customHeight="1">
      <c r="A192" s="445"/>
      <c r="B192" s="482"/>
      <c r="C192" s="450"/>
      <c r="D192" s="451"/>
      <c r="E192" s="445"/>
      <c r="F192" s="445"/>
      <c r="G192" s="482" t="s">
        <v>417</v>
      </c>
      <c r="H192" s="445"/>
      <c r="I192" s="529">
        <f>SUM(I184:I191)</f>
        <v>280440.27</v>
      </c>
      <c r="J192" s="521"/>
      <c r="K192" s="452"/>
      <c r="L192" s="452"/>
      <c r="M192" s="529">
        <f>SUM(M184:M191)</f>
        <v>124806.26616666667</v>
      </c>
      <c r="N192" s="529">
        <f>SUM(N184:N191)</f>
        <v>19561.761999999995</v>
      </c>
      <c r="O192" s="529">
        <f>SUM(O184:O191)</f>
        <v>144368.02816666666</v>
      </c>
      <c r="P192" s="529">
        <f>SUM(P184:P191)</f>
        <v>136072.24183333333</v>
      </c>
      <c r="Q192" s="510" t="s">
        <v>157</v>
      </c>
      <c r="R192" s="499"/>
      <c r="S192" s="544">
        <v>0</v>
      </c>
      <c r="T192" s="500"/>
      <c r="U192" s="530">
        <v>0</v>
      </c>
      <c r="V192" s="500"/>
      <c r="W192" s="530">
        <v>0</v>
      </c>
      <c r="X192" s="500"/>
      <c r="Y192" s="530">
        <f>SUM(Y184:Y191)</f>
        <v>280440.27</v>
      </c>
      <c r="Z192" s="557">
        <f>SUM(S192:Y192)</f>
        <v>280440.27</v>
      </c>
      <c r="AB192" s="500"/>
      <c r="AC192" s="530">
        <v>0</v>
      </c>
      <c r="AD192" s="500"/>
      <c r="AE192" s="530">
        <v>0</v>
      </c>
      <c r="AF192" s="500"/>
      <c r="AG192" s="530">
        <v>0</v>
      </c>
      <c r="AH192" s="500"/>
      <c r="AI192" s="530">
        <f>SUM(AI184:AI191)</f>
        <v>144368.02816666666</v>
      </c>
      <c r="AJ192" s="555">
        <f>AI192+AG192</f>
        <v>144368.02816666666</v>
      </c>
      <c r="AK192" s="535"/>
      <c r="AL192" s="416"/>
      <c r="AM192" s="568">
        <v>0</v>
      </c>
      <c r="AN192" s="567"/>
      <c r="AO192" s="568">
        <v>0</v>
      </c>
      <c r="AP192" s="567"/>
      <c r="AQ192" s="568">
        <f>SUM(AQ184:AQ191)</f>
        <v>0</v>
      </c>
      <c r="AS192" s="562">
        <f>SUM(AS184:AS191)</f>
        <v>19561.761999999995</v>
      </c>
      <c r="AT192" s="570">
        <f>AS192+AQ192</f>
        <v>19561.761999999995</v>
      </c>
      <c r="AU192" s="416"/>
      <c r="AV192" s="416"/>
      <c r="AW192" s="416"/>
      <c r="AX192" s="416"/>
      <c r="AY192" s="416"/>
      <c r="AZ192" s="416"/>
      <c r="BA192" s="416"/>
      <c r="BB192" s="416"/>
      <c r="BC192" s="416"/>
      <c r="BD192" s="416"/>
      <c r="BE192" s="416"/>
      <c r="BF192" s="416"/>
    </row>
    <row r="193" spans="1:58" ht="12" customHeight="1">
      <c r="A193" s="450"/>
      <c r="B193" s="450"/>
      <c r="C193" s="450"/>
      <c r="D193" s="451"/>
      <c r="E193" s="445"/>
      <c r="F193" s="445"/>
      <c r="G193" s="445"/>
      <c r="H193" s="445"/>
      <c r="I193" s="506"/>
      <c r="J193" s="521"/>
      <c r="K193" s="452"/>
      <c r="L193" s="452"/>
      <c r="M193" s="531"/>
      <c r="N193" s="531"/>
      <c r="O193" s="506"/>
      <c r="P193" s="531"/>
      <c r="Q193" s="499"/>
      <c r="R193" s="499"/>
      <c r="S193" s="542"/>
      <c r="T193" s="500"/>
      <c r="U193" s="500"/>
      <c r="V193" s="500"/>
      <c r="W193" s="500"/>
      <c r="X193" s="500"/>
      <c r="Y193" s="500"/>
      <c r="Z193" s="500"/>
      <c r="AB193" s="500"/>
      <c r="AC193" s="500"/>
      <c r="AD193" s="500"/>
      <c r="AE193" s="500"/>
      <c r="AF193" s="500"/>
      <c r="AG193" s="500"/>
      <c r="AH193" s="500"/>
      <c r="AI193" s="500"/>
      <c r="AJ193" s="554"/>
      <c r="AK193" s="535"/>
      <c r="AL193" s="416"/>
      <c r="AM193" s="416"/>
      <c r="AN193" s="416"/>
      <c r="AO193" s="416"/>
      <c r="AP193" s="416"/>
      <c r="AQ193" s="416"/>
      <c r="AR193" s="416"/>
      <c r="AS193" s="416"/>
      <c r="AT193" s="416"/>
      <c r="AU193" s="416"/>
      <c r="AV193" s="416"/>
      <c r="AW193" s="416"/>
      <c r="AX193" s="416"/>
      <c r="AY193" s="416"/>
      <c r="AZ193" s="416"/>
      <c r="BA193" s="416"/>
      <c r="BB193" s="416"/>
      <c r="BC193" s="416"/>
      <c r="BD193" s="416"/>
      <c r="BE193" s="416"/>
      <c r="BF193" s="416"/>
    </row>
    <row r="194" spans="1:58" ht="12" customHeight="1" thickBot="1">
      <c r="A194" s="501"/>
      <c r="B194" s="482"/>
      <c r="C194" s="482"/>
      <c r="D194" s="522"/>
      <c r="E194" s="501"/>
      <c r="F194" s="706" t="s">
        <v>418</v>
      </c>
      <c r="G194" s="706"/>
      <c r="H194" s="501"/>
      <c r="I194" s="532">
        <f>I192+I182+I149+I26+I15</f>
        <v>9474487.0950000007</v>
      </c>
      <c r="J194" s="533"/>
      <c r="K194" s="525"/>
      <c r="L194" s="525"/>
      <c r="M194" s="683">
        <f>M192+M182+M149+M26+M15</f>
        <v>5750168.3246071432</v>
      </c>
      <c r="N194" s="683">
        <f>N192+N182+N149+N26+N15</f>
        <v>285006.63097619044</v>
      </c>
      <c r="O194" s="683">
        <f>O192+O182+O149+O26+O15</f>
        <v>6035174.955583333</v>
      </c>
      <c r="P194" s="683">
        <f>P192+P182+P149+P26+P15</f>
        <v>3439312.1394166667</v>
      </c>
      <c r="Q194" s="510"/>
      <c r="R194" s="510"/>
      <c r="S194" s="556">
        <f>S192+S182+S149+S26+S15</f>
        <v>3508506.5949999997</v>
      </c>
      <c r="T194" s="554"/>
      <c r="U194" s="556">
        <f>U192+U182+U149+U26+U15</f>
        <v>449034.47000000003</v>
      </c>
      <c r="V194" s="554"/>
      <c r="W194" s="556">
        <f>W192+W182+W149+W26+W15</f>
        <v>4914636.4950000001</v>
      </c>
      <c r="X194" s="554"/>
      <c r="Y194" s="556">
        <f>Y192+Y182+Y149+Y26+Y15</f>
        <v>602309.53499999992</v>
      </c>
      <c r="Z194" s="556">
        <f>Z192+Z182+Z149+Z26+Z15</f>
        <v>9474487.0950000007</v>
      </c>
      <c r="AB194" s="500"/>
      <c r="AC194" s="556">
        <f>AC192+AC182+AC149+AC26+AC15</f>
        <v>2852594.2180000003</v>
      </c>
      <c r="AD194" s="556"/>
      <c r="AE194" s="556">
        <f>AE192+AE182+AE149+AE26+AE15</f>
        <v>375098.94800000003</v>
      </c>
      <c r="AF194" s="556"/>
      <c r="AG194" s="556">
        <f>AG192+AG182+AG149+AG26+AG15</f>
        <v>2367830.2099166671</v>
      </c>
      <c r="AH194" s="556"/>
      <c r="AI194" s="556">
        <f>AI192+AI182+AI149+AI26+AI15</f>
        <v>439651.57966666657</v>
      </c>
      <c r="AJ194" s="556">
        <f>AJ192+AJ182+AJ149+AJ26+AJ15</f>
        <v>6035174.955583334</v>
      </c>
      <c r="AK194" s="535"/>
      <c r="AL194" s="416"/>
      <c r="AM194" s="569">
        <f>AM192+AM182+AM149+AM26+AM15</f>
        <v>62850.760428571433</v>
      </c>
      <c r="AN194" s="569"/>
      <c r="AO194" s="569">
        <f>AO192+AO182+AO149+AO26+AO15</f>
        <v>3696.7839999999997</v>
      </c>
      <c r="AP194" s="569"/>
      <c r="AQ194" s="569">
        <f>AQ192+AQ182+AQ149+AQ26+AQ15</f>
        <v>188828.67366666664</v>
      </c>
      <c r="AR194" s="569"/>
      <c r="AS194" s="569">
        <f>AS192+AS182+AS149+AS26+AS15</f>
        <v>29630.412880952375</v>
      </c>
      <c r="AT194" s="569">
        <f>AT192+AT182+AT149+AT26+AT15</f>
        <v>285006.63097619044</v>
      </c>
      <c r="AU194" s="416"/>
      <c r="AV194" s="416"/>
      <c r="AW194" s="416"/>
      <c r="AX194" s="416"/>
      <c r="AY194" s="416"/>
      <c r="AZ194" s="416"/>
      <c r="BA194" s="416"/>
      <c r="BB194" s="416"/>
      <c r="BC194" s="416"/>
      <c r="BD194" s="416"/>
      <c r="BE194" s="416"/>
      <c r="BF194" s="416"/>
    </row>
    <row r="195" spans="1:58" ht="12" customHeight="1" thickTop="1">
      <c r="A195" s="450"/>
      <c r="B195" s="450"/>
      <c r="C195" s="450"/>
      <c r="D195" s="451"/>
      <c r="E195" s="445"/>
      <c r="F195" s="445"/>
      <c r="G195" s="445"/>
      <c r="H195" s="445"/>
      <c r="I195" s="513"/>
      <c r="J195" s="445"/>
      <c r="K195" s="452"/>
      <c r="L195" s="452"/>
      <c r="M195" s="453"/>
      <c r="N195" s="461">
        <f>285008-N194</f>
        <v>1.3690238095587119</v>
      </c>
      <c r="O195" s="453"/>
      <c r="P195" s="461" t="s">
        <v>157</v>
      </c>
      <c r="Q195" s="499"/>
      <c r="R195" s="499"/>
      <c r="S195" s="542"/>
      <c r="T195" s="500"/>
      <c r="U195" s="500"/>
      <c r="V195" s="500"/>
      <c r="W195" s="500"/>
      <c r="X195" s="500"/>
      <c r="Y195" s="500"/>
      <c r="Z195" s="500"/>
      <c r="AB195" s="500"/>
      <c r="AC195" s="500"/>
      <c r="AD195" s="500"/>
      <c r="AE195" s="500"/>
      <c r="AF195" s="500"/>
      <c r="AG195" s="500"/>
      <c r="AH195" s="500"/>
      <c r="AI195" s="500"/>
      <c r="AJ195" s="554"/>
      <c r="AK195" s="535"/>
      <c r="AL195" s="416"/>
      <c r="AM195" s="416"/>
      <c r="AN195" s="416"/>
      <c r="AO195" s="416"/>
      <c r="AP195" s="416"/>
      <c r="AQ195" s="416"/>
      <c r="AR195" s="416"/>
      <c r="AS195" s="416"/>
      <c r="AT195" s="416"/>
      <c r="AU195" s="416"/>
      <c r="AV195" s="416"/>
      <c r="AW195" s="416"/>
      <c r="AX195" s="416"/>
      <c r="AY195" s="416"/>
      <c r="AZ195" s="416"/>
      <c r="BA195" s="416"/>
      <c r="BB195" s="416"/>
      <c r="BC195" s="416"/>
      <c r="BD195" s="416"/>
      <c r="BE195" s="416"/>
      <c r="BF195" s="416"/>
    </row>
    <row r="196" spans="1:58" ht="12" customHeight="1">
      <c r="A196" s="509"/>
      <c r="B196" s="445"/>
      <c r="C196" s="445"/>
      <c r="D196" s="445"/>
      <c r="E196" s="445"/>
      <c r="F196" s="445"/>
      <c r="G196" s="521"/>
      <c r="H196" s="455"/>
      <c r="I196" s="461"/>
      <c r="J196" s="521"/>
      <c r="K196" s="521"/>
      <c r="L196" s="521"/>
      <c r="N196" s="574" t="s">
        <v>157</v>
      </c>
      <c r="O196" s="461"/>
      <c r="P196" s="445"/>
      <c r="Q196" s="445"/>
      <c r="R196" s="445"/>
      <c r="T196" s="445"/>
      <c r="U196" s="445"/>
      <c r="V196" s="445"/>
      <c r="W196" s="445"/>
      <c r="X196" s="445"/>
      <c r="Y196" s="445"/>
      <c r="Z196" s="445"/>
      <c r="AB196" s="445"/>
      <c r="AC196" s="445"/>
      <c r="AD196" s="445"/>
      <c r="AE196" s="445"/>
      <c r="AF196" s="445"/>
      <c r="AG196" s="445"/>
      <c r="AH196" s="445"/>
      <c r="AI196" s="445"/>
      <c r="AK196" s="416"/>
      <c r="AL196" s="416"/>
      <c r="AM196" s="416"/>
      <c r="AN196" s="416"/>
      <c r="AO196" s="416"/>
      <c r="AP196" s="416"/>
      <c r="AQ196" s="416"/>
      <c r="AR196" s="416"/>
      <c r="AS196" s="416"/>
      <c r="AT196" s="416"/>
      <c r="AU196" s="416"/>
      <c r="AV196" s="416"/>
      <c r="AW196" s="416"/>
      <c r="AX196" s="416"/>
      <c r="AY196" s="416"/>
      <c r="AZ196" s="416"/>
      <c r="BA196" s="416"/>
      <c r="BB196" s="416"/>
      <c r="BC196" s="416"/>
      <c r="BD196" s="416"/>
      <c r="BE196" s="416"/>
      <c r="BF196" s="416"/>
    </row>
    <row r="197" spans="1:58" ht="12" customHeight="1">
      <c r="A197" s="509" t="s">
        <v>889</v>
      </c>
      <c r="B197" s="445"/>
      <c r="C197" s="445"/>
      <c r="D197" s="445"/>
      <c r="E197" s="445"/>
      <c r="F197" s="445"/>
      <c r="G197" s="445"/>
      <c r="H197" s="455"/>
      <c r="I197" s="461"/>
      <c r="J197" s="521"/>
      <c r="K197" s="521"/>
      <c r="L197" s="521"/>
      <c r="M197" s="461"/>
      <c r="O197" s="461" t="s">
        <v>157</v>
      </c>
      <c r="P197" s="445"/>
      <c r="Q197" s="445"/>
      <c r="R197" s="445"/>
      <c r="T197" s="445"/>
      <c r="U197" s="445"/>
      <c r="V197" s="445"/>
      <c r="W197" s="445"/>
      <c r="X197" s="445"/>
      <c r="Y197" s="445"/>
      <c r="Z197" s="445"/>
      <c r="AB197" s="445"/>
      <c r="AC197" s="445"/>
      <c r="AD197" s="445"/>
      <c r="AE197" s="445"/>
      <c r="AF197" s="445"/>
      <c r="AG197" s="445"/>
      <c r="AH197" s="445"/>
      <c r="AI197" s="445"/>
      <c r="AK197" s="416"/>
      <c r="AL197" s="416"/>
      <c r="AM197" s="416"/>
      <c r="AN197" s="416"/>
      <c r="AO197" s="416"/>
      <c r="AP197" s="416"/>
      <c r="AQ197" s="416"/>
      <c r="AR197" s="416"/>
      <c r="AS197" s="416"/>
      <c r="AT197" s="416"/>
      <c r="AU197" s="416"/>
      <c r="AV197" s="416"/>
      <c r="AW197" s="416"/>
      <c r="AX197" s="416"/>
      <c r="AY197" s="416"/>
      <c r="AZ197" s="416"/>
      <c r="BA197" s="416"/>
      <c r="BB197" s="416"/>
      <c r="BC197" s="416"/>
      <c r="BD197" s="416"/>
      <c r="BE197" s="416"/>
      <c r="BF197" s="416"/>
    </row>
    <row r="198" spans="1:58" ht="12" customHeight="1">
      <c r="A198" s="563">
        <f t="shared" ref="A198:K198" si="81">A191</f>
        <v>0</v>
      </c>
      <c r="B198" s="563" t="str">
        <f t="shared" si="81"/>
        <v>2014 Chevrolet 4x4 Pickup (electric dept share)</v>
      </c>
      <c r="C198" s="563"/>
      <c r="D198" s="675">
        <f t="shared" si="81"/>
        <v>41730</v>
      </c>
      <c r="F198" s="563" t="str">
        <f t="shared" si="81"/>
        <v xml:space="preserve">  SL / N/A</v>
      </c>
      <c r="G198" s="676">
        <f t="shared" si="81"/>
        <v>15</v>
      </c>
      <c r="I198" s="667">
        <f t="shared" si="81"/>
        <v>14412</v>
      </c>
      <c r="J198" s="677">
        <f t="shared" si="81"/>
        <v>100</v>
      </c>
      <c r="K198" s="677">
        <f t="shared" si="81"/>
        <v>0</v>
      </c>
      <c r="M198" s="667">
        <f>M191</f>
        <v>0</v>
      </c>
      <c r="N198" s="667">
        <f>N191</f>
        <v>720.59999999999991</v>
      </c>
      <c r="O198" s="667">
        <f>O191</f>
        <v>720.59999999999991</v>
      </c>
      <c r="P198" s="667">
        <f>P191</f>
        <v>13691.4</v>
      </c>
      <c r="Q198" s="445"/>
      <c r="R198" s="445"/>
      <c r="S198" s="667">
        <f>S191</f>
        <v>0</v>
      </c>
      <c r="T198" s="667" t="s">
        <v>157</v>
      </c>
      <c r="U198" s="667">
        <f>U191</f>
        <v>0</v>
      </c>
      <c r="V198" s="667" t="s">
        <v>157</v>
      </c>
      <c r="W198" s="667">
        <f>W191</f>
        <v>0</v>
      </c>
      <c r="X198" s="667" t="s">
        <v>157</v>
      </c>
      <c r="Y198" s="667">
        <f>Y191</f>
        <v>14412</v>
      </c>
      <c r="Z198" s="667">
        <f>Z191</f>
        <v>0</v>
      </c>
      <c r="AB198" s="667">
        <f>AB191</f>
        <v>0</v>
      </c>
      <c r="AC198" s="667">
        <f>AC191</f>
        <v>0</v>
      </c>
      <c r="AD198" s="667" t="s">
        <v>157</v>
      </c>
      <c r="AE198" s="667">
        <f>AE191</f>
        <v>0</v>
      </c>
      <c r="AF198" s="667" t="s">
        <v>157</v>
      </c>
      <c r="AG198" s="667">
        <f>AG191</f>
        <v>0</v>
      </c>
      <c r="AH198" s="667" t="s">
        <v>157</v>
      </c>
      <c r="AI198" s="667">
        <f>AI191</f>
        <v>720.59999999999991</v>
      </c>
      <c r="AJ198" s="667">
        <f>AJ191</f>
        <v>0</v>
      </c>
      <c r="AK198" s="667">
        <f>AK191</f>
        <v>0</v>
      </c>
      <c r="AL198" s="416"/>
      <c r="AM198" s="667">
        <f>AM191</f>
        <v>0</v>
      </c>
      <c r="AN198" s="667" t="s">
        <v>157</v>
      </c>
      <c r="AO198" s="667">
        <f>AO191</f>
        <v>0</v>
      </c>
      <c r="AP198" s="667" t="s">
        <v>157</v>
      </c>
      <c r="AQ198" s="667">
        <f>AQ191</f>
        <v>0</v>
      </c>
      <c r="AR198" s="667" t="s">
        <v>157</v>
      </c>
      <c r="AS198" s="667">
        <f>AS191</f>
        <v>720.59999999999991</v>
      </c>
      <c r="AT198" s="667">
        <f>AT191</f>
        <v>0</v>
      </c>
      <c r="AU198" s="416"/>
      <c r="AV198" s="416"/>
      <c r="AW198" s="416"/>
      <c r="AX198" s="416"/>
      <c r="AY198" s="416"/>
      <c r="AZ198" s="416"/>
      <c r="BA198" s="416"/>
      <c r="BB198" s="416"/>
      <c r="BC198" s="416"/>
      <c r="BD198" s="416"/>
      <c r="BE198" s="416"/>
      <c r="BF198" s="416"/>
    </row>
    <row r="199" spans="1:58" ht="12" customHeight="1">
      <c r="L199"/>
      <c r="M199" s="667" t="s">
        <v>157</v>
      </c>
      <c r="N199" s="667" t="s">
        <v>157</v>
      </c>
      <c r="S199"/>
      <c r="AJ199"/>
    </row>
    <row r="200" spans="1:58" ht="12" customHeight="1">
      <c r="L200"/>
      <c r="S200"/>
      <c r="AJ200"/>
    </row>
    <row r="201" spans="1:58" ht="12" customHeight="1">
      <c r="L201"/>
      <c r="S201"/>
      <c r="AJ201"/>
    </row>
    <row r="202" spans="1:58" ht="12" customHeight="1">
      <c r="L202"/>
      <c r="S202"/>
      <c r="AJ202"/>
    </row>
    <row r="203" spans="1:58" ht="12" customHeight="1">
      <c r="L203"/>
      <c r="S203"/>
      <c r="AJ203"/>
    </row>
    <row r="204" spans="1:58" ht="12" customHeight="1">
      <c r="L204"/>
      <c r="S204"/>
      <c r="AJ204"/>
    </row>
    <row r="205" spans="1:58" ht="12" customHeight="1">
      <c r="L205"/>
      <c r="S205"/>
      <c r="AJ205"/>
    </row>
    <row r="206" spans="1:58" ht="12" customHeight="1">
      <c r="A206" s="509" t="s">
        <v>785</v>
      </c>
      <c r="B206" s="445"/>
      <c r="C206" s="445"/>
      <c r="D206" s="445"/>
      <c r="E206" s="445"/>
      <c r="F206" s="445"/>
      <c r="G206" s="445"/>
      <c r="H206" s="445"/>
      <c r="I206" s="560">
        <f>SUM(I198:I205)</f>
        <v>14412</v>
      </c>
      <c r="J206" s="445"/>
      <c r="K206" s="445"/>
      <c r="M206" s="560">
        <f t="shared" ref="M206:P206" si="82">SUM(M198:M205)</f>
        <v>0</v>
      </c>
      <c r="N206" s="560">
        <f t="shared" si="82"/>
        <v>720.59999999999991</v>
      </c>
      <c r="O206" s="560">
        <f t="shared" si="82"/>
        <v>720.59999999999991</v>
      </c>
      <c r="P206" s="560">
        <f t="shared" si="82"/>
        <v>13691.4</v>
      </c>
      <c r="Q206" s="445"/>
      <c r="R206" s="445"/>
      <c r="S206" s="564">
        <f>SUM(S198:S205)</f>
        <v>0</v>
      </c>
      <c r="T206" s="445"/>
      <c r="U206" s="564">
        <f>SUM(U198:U205)</f>
        <v>0</v>
      </c>
      <c r="V206" s="445"/>
      <c r="W206" s="564">
        <f>SUM(W198:W205)</f>
        <v>0</v>
      </c>
      <c r="X206" s="445"/>
      <c r="Y206" s="564">
        <f>SUM(Y198:Y205)</f>
        <v>14412</v>
      </c>
      <c r="Z206" s="560">
        <f>SUM(S206:Y206)</f>
        <v>14412</v>
      </c>
      <c r="AB206" s="445"/>
      <c r="AC206" s="564">
        <f>SUM(AC198:AC205)</f>
        <v>0</v>
      </c>
      <c r="AD206" s="580"/>
      <c r="AE206" s="564">
        <f>SUM(AE198:AE205)</f>
        <v>0</v>
      </c>
      <c r="AF206" s="580"/>
      <c r="AG206" s="564">
        <f>SUM(AG198:AG205)</f>
        <v>0</v>
      </c>
      <c r="AH206" s="580"/>
      <c r="AI206" s="564">
        <f>SUM(AI198:AI205)</f>
        <v>720.59999999999991</v>
      </c>
      <c r="AJ206" s="560">
        <f>SUM(AC206:AI206)</f>
        <v>720.59999999999991</v>
      </c>
      <c r="AK206" s="416"/>
      <c r="AL206" s="416"/>
      <c r="AM206" s="564">
        <f>SUM(AM198:AM205)</f>
        <v>0</v>
      </c>
      <c r="AN206" s="580"/>
      <c r="AO206" s="564">
        <f>SUM(AO198:AO205)</f>
        <v>0</v>
      </c>
      <c r="AP206" s="580"/>
      <c r="AQ206" s="564">
        <f>SUM(AQ198:AQ205)</f>
        <v>0</v>
      </c>
      <c r="AR206" s="580"/>
      <c r="AS206" s="564">
        <f>SUM(AS198:AS205)</f>
        <v>720.59999999999991</v>
      </c>
      <c r="AT206" s="560">
        <f>SUM(AM206:AS206)</f>
        <v>720.59999999999991</v>
      </c>
      <c r="AU206" s="416"/>
      <c r="AV206" s="416"/>
      <c r="AW206" s="416"/>
      <c r="AX206" s="416"/>
      <c r="AY206" s="416"/>
      <c r="AZ206" s="416"/>
      <c r="BA206" s="416"/>
      <c r="BB206" s="416"/>
      <c r="BC206" s="416"/>
      <c r="BD206" s="416"/>
      <c r="BE206" s="416"/>
      <c r="BF206" s="416"/>
    </row>
    <row r="207" spans="1:58" ht="12" customHeight="1">
      <c r="A207" s="509"/>
      <c r="B207" s="416"/>
      <c r="C207" s="416"/>
      <c r="D207" s="416"/>
      <c r="E207" s="416"/>
      <c r="F207" s="416"/>
      <c r="G207" s="416"/>
      <c r="H207" s="416"/>
      <c r="I207" s="416"/>
      <c r="J207" s="416"/>
      <c r="K207" s="416"/>
      <c r="M207" s="416"/>
      <c r="N207" s="416"/>
      <c r="O207" s="416"/>
      <c r="P207" s="416"/>
      <c r="Q207" s="416"/>
      <c r="R207" s="416"/>
      <c r="T207" s="416"/>
      <c r="U207" s="416"/>
      <c r="V207" s="416"/>
      <c r="W207" s="416"/>
      <c r="X207" s="416"/>
      <c r="Y207" s="416"/>
      <c r="Z207" s="416"/>
      <c r="AB207" s="416"/>
      <c r="AC207" s="416"/>
      <c r="AD207" s="416"/>
      <c r="AE207" s="416"/>
      <c r="AF207" s="416"/>
      <c r="AG207" s="416"/>
      <c r="AH207" s="416"/>
      <c r="AI207" s="416"/>
      <c r="AK207" s="416"/>
      <c r="AL207" s="416"/>
      <c r="AM207" s="416"/>
      <c r="AN207" s="416"/>
      <c r="AO207" s="416"/>
      <c r="AP207" s="416"/>
      <c r="AQ207" s="416"/>
      <c r="AR207" s="416"/>
      <c r="AS207" s="416"/>
      <c r="AT207" s="416"/>
      <c r="AU207" s="416"/>
      <c r="AV207" s="416"/>
      <c r="AW207" s="416"/>
      <c r="AX207" s="416"/>
      <c r="AY207" s="416"/>
      <c r="AZ207" s="416"/>
      <c r="BA207" s="416"/>
      <c r="BB207" s="416"/>
      <c r="BC207" s="416"/>
      <c r="BD207" s="416"/>
      <c r="BE207" s="416"/>
      <c r="BF207" s="416"/>
    </row>
    <row r="209" spans="1:46" ht="12" customHeight="1">
      <c r="A209" s="574" t="s">
        <v>890</v>
      </c>
    </row>
    <row r="210" spans="1:46" s="571" customFormat="1" ht="12" customHeight="1">
      <c r="A210" t="s">
        <v>830</v>
      </c>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row>
    <row r="211" spans="1:46" ht="12" customHeight="1">
      <c r="A211" s="574" t="s">
        <v>786</v>
      </c>
      <c r="I211" s="560">
        <f>SUM(I210)</f>
        <v>0</v>
      </c>
      <c r="L211" s="560">
        <f t="shared" ref="L211:P211" si="83">SUM(L210)</f>
        <v>0</v>
      </c>
      <c r="M211" s="560">
        <f t="shared" si="83"/>
        <v>0</v>
      </c>
      <c r="N211" s="560">
        <f t="shared" si="83"/>
        <v>0</v>
      </c>
      <c r="O211" s="560">
        <f t="shared" si="83"/>
        <v>0</v>
      </c>
      <c r="P211" s="560">
        <f t="shared" si="83"/>
        <v>0</v>
      </c>
      <c r="S211" s="578">
        <f>SUM(S210)</f>
        <v>0</v>
      </c>
      <c r="U211" s="578">
        <f>SUM(U210)</f>
        <v>0</v>
      </c>
      <c r="W211" s="578">
        <f>SUM(W210)</f>
        <v>0</v>
      </c>
      <c r="Y211" s="578">
        <f>SUM(Y210)</f>
        <v>0</v>
      </c>
      <c r="Z211" s="578">
        <f>SUM(Z210)</f>
        <v>0</v>
      </c>
      <c r="AC211" s="560">
        <f>SUM(AC210)</f>
        <v>0</v>
      </c>
      <c r="AE211" s="578">
        <f>SUM(AE210)</f>
        <v>0</v>
      </c>
      <c r="AG211" s="578">
        <f>SUM(AG210)</f>
        <v>0</v>
      </c>
      <c r="AI211" s="578">
        <f>SUM(AI210)</f>
        <v>0</v>
      </c>
      <c r="AJ211" s="578">
        <f>SUM(AJ210)</f>
        <v>0</v>
      </c>
      <c r="AM211" s="578">
        <f>SUM(AM210)</f>
        <v>0</v>
      </c>
      <c r="AO211" s="578">
        <f>SUM(AO210)</f>
        <v>0</v>
      </c>
      <c r="AQ211" s="578">
        <f>SUM(AQ210)</f>
        <v>0</v>
      </c>
      <c r="AS211" s="578">
        <f>SUM(AS210)</f>
        <v>0</v>
      </c>
      <c r="AT211" s="578">
        <f>SUM(AT210)</f>
        <v>0</v>
      </c>
    </row>
  </sheetData>
  <mergeCells count="7">
    <mergeCell ref="A7:B7"/>
    <mergeCell ref="AM5:AS5"/>
    <mergeCell ref="F194:G194"/>
    <mergeCell ref="AC5:AI5"/>
    <mergeCell ref="E2:I2"/>
    <mergeCell ref="E4:I4"/>
    <mergeCell ref="S5:Y5"/>
  </mergeCells>
  <phoneticPr fontId="2" type="noConversion"/>
  <pageMargins left="0" right="0" top="1" bottom="1" header="0.5" footer="0.5"/>
  <pageSetup paperSize="5" fitToHeight="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4"/>
  <sheetViews>
    <sheetView showGridLines="0" workbookViewId="0">
      <selection activeCell="I29" sqref="I29"/>
    </sheetView>
  </sheetViews>
  <sheetFormatPr defaultRowHeight="12.75"/>
  <cols>
    <col min="1" max="1" width="1" customWidth="1"/>
    <col min="2" max="2" width="1.5703125" customWidth="1"/>
    <col min="3" max="3" width="90.42578125" style="46" customWidth="1"/>
    <col min="4" max="4" width="33.7109375" style="46" customWidth="1"/>
    <col min="5" max="5" width="17" customWidth="1"/>
    <col min="6" max="7" width="0.85546875" customWidth="1"/>
    <col min="8" max="8" width="1.7109375" customWidth="1"/>
  </cols>
  <sheetData>
    <row r="3" spans="2:7" ht="6.75" customHeight="1" thickBot="1"/>
    <row r="4" spans="2:7">
      <c r="B4" s="47"/>
      <c r="C4" s="48"/>
      <c r="D4" s="48"/>
      <c r="E4" s="26"/>
      <c r="F4" s="26"/>
      <c r="G4" s="27"/>
    </row>
    <row r="5" spans="2:7" ht="15.75">
      <c r="B5" s="28"/>
      <c r="C5" s="51" t="s">
        <v>164</v>
      </c>
      <c r="D5" s="51"/>
      <c r="E5" s="29"/>
      <c r="F5" s="29"/>
      <c r="G5" s="30"/>
    </row>
    <row r="6" spans="2:7">
      <c r="B6" s="28"/>
      <c r="C6" s="53"/>
      <c r="D6" s="53"/>
      <c r="E6" s="29"/>
      <c r="F6" s="29"/>
      <c r="G6" s="30"/>
    </row>
    <row r="7" spans="2:7">
      <c r="B7" s="28"/>
      <c r="C7" s="52" t="s">
        <v>154</v>
      </c>
      <c r="D7" s="52"/>
      <c r="E7" s="29"/>
      <c r="F7" s="29"/>
      <c r="G7" s="30"/>
    </row>
    <row r="8" spans="2:7">
      <c r="B8" s="28"/>
      <c r="C8" s="53"/>
      <c r="D8" s="53"/>
      <c r="E8" s="29"/>
      <c r="F8" s="29"/>
      <c r="G8" s="30"/>
    </row>
    <row r="9" spans="2:7">
      <c r="B9" s="28"/>
      <c r="C9" s="53" t="s">
        <v>152</v>
      </c>
      <c r="D9" s="53"/>
      <c r="E9" s="29" t="s">
        <v>153</v>
      </c>
      <c r="F9" s="29"/>
      <c r="G9" s="30"/>
    </row>
    <row r="10" spans="2:7" s="580" customFormat="1">
      <c r="B10" s="28"/>
      <c r="C10"/>
      <c r="D10"/>
      <c r="E10"/>
      <c r="F10" s="29"/>
      <c r="G10" s="30"/>
    </row>
    <row r="11" spans="2:7" s="580" customFormat="1">
      <c r="B11" s="28"/>
      <c r="C11"/>
      <c r="D11"/>
      <c r="E11"/>
      <c r="F11" s="29"/>
      <c r="G11" s="30"/>
    </row>
    <row r="12" spans="2:7" s="580" customFormat="1">
      <c r="B12" s="28"/>
      <c r="C12"/>
      <c r="D12"/>
      <c r="E12"/>
      <c r="F12" s="29"/>
      <c r="G12" s="30"/>
    </row>
    <row r="13" spans="2:7" s="580" customFormat="1">
      <c r="B13" s="28"/>
      <c r="C13"/>
      <c r="D13"/>
      <c r="E13"/>
      <c r="F13" s="29"/>
      <c r="G13" s="30"/>
    </row>
    <row r="14" spans="2:7" s="580" customFormat="1">
      <c r="B14" s="28"/>
      <c r="C14"/>
      <c r="D14"/>
      <c r="E14"/>
      <c r="F14" s="29"/>
      <c r="G14" s="30"/>
    </row>
    <row r="15" spans="2:7" s="580" customFormat="1">
      <c r="B15" s="28"/>
      <c r="C15"/>
      <c r="D15"/>
      <c r="E15"/>
      <c r="F15" s="29"/>
      <c r="G15" s="30"/>
    </row>
    <row r="16" spans="2:7" s="580" customFormat="1">
      <c r="B16" s="28"/>
      <c r="C16"/>
      <c r="D16"/>
      <c r="E16"/>
      <c r="F16" s="29"/>
      <c r="G16" s="30"/>
    </row>
    <row r="17" spans="2:9" s="580" customFormat="1">
      <c r="B17" s="28"/>
      <c r="C17"/>
      <c r="D17"/>
      <c r="E17"/>
      <c r="F17" s="29"/>
      <c r="G17" s="30"/>
    </row>
    <row r="18" spans="2:9" s="580" customFormat="1">
      <c r="B18" s="28"/>
      <c r="C18"/>
      <c r="D18"/>
      <c r="E18"/>
      <c r="F18" s="29"/>
      <c r="G18" s="30"/>
    </row>
    <row r="19" spans="2:9" s="580" customFormat="1">
      <c r="B19" s="28"/>
      <c r="C19"/>
      <c r="D19"/>
      <c r="E19"/>
      <c r="F19" s="29"/>
      <c r="G19" s="30"/>
    </row>
    <row r="20" spans="2:9" s="580" customFormat="1">
      <c r="B20" s="28"/>
      <c r="C20" s="53"/>
      <c r="D20" s="53"/>
      <c r="E20" s="29"/>
      <c r="F20" s="29"/>
      <c r="G20" s="30"/>
    </row>
    <row r="21" spans="2:9" s="580" customFormat="1">
      <c r="B21" s="28"/>
      <c r="C21" s="53"/>
      <c r="D21" s="53"/>
      <c r="E21" s="29"/>
      <c r="F21" s="29"/>
      <c r="G21" s="30"/>
    </row>
    <row r="22" spans="2:9" s="580" customFormat="1">
      <c r="B22" s="28"/>
      <c r="C22" s="53"/>
      <c r="D22" s="53"/>
      <c r="E22" s="29"/>
      <c r="F22" s="29"/>
      <c r="G22" s="30"/>
    </row>
    <row r="23" spans="2:9">
      <c r="B23" s="28"/>
      <c r="C23"/>
      <c r="D23" s="574" t="s">
        <v>899</v>
      </c>
      <c r="E23">
        <f>SUM(E10:E22)</f>
        <v>0</v>
      </c>
      <c r="F23" s="29"/>
      <c r="G23" s="30"/>
      <c r="I23" s="398" t="s">
        <v>157</v>
      </c>
    </row>
    <row r="24" spans="2:9">
      <c r="B24" s="28"/>
      <c r="C24" s="74" t="s">
        <v>157</v>
      </c>
      <c r="D24" s="74" t="s">
        <v>730</v>
      </c>
      <c r="E24" s="412">
        <f>'TARIFF REVENUE'!AC65</f>
        <v>798.87</v>
      </c>
      <c r="F24" s="29"/>
      <c r="G24" s="30"/>
      <c r="I24" s="398" t="s">
        <v>157</v>
      </c>
    </row>
    <row r="25" spans="2:9">
      <c r="B25" s="28"/>
      <c r="F25" s="29"/>
      <c r="G25" s="30"/>
    </row>
    <row r="26" spans="2:9">
      <c r="B26" s="28"/>
      <c r="C26" s="53"/>
      <c r="D26" s="53"/>
      <c r="E26" s="206"/>
      <c r="F26" s="29"/>
      <c r="G26" s="30"/>
    </row>
    <row r="27" spans="2:9">
      <c r="B27" s="28"/>
      <c r="C27" s="681" t="s">
        <v>900</v>
      </c>
      <c r="D27" s="52"/>
      <c r="E27" s="205">
        <f>SUM(E23:E26)</f>
        <v>798.87</v>
      </c>
      <c r="F27" s="29"/>
      <c r="G27" s="30"/>
    </row>
    <row r="28" spans="2:9">
      <c r="B28" s="28"/>
      <c r="C28" s="53"/>
      <c r="D28" s="53"/>
      <c r="E28" s="205"/>
      <c r="F28" s="29"/>
      <c r="G28" s="30"/>
    </row>
    <row r="29" spans="2:9">
      <c r="B29" s="28"/>
      <c r="C29" s="52" t="s">
        <v>675</v>
      </c>
      <c r="D29" s="52"/>
      <c r="E29" s="612">
        <f>'MLS1_Salary and Wages Allocator'!F8</f>
        <v>3005.34</v>
      </c>
      <c r="F29" s="29"/>
      <c r="G29" s="30"/>
    </row>
    <row r="30" spans="2:9">
      <c r="B30" s="28"/>
      <c r="C30" s="53"/>
      <c r="D30" s="53"/>
      <c r="E30" s="205"/>
      <c r="F30" s="29"/>
      <c r="G30" s="30"/>
    </row>
    <row r="31" spans="2:9">
      <c r="B31" s="28"/>
      <c r="C31" s="53"/>
      <c r="D31" s="53"/>
      <c r="E31" s="205"/>
      <c r="F31" s="29"/>
      <c r="G31" s="30"/>
    </row>
    <row r="32" spans="2:9">
      <c r="B32" s="28"/>
      <c r="C32" s="56" t="s">
        <v>155</v>
      </c>
      <c r="D32" s="56"/>
      <c r="E32" s="68">
        <f>E27+E29</f>
        <v>3804.21</v>
      </c>
      <c r="F32" s="29"/>
      <c r="G32" s="30"/>
    </row>
    <row r="33" spans="2:7" ht="13.5" thickBot="1">
      <c r="B33" s="31"/>
      <c r="C33" s="69"/>
      <c r="D33" s="69"/>
      <c r="E33" s="207"/>
      <c r="F33" s="32"/>
      <c r="G33" s="33"/>
    </row>
    <row r="34" spans="2:7" ht="3.75" customHeight="1">
      <c r="E34" s="208"/>
    </row>
  </sheetData>
  <phoneticPr fontId="2" type="noConversion"/>
  <pageMargins left="0.75" right="0.75" top="1" bottom="1" header="0.5" footer="0.5"/>
  <pageSetup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2"/>
  <sheetViews>
    <sheetView showGridLines="0" topLeftCell="F4" workbookViewId="0">
      <selection activeCell="T6" sqref="T6"/>
    </sheetView>
  </sheetViews>
  <sheetFormatPr defaultRowHeight="12.75"/>
  <cols>
    <col min="1" max="1" width="6" customWidth="1"/>
    <col min="2" max="2" width="6" bestFit="1" customWidth="1"/>
    <col min="3" max="3" width="6" customWidth="1"/>
    <col min="4" max="4" width="7.42578125" customWidth="1"/>
    <col min="5" max="6" width="10.140625" bestFit="1" customWidth="1"/>
    <col min="7" max="7" width="15.140625" bestFit="1" customWidth="1"/>
    <col min="8" max="8" width="10.5703125" bestFit="1" customWidth="1"/>
    <col min="9" max="9" width="9.7109375" bestFit="1" customWidth="1"/>
    <col min="10" max="10" width="18.140625" bestFit="1" customWidth="1"/>
    <col min="11" max="11" width="11.7109375" bestFit="1" customWidth="1"/>
    <col min="12" max="12" width="17.7109375" bestFit="1" customWidth="1"/>
    <col min="13" max="13" width="16.85546875" bestFit="1" customWidth="1"/>
    <col min="14" max="14" width="11.28515625" customWidth="1"/>
  </cols>
  <sheetData>
    <row r="1" spans="1:22">
      <c r="A1" s="581"/>
      <c r="B1" s="581"/>
      <c r="C1" s="581"/>
      <c r="D1" s="581"/>
      <c r="E1" s="581"/>
      <c r="F1" s="581"/>
      <c r="G1" s="581"/>
      <c r="H1" s="581"/>
      <c r="I1" s="581"/>
      <c r="J1" s="581"/>
      <c r="K1" s="581"/>
      <c r="L1" s="581"/>
      <c r="M1" s="581"/>
      <c r="N1" s="581"/>
      <c r="O1" s="581"/>
      <c r="P1" s="581"/>
      <c r="Q1" s="581"/>
      <c r="R1" s="581"/>
      <c r="S1" s="581"/>
      <c r="T1" s="581"/>
      <c r="U1" s="581"/>
    </row>
    <row r="2" spans="1:22" ht="45">
      <c r="A2" s="581"/>
      <c r="B2" s="581"/>
      <c r="C2" s="581"/>
      <c r="D2" s="584" t="s">
        <v>707</v>
      </c>
      <c r="E2" s="585" t="s">
        <v>708</v>
      </c>
      <c r="F2" s="586" t="s">
        <v>158</v>
      </c>
      <c r="G2" s="586" t="s">
        <v>709</v>
      </c>
      <c r="H2" s="586" t="s">
        <v>710</v>
      </c>
      <c r="I2" s="586" t="s">
        <v>711</v>
      </c>
      <c r="J2" s="586" t="s">
        <v>787</v>
      </c>
      <c r="K2" s="586" t="s">
        <v>788</v>
      </c>
      <c r="L2" s="587" t="s">
        <v>712</v>
      </c>
      <c r="M2" s="586" t="s">
        <v>713</v>
      </c>
      <c r="N2" s="586" t="s">
        <v>714</v>
      </c>
      <c r="O2" s="586" t="s">
        <v>789</v>
      </c>
      <c r="P2" s="586" t="s">
        <v>790</v>
      </c>
      <c r="Q2" s="581"/>
      <c r="R2" s="583">
        <v>2012</v>
      </c>
      <c r="S2" s="583">
        <v>2013</v>
      </c>
      <c r="T2" s="583">
        <v>2014</v>
      </c>
      <c r="U2" s="583">
        <v>2015</v>
      </c>
    </row>
    <row r="3" spans="1:22">
      <c r="A3" s="581"/>
      <c r="B3" s="581"/>
      <c r="C3" s="581"/>
      <c r="D3" s="582" t="s">
        <v>715</v>
      </c>
      <c r="E3" s="588" t="s">
        <v>716</v>
      </c>
      <c r="F3" s="589">
        <v>40927</v>
      </c>
      <c r="G3" s="590">
        <f t="shared" ref="G3:G66" si="0">YEAR(F3)</f>
        <v>2012</v>
      </c>
      <c r="H3" s="590">
        <f t="shared" ref="H3:H66" si="1">MONTH(F3)</f>
        <v>1</v>
      </c>
      <c r="I3" s="591">
        <v>19</v>
      </c>
      <c r="J3" s="591">
        <v>7.6239999999999997</v>
      </c>
      <c r="K3" s="591">
        <v>0</v>
      </c>
      <c r="L3" s="592">
        <v>7.6239999999999997</v>
      </c>
      <c r="M3" s="591">
        <v>6604</v>
      </c>
      <c r="N3" s="593">
        <v>1.1999999999999999E-3</v>
      </c>
      <c r="O3" s="591">
        <v>7.4189999999999996</v>
      </c>
      <c r="P3" s="591">
        <v>0</v>
      </c>
      <c r="Q3" s="581" t="s">
        <v>791</v>
      </c>
      <c r="R3" s="581"/>
      <c r="S3" s="581"/>
      <c r="T3" s="581"/>
      <c r="U3" s="581"/>
    </row>
    <row r="4" spans="1:22">
      <c r="A4" s="581"/>
      <c r="B4" s="581"/>
      <c r="C4" s="581"/>
      <c r="D4" s="582" t="s">
        <v>715</v>
      </c>
      <c r="E4" s="588" t="s">
        <v>716</v>
      </c>
      <c r="F4" s="589">
        <v>40967</v>
      </c>
      <c r="G4" s="590">
        <f t="shared" si="0"/>
        <v>2012</v>
      </c>
      <c r="H4" s="590">
        <f t="shared" si="1"/>
        <v>2</v>
      </c>
      <c r="I4" s="591">
        <v>19</v>
      </c>
      <c r="J4" s="591">
        <v>6.66</v>
      </c>
      <c r="K4" s="591">
        <v>0.54400000000000004</v>
      </c>
      <c r="L4" s="592">
        <v>7.2039999999999997</v>
      </c>
      <c r="M4" s="591">
        <v>6178</v>
      </c>
      <c r="N4" s="593">
        <v>1.1999999999999999E-3</v>
      </c>
      <c r="O4" s="591">
        <v>6.4729999999999999</v>
      </c>
      <c r="P4" s="591">
        <v>0.54400000000000004</v>
      </c>
      <c r="Q4" s="581" t="s">
        <v>792</v>
      </c>
      <c r="R4" s="581">
        <f>AVERAGE(L51:L62)</f>
        <v>9.3786666666666676</v>
      </c>
      <c r="S4" s="581">
        <f>AVERAGE(L63:L74)</f>
        <v>9.5654166666666693</v>
      </c>
      <c r="T4" s="581">
        <f>AVERAGE(L75:L86)</f>
        <v>9.28541666666667</v>
      </c>
      <c r="U4" s="581">
        <f>AVERAGE(L87:L98)</f>
        <v>9.8222500000000004</v>
      </c>
    </row>
    <row r="5" spans="1:22">
      <c r="A5" s="581"/>
      <c r="B5" s="581"/>
      <c r="C5" s="581"/>
      <c r="D5" s="582" t="s">
        <v>715</v>
      </c>
      <c r="E5" s="588" t="s">
        <v>716</v>
      </c>
      <c r="F5" s="589">
        <v>40987</v>
      </c>
      <c r="G5" s="590">
        <f t="shared" si="0"/>
        <v>2012</v>
      </c>
      <c r="H5" s="590">
        <f t="shared" si="1"/>
        <v>3</v>
      </c>
      <c r="I5" s="591">
        <v>14</v>
      </c>
      <c r="J5" s="591">
        <v>5.2949999999999999</v>
      </c>
      <c r="K5" s="591">
        <v>2.3420000000000001</v>
      </c>
      <c r="L5" s="592">
        <v>7.6369999999999996</v>
      </c>
      <c r="M5" s="591">
        <v>6170</v>
      </c>
      <c r="N5" s="593">
        <v>1.1999999999999999E-3</v>
      </c>
      <c r="O5" s="591">
        <v>5.0960000000000001</v>
      </c>
      <c r="P5" s="591">
        <v>2.3420000000000001</v>
      </c>
      <c r="Q5" s="644" t="s">
        <v>887</v>
      </c>
      <c r="R5" s="581"/>
      <c r="S5" s="581"/>
      <c r="T5" s="581">
        <f>AVERAGE(L555:L566)</f>
        <v>10.318583333333333</v>
      </c>
      <c r="U5" s="581"/>
    </row>
    <row r="6" spans="1:22">
      <c r="A6" s="581"/>
      <c r="B6" s="581"/>
      <c r="C6" s="581"/>
      <c r="D6" s="582" t="s">
        <v>715</v>
      </c>
      <c r="E6" s="588" t="s">
        <v>716</v>
      </c>
      <c r="F6" s="589">
        <v>41024</v>
      </c>
      <c r="G6" s="590">
        <f t="shared" si="0"/>
        <v>2012</v>
      </c>
      <c r="H6" s="590">
        <f t="shared" si="1"/>
        <v>4</v>
      </c>
      <c r="I6" s="591">
        <v>15</v>
      </c>
      <c r="J6" s="591">
        <v>7.3550000000000004</v>
      </c>
      <c r="K6" s="591">
        <v>6.7000000000000004E-2</v>
      </c>
      <c r="L6" s="592">
        <v>7.4219999999999997</v>
      </c>
      <c r="M6" s="591">
        <v>5813</v>
      </c>
      <c r="N6" s="593">
        <v>1.2999999999999999E-3</v>
      </c>
      <c r="O6" s="591">
        <v>7.1589999999999998</v>
      </c>
      <c r="P6" s="591">
        <v>6.7000000000000004E-2</v>
      </c>
      <c r="Q6" s="581" t="s">
        <v>888</v>
      </c>
      <c r="R6" s="581"/>
      <c r="S6" s="581"/>
      <c r="T6" s="581">
        <f>AVERAGE(L459:L470)</f>
        <v>3.2437500000000004</v>
      </c>
      <c r="U6" s="581"/>
    </row>
    <row r="7" spans="1:22">
      <c r="A7" s="581"/>
      <c r="B7" s="581"/>
      <c r="C7" s="581"/>
      <c r="D7" s="582" t="s">
        <v>715</v>
      </c>
      <c r="E7" s="588" t="s">
        <v>716</v>
      </c>
      <c r="F7" s="589">
        <v>41047</v>
      </c>
      <c r="G7" s="590">
        <f t="shared" si="0"/>
        <v>2012</v>
      </c>
      <c r="H7" s="590">
        <f t="shared" si="1"/>
        <v>5</v>
      </c>
      <c r="I7" s="591">
        <v>17</v>
      </c>
      <c r="J7" s="591">
        <v>7.3330000000000002</v>
      </c>
      <c r="K7" s="591">
        <v>1.6539999999999999</v>
      </c>
      <c r="L7" s="592">
        <v>8.9870000000000001</v>
      </c>
      <c r="M7" s="591">
        <v>7203</v>
      </c>
      <c r="N7" s="593">
        <v>1.1999999999999999E-3</v>
      </c>
      <c r="O7" s="591">
        <v>7.1539999999999999</v>
      </c>
      <c r="P7" s="591">
        <v>1.6539999999999999</v>
      </c>
      <c r="Q7" s="581"/>
      <c r="R7" s="581"/>
      <c r="S7" s="581"/>
      <c r="T7" s="581"/>
      <c r="U7" s="581"/>
    </row>
    <row r="8" spans="1:22">
      <c r="A8" s="581"/>
      <c r="B8" s="581"/>
      <c r="C8" s="581"/>
      <c r="D8" s="582" t="s">
        <v>715</v>
      </c>
      <c r="E8" s="588" t="s">
        <v>716</v>
      </c>
      <c r="F8" s="589">
        <v>41087</v>
      </c>
      <c r="G8" s="590">
        <f t="shared" si="0"/>
        <v>2012</v>
      </c>
      <c r="H8" s="590">
        <f t="shared" si="1"/>
        <v>6</v>
      </c>
      <c r="I8" s="591">
        <v>17</v>
      </c>
      <c r="J8" s="591">
        <v>11.933</v>
      </c>
      <c r="K8" s="591">
        <v>0.46200000000000002</v>
      </c>
      <c r="L8" s="592">
        <v>12.395</v>
      </c>
      <c r="M8" s="591">
        <v>8833</v>
      </c>
      <c r="N8" s="593">
        <v>1.4E-3</v>
      </c>
      <c r="O8" s="591">
        <v>11.686999999999999</v>
      </c>
      <c r="P8" s="591">
        <v>0.46200000000000002</v>
      </c>
      <c r="Q8" s="581"/>
      <c r="R8" s="581"/>
      <c r="S8" s="581"/>
      <c r="T8" s="581"/>
      <c r="U8" s="581"/>
      <c r="V8" s="580"/>
    </row>
    <row r="9" spans="1:22">
      <c r="A9" s="581"/>
      <c r="B9" s="581"/>
      <c r="C9" s="581"/>
      <c r="D9" s="582" t="s">
        <v>715</v>
      </c>
      <c r="E9" s="588" t="s">
        <v>716</v>
      </c>
      <c r="F9" s="589">
        <v>41092</v>
      </c>
      <c r="G9" s="590">
        <f t="shared" si="0"/>
        <v>2012</v>
      </c>
      <c r="H9" s="590">
        <f t="shared" si="1"/>
        <v>7</v>
      </c>
      <c r="I9" s="591">
        <v>17</v>
      </c>
      <c r="J9" s="591">
        <v>10.741</v>
      </c>
      <c r="K9" s="591">
        <v>1.319</v>
      </c>
      <c r="L9" s="592">
        <v>12.06</v>
      </c>
      <c r="M9" s="591">
        <v>9682</v>
      </c>
      <c r="N9" s="593">
        <v>1.1999999999999999E-3</v>
      </c>
      <c r="O9" s="591">
        <v>10.555</v>
      </c>
      <c r="P9" s="591">
        <v>1.319</v>
      </c>
      <c r="Q9" s="581"/>
      <c r="R9" s="581"/>
      <c r="S9" s="581"/>
      <c r="T9" s="581"/>
      <c r="U9" s="581"/>
      <c r="V9" s="580"/>
    </row>
    <row r="10" spans="1:22">
      <c r="A10" s="581"/>
      <c r="B10" s="581"/>
      <c r="C10" s="581"/>
      <c r="D10" s="582" t="s">
        <v>715</v>
      </c>
      <c r="E10" s="588" t="s">
        <v>716</v>
      </c>
      <c r="F10" s="589">
        <v>41122</v>
      </c>
      <c r="G10" s="590">
        <f t="shared" si="0"/>
        <v>2012</v>
      </c>
      <c r="H10" s="590">
        <f t="shared" si="1"/>
        <v>8</v>
      </c>
      <c r="I10" s="591">
        <v>17</v>
      </c>
      <c r="J10" s="591">
        <v>13.132999999999999</v>
      </c>
      <c r="K10" s="591">
        <v>0.185</v>
      </c>
      <c r="L10" s="592">
        <v>13.318</v>
      </c>
      <c r="M10" s="591">
        <v>8979</v>
      </c>
      <c r="N10" s="593">
        <v>1.5E-3</v>
      </c>
      <c r="O10" s="591">
        <v>12.858000000000001</v>
      </c>
      <c r="P10" s="591">
        <v>0.185</v>
      </c>
      <c r="Q10" s="581"/>
      <c r="R10" s="581" t="s">
        <v>157</v>
      </c>
      <c r="S10" s="581"/>
      <c r="T10" s="581" t="s">
        <v>157</v>
      </c>
      <c r="U10" s="581"/>
      <c r="V10" s="580"/>
    </row>
    <row r="11" spans="1:22">
      <c r="A11" s="581"/>
      <c r="B11" s="581"/>
      <c r="C11" s="581"/>
      <c r="D11" s="582" t="s">
        <v>715</v>
      </c>
      <c r="E11" s="588" t="s">
        <v>716</v>
      </c>
      <c r="F11" s="589">
        <v>41156</v>
      </c>
      <c r="G11" s="590">
        <f t="shared" si="0"/>
        <v>2012</v>
      </c>
      <c r="H11" s="590">
        <f t="shared" si="1"/>
        <v>9</v>
      </c>
      <c r="I11" s="591">
        <v>16</v>
      </c>
      <c r="J11" s="591">
        <v>11.564</v>
      </c>
      <c r="K11" s="591">
        <v>0</v>
      </c>
      <c r="L11" s="592">
        <v>11.564</v>
      </c>
      <c r="M11" s="591">
        <v>8521</v>
      </c>
      <c r="N11" s="593">
        <v>1.4E-3</v>
      </c>
      <c r="O11" s="591">
        <v>11.27</v>
      </c>
      <c r="P11" s="591">
        <v>0</v>
      </c>
      <c r="Q11" s="581"/>
      <c r="R11" s="581"/>
      <c r="S11" s="581"/>
      <c r="T11" s="581"/>
      <c r="U11" s="581"/>
      <c r="V11" s="580"/>
    </row>
    <row r="12" spans="1:22">
      <c r="A12" s="581"/>
      <c r="B12" s="581"/>
      <c r="C12" s="581"/>
      <c r="D12" s="582" t="s">
        <v>715</v>
      </c>
      <c r="E12" s="588" t="s">
        <v>716</v>
      </c>
      <c r="F12" s="589">
        <v>41185</v>
      </c>
      <c r="G12" s="590">
        <f t="shared" si="0"/>
        <v>2012</v>
      </c>
      <c r="H12" s="590">
        <f t="shared" si="1"/>
        <v>10</v>
      </c>
      <c r="I12" s="591">
        <v>14</v>
      </c>
      <c r="J12" s="591">
        <v>7.1589999999999998</v>
      </c>
      <c r="K12" s="591">
        <v>0.80300000000000005</v>
      </c>
      <c r="L12" s="592">
        <v>7.9619999999999997</v>
      </c>
      <c r="M12" s="591">
        <v>6122</v>
      </c>
      <c r="N12" s="593">
        <v>1.2999999999999999E-3</v>
      </c>
      <c r="O12" s="591">
        <v>6.992</v>
      </c>
      <c r="P12" s="591">
        <v>0.80300000000000005</v>
      </c>
      <c r="Q12" s="581"/>
      <c r="R12" s="581"/>
      <c r="S12" s="581"/>
      <c r="T12" s="581"/>
      <c r="U12" s="581"/>
      <c r="V12" s="580"/>
    </row>
    <row r="13" spans="1:22">
      <c r="A13" s="581"/>
      <c r="B13" s="581"/>
      <c r="C13" s="581"/>
      <c r="D13" s="582" t="s">
        <v>715</v>
      </c>
      <c r="E13" s="588" t="s">
        <v>716</v>
      </c>
      <c r="F13" s="589">
        <v>41239</v>
      </c>
      <c r="G13" s="590">
        <f t="shared" si="0"/>
        <v>2012</v>
      </c>
      <c r="H13" s="590">
        <f t="shared" si="1"/>
        <v>11</v>
      </c>
      <c r="I13" s="591">
        <v>18</v>
      </c>
      <c r="J13" s="591">
        <v>6.391</v>
      </c>
      <c r="K13" s="591">
        <v>0.22900000000000001</v>
      </c>
      <c r="L13" s="592">
        <v>6.62</v>
      </c>
      <c r="M13" s="591">
        <v>6416</v>
      </c>
      <c r="N13" s="593">
        <v>1E-3</v>
      </c>
      <c r="O13" s="591">
        <v>6.1639999999999997</v>
      </c>
      <c r="P13" s="591">
        <v>0.22900000000000001</v>
      </c>
      <c r="Q13" s="581"/>
      <c r="R13" s="581"/>
      <c r="S13" s="581"/>
      <c r="T13" s="581"/>
      <c r="U13" s="581"/>
      <c r="V13" s="580"/>
    </row>
    <row r="14" spans="1:22">
      <c r="A14" s="581"/>
      <c r="B14" s="581"/>
      <c r="C14" s="581"/>
      <c r="D14" s="582" t="s">
        <v>715</v>
      </c>
      <c r="E14" s="588" t="s">
        <v>716</v>
      </c>
      <c r="F14" s="589">
        <v>41253</v>
      </c>
      <c r="G14" s="590">
        <f t="shared" si="0"/>
        <v>2012</v>
      </c>
      <c r="H14" s="590">
        <f t="shared" si="1"/>
        <v>12</v>
      </c>
      <c r="I14" s="591">
        <v>18</v>
      </c>
      <c r="J14" s="591">
        <v>8.1850000000000005</v>
      </c>
      <c r="K14" s="591">
        <v>0</v>
      </c>
      <c r="L14" s="592">
        <v>8.1850000000000005</v>
      </c>
      <c r="M14" s="591">
        <v>6609</v>
      </c>
      <c r="N14" s="593">
        <v>1.1999999999999999E-3</v>
      </c>
      <c r="O14" s="591">
        <v>7.9580000000000002</v>
      </c>
      <c r="P14" s="591">
        <v>0</v>
      </c>
      <c r="Q14" s="581"/>
      <c r="R14" s="581"/>
      <c r="S14" s="581"/>
      <c r="T14" s="581"/>
      <c r="U14" s="581"/>
      <c r="V14" s="580"/>
    </row>
    <row r="15" spans="1:22">
      <c r="A15" s="581"/>
      <c r="B15" s="581"/>
      <c r="C15" s="581"/>
      <c r="D15" s="582" t="s">
        <v>715</v>
      </c>
      <c r="E15" s="588" t="s">
        <v>716</v>
      </c>
      <c r="F15" s="589">
        <v>41295</v>
      </c>
      <c r="G15" s="590">
        <f t="shared" si="0"/>
        <v>2013</v>
      </c>
      <c r="H15" s="590">
        <f t="shared" si="1"/>
        <v>1</v>
      </c>
      <c r="I15" s="591">
        <v>19</v>
      </c>
      <c r="J15" s="591">
        <v>7.181</v>
      </c>
      <c r="K15" s="591">
        <v>0.60599999999999998</v>
      </c>
      <c r="L15" s="592">
        <v>7.7869999999999999</v>
      </c>
      <c r="M15" s="591">
        <v>6846</v>
      </c>
      <c r="N15" s="593">
        <v>1.1000000000000001E-3</v>
      </c>
      <c r="O15" s="591">
        <v>6.9729999999999999</v>
      </c>
      <c r="P15" s="591">
        <v>0.60599999999999998</v>
      </c>
      <c r="Q15" s="581"/>
      <c r="R15" s="581"/>
      <c r="S15" s="581"/>
      <c r="T15" s="581"/>
      <c r="U15" s="581"/>
      <c r="V15" s="580"/>
    </row>
    <row r="16" spans="1:22">
      <c r="A16" s="581"/>
      <c r="B16" s="581"/>
      <c r="C16" s="581"/>
      <c r="D16" s="582" t="s">
        <v>715</v>
      </c>
      <c r="E16" s="588" t="s">
        <v>716</v>
      </c>
      <c r="F16" s="589">
        <v>41324</v>
      </c>
      <c r="G16" s="590">
        <f t="shared" si="0"/>
        <v>2013</v>
      </c>
      <c r="H16" s="590">
        <f t="shared" si="1"/>
        <v>2</v>
      </c>
      <c r="I16" s="591">
        <v>19</v>
      </c>
      <c r="J16" s="591">
        <v>7.7690000000000001</v>
      </c>
      <c r="K16" s="591">
        <v>1.085</v>
      </c>
      <c r="L16" s="592">
        <v>8.8539999999999992</v>
      </c>
      <c r="M16" s="591">
        <v>6511</v>
      </c>
      <c r="N16" s="593">
        <v>1.4E-3</v>
      </c>
      <c r="O16" s="591">
        <v>7.5659999999999998</v>
      </c>
      <c r="P16" s="591">
        <v>1.085</v>
      </c>
      <c r="Q16" s="581"/>
      <c r="R16" s="581"/>
      <c r="S16" s="581"/>
      <c r="T16" s="581"/>
      <c r="U16" s="581"/>
      <c r="V16" s="580"/>
    </row>
    <row r="17" spans="1:21">
      <c r="A17" s="581"/>
      <c r="B17" s="581"/>
      <c r="C17" s="581"/>
      <c r="D17" s="582" t="s">
        <v>715</v>
      </c>
      <c r="E17" s="588" t="s">
        <v>716</v>
      </c>
      <c r="F17" s="589">
        <v>41337</v>
      </c>
      <c r="G17" s="590">
        <f t="shared" si="0"/>
        <v>2013</v>
      </c>
      <c r="H17" s="590">
        <f t="shared" si="1"/>
        <v>3</v>
      </c>
      <c r="I17" s="591">
        <v>19</v>
      </c>
      <c r="J17" s="591">
        <v>7.1639999999999997</v>
      </c>
      <c r="K17" s="591">
        <v>0.318</v>
      </c>
      <c r="L17" s="592">
        <v>7.4820000000000002</v>
      </c>
      <c r="M17" s="591">
        <v>6172</v>
      </c>
      <c r="N17" s="593">
        <v>1.1999999999999999E-3</v>
      </c>
      <c r="O17" s="591">
        <v>6.9290000000000003</v>
      </c>
      <c r="P17" s="591">
        <v>0.318</v>
      </c>
      <c r="Q17" s="581"/>
      <c r="R17" s="581"/>
      <c r="S17" s="581"/>
      <c r="T17" s="581"/>
      <c r="U17" s="581"/>
    </row>
    <row r="18" spans="1:21">
      <c r="A18" s="581"/>
      <c r="B18" s="581"/>
      <c r="C18" s="581"/>
      <c r="D18" s="582" t="s">
        <v>715</v>
      </c>
      <c r="E18" s="588" t="s">
        <v>716</v>
      </c>
      <c r="F18" s="589">
        <v>41382</v>
      </c>
      <c r="G18" s="590">
        <f t="shared" si="0"/>
        <v>2013</v>
      </c>
      <c r="H18" s="590">
        <f t="shared" si="1"/>
        <v>4</v>
      </c>
      <c r="I18" s="591">
        <v>12</v>
      </c>
      <c r="J18" s="591">
        <v>5.7640000000000002</v>
      </c>
      <c r="K18" s="591">
        <v>1.1990000000000001</v>
      </c>
      <c r="L18" s="592">
        <v>6.9630000000000001</v>
      </c>
      <c r="M18" s="591">
        <v>5851</v>
      </c>
      <c r="N18" s="593">
        <v>1.1999999999999999E-3</v>
      </c>
      <c r="O18" s="591">
        <v>5.62</v>
      </c>
      <c r="P18" s="591">
        <v>1.1990000000000001</v>
      </c>
      <c r="Q18" s="581"/>
      <c r="R18" s="581"/>
      <c r="S18" s="581"/>
      <c r="T18" s="581"/>
      <c r="U18" s="581"/>
    </row>
    <row r="19" spans="1:21">
      <c r="A19" s="581"/>
      <c r="B19" s="581"/>
      <c r="C19" s="581"/>
      <c r="D19" s="582" t="s">
        <v>715</v>
      </c>
      <c r="E19" s="588" t="s">
        <v>716</v>
      </c>
      <c r="F19" s="589">
        <v>41408</v>
      </c>
      <c r="G19" s="590">
        <f t="shared" si="0"/>
        <v>2013</v>
      </c>
      <c r="H19" s="590">
        <f t="shared" si="1"/>
        <v>5</v>
      </c>
      <c r="I19" s="591">
        <v>17</v>
      </c>
      <c r="J19" s="591">
        <v>7.1429999999999998</v>
      </c>
      <c r="K19" s="591">
        <v>1.67</v>
      </c>
      <c r="L19" s="592">
        <v>8.8130000000000006</v>
      </c>
      <c r="M19" s="591">
        <v>6516</v>
      </c>
      <c r="N19" s="593">
        <v>1.4E-3</v>
      </c>
      <c r="O19" s="591">
        <v>6.9829999999999997</v>
      </c>
      <c r="P19" s="591">
        <v>1.67</v>
      </c>
      <c r="Q19" s="581"/>
      <c r="R19" s="581"/>
      <c r="S19" s="581"/>
      <c r="T19" s="581"/>
      <c r="U19" s="581"/>
    </row>
    <row r="20" spans="1:21">
      <c r="A20" s="581"/>
      <c r="B20" s="581"/>
      <c r="C20" s="581"/>
      <c r="D20" s="582" t="s">
        <v>715</v>
      </c>
      <c r="E20" s="588" t="s">
        <v>716</v>
      </c>
      <c r="F20" s="589">
        <v>41451</v>
      </c>
      <c r="G20" s="590">
        <f t="shared" si="0"/>
        <v>2013</v>
      </c>
      <c r="H20" s="590">
        <f t="shared" si="1"/>
        <v>6</v>
      </c>
      <c r="I20" s="591">
        <v>16</v>
      </c>
      <c r="J20" s="591">
        <v>9.1560000000000006</v>
      </c>
      <c r="K20" s="591">
        <v>1.7450000000000001</v>
      </c>
      <c r="L20" s="592">
        <v>10.901</v>
      </c>
      <c r="M20" s="591">
        <v>8280</v>
      </c>
      <c r="N20" s="593">
        <v>1.2999999999999999E-3</v>
      </c>
      <c r="O20" s="591">
        <v>8.952</v>
      </c>
      <c r="P20" s="591">
        <v>1.7450000000000001</v>
      </c>
      <c r="Q20" s="581"/>
      <c r="R20" s="581"/>
      <c r="S20" s="581"/>
      <c r="T20" s="581"/>
      <c r="U20" s="581"/>
    </row>
    <row r="21" spans="1:21">
      <c r="A21" s="581"/>
      <c r="B21" s="581"/>
      <c r="C21" s="581"/>
      <c r="D21" s="582" t="s">
        <v>715</v>
      </c>
      <c r="E21" s="588" t="s">
        <v>716</v>
      </c>
      <c r="F21" s="589">
        <v>41473</v>
      </c>
      <c r="G21" s="590">
        <f t="shared" si="0"/>
        <v>2013</v>
      </c>
      <c r="H21" s="590">
        <f t="shared" si="1"/>
        <v>7</v>
      </c>
      <c r="I21" s="591">
        <v>17</v>
      </c>
      <c r="J21" s="591">
        <v>11.316000000000001</v>
      </c>
      <c r="K21" s="591">
        <v>1.746</v>
      </c>
      <c r="L21" s="592">
        <v>13.061999999999999</v>
      </c>
      <c r="M21" s="591">
        <v>9566</v>
      </c>
      <c r="N21" s="593">
        <v>1.4E-3</v>
      </c>
      <c r="O21" s="591">
        <v>11.128</v>
      </c>
      <c r="P21" s="591">
        <v>1.746</v>
      </c>
      <c r="Q21" s="581"/>
      <c r="R21" s="581"/>
      <c r="S21" s="581"/>
      <c r="T21" s="581"/>
      <c r="U21" s="581"/>
    </row>
    <row r="22" spans="1:21">
      <c r="A22" s="581"/>
      <c r="B22" s="581"/>
      <c r="C22" s="581"/>
      <c r="D22" s="582" t="s">
        <v>715</v>
      </c>
      <c r="E22" s="588" t="s">
        <v>716</v>
      </c>
      <c r="F22" s="589">
        <v>41512</v>
      </c>
      <c r="G22" s="590">
        <f t="shared" si="0"/>
        <v>2013</v>
      </c>
      <c r="H22" s="590">
        <f t="shared" si="1"/>
        <v>8</v>
      </c>
      <c r="I22" s="591">
        <v>17</v>
      </c>
      <c r="J22" s="591">
        <v>12.284000000000001</v>
      </c>
      <c r="K22" s="591">
        <v>0.66100000000000003</v>
      </c>
      <c r="L22" s="592">
        <v>12.945</v>
      </c>
      <c r="M22" s="591">
        <v>9821</v>
      </c>
      <c r="N22" s="593">
        <v>1.2999999999999999E-3</v>
      </c>
      <c r="O22" s="591">
        <v>12.113</v>
      </c>
      <c r="P22" s="591">
        <v>0.66100000000000003</v>
      </c>
      <c r="Q22" s="581"/>
      <c r="R22" s="581"/>
      <c r="S22" s="581"/>
      <c r="T22" s="581"/>
      <c r="U22" s="581"/>
    </row>
    <row r="23" spans="1:21">
      <c r="A23" s="581"/>
      <c r="B23" s="581"/>
      <c r="C23" s="581"/>
      <c r="D23" s="582" t="s">
        <v>715</v>
      </c>
      <c r="E23" s="588" t="s">
        <v>716</v>
      </c>
      <c r="F23" s="589">
        <v>41526</v>
      </c>
      <c r="G23" s="590">
        <f t="shared" si="0"/>
        <v>2013</v>
      </c>
      <c r="H23" s="590">
        <f t="shared" si="1"/>
        <v>9</v>
      </c>
      <c r="I23" s="591">
        <v>17</v>
      </c>
      <c r="J23" s="591">
        <v>11.632999999999999</v>
      </c>
      <c r="K23" s="591">
        <v>1.78</v>
      </c>
      <c r="L23" s="592">
        <v>13.413</v>
      </c>
      <c r="M23" s="591">
        <v>8781</v>
      </c>
      <c r="N23" s="593">
        <v>1.5E-3</v>
      </c>
      <c r="O23" s="591">
        <v>11.451000000000001</v>
      </c>
      <c r="P23" s="591">
        <v>1.78</v>
      </c>
      <c r="Q23" s="581"/>
      <c r="R23" s="581"/>
      <c r="S23" s="581"/>
      <c r="T23" s="581"/>
      <c r="U23" s="581"/>
    </row>
    <row r="24" spans="1:21">
      <c r="A24" s="581"/>
      <c r="B24" s="581"/>
      <c r="C24" s="581"/>
      <c r="D24" s="582" t="s">
        <v>715</v>
      </c>
      <c r="E24" s="588" t="s">
        <v>716</v>
      </c>
      <c r="F24" s="589">
        <v>41548</v>
      </c>
      <c r="G24" s="590">
        <f t="shared" si="0"/>
        <v>2013</v>
      </c>
      <c r="H24" s="590">
        <f t="shared" si="1"/>
        <v>10</v>
      </c>
      <c r="I24" s="591">
        <v>14</v>
      </c>
      <c r="J24" s="591">
        <v>9.048</v>
      </c>
      <c r="K24" s="591">
        <v>0.107</v>
      </c>
      <c r="L24" s="592">
        <v>9.1549999999999994</v>
      </c>
      <c r="M24" s="591">
        <v>6214</v>
      </c>
      <c r="N24" s="593">
        <v>1.5E-3</v>
      </c>
      <c r="O24" s="591">
        <v>8.81</v>
      </c>
      <c r="P24" s="591">
        <v>0.107</v>
      </c>
      <c r="Q24" s="581"/>
      <c r="R24" s="581"/>
      <c r="S24" s="581"/>
      <c r="T24" s="581"/>
      <c r="U24" s="581"/>
    </row>
    <row r="25" spans="1:21">
      <c r="A25" s="581"/>
      <c r="B25" s="581"/>
      <c r="C25" s="581"/>
      <c r="D25" s="582" t="s">
        <v>715</v>
      </c>
      <c r="E25" s="588" t="s">
        <v>716</v>
      </c>
      <c r="F25" s="589">
        <v>41604</v>
      </c>
      <c r="G25" s="590">
        <f t="shared" si="0"/>
        <v>2013</v>
      </c>
      <c r="H25" s="590">
        <f t="shared" si="1"/>
        <v>11</v>
      </c>
      <c r="I25" s="591">
        <v>18</v>
      </c>
      <c r="J25" s="591">
        <v>5.5739999999999998</v>
      </c>
      <c r="K25" s="591">
        <v>2.3109999999999999</v>
      </c>
      <c r="L25" s="592">
        <v>7.8849999999999998</v>
      </c>
      <c r="M25" s="591">
        <v>6372</v>
      </c>
      <c r="N25" s="593">
        <v>1.1999999999999999E-3</v>
      </c>
      <c r="O25" s="591">
        <v>5.39</v>
      </c>
      <c r="P25" s="591">
        <v>2.3109999999999999</v>
      </c>
      <c r="Q25" s="581"/>
      <c r="R25" s="581"/>
      <c r="S25" s="581"/>
      <c r="T25" s="581"/>
      <c r="U25" s="581"/>
    </row>
    <row r="26" spans="1:21">
      <c r="A26" s="581"/>
      <c r="B26" s="581"/>
      <c r="C26" s="581"/>
      <c r="D26" s="582" t="s">
        <v>715</v>
      </c>
      <c r="E26" s="588" t="s">
        <v>716</v>
      </c>
      <c r="F26" s="589">
        <v>41619</v>
      </c>
      <c r="G26" s="590">
        <f t="shared" si="0"/>
        <v>2013</v>
      </c>
      <c r="H26" s="590">
        <f t="shared" si="1"/>
        <v>12</v>
      </c>
      <c r="I26" s="591">
        <v>18</v>
      </c>
      <c r="J26" s="591">
        <v>8.7360000000000007</v>
      </c>
      <c r="K26" s="591">
        <v>0.56100000000000005</v>
      </c>
      <c r="L26" s="592">
        <v>9.2970000000000006</v>
      </c>
      <c r="M26" s="591">
        <v>6972</v>
      </c>
      <c r="N26" s="593">
        <v>1.2999999999999999E-3</v>
      </c>
      <c r="O26" s="591">
        <v>8.5060000000000002</v>
      </c>
      <c r="P26" s="591">
        <v>0.56100000000000005</v>
      </c>
      <c r="Q26" s="581"/>
      <c r="R26" s="581"/>
      <c r="S26" s="581"/>
      <c r="T26" s="581"/>
      <c r="U26" s="581"/>
    </row>
    <row r="27" spans="1:21">
      <c r="A27" s="581"/>
      <c r="B27" s="581"/>
      <c r="C27" s="581"/>
      <c r="D27" s="582" t="s">
        <v>715</v>
      </c>
      <c r="E27" s="645" t="s">
        <v>716</v>
      </c>
      <c r="F27" s="646">
        <v>41645</v>
      </c>
      <c r="G27" s="590">
        <f t="shared" si="0"/>
        <v>2014</v>
      </c>
      <c r="H27" s="590">
        <f t="shared" si="1"/>
        <v>1</v>
      </c>
      <c r="I27" s="647">
        <v>18</v>
      </c>
      <c r="J27" s="647">
        <v>6.7210000000000001</v>
      </c>
      <c r="K27" s="647">
        <v>1.548</v>
      </c>
      <c r="L27" s="648">
        <v>8.2690000000000001</v>
      </c>
      <c r="M27" s="649">
        <v>7188</v>
      </c>
      <c r="N27" s="647">
        <v>0.115</v>
      </c>
      <c r="O27" s="647">
        <v>6.5220000000000002</v>
      </c>
      <c r="P27" s="647">
        <v>1.548</v>
      </c>
      <c r="Q27" s="581"/>
      <c r="R27" s="581"/>
      <c r="S27" s="581"/>
      <c r="T27" s="581"/>
      <c r="U27" s="581"/>
    </row>
    <row r="28" spans="1:21">
      <c r="A28" s="581"/>
      <c r="B28" s="581"/>
      <c r="C28" s="581"/>
      <c r="D28" s="582" t="s">
        <v>715</v>
      </c>
      <c r="E28" s="645" t="s">
        <v>716</v>
      </c>
      <c r="F28" s="646">
        <v>41676</v>
      </c>
      <c r="G28" s="590">
        <f t="shared" si="0"/>
        <v>2014</v>
      </c>
      <c r="H28" s="590">
        <f t="shared" si="1"/>
        <v>2</v>
      </c>
      <c r="I28" s="647">
        <v>19</v>
      </c>
      <c r="J28" s="647">
        <v>8.42</v>
      </c>
      <c r="K28" s="647">
        <v>0</v>
      </c>
      <c r="L28" s="648">
        <v>8.42</v>
      </c>
      <c r="M28" s="649">
        <v>6743</v>
      </c>
      <c r="N28" s="647">
        <v>0.125</v>
      </c>
      <c r="O28" s="647">
        <v>6.9779999999999998</v>
      </c>
      <c r="P28" s="647">
        <v>0</v>
      </c>
      <c r="Q28" s="581"/>
      <c r="R28" s="581"/>
      <c r="S28" s="581"/>
      <c r="T28" s="581"/>
      <c r="U28" s="581"/>
    </row>
    <row r="29" spans="1:21">
      <c r="A29" s="581"/>
      <c r="B29" s="581"/>
      <c r="C29" s="581"/>
      <c r="D29" s="582" t="s">
        <v>715</v>
      </c>
      <c r="E29" s="645" t="s">
        <v>716</v>
      </c>
      <c r="F29" s="646">
        <v>41701</v>
      </c>
      <c r="G29" s="590">
        <f t="shared" si="0"/>
        <v>2014</v>
      </c>
      <c r="H29" s="590">
        <f t="shared" si="1"/>
        <v>3</v>
      </c>
      <c r="I29" s="647">
        <v>19</v>
      </c>
      <c r="J29" s="647">
        <v>6.9359999999999999</v>
      </c>
      <c r="K29" s="647">
        <v>0.59899999999999998</v>
      </c>
      <c r="L29" s="648">
        <v>7.5350000000000001</v>
      </c>
      <c r="M29" s="649">
        <v>6537</v>
      </c>
      <c r="N29" s="647">
        <v>0.115</v>
      </c>
      <c r="O29" s="647">
        <v>6.8449999999999998</v>
      </c>
      <c r="P29" s="647">
        <v>0.59899999999999998</v>
      </c>
      <c r="Q29" s="581"/>
      <c r="R29" s="581"/>
      <c r="S29" s="581"/>
      <c r="T29" s="581"/>
      <c r="U29" s="581"/>
    </row>
    <row r="30" spans="1:21">
      <c r="A30" s="581"/>
      <c r="B30" s="581"/>
      <c r="C30" s="581"/>
      <c r="D30" s="582" t="s">
        <v>715</v>
      </c>
      <c r="E30" s="645" t="s">
        <v>716</v>
      </c>
      <c r="F30" s="646">
        <v>41730</v>
      </c>
      <c r="G30" s="590">
        <f t="shared" si="0"/>
        <v>2014</v>
      </c>
      <c r="H30" s="590">
        <f t="shared" si="1"/>
        <v>4</v>
      </c>
      <c r="I30" s="647">
        <v>11</v>
      </c>
      <c r="J30" s="647">
        <v>5.1139999999999999</v>
      </c>
      <c r="K30" s="647">
        <v>2.2879999999999998</v>
      </c>
      <c r="L30" s="648">
        <v>7.4020000000000001</v>
      </c>
      <c r="M30" s="649">
        <v>5924</v>
      </c>
      <c r="N30" s="647">
        <v>0.125</v>
      </c>
      <c r="O30" s="647">
        <v>5.2279999999999998</v>
      </c>
      <c r="P30" s="647">
        <v>2.2879999999999998</v>
      </c>
      <c r="Q30" s="581"/>
      <c r="R30" s="581"/>
      <c r="S30" s="581"/>
      <c r="T30" s="581"/>
      <c r="U30" s="581"/>
    </row>
    <row r="31" spans="1:21">
      <c r="A31" s="581"/>
      <c r="B31" s="581"/>
      <c r="C31" s="581"/>
      <c r="D31" s="582" t="s">
        <v>715</v>
      </c>
      <c r="E31" s="645" t="s">
        <v>716</v>
      </c>
      <c r="F31" s="646">
        <v>41789</v>
      </c>
      <c r="G31" s="590">
        <f t="shared" si="0"/>
        <v>2014</v>
      </c>
      <c r="H31" s="590">
        <f t="shared" si="1"/>
        <v>5</v>
      </c>
      <c r="I31" s="647">
        <v>16</v>
      </c>
      <c r="J31" s="647">
        <v>9.8710000000000004</v>
      </c>
      <c r="K31" s="647">
        <v>0.56999999999999995</v>
      </c>
      <c r="L31" s="648">
        <v>10.441000000000001</v>
      </c>
      <c r="M31" s="649">
        <v>7422</v>
      </c>
      <c r="N31" s="647">
        <v>0.14099999999999999</v>
      </c>
      <c r="O31" s="647">
        <v>9.6780000000000008</v>
      </c>
      <c r="P31" s="647">
        <v>0.56999999999999995</v>
      </c>
      <c r="Q31" s="581"/>
      <c r="R31" s="581"/>
      <c r="S31" s="581"/>
      <c r="T31" s="581"/>
      <c r="U31" s="581"/>
    </row>
    <row r="32" spans="1:21">
      <c r="A32" s="581"/>
      <c r="B32" s="581"/>
      <c r="C32" s="581"/>
      <c r="D32" s="582" t="s">
        <v>715</v>
      </c>
      <c r="E32" s="645" t="s">
        <v>716</v>
      </c>
      <c r="F32" s="646">
        <v>41814</v>
      </c>
      <c r="G32" s="590">
        <f t="shared" si="0"/>
        <v>2014</v>
      </c>
      <c r="H32" s="590">
        <f t="shared" si="1"/>
        <v>6</v>
      </c>
      <c r="I32" s="647">
        <v>16</v>
      </c>
      <c r="J32" s="647">
        <v>9.6449999999999996</v>
      </c>
      <c r="K32" s="647">
        <v>8.4000000000000005E-2</v>
      </c>
      <c r="L32" s="648">
        <v>9.7289999999999992</v>
      </c>
      <c r="M32" s="649">
        <v>7670</v>
      </c>
      <c r="N32" s="647">
        <v>0.127</v>
      </c>
      <c r="O32" s="647">
        <v>9.6449999999999996</v>
      </c>
      <c r="P32" s="647">
        <v>8.4000000000000005E-2</v>
      </c>
      <c r="Q32" s="581"/>
      <c r="R32" s="581"/>
      <c r="S32" s="581"/>
      <c r="T32" s="581"/>
      <c r="U32" s="581"/>
    </row>
    <row r="33" spans="1:21">
      <c r="A33" s="581"/>
      <c r="B33" s="581"/>
      <c r="C33" s="581"/>
      <c r="D33" s="582" t="s">
        <v>715</v>
      </c>
      <c r="E33" s="645" t="s">
        <v>716</v>
      </c>
      <c r="F33" s="646">
        <v>41841</v>
      </c>
      <c r="G33" s="590">
        <f t="shared" si="0"/>
        <v>2014</v>
      </c>
      <c r="H33" s="590">
        <f t="shared" si="1"/>
        <v>7</v>
      </c>
      <c r="I33" s="647">
        <v>17</v>
      </c>
      <c r="J33" s="647">
        <v>11.457000000000001</v>
      </c>
      <c r="K33" s="647">
        <v>0</v>
      </c>
      <c r="L33" s="648">
        <v>11.457000000000001</v>
      </c>
      <c r="M33" s="649">
        <v>9150</v>
      </c>
      <c r="N33" s="647">
        <v>0.125</v>
      </c>
      <c r="O33" s="647">
        <v>11.228</v>
      </c>
      <c r="P33" s="647">
        <v>0</v>
      </c>
      <c r="Q33" s="581"/>
      <c r="R33" s="581"/>
      <c r="S33" s="581"/>
      <c r="T33" s="581"/>
      <c r="U33" s="581"/>
    </row>
    <row r="34" spans="1:21">
      <c r="A34" s="581"/>
      <c r="B34" s="581"/>
      <c r="C34" s="581"/>
      <c r="D34" s="582" t="s">
        <v>715</v>
      </c>
      <c r="E34" s="645" t="s">
        <v>716</v>
      </c>
      <c r="F34" s="646">
        <v>41869</v>
      </c>
      <c r="G34" s="590">
        <f t="shared" si="0"/>
        <v>2014</v>
      </c>
      <c r="H34" s="590">
        <f t="shared" si="1"/>
        <v>8</v>
      </c>
      <c r="I34" s="647">
        <v>16</v>
      </c>
      <c r="J34" s="647">
        <v>11.097</v>
      </c>
      <c r="K34" s="647">
        <v>7.8E-2</v>
      </c>
      <c r="L34" s="648">
        <v>11.175000000000001</v>
      </c>
      <c r="M34" s="649">
        <v>8190</v>
      </c>
      <c r="N34" s="647">
        <v>0.13600000000000001</v>
      </c>
      <c r="O34" s="647">
        <v>10.875</v>
      </c>
      <c r="P34" s="647">
        <v>7.8E-2</v>
      </c>
      <c r="Q34" s="581"/>
      <c r="R34" s="581"/>
      <c r="S34" s="581"/>
      <c r="T34" s="581"/>
      <c r="U34" s="581"/>
    </row>
    <row r="35" spans="1:21">
      <c r="A35" s="581"/>
      <c r="B35" s="581"/>
      <c r="C35" s="581"/>
      <c r="D35" s="582" t="s">
        <v>715</v>
      </c>
      <c r="E35" s="645" t="s">
        <v>716</v>
      </c>
      <c r="F35" s="646">
        <v>41886</v>
      </c>
      <c r="G35" s="590">
        <f t="shared" si="0"/>
        <v>2014</v>
      </c>
      <c r="H35" s="590">
        <f t="shared" si="1"/>
        <v>9</v>
      </c>
      <c r="I35" s="647">
        <v>15</v>
      </c>
      <c r="J35" s="647">
        <v>11.45</v>
      </c>
      <c r="K35" s="647">
        <v>8.0000000000000002E-3</v>
      </c>
      <c r="L35" s="648">
        <v>11.458</v>
      </c>
      <c r="M35" s="649">
        <v>7758</v>
      </c>
      <c r="N35" s="647">
        <v>0.14799999999999999</v>
      </c>
      <c r="O35" s="647">
        <v>11.221</v>
      </c>
      <c r="P35" s="647">
        <v>8.0000000000000002E-3</v>
      </c>
      <c r="Q35" s="581"/>
      <c r="R35" s="581"/>
      <c r="S35" s="581"/>
      <c r="T35" s="581"/>
      <c r="U35" s="581"/>
    </row>
    <row r="36" spans="1:21">
      <c r="A36" s="581"/>
      <c r="B36" s="581"/>
      <c r="C36" s="581"/>
      <c r="D36" s="582" t="s">
        <v>715</v>
      </c>
      <c r="E36" s="645" t="s">
        <v>716</v>
      </c>
      <c r="F36" s="646">
        <v>41942</v>
      </c>
      <c r="G36" s="590">
        <f t="shared" si="0"/>
        <v>2014</v>
      </c>
      <c r="H36" s="590">
        <f t="shared" si="1"/>
        <v>10</v>
      </c>
      <c r="I36" s="647">
        <v>20</v>
      </c>
      <c r="J36" s="647">
        <v>4.5389999999999997</v>
      </c>
      <c r="K36" s="647">
        <v>0</v>
      </c>
      <c r="L36" s="648">
        <v>4.5389999999999997</v>
      </c>
      <c r="M36" s="649">
        <v>5901</v>
      </c>
      <c r="N36" s="647">
        <v>7.6999999999999999E-2</v>
      </c>
      <c r="O36" s="647">
        <v>4.4480000000000004</v>
      </c>
      <c r="P36" s="647">
        <v>0</v>
      </c>
      <c r="Q36" s="581"/>
      <c r="R36" s="581"/>
      <c r="S36" s="581"/>
      <c r="T36" s="581"/>
      <c r="U36" s="581"/>
    </row>
    <row r="37" spans="1:21">
      <c r="A37" s="581"/>
      <c r="B37" s="581"/>
      <c r="C37" s="581"/>
      <c r="D37" s="582" t="s">
        <v>715</v>
      </c>
      <c r="E37" s="645" t="s">
        <v>716</v>
      </c>
      <c r="F37" s="646">
        <v>41960</v>
      </c>
      <c r="G37" s="590">
        <f t="shared" si="0"/>
        <v>2014</v>
      </c>
      <c r="H37" s="590">
        <f t="shared" si="1"/>
        <v>11</v>
      </c>
      <c r="I37" s="647">
        <v>18</v>
      </c>
      <c r="J37" s="647">
        <v>5.9059999999999997</v>
      </c>
      <c r="K37" s="647">
        <v>2.1349999999999998</v>
      </c>
      <c r="L37" s="648">
        <v>8.0410000000000004</v>
      </c>
      <c r="M37" s="649">
        <v>6677</v>
      </c>
      <c r="N37" s="647">
        <v>0.12</v>
      </c>
      <c r="O37" s="647">
        <v>5.7880000000000003</v>
      </c>
      <c r="P37" s="647">
        <v>2.1349999999999998</v>
      </c>
      <c r="Q37" s="581"/>
      <c r="R37" s="581"/>
      <c r="S37" s="581"/>
      <c r="T37" s="581"/>
      <c r="U37" s="581"/>
    </row>
    <row r="38" spans="1:21">
      <c r="A38" s="581"/>
      <c r="B38" s="581"/>
      <c r="C38" s="581"/>
      <c r="D38" s="582" t="s">
        <v>715</v>
      </c>
      <c r="E38" s="645" t="s">
        <v>716</v>
      </c>
      <c r="F38" s="646">
        <v>41974</v>
      </c>
      <c r="G38" s="590">
        <f t="shared" si="0"/>
        <v>2014</v>
      </c>
      <c r="H38" s="590">
        <f t="shared" si="1"/>
        <v>12</v>
      </c>
      <c r="I38" s="647">
        <v>18</v>
      </c>
      <c r="J38" s="647">
        <v>8.5399999999999991</v>
      </c>
      <c r="K38" s="647">
        <v>0.13400000000000001</v>
      </c>
      <c r="L38" s="648">
        <v>8.6739999999999995</v>
      </c>
      <c r="M38" s="649">
        <v>6850</v>
      </c>
      <c r="N38" s="647">
        <v>0.127</v>
      </c>
      <c r="O38" s="647">
        <v>8.3689999999999998</v>
      </c>
      <c r="P38" s="647">
        <v>0.13400000000000001</v>
      </c>
      <c r="Q38" s="581"/>
      <c r="R38" s="581"/>
      <c r="S38" s="581"/>
      <c r="T38" s="581"/>
      <c r="U38" s="581"/>
    </row>
    <row r="39" spans="1:21">
      <c r="A39" s="581"/>
      <c r="B39" s="581"/>
      <c r="C39" s="581"/>
      <c r="D39" s="582" t="s">
        <v>715</v>
      </c>
      <c r="E39" s="645" t="s">
        <v>716</v>
      </c>
      <c r="F39" s="646">
        <v>42011</v>
      </c>
      <c r="G39" s="590">
        <f t="shared" si="0"/>
        <v>2015</v>
      </c>
      <c r="H39" s="590">
        <f t="shared" si="1"/>
        <v>1</v>
      </c>
      <c r="I39" s="647">
        <v>18</v>
      </c>
      <c r="J39" s="647">
        <v>7.9850000000000003</v>
      </c>
      <c r="K39" s="647">
        <v>0.27800000000000002</v>
      </c>
      <c r="L39" s="648">
        <v>8.2629999999999999</v>
      </c>
      <c r="M39" s="649">
        <v>6978</v>
      </c>
      <c r="N39" s="647">
        <v>0.11799999999999999</v>
      </c>
      <c r="O39" s="647">
        <v>7.8250000000000002</v>
      </c>
      <c r="P39" s="647">
        <v>0.27800000000000002</v>
      </c>
      <c r="Q39" s="581"/>
      <c r="R39" s="581"/>
      <c r="S39" s="581"/>
      <c r="T39" s="581"/>
      <c r="U39" s="581"/>
    </row>
    <row r="40" spans="1:21">
      <c r="A40" s="581"/>
      <c r="B40" s="581"/>
      <c r="C40" s="581"/>
      <c r="D40" s="582" t="s">
        <v>715</v>
      </c>
      <c r="E40" s="645" t="s">
        <v>716</v>
      </c>
      <c r="F40" s="646">
        <v>42053</v>
      </c>
      <c r="G40" s="590">
        <f t="shared" si="0"/>
        <v>2015</v>
      </c>
      <c r="H40" s="590">
        <f t="shared" si="1"/>
        <v>2</v>
      </c>
      <c r="I40" s="647">
        <v>19</v>
      </c>
      <c r="J40" s="647">
        <v>6.1120000000000001</v>
      </c>
      <c r="K40" s="647">
        <v>1.9350000000000001</v>
      </c>
      <c r="L40" s="648">
        <v>8.0470000000000006</v>
      </c>
      <c r="M40" s="649">
        <v>6744</v>
      </c>
      <c r="N40" s="647">
        <v>0.11899999999999999</v>
      </c>
      <c r="O40" s="647">
        <v>5.9189999999999996</v>
      </c>
      <c r="P40" s="647">
        <v>1.9350000000000001</v>
      </c>
      <c r="Q40" s="581"/>
      <c r="R40" s="581"/>
      <c r="S40" s="581"/>
      <c r="T40" s="581"/>
      <c r="U40" s="581"/>
    </row>
    <row r="41" spans="1:21">
      <c r="A41" s="581"/>
      <c r="B41" s="581"/>
      <c r="C41" s="581"/>
      <c r="D41" s="582" t="s">
        <v>715</v>
      </c>
      <c r="E41" s="645" t="s">
        <v>716</v>
      </c>
      <c r="F41" s="646">
        <v>42067</v>
      </c>
      <c r="G41" s="590">
        <f t="shared" si="0"/>
        <v>2015</v>
      </c>
      <c r="H41" s="590">
        <f t="shared" si="1"/>
        <v>3</v>
      </c>
      <c r="I41" s="647">
        <v>20</v>
      </c>
      <c r="J41" s="647">
        <v>6.3550000000000004</v>
      </c>
      <c r="K41" s="647">
        <v>1.2490000000000001</v>
      </c>
      <c r="L41" s="648">
        <v>7.6040000000000001</v>
      </c>
      <c r="M41" s="649">
        <v>6470</v>
      </c>
      <c r="N41" s="647">
        <v>0.11799999999999999</v>
      </c>
      <c r="O41" s="647">
        <v>6.2080000000000002</v>
      </c>
      <c r="P41" s="647">
        <v>1.2490000000000001</v>
      </c>
      <c r="Q41" s="581"/>
      <c r="R41" s="581"/>
      <c r="S41" s="581"/>
      <c r="T41" s="581"/>
      <c r="U41" s="581"/>
    </row>
    <row r="42" spans="1:21">
      <c r="A42" s="581"/>
      <c r="B42" s="581"/>
      <c r="C42" s="581"/>
      <c r="D42" s="582" t="s">
        <v>715</v>
      </c>
      <c r="E42" s="645" t="s">
        <v>716</v>
      </c>
      <c r="F42" s="646">
        <v>42103</v>
      </c>
      <c r="G42" s="590">
        <f t="shared" si="0"/>
        <v>2015</v>
      </c>
      <c r="H42" s="590">
        <f t="shared" si="1"/>
        <v>4</v>
      </c>
      <c r="I42" s="647">
        <v>12</v>
      </c>
      <c r="J42" s="647">
        <v>5.4560000000000004</v>
      </c>
      <c r="K42" s="647">
        <v>1.798</v>
      </c>
      <c r="L42" s="648">
        <v>7.2539999999999996</v>
      </c>
      <c r="M42" s="649">
        <v>5914</v>
      </c>
      <c r="N42" s="647">
        <v>0.123</v>
      </c>
      <c r="O42" s="647">
        <v>5.2770000000000001</v>
      </c>
      <c r="P42" s="647">
        <v>1.798</v>
      </c>
      <c r="Q42" s="581"/>
      <c r="R42" s="581"/>
      <c r="S42" s="581"/>
      <c r="T42" s="581"/>
      <c r="U42" s="581"/>
    </row>
    <row r="43" spans="1:21">
      <c r="A43" s="581"/>
      <c r="B43" s="581"/>
      <c r="C43" s="581"/>
      <c r="D43" s="582" t="s">
        <v>715</v>
      </c>
      <c r="E43" s="645" t="s">
        <v>716</v>
      </c>
      <c r="F43" s="646">
        <v>42152</v>
      </c>
      <c r="G43" s="590">
        <f t="shared" si="0"/>
        <v>2015</v>
      </c>
      <c r="H43" s="590">
        <f t="shared" si="1"/>
        <v>5</v>
      </c>
      <c r="I43" s="647">
        <v>16</v>
      </c>
      <c r="J43" s="647">
        <v>7.149</v>
      </c>
      <c r="K43" s="647">
        <v>1.494</v>
      </c>
      <c r="L43" s="648">
        <v>8.6430000000000007</v>
      </c>
      <c r="M43" s="649">
        <v>6837</v>
      </c>
      <c r="N43" s="647">
        <v>0.126</v>
      </c>
      <c r="O43" s="647">
        <v>6.9379999999999997</v>
      </c>
      <c r="P43" s="647">
        <v>1.494</v>
      </c>
      <c r="Q43" s="581"/>
      <c r="R43" s="581"/>
      <c r="S43" s="581"/>
      <c r="T43" s="581"/>
      <c r="U43" s="581"/>
    </row>
    <row r="44" spans="1:21">
      <c r="A44" s="581"/>
      <c r="B44" s="581"/>
      <c r="C44" s="581"/>
      <c r="D44" s="582" t="s">
        <v>715</v>
      </c>
      <c r="E44" s="645" t="s">
        <v>716</v>
      </c>
      <c r="F44" s="646">
        <v>42164</v>
      </c>
      <c r="G44" s="590">
        <f t="shared" si="0"/>
        <v>2015</v>
      </c>
      <c r="H44" s="590">
        <f t="shared" si="1"/>
        <v>6</v>
      </c>
      <c r="I44" s="647">
        <v>17</v>
      </c>
      <c r="J44" s="647">
        <v>10.420999999999999</v>
      </c>
      <c r="K44" s="647">
        <v>0.68</v>
      </c>
      <c r="L44" s="648">
        <v>11.101000000000001</v>
      </c>
      <c r="M44" s="649">
        <v>8136</v>
      </c>
      <c r="N44" s="647">
        <v>0.13600000000000001</v>
      </c>
      <c r="O44" s="647">
        <v>10.28</v>
      </c>
      <c r="P44" s="647">
        <v>0.68</v>
      </c>
      <c r="Q44" s="581"/>
      <c r="R44" s="581"/>
      <c r="S44" s="581"/>
      <c r="T44" s="581"/>
      <c r="U44" s="581"/>
    </row>
    <row r="45" spans="1:21">
      <c r="A45" s="581"/>
      <c r="B45" s="581"/>
      <c r="C45" s="581"/>
      <c r="D45" s="582" t="s">
        <v>715</v>
      </c>
      <c r="E45" s="645" t="s">
        <v>716</v>
      </c>
      <c r="F45" s="646">
        <v>42212</v>
      </c>
      <c r="G45" s="590">
        <f t="shared" si="0"/>
        <v>2015</v>
      </c>
      <c r="H45" s="590">
        <f t="shared" si="1"/>
        <v>7</v>
      </c>
      <c r="I45" s="647">
        <v>17</v>
      </c>
      <c r="J45" s="647">
        <v>9.2620000000000005</v>
      </c>
      <c r="K45" s="647">
        <v>0.94599999999999995</v>
      </c>
      <c r="L45" s="648">
        <v>10.208</v>
      </c>
      <c r="M45" s="649">
        <v>8769</v>
      </c>
      <c r="N45" s="647">
        <v>0.11600000000000001</v>
      </c>
      <c r="O45" s="647">
        <v>9.0749999999999993</v>
      </c>
      <c r="P45" s="647">
        <v>0.94599999999999995</v>
      </c>
      <c r="Q45" s="581"/>
      <c r="R45" s="581"/>
      <c r="S45" s="581"/>
      <c r="T45" s="581"/>
      <c r="U45" s="581"/>
    </row>
    <row r="46" spans="1:21">
      <c r="A46" s="581"/>
      <c r="B46" s="581"/>
      <c r="C46" s="581"/>
      <c r="D46" s="582" t="s">
        <v>715</v>
      </c>
      <c r="E46" s="645" t="s">
        <v>716</v>
      </c>
      <c r="F46" s="646">
        <v>42230</v>
      </c>
      <c r="G46" s="590">
        <f t="shared" si="0"/>
        <v>2015</v>
      </c>
      <c r="H46" s="590">
        <f t="shared" si="1"/>
        <v>8</v>
      </c>
      <c r="I46" s="647">
        <v>16</v>
      </c>
      <c r="J46" s="647">
        <v>11.696999999999999</v>
      </c>
      <c r="K46" s="647">
        <v>0.122</v>
      </c>
      <c r="L46" s="648">
        <v>11.819000000000001</v>
      </c>
      <c r="M46" s="649">
        <v>8926</v>
      </c>
      <c r="N46" s="647">
        <v>0.13200000000000001</v>
      </c>
      <c r="O46" s="647">
        <v>11.432</v>
      </c>
      <c r="P46" s="647">
        <v>0.122</v>
      </c>
      <c r="Q46" s="581"/>
      <c r="R46" s="581"/>
      <c r="S46" s="581"/>
      <c r="T46" s="581"/>
      <c r="U46" s="581"/>
    </row>
    <row r="47" spans="1:21">
      <c r="A47" s="581"/>
      <c r="B47" s="581"/>
      <c r="C47" s="581"/>
      <c r="D47" s="582" t="s">
        <v>715</v>
      </c>
      <c r="E47" s="645" t="s">
        <v>716</v>
      </c>
      <c r="F47" s="646">
        <v>42250</v>
      </c>
      <c r="G47" s="590">
        <f t="shared" si="0"/>
        <v>2015</v>
      </c>
      <c r="H47" s="590">
        <f t="shared" si="1"/>
        <v>9</v>
      </c>
      <c r="I47" s="647">
        <v>17</v>
      </c>
      <c r="J47" s="647">
        <v>12.102</v>
      </c>
      <c r="K47" s="647">
        <v>0.14599999999999999</v>
      </c>
      <c r="L47" s="648">
        <v>12.247999999999999</v>
      </c>
      <c r="M47" s="649">
        <v>8657</v>
      </c>
      <c r="N47" s="647">
        <v>0.14099999999999999</v>
      </c>
      <c r="O47" s="647">
        <v>11.907</v>
      </c>
      <c r="P47" s="647">
        <v>0.14599999999999999</v>
      </c>
      <c r="Q47" s="581"/>
      <c r="R47" s="581"/>
      <c r="S47" s="581"/>
      <c r="T47" s="581"/>
      <c r="U47" s="581"/>
    </row>
    <row r="48" spans="1:21">
      <c r="A48" s="581"/>
      <c r="B48" s="581"/>
      <c r="C48" s="581"/>
      <c r="D48" s="582" t="s">
        <v>715</v>
      </c>
      <c r="E48" s="645" t="s">
        <v>716</v>
      </c>
      <c r="F48" s="646">
        <v>42285</v>
      </c>
      <c r="G48" s="590">
        <f t="shared" si="0"/>
        <v>2015</v>
      </c>
      <c r="H48" s="590">
        <f t="shared" si="1"/>
        <v>10</v>
      </c>
      <c r="I48" s="647">
        <v>12</v>
      </c>
      <c r="J48" s="647">
        <v>7.3460000000000001</v>
      </c>
      <c r="K48" s="647">
        <v>0.55200000000000005</v>
      </c>
      <c r="L48" s="648">
        <v>7.8979999999999997</v>
      </c>
      <c r="M48" s="649">
        <v>5943</v>
      </c>
      <c r="N48" s="647">
        <v>0.13300000000000001</v>
      </c>
      <c r="O48" s="647">
        <v>7.0949999999999998</v>
      </c>
      <c r="P48" s="647">
        <v>0.55200000000000005</v>
      </c>
      <c r="Q48" s="581"/>
      <c r="R48" s="581"/>
      <c r="S48" s="581"/>
      <c r="T48" s="581"/>
      <c r="U48" s="581"/>
    </row>
    <row r="49" spans="1:21">
      <c r="A49" s="581"/>
      <c r="B49" s="581"/>
      <c r="C49" s="581"/>
      <c r="D49" s="582" t="s">
        <v>715</v>
      </c>
      <c r="E49" s="645" t="s">
        <v>716</v>
      </c>
      <c r="F49" s="646">
        <v>42338</v>
      </c>
      <c r="G49" s="590">
        <f t="shared" si="0"/>
        <v>2015</v>
      </c>
      <c r="H49" s="590">
        <f t="shared" si="1"/>
        <v>11</v>
      </c>
      <c r="I49" s="647">
        <v>18</v>
      </c>
      <c r="J49" s="647">
        <v>6.9589999999999996</v>
      </c>
      <c r="K49" s="647">
        <v>0.51900000000000002</v>
      </c>
      <c r="L49" s="648">
        <v>7.4779999999999998</v>
      </c>
      <c r="M49" s="649">
        <v>6574</v>
      </c>
      <c r="N49" s="647">
        <v>0.114</v>
      </c>
      <c r="O49" s="647">
        <v>6.5949999999999998</v>
      </c>
      <c r="P49" s="647">
        <v>0.51900000000000002</v>
      </c>
      <c r="Q49" s="581"/>
      <c r="R49" s="581"/>
      <c r="S49" s="581"/>
      <c r="T49" s="581"/>
      <c r="U49" s="581"/>
    </row>
    <row r="50" spans="1:21">
      <c r="A50" s="581"/>
      <c r="B50" s="581"/>
      <c r="C50" s="581"/>
      <c r="D50" s="582" t="s">
        <v>715</v>
      </c>
      <c r="E50" s="645" t="s">
        <v>716</v>
      </c>
      <c r="F50" s="646">
        <v>42355</v>
      </c>
      <c r="G50" s="590">
        <f t="shared" si="0"/>
        <v>2015</v>
      </c>
      <c r="H50" s="590">
        <f t="shared" si="1"/>
        <v>12</v>
      </c>
      <c r="I50" s="647">
        <v>18</v>
      </c>
      <c r="J50" s="647">
        <v>5.915</v>
      </c>
      <c r="K50" s="647">
        <v>1.7050000000000001</v>
      </c>
      <c r="L50" s="648">
        <v>7.62</v>
      </c>
      <c r="M50" s="649">
        <v>6450</v>
      </c>
      <c r="N50" s="647">
        <v>0.11799999999999999</v>
      </c>
      <c r="O50" s="647">
        <v>5.4189999999999996</v>
      </c>
      <c r="P50" s="647">
        <v>1.7050000000000001</v>
      </c>
      <c r="Q50" s="581"/>
      <c r="R50" s="581"/>
      <c r="S50" s="581"/>
      <c r="T50" s="581"/>
      <c r="U50" s="581"/>
    </row>
    <row r="51" spans="1:21">
      <c r="A51" s="581"/>
      <c r="B51" s="581"/>
      <c r="C51" s="581"/>
      <c r="D51" s="582" t="s">
        <v>715</v>
      </c>
      <c r="E51" s="588" t="s">
        <v>717</v>
      </c>
      <c r="F51" s="589">
        <v>40927</v>
      </c>
      <c r="G51" s="590">
        <f t="shared" si="0"/>
        <v>2012</v>
      </c>
      <c r="H51" s="590">
        <f t="shared" si="1"/>
        <v>1</v>
      </c>
      <c r="I51" s="591">
        <v>19</v>
      </c>
      <c r="J51" s="591">
        <v>8.0950000000000006</v>
      </c>
      <c r="K51" s="591">
        <v>0</v>
      </c>
      <c r="L51" s="592">
        <v>8.0950000000000006</v>
      </c>
      <c r="M51" s="591">
        <v>6604</v>
      </c>
      <c r="N51" s="593">
        <v>1.1999999999999999E-3</v>
      </c>
      <c r="O51" s="591">
        <v>8.1769999999999996</v>
      </c>
      <c r="P51" s="591">
        <v>0</v>
      </c>
      <c r="Q51" s="581"/>
      <c r="R51" s="581"/>
      <c r="S51" s="581"/>
      <c r="T51" s="581"/>
      <c r="U51" s="581"/>
    </row>
    <row r="52" spans="1:21">
      <c r="A52" s="581"/>
      <c r="B52" s="581"/>
      <c r="C52" s="581"/>
      <c r="D52" s="582" t="s">
        <v>715</v>
      </c>
      <c r="E52" s="588" t="s">
        <v>717</v>
      </c>
      <c r="F52" s="589">
        <v>40967</v>
      </c>
      <c r="G52" s="590">
        <f t="shared" si="0"/>
        <v>2012</v>
      </c>
      <c r="H52" s="590">
        <f t="shared" si="1"/>
        <v>2</v>
      </c>
      <c r="I52" s="591">
        <v>19</v>
      </c>
      <c r="J52" s="591">
        <v>7.4610000000000003</v>
      </c>
      <c r="K52" s="591">
        <v>0</v>
      </c>
      <c r="L52" s="592">
        <v>7.4610000000000003</v>
      </c>
      <c r="M52" s="591">
        <v>6178</v>
      </c>
      <c r="N52" s="593">
        <v>1.1999999999999999E-3</v>
      </c>
      <c r="O52" s="591">
        <v>7.5380000000000003</v>
      </c>
      <c r="P52" s="591">
        <v>0</v>
      </c>
      <c r="Q52" s="581"/>
      <c r="R52" s="581"/>
      <c r="S52" s="581"/>
      <c r="T52" s="581"/>
      <c r="U52" s="581"/>
    </row>
    <row r="53" spans="1:21">
      <c r="A53" s="581"/>
      <c r="B53" s="581"/>
      <c r="C53" s="581"/>
      <c r="D53" s="582" t="s">
        <v>715</v>
      </c>
      <c r="E53" s="588" t="s">
        <v>717</v>
      </c>
      <c r="F53" s="589">
        <v>40987</v>
      </c>
      <c r="G53" s="590">
        <f t="shared" si="0"/>
        <v>2012</v>
      </c>
      <c r="H53" s="590">
        <f t="shared" si="1"/>
        <v>3</v>
      </c>
      <c r="I53" s="591">
        <v>14</v>
      </c>
      <c r="J53" s="591">
        <v>8.2810000000000006</v>
      </c>
      <c r="K53" s="591">
        <v>0</v>
      </c>
      <c r="L53" s="592">
        <v>8.2810000000000006</v>
      </c>
      <c r="M53" s="591">
        <v>6170</v>
      </c>
      <c r="N53" s="593">
        <v>1.2999999999999999E-3</v>
      </c>
      <c r="O53" s="591">
        <v>8.3559999999999999</v>
      </c>
      <c r="P53" s="591">
        <v>0</v>
      </c>
      <c r="Q53" s="581"/>
      <c r="R53" s="581"/>
      <c r="S53" s="581"/>
      <c r="T53" s="581"/>
      <c r="U53" s="581"/>
    </row>
    <row r="54" spans="1:21">
      <c r="A54" s="581"/>
      <c r="B54" s="581"/>
      <c r="C54" s="581"/>
      <c r="D54" s="582" t="s">
        <v>715</v>
      </c>
      <c r="E54" s="588" t="s">
        <v>717</v>
      </c>
      <c r="F54" s="589">
        <v>41024</v>
      </c>
      <c r="G54" s="590">
        <f t="shared" si="0"/>
        <v>2012</v>
      </c>
      <c r="H54" s="590">
        <f t="shared" si="1"/>
        <v>4</v>
      </c>
      <c r="I54" s="591">
        <v>15</v>
      </c>
      <c r="J54" s="591">
        <v>7.5259999999999998</v>
      </c>
      <c r="K54" s="591">
        <v>0</v>
      </c>
      <c r="L54" s="592">
        <v>7.5259999999999998</v>
      </c>
      <c r="M54" s="591">
        <v>5813</v>
      </c>
      <c r="N54" s="593">
        <v>1.2999999999999999E-3</v>
      </c>
      <c r="O54" s="591">
        <v>7.5919999999999996</v>
      </c>
      <c r="P54" s="591">
        <v>0</v>
      </c>
      <c r="Q54" s="581"/>
      <c r="R54" s="581"/>
      <c r="S54" s="581"/>
      <c r="T54" s="581"/>
      <c r="U54" s="581"/>
    </row>
    <row r="55" spans="1:21">
      <c r="A55" s="581"/>
      <c r="B55" s="581"/>
      <c r="C55" s="581"/>
      <c r="D55" s="582" t="s">
        <v>715</v>
      </c>
      <c r="E55" s="588" t="s">
        <v>717</v>
      </c>
      <c r="F55" s="589">
        <v>41047</v>
      </c>
      <c r="G55" s="590">
        <f t="shared" si="0"/>
        <v>2012</v>
      </c>
      <c r="H55" s="590">
        <f t="shared" si="1"/>
        <v>5</v>
      </c>
      <c r="I55" s="591">
        <v>17</v>
      </c>
      <c r="J55" s="591">
        <v>9.0589999999999993</v>
      </c>
      <c r="K55" s="591">
        <v>0</v>
      </c>
      <c r="L55" s="592">
        <v>9.0589999999999993</v>
      </c>
      <c r="M55" s="591">
        <v>7203</v>
      </c>
      <c r="N55" s="593">
        <v>1.2999999999999999E-3</v>
      </c>
      <c r="O55" s="591">
        <v>9.15</v>
      </c>
      <c r="P55" s="591">
        <v>0</v>
      </c>
      <c r="Q55" s="581"/>
      <c r="R55" s="581"/>
      <c r="S55" s="581"/>
      <c r="T55" s="581"/>
      <c r="U55" s="581"/>
    </row>
    <row r="56" spans="1:21">
      <c r="A56" s="581"/>
      <c r="B56" s="581"/>
      <c r="C56" s="581"/>
      <c r="D56" s="582" t="s">
        <v>715</v>
      </c>
      <c r="E56" s="588" t="s">
        <v>717</v>
      </c>
      <c r="F56" s="589">
        <v>41087</v>
      </c>
      <c r="G56" s="590">
        <f t="shared" si="0"/>
        <v>2012</v>
      </c>
      <c r="H56" s="590">
        <f t="shared" si="1"/>
        <v>6</v>
      </c>
      <c r="I56" s="591">
        <v>17</v>
      </c>
      <c r="J56" s="591">
        <v>11.82</v>
      </c>
      <c r="K56" s="591">
        <v>0</v>
      </c>
      <c r="L56" s="592">
        <v>11.82</v>
      </c>
      <c r="M56" s="591">
        <v>8833</v>
      </c>
      <c r="N56" s="593">
        <v>1.2999999999999999E-3</v>
      </c>
      <c r="O56" s="591">
        <v>11.930999999999999</v>
      </c>
      <c r="P56" s="591">
        <v>0</v>
      </c>
      <c r="Q56" s="581"/>
      <c r="R56" s="581"/>
      <c r="S56" s="581"/>
      <c r="T56" s="581"/>
      <c r="U56" s="581"/>
    </row>
    <row r="57" spans="1:21">
      <c r="A57" s="581"/>
      <c r="B57" s="581"/>
      <c r="C57" s="581"/>
      <c r="D57" s="582" t="s">
        <v>715</v>
      </c>
      <c r="E57" s="588" t="s">
        <v>717</v>
      </c>
      <c r="F57" s="589">
        <v>41092</v>
      </c>
      <c r="G57" s="590">
        <f t="shared" si="0"/>
        <v>2012</v>
      </c>
      <c r="H57" s="590">
        <f t="shared" si="1"/>
        <v>7</v>
      </c>
      <c r="I57" s="591">
        <v>17</v>
      </c>
      <c r="J57" s="591">
        <v>12.789</v>
      </c>
      <c r="K57" s="591">
        <v>0</v>
      </c>
      <c r="L57" s="592">
        <v>12.789</v>
      </c>
      <c r="M57" s="591">
        <v>9682</v>
      </c>
      <c r="N57" s="593">
        <v>1.2999999999999999E-3</v>
      </c>
      <c r="O57" s="591">
        <v>12.896000000000001</v>
      </c>
      <c r="P57" s="591">
        <v>0</v>
      </c>
      <c r="Q57" s="581"/>
      <c r="R57" s="581"/>
      <c r="S57" s="581"/>
      <c r="T57" s="581"/>
      <c r="U57" s="581"/>
    </row>
    <row r="58" spans="1:21">
      <c r="A58" s="581"/>
      <c r="B58" s="581"/>
      <c r="C58" s="581"/>
      <c r="D58" s="582" t="s">
        <v>715</v>
      </c>
      <c r="E58" s="588" t="s">
        <v>717</v>
      </c>
      <c r="F58" s="589">
        <v>41122</v>
      </c>
      <c r="G58" s="590">
        <f t="shared" si="0"/>
        <v>2012</v>
      </c>
      <c r="H58" s="590">
        <f t="shared" si="1"/>
        <v>8</v>
      </c>
      <c r="I58" s="591">
        <v>17</v>
      </c>
      <c r="J58" s="591">
        <v>12.018000000000001</v>
      </c>
      <c r="K58" s="591">
        <v>0</v>
      </c>
      <c r="L58" s="592">
        <v>12.018000000000001</v>
      </c>
      <c r="M58" s="591">
        <v>8979</v>
      </c>
      <c r="N58" s="593">
        <v>1.2999999999999999E-3</v>
      </c>
      <c r="O58" s="591">
        <v>12.132</v>
      </c>
      <c r="P58" s="591">
        <v>0</v>
      </c>
      <c r="Q58" s="581"/>
      <c r="R58" s="581"/>
      <c r="S58" s="581"/>
      <c r="T58" s="581"/>
      <c r="U58" s="581"/>
    </row>
    <row r="59" spans="1:21">
      <c r="A59" s="581"/>
      <c r="B59" s="581"/>
      <c r="C59" s="581"/>
      <c r="D59" s="582" t="s">
        <v>715</v>
      </c>
      <c r="E59" s="588" t="s">
        <v>717</v>
      </c>
      <c r="F59" s="589">
        <v>41156</v>
      </c>
      <c r="G59" s="590">
        <f t="shared" si="0"/>
        <v>2012</v>
      </c>
      <c r="H59" s="590">
        <f t="shared" si="1"/>
        <v>9</v>
      </c>
      <c r="I59" s="591">
        <v>16</v>
      </c>
      <c r="J59" s="591">
        <v>11.038</v>
      </c>
      <c r="K59" s="591">
        <v>0</v>
      </c>
      <c r="L59" s="592">
        <v>11.038</v>
      </c>
      <c r="M59" s="591">
        <v>8521</v>
      </c>
      <c r="N59" s="593">
        <v>1.2999999999999999E-3</v>
      </c>
      <c r="O59" s="591">
        <v>11.143000000000001</v>
      </c>
      <c r="P59" s="591">
        <v>0</v>
      </c>
      <c r="Q59" s="581"/>
      <c r="R59" s="581"/>
      <c r="S59" s="581"/>
      <c r="T59" s="581"/>
      <c r="U59" s="581"/>
    </row>
    <row r="60" spans="1:21">
      <c r="A60" s="581"/>
      <c r="B60" s="581"/>
      <c r="C60" s="581"/>
      <c r="D60" s="582" t="s">
        <v>715</v>
      </c>
      <c r="E60" s="588" t="s">
        <v>717</v>
      </c>
      <c r="F60" s="589">
        <v>41185</v>
      </c>
      <c r="G60" s="590">
        <f t="shared" si="0"/>
        <v>2012</v>
      </c>
      <c r="H60" s="590">
        <f t="shared" si="1"/>
        <v>10</v>
      </c>
      <c r="I60" s="591">
        <v>14</v>
      </c>
      <c r="J60" s="591">
        <v>7.9020000000000001</v>
      </c>
      <c r="K60" s="591">
        <v>0</v>
      </c>
      <c r="L60" s="592">
        <v>7.9020000000000001</v>
      </c>
      <c r="M60" s="591">
        <v>6122</v>
      </c>
      <c r="N60" s="593">
        <v>1.2999999999999999E-3</v>
      </c>
      <c r="O60" s="591">
        <v>7.9809999999999999</v>
      </c>
      <c r="P60" s="591">
        <v>0</v>
      </c>
      <c r="Q60" s="581"/>
      <c r="R60" s="581"/>
      <c r="S60" s="581"/>
      <c r="T60" s="581"/>
      <c r="U60" s="581"/>
    </row>
    <row r="61" spans="1:21">
      <c r="A61" s="581"/>
      <c r="B61" s="581"/>
      <c r="C61" s="581"/>
      <c r="D61" s="582" t="s">
        <v>715</v>
      </c>
      <c r="E61" s="588" t="s">
        <v>717</v>
      </c>
      <c r="F61" s="589">
        <v>41239</v>
      </c>
      <c r="G61" s="590">
        <f t="shared" si="0"/>
        <v>2012</v>
      </c>
      <c r="H61" s="590">
        <f t="shared" si="1"/>
        <v>11</v>
      </c>
      <c r="I61" s="591">
        <v>18</v>
      </c>
      <c r="J61" s="591">
        <v>8.0030000000000001</v>
      </c>
      <c r="K61" s="591">
        <v>0</v>
      </c>
      <c r="L61" s="592">
        <v>8.0030000000000001</v>
      </c>
      <c r="M61" s="591">
        <v>6416</v>
      </c>
      <c r="N61" s="593">
        <v>1.1999999999999999E-3</v>
      </c>
      <c r="O61" s="591">
        <v>8.0660000000000007</v>
      </c>
      <c r="P61" s="591">
        <v>0</v>
      </c>
      <c r="Q61" s="581"/>
      <c r="R61" s="581"/>
      <c r="S61" s="581"/>
      <c r="T61" s="581"/>
      <c r="U61" s="581"/>
    </row>
    <row r="62" spans="1:21">
      <c r="A62" s="581"/>
      <c r="B62" s="581"/>
      <c r="C62" s="581"/>
      <c r="D62" s="582" t="s">
        <v>715</v>
      </c>
      <c r="E62" s="588" t="s">
        <v>717</v>
      </c>
      <c r="F62" s="589">
        <v>41253</v>
      </c>
      <c r="G62" s="590">
        <f t="shared" si="0"/>
        <v>2012</v>
      </c>
      <c r="H62" s="590">
        <f t="shared" si="1"/>
        <v>12</v>
      </c>
      <c r="I62" s="591">
        <v>18</v>
      </c>
      <c r="J62" s="591">
        <v>8.5519999999999996</v>
      </c>
      <c r="K62" s="591">
        <v>0</v>
      </c>
      <c r="L62" s="592">
        <v>8.5519999999999996</v>
      </c>
      <c r="M62" s="591">
        <v>6609</v>
      </c>
      <c r="N62" s="593">
        <v>1.2999999999999999E-3</v>
      </c>
      <c r="O62" s="591">
        <v>8.673</v>
      </c>
      <c r="P62" s="591">
        <v>0</v>
      </c>
      <c r="Q62" s="581"/>
      <c r="R62" s="581"/>
      <c r="S62" s="581"/>
      <c r="T62" s="581"/>
      <c r="U62" s="581"/>
    </row>
    <row r="63" spans="1:21">
      <c r="A63" s="581"/>
      <c r="B63" s="581"/>
      <c r="C63" s="581"/>
      <c r="D63" s="582" t="s">
        <v>715</v>
      </c>
      <c r="E63" s="588" t="s">
        <v>717</v>
      </c>
      <c r="F63" s="589">
        <v>41295</v>
      </c>
      <c r="G63" s="590">
        <f t="shared" si="0"/>
        <v>2013</v>
      </c>
      <c r="H63" s="590">
        <f t="shared" si="1"/>
        <v>1</v>
      </c>
      <c r="I63" s="591">
        <v>19</v>
      </c>
      <c r="J63" s="591">
        <v>8.3889999999999993</v>
      </c>
      <c r="K63" s="591">
        <v>0</v>
      </c>
      <c r="L63" s="592">
        <v>8.3889999999999993</v>
      </c>
      <c r="M63" s="591">
        <v>6846</v>
      </c>
      <c r="N63" s="593">
        <v>1.1999999999999999E-3</v>
      </c>
      <c r="O63" s="591">
        <v>8.4740000000000002</v>
      </c>
      <c r="P63" s="591">
        <v>0</v>
      </c>
      <c r="Q63" s="581"/>
      <c r="R63" s="581"/>
      <c r="S63" s="581"/>
      <c r="T63" s="581"/>
      <c r="U63" s="581"/>
    </row>
    <row r="64" spans="1:21">
      <c r="A64" s="581"/>
      <c r="B64" s="581"/>
      <c r="C64" s="581"/>
      <c r="D64" s="582" t="s">
        <v>715</v>
      </c>
      <c r="E64" s="588" t="s">
        <v>717</v>
      </c>
      <c r="F64" s="589">
        <v>41324</v>
      </c>
      <c r="G64" s="590">
        <f t="shared" si="0"/>
        <v>2013</v>
      </c>
      <c r="H64" s="590">
        <f t="shared" si="1"/>
        <v>2</v>
      </c>
      <c r="I64" s="591">
        <v>19</v>
      </c>
      <c r="J64" s="591">
        <v>7.9219999999999997</v>
      </c>
      <c r="K64" s="591">
        <v>0</v>
      </c>
      <c r="L64" s="592">
        <v>7.9219999999999997</v>
      </c>
      <c r="M64" s="591">
        <v>6511</v>
      </c>
      <c r="N64" s="593">
        <v>1.1999999999999999E-3</v>
      </c>
      <c r="O64" s="591">
        <v>8.0020000000000007</v>
      </c>
      <c r="P64" s="591">
        <v>0</v>
      </c>
      <c r="Q64" s="581"/>
      <c r="R64" s="581"/>
      <c r="S64" s="581"/>
      <c r="T64" s="581"/>
      <c r="U64" s="581"/>
    </row>
    <row r="65" spans="1:21">
      <c r="A65" s="581"/>
      <c r="B65" s="581"/>
      <c r="C65" s="581"/>
      <c r="D65" s="582" t="s">
        <v>715</v>
      </c>
      <c r="E65" s="588" t="s">
        <v>717</v>
      </c>
      <c r="F65" s="589">
        <v>41337</v>
      </c>
      <c r="G65" s="590">
        <f t="shared" si="0"/>
        <v>2013</v>
      </c>
      <c r="H65" s="590">
        <f t="shared" si="1"/>
        <v>3</v>
      </c>
      <c r="I65" s="591">
        <v>19</v>
      </c>
      <c r="J65" s="591">
        <v>7.7130000000000001</v>
      </c>
      <c r="K65" s="591">
        <v>0</v>
      </c>
      <c r="L65" s="592">
        <v>7.7130000000000001</v>
      </c>
      <c r="M65" s="591">
        <v>6172</v>
      </c>
      <c r="N65" s="593">
        <v>1.1999999999999999E-3</v>
      </c>
      <c r="O65" s="591">
        <v>7.7919999999999998</v>
      </c>
      <c r="P65" s="591">
        <v>0</v>
      </c>
      <c r="Q65" s="581"/>
      <c r="R65" s="581"/>
      <c r="S65" s="581"/>
      <c r="T65" s="581"/>
      <c r="U65" s="581"/>
    </row>
    <row r="66" spans="1:21">
      <c r="A66" s="581"/>
      <c r="B66" s="581"/>
      <c r="C66" s="581"/>
      <c r="D66" s="582" t="s">
        <v>715</v>
      </c>
      <c r="E66" s="588" t="s">
        <v>717</v>
      </c>
      <c r="F66" s="589">
        <v>41382</v>
      </c>
      <c r="G66" s="590">
        <f t="shared" si="0"/>
        <v>2013</v>
      </c>
      <c r="H66" s="590">
        <f t="shared" si="1"/>
        <v>4</v>
      </c>
      <c r="I66" s="591">
        <v>12</v>
      </c>
      <c r="J66" s="591">
        <v>8.1270000000000007</v>
      </c>
      <c r="K66" s="591">
        <v>0</v>
      </c>
      <c r="L66" s="592">
        <v>8.1270000000000007</v>
      </c>
      <c r="M66" s="591">
        <v>5851</v>
      </c>
      <c r="N66" s="593">
        <v>1.4E-3</v>
      </c>
      <c r="O66" s="591">
        <v>8.1910000000000007</v>
      </c>
      <c r="P66" s="591">
        <v>0</v>
      </c>
      <c r="Q66" s="581"/>
      <c r="R66" s="581"/>
      <c r="S66" s="581"/>
      <c r="T66" s="581"/>
      <c r="U66" s="581"/>
    </row>
    <row r="67" spans="1:21">
      <c r="A67" s="581"/>
      <c r="B67" s="581"/>
      <c r="C67" s="581"/>
      <c r="D67" s="582" t="s">
        <v>715</v>
      </c>
      <c r="E67" s="588" t="s">
        <v>717</v>
      </c>
      <c r="F67" s="589">
        <v>41408</v>
      </c>
      <c r="G67" s="590">
        <f t="shared" ref="G67:G130" si="2">YEAR(F67)</f>
        <v>2013</v>
      </c>
      <c r="H67" s="590">
        <f t="shared" ref="H67:H130" si="3">MONTH(F67)</f>
        <v>5</v>
      </c>
      <c r="I67" s="591">
        <v>17</v>
      </c>
      <c r="J67" s="591">
        <v>8.1150000000000002</v>
      </c>
      <c r="K67" s="591">
        <v>0</v>
      </c>
      <c r="L67" s="592">
        <v>8.1150000000000002</v>
      </c>
      <c r="M67" s="591">
        <v>6516</v>
      </c>
      <c r="N67" s="593">
        <v>1.1999999999999999E-3</v>
      </c>
      <c r="O67" s="591">
        <v>8.19</v>
      </c>
      <c r="P67" s="591">
        <v>0</v>
      </c>
      <c r="Q67" s="581"/>
      <c r="R67" s="581"/>
      <c r="S67" s="581"/>
      <c r="T67" s="581"/>
      <c r="U67" s="581"/>
    </row>
    <row r="68" spans="1:21">
      <c r="A68" s="581"/>
      <c r="B68" s="581"/>
      <c r="C68" s="581"/>
      <c r="D68" s="582" t="s">
        <v>715</v>
      </c>
      <c r="E68" s="588" t="s">
        <v>717</v>
      </c>
      <c r="F68" s="589">
        <v>41451</v>
      </c>
      <c r="G68" s="590">
        <f t="shared" si="2"/>
        <v>2013</v>
      </c>
      <c r="H68" s="590">
        <f t="shared" si="3"/>
        <v>6</v>
      </c>
      <c r="I68" s="591">
        <v>16</v>
      </c>
      <c r="J68" s="591">
        <v>11.577999999999999</v>
      </c>
      <c r="K68" s="591">
        <v>0</v>
      </c>
      <c r="L68" s="592">
        <v>11.577999999999999</v>
      </c>
      <c r="M68" s="591">
        <v>8280</v>
      </c>
      <c r="N68" s="593">
        <v>1.4E-3</v>
      </c>
      <c r="O68" s="591">
        <v>11.678000000000001</v>
      </c>
      <c r="P68" s="591">
        <v>0</v>
      </c>
      <c r="Q68" s="581"/>
      <c r="R68" s="581"/>
      <c r="S68" s="581"/>
      <c r="T68" s="581"/>
      <c r="U68" s="581"/>
    </row>
    <row r="69" spans="1:21">
      <c r="A69" s="581"/>
      <c r="B69" s="581"/>
      <c r="C69" s="581"/>
      <c r="D69" s="582" t="s">
        <v>715</v>
      </c>
      <c r="E69" s="588" t="s">
        <v>717</v>
      </c>
      <c r="F69" s="589">
        <v>41473</v>
      </c>
      <c r="G69" s="590">
        <f t="shared" si="2"/>
        <v>2013</v>
      </c>
      <c r="H69" s="590">
        <f t="shared" si="3"/>
        <v>7</v>
      </c>
      <c r="I69" s="591">
        <v>17</v>
      </c>
      <c r="J69" s="591">
        <v>12.465</v>
      </c>
      <c r="K69" s="591">
        <v>0</v>
      </c>
      <c r="L69" s="592">
        <v>12.465</v>
      </c>
      <c r="M69" s="591">
        <v>9566</v>
      </c>
      <c r="N69" s="593">
        <v>1.2999999999999999E-3</v>
      </c>
      <c r="O69" s="591">
        <v>12.584</v>
      </c>
      <c r="P69" s="591">
        <v>0</v>
      </c>
      <c r="Q69" s="581"/>
      <c r="R69" s="581"/>
      <c r="S69" s="581"/>
      <c r="T69" s="581"/>
      <c r="U69" s="581"/>
    </row>
    <row r="70" spans="1:21">
      <c r="A70" s="581"/>
      <c r="B70" s="581"/>
      <c r="C70" s="581"/>
      <c r="D70" s="582" t="s">
        <v>715</v>
      </c>
      <c r="E70" s="588" t="s">
        <v>717</v>
      </c>
      <c r="F70" s="589">
        <v>41512</v>
      </c>
      <c r="G70" s="590">
        <f t="shared" si="2"/>
        <v>2013</v>
      </c>
      <c r="H70" s="590">
        <f t="shared" si="3"/>
        <v>8</v>
      </c>
      <c r="I70" s="591">
        <v>17</v>
      </c>
      <c r="J70" s="591">
        <v>12.738</v>
      </c>
      <c r="K70" s="591">
        <v>0</v>
      </c>
      <c r="L70" s="592">
        <v>12.738</v>
      </c>
      <c r="M70" s="591">
        <v>9821</v>
      </c>
      <c r="N70" s="593">
        <v>1.2999999999999999E-3</v>
      </c>
      <c r="O70" s="591">
        <v>12.86</v>
      </c>
      <c r="P70" s="591">
        <v>0</v>
      </c>
      <c r="Q70" s="581"/>
      <c r="R70" s="581"/>
      <c r="S70" s="581"/>
      <c r="T70" s="581"/>
      <c r="U70" s="581"/>
    </row>
    <row r="71" spans="1:21">
      <c r="A71" s="581"/>
      <c r="B71" s="581"/>
      <c r="C71" s="581"/>
      <c r="D71" s="582" t="s">
        <v>715</v>
      </c>
      <c r="E71" s="588" t="s">
        <v>717</v>
      </c>
      <c r="F71" s="589">
        <v>41526</v>
      </c>
      <c r="G71" s="590">
        <f t="shared" si="2"/>
        <v>2013</v>
      </c>
      <c r="H71" s="590">
        <f t="shared" si="3"/>
        <v>9</v>
      </c>
      <c r="I71" s="591">
        <v>17</v>
      </c>
      <c r="J71" s="591">
        <v>11.677</v>
      </c>
      <c r="K71" s="591">
        <v>0</v>
      </c>
      <c r="L71" s="592">
        <v>11.677</v>
      </c>
      <c r="M71" s="591">
        <v>8781</v>
      </c>
      <c r="N71" s="593">
        <v>1.2999999999999999E-3</v>
      </c>
      <c r="O71" s="591">
        <v>11.8</v>
      </c>
      <c r="P71" s="591">
        <v>0</v>
      </c>
      <c r="Q71" s="581"/>
      <c r="R71" s="581"/>
      <c r="S71" s="581"/>
      <c r="T71" s="581"/>
      <c r="U71" s="581"/>
    </row>
    <row r="72" spans="1:21">
      <c r="A72" s="581"/>
      <c r="B72" s="581"/>
      <c r="C72" s="581"/>
      <c r="D72" s="582" t="s">
        <v>715</v>
      </c>
      <c r="E72" s="588" t="s">
        <v>717</v>
      </c>
      <c r="F72" s="589">
        <v>41548</v>
      </c>
      <c r="G72" s="590">
        <f t="shared" si="2"/>
        <v>2013</v>
      </c>
      <c r="H72" s="590">
        <f t="shared" si="3"/>
        <v>10</v>
      </c>
      <c r="I72" s="591">
        <v>14</v>
      </c>
      <c r="J72" s="591">
        <v>8.7349999999999994</v>
      </c>
      <c r="K72" s="591">
        <v>0</v>
      </c>
      <c r="L72" s="592">
        <v>8.7349999999999994</v>
      </c>
      <c r="M72" s="591">
        <v>6214</v>
      </c>
      <c r="N72" s="593">
        <v>1.4E-3</v>
      </c>
      <c r="O72" s="591">
        <v>8.8130000000000006</v>
      </c>
      <c r="P72" s="591">
        <v>0</v>
      </c>
      <c r="Q72" s="581"/>
      <c r="R72" s="581"/>
      <c r="S72" s="581"/>
      <c r="T72" s="581"/>
      <c r="U72" s="581"/>
    </row>
    <row r="73" spans="1:21">
      <c r="A73" s="581"/>
      <c r="B73" s="581"/>
      <c r="C73" s="581"/>
      <c r="D73" s="582" t="s">
        <v>715</v>
      </c>
      <c r="E73" s="588" t="s">
        <v>717</v>
      </c>
      <c r="F73" s="589">
        <v>41604</v>
      </c>
      <c r="G73" s="590">
        <f t="shared" si="2"/>
        <v>2013</v>
      </c>
      <c r="H73" s="590">
        <f t="shared" si="3"/>
        <v>11</v>
      </c>
      <c r="I73" s="591">
        <v>18</v>
      </c>
      <c r="J73" s="591">
        <v>8.14</v>
      </c>
      <c r="K73" s="591">
        <v>0</v>
      </c>
      <c r="L73" s="592">
        <v>8.14</v>
      </c>
      <c r="M73" s="591">
        <v>6372</v>
      </c>
      <c r="N73" s="593">
        <v>1.2999999999999999E-3</v>
      </c>
      <c r="O73" s="591">
        <v>8.2249999999999996</v>
      </c>
      <c r="P73" s="591">
        <v>0</v>
      </c>
      <c r="Q73" s="581"/>
      <c r="R73" s="581"/>
      <c r="S73" s="581"/>
      <c r="T73" s="581"/>
      <c r="U73" s="581"/>
    </row>
    <row r="74" spans="1:21">
      <c r="A74" s="581"/>
      <c r="B74" s="581"/>
      <c r="C74" s="581"/>
      <c r="D74" s="582" t="s">
        <v>715</v>
      </c>
      <c r="E74" s="588" t="s">
        <v>717</v>
      </c>
      <c r="F74" s="589">
        <v>41619</v>
      </c>
      <c r="G74" s="590">
        <f t="shared" si="2"/>
        <v>2013</v>
      </c>
      <c r="H74" s="590">
        <f t="shared" si="3"/>
        <v>12</v>
      </c>
      <c r="I74" s="591">
        <v>18</v>
      </c>
      <c r="J74" s="591">
        <v>9.1859999999999999</v>
      </c>
      <c r="K74" s="591">
        <v>0</v>
      </c>
      <c r="L74" s="592">
        <v>9.1859999999999999</v>
      </c>
      <c r="M74" s="591">
        <v>6972</v>
      </c>
      <c r="N74" s="593">
        <v>1.2999999999999999E-3</v>
      </c>
      <c r="O74" s="591">
        <v>9.2750000000000004</v>
      </c>
      <c r="P74" s="591">
        <v>0</v>
      </c>
      <c r="Q74" s="581"/>
      <c r="R74" s="581"/>
      <c r="S74" s="581"/>
      <c r="T74" s="581"/>
      <c r="U74" s="581"/>
    </row>
    <row r="75" spans="1:21">
      <c r="A75" s="581"/>
      <c r="B75" s="581"/>
      <c r="C75" s="581"/>
      <c r="D75" s="582" t="s">
        <v>715</v>
      </c>
      <c r="E75" s="645" t="s">
        <v>717</v>
      </c>
      <c r="F75" s="646">
        <v>41645</v>
      </c>
      <c r="G75" s="590">
        <f t="shared" si="2"/>
        <v>2014</v>
      </c>
      <c r="H75" s="590">
        <f t="shared" si="3"/>
        <v>1</v>
      </c>
      <c r="I75" s="647">
        <v>18</v>
      </c>
      <c r="J75" s="647">
        <v>8.9139999999999997</v>
      </c>
      <c r="K75" s="647">
        <v>0</v>
      </c>
      <c r="L75" s="648">
        <v>8.9139999999999997</v>
      </c>
      <c r="M75" s="649">
        <v>7188</v>
      </c>
      <c r="N75" s="647">
        <v>0.124</v>
      </c>
      <c r="O75" s="647">
        <v>9.0039999999999996</v>
      </c>
      <c r="P75" s="647">
        <v>0</v>
      </c>
      <c r="Q75" s="581"/>
      <c r="R75" s="581"/>
      <c r="S75" s="581"/>
      <c r="T75" s="581"/>
      <c r="U75" s="581"/>
    </row>
    <row r="76" spans="1:21">
      <c r="A76" s="581"/>
      <c r="B76" s="581"/>
      <c r="C76" s="581"/>
      <c r="D76" s="582" t="s">
        <v>715</v>
      </c>
      <c r="E76" s="645" t="s">
        <v>717</v>
      </c>
      <c r="F76" s="646">
        <v>41676</v>
      </c>
      <c r="G76" s="590">
        <f t="shared" si="2"/>
        <v>2014</v>
      </c>
      <c r="H76" s="590">
        <f t="shared" si="3"/>
        <v>2</v>
      </c>
      <c r="I76" s="647">
        <v>19</v>
      </c>
      <c r="J76" s="647">
        <v>8.4879999999999995</v>
      </c>
      <c r="K76" s="647">
        <v>0</v>
      </c>
      <c r="L76" s="648">
        <v>8.4879999999999995</v>
      </c>
      <c r="M76" s="649">
        <v>6743</v>
      </c>
      <c r="N76" s="647">
        <v>0.126</v>
      </c>
      <c r="O76" s="647">
        <v>8.5809999999999995</v>
      </c>
      <c r="P76" s="647">
        <v>0</v>
      </c>
      <c r="Q76" s="581"/>
      <c r="R76" s="581"/>
      <c r="S76" s="581"/>
      <c r="T76" s="581"/>
      <c r="U76" s="581"/>
    </row>
    <row r="77" spans="1:21">
      <c r="A77" s="581"/>
      <c r="B77" s="581"/>
      <c r="C77" s="581"/>
      <c r="D77" s="582" t="s">
        <v>715</v>
      </c>
      <c r="E77" s="645" t="s">
        <v>717</v>
      </c>
      <c r="F77" s="646">
        <v>41701</v>
      </c>
      <c r="G77" s="590">
        <f t="shared" si="2"/>
        <v>2014</v>
      </c>
      <c r="H77" s="590">
        <f t="shared" si="3"/>
        <v>3</v>
      </c>
      <c r="I77" s="647">
        <v>19</v>
      </c>
      <c r="J77" s="647">
        <v>8.1240000000000006</v>
      </c>
      <c r="K77" s="647">
        <v>0</v>
      </c>
      <c r="L77" s="648">
        <v>8.1240000000000006</v>
      </c>
      <c r="M77" s="649">
        <v>6537</v>
      </c>
      <c r="N77" s="647">
        <v>0.124</v>
      </c>
      <c r="O77" s="647">
        <v>8.2080000000000002</v>
      </c>
      <c r="P77" s="647">
        <v>0</v>
      </c>
      <c r="Q77" s="581"/>
      <c r="R77" s="581"/>
      <c r="S77" s="581"/>
      <c r="T77" s="581"/>
      <c r="U77" s="581"/>
    </row>
    <row r="78" spans="1:21">
      <c r="A78" s="581"/>
      <c r="B78" s="581"/>
      <c r="C78" s="581"/>
      <c r="D78" s="582" t="s">
        <v>715</v>
      </c>
      <c r="E78" s="645" t="s">
        <v>717</v>
      </c>
      <c r="F78" s="646">
        <v>41730</v>
      </c>
      <c r="G78" s="590">
        <f t="shared" si="2"/>
        <v>2014</v>
      </c>
      <c r="H78" s="590">
        <f t="shared" si="3"/>
        <v>4</v>
      </c>
      <c r="I78" s="647">
        <v>11</v>
      </c>
      <c r="J78" s="647">
        <v>7.6790000000000003</v>
      </c>
      <c r="K78" s="647">
        <v>0.223</v>
      </c>
      <c r="L78" s="648">
        <v>7.9020000000000001</v>
      </c>
      <c r="M78" s="649">
        <v>5924</v>
      </c>
      <c r="N78" s="647">
        <v>0.13300000000000001</v>
      </c>
      <c r="O78" s="647">
        <v>7.78</v>
      </c>
      <c r="P78" s="647">
        <v>0.223</v>
      </c>
      <c r="Q78" s="581"/>
      <c r="R78" s="581"/>
      <c r="S78" s="581"/>
      <c r="T78" s="581"/>
      <c r="U78" s="581"/>
    </row>
    <row r="79" spans="1:21">
      <c r="A79" s="581"/>
      <c r="B79" s="581"/>
      <c r="C79" s="581"/>
      <c r="D79" s="582" t="s">
        <v>715</v>
      </c>
      <c r="E79" s="645" t="s">
        <v>717</v>
      </c>
      <c r="F79" s="646">
        <v>41789</v>
      </c>
      <c r="G79" s="590">
        <f t="shared" si="2"/>
        <v>2014</v>
      </c>
      <c r="H79" s="590">
        <f t="shared" si="3"/>
        <v>5</v>
      </c>
      <c r="I79" s="647">
        <v>16</v>
      </c>
      <c r="J79" s="647">
        <v>10.023999999999999</v>
      </c>
      <c r="K79" s="647">
        <v>0</v>
      </c>
      <c r="L79" s="648">
        <v>10.023999999999999</v>
      </c>
      <c r="M79" s="649">
        <v>7422</v>
      </c>
      <c r="N79" s="647">
        <v>0.13500000000000001</v>
      </c>
      <c r="O79" s="647">
        <v>10.135</v>
      </c>
      <c r="P79" s="647">
        <v>0</v>
      </c>
      <c r="Q79" s="581"/>
      <c r="R79" s="581"/>
      <c r="S79" s="581"/>
      <c r="T79" s="581"/>
      <c r="U79" s="581"/>
    </row>
    <row r="80" spans="1:21">
      <c r="A80" s="581"/>
      <c r="B80" s="581"/>
      <c r="C80" s="581"/>
      <c r="D80" s="582" t="s">
        <v>715</v>
      </c>
      <c r="E80" s="645" t="s">
        <v>717</v>
      </c>
      <c r="F80" s="646">
        <v>41814</v>
      </c>
      <c r="G80" s="590">
        <f t="shared" si="2"/>
        <v>2014</v>
      </c>
      <c r="H80" s="590">
        <f t="shared" si="3"/>
        <v>6</v>
      </c>
      <c r="I80" s="647">
        <v>16</v>
      </c>
      <c r="J80" s="647">
        <v>10.457000000000001</v>
      </c>
      <c r="K80" s="647">
        <v>0</v>
      </c>
      <c r="L80" s="648">
        <v>10.457000000000001</v>
      </c>
      <c r="M80" s="649">
        <v>7670</v>
      </c>
      <c r="N80" s="647">
        <v>0.13600000000000001</v>
      </c>
      <c r="O80" s="647">
        <v>10.574</v>
      </c>
      <c r="P80" s="647">
        <v>0</v>
      </c>
      <c r="Q80" s="581"/>
      <c r="R80" s="581"/>
      <c r="S80" s="581"/>
      <c r="T80" s="581"/>
      <c r="U80" s="581"/>
    </row>
    <row r="81" spans="1:21">
      <c r="A81" s="581"/>
      <c r="B81" s="581"/>
      <c r="C81" s="581"/>
      <c r="D81" s="582" t="s">
        <v>715</v>
      </c>
      <c r="E81" s="645" t="s">
        <v>717</v>
      </c>
      <c r="F81" s="646">
        <v>41841</v>
      </c>
      <c r="G81" s="590">
        <f t="shared" si="2"/>
        <v>2014</v>
      </c>
      <c r="H81" s="590">
        <f t="shared" si="3"/>
        <v>7</v>
      </c>
      <c r="I81" s="647">
        <v>17</v>
      </c>
      <c r="J81" s="647">
        <v>11.715</v>
      </c>
      <c r="K81" s="647">
        <v>0</v>
      </c>
      <c r="L81" s="648">
        <v>11.715</v>
      </c>
      <c r="M81" s="649">
        <v>9150</v>
      </c>
      <c r="N81" s="647">
        <v>0.128</v>
      </c>
      <c r="O81" s="647">
        <v>11.832000000000001</v>
      </c>
      <c r="P81" s="647">
        <v>0</v>
      </c>
      <c r="Q81" s="581"/>
      <c r="R81" s="581"/>
      <c r="S81" s="581"/>
      <c r="T81" s="581"/>
      <c r="U81" s="581"/>
    </row>
    <row r="82" spans="1:21">
      <c r="A82" s="581"/>
      <c r="B82" s="581"/>
      <c r="C82" s="581"/>
      <c r="D82" s="582" t="s">
        <v>715</v>
      </c>
      <c r="E82" s="645" t="s">
        <v>717</v>
      </c>
      <c r="F82" s="646">
        <v>41869</v>
      </c>
      <c r="G82" s="590">
        <f t="shared" si="2"/>
        <v>2014</v>
      </c>
      <c r="H82" s="590">
        <f t="shared" si="3"/>
        <v>8</v>
      </c>
      <c r="I82" s="647">
        <v>16</v>
      </c>
      <c r="J82" s="647">
        <v>11.052</v>
      </c>
      <c r="K82" s="647">
        <v>0</v>
      </c>
      <c r="L82" s="648">
        <v>11.052</v>
      </c>
      <c r="M82" s="649">
        <v>8190</v>
      </c>
      <c r="N82" s="647">
        <v>0.13500000000000001</v>
      </c>
      <c r="O82" s="647">
        <v>11.175000000000001</v>
      </c>
      <c r="P82" s="647">
        <v>0</v>
      </c>
      <c r="Q82" s="581"/>
      <c r="R82" s="581"/>
      <c r="S82" s="581"/>
      <c r="T82" s="581"/>
      <c r="U82" s="581"/>
    </row>
    <row r="83" spans="1:21">
      <c r="A83" s="581"/>
      <c r="B83" s="581"/>
      <c r="C83" s="581"/>
      <c r="D83" s="582" t="s">
        <v>715</v>
      </c>
      <c r="E83" s="645" t="s">
        <v>717</v>
      </c>
      <c r="F83" s="646">
        <v>41886</v>
      </c>
      <c r="G83" s="590">
        <f t="shared" si="2"/>
        <v>2014</v>
      </c>
      <c r="H83" s="590">
        <f t="shared" si="3"/>
        <v>9</v>
      </c>
      <c r="I83" s="647">
        <v>15</v>
      </c>
      <c r="J83" s="647">
        <v>10.436</v>
      </c>
      <c r="K83" s="647">
        <v>0</v>
      </c>
      <c r="L83" s="648">
        <v>10.436</v>
      </c>
      <c r="M83" s="649">
        <v>7758</v>
      </c>
      <c r="N83" s="647">
        <v>0.13500000000000001</v>
      </c>
      <c r="O83" s="647">
        <v>10.539</v>
      </c>
      <c r="P83" s="647">
        <v>0</v>
      </c>
      <c r="Q83" s="581"/>
      <c r="R83" s="581"/>
      <c r="S83" s="581"/>
      <c r="T83" s="581"/>
      <c r="U83" s="581"/>
    </row>
    <row r="84" spans="1:21">
      <c r="A84" s="581"/>
      <c r="B84" s="581"/>
      <c r="C84" s="581"/>
      <c r="D84" s="582" t="s">
        <v>715</v>
      </c>
      <c r="E84" s="645" t="s">
        <v>717</v>
      </c>
      <c r="F84" s="646">
        <v>41942</v>
      </c>
      <c r="G84" s="590">
        <f t="shared" si="2"/>
        <v>2014</v>
      </c>
      <c r="H84" s="590">
        <f t="shared" si="3"/>
        <v>10</v>
      </c>
      <c r="I84" s="647">
        <v>20</v>
      </c>
      <c r="J84" s="647">
        <v>7.1859999999999999</v>
      </c>
      <c r="K84" s="647">
        <v>0</v>
      </c>
      <c r="L84" s="648">
        <v>7.1859999999999999</v>
      </c>
      <c r="M84" s="649">
        <v>5901</v>
      </c>
      <c r="N84" s="647">
        <v>0.122</v>
      </c>
      <c r="O84" s="647">
        <v>7.28</v>
      </c>
      <c r="P84" s="647">
        <v>0</v>
      </c>
      <c r="Q84" s="581"/>
      <c r="R84" s="581"/>
      <c r="S84" s="581"/>
      <c r="T84" s="581"/>
      <c r="U84" s="581"/>
    </row>
    <row r="85" spans="1:21">
      <c r="A85" s="581"/>
      <c r="B85" s="581"/>
      <c r="C85" s="581"/>
      <c r="D85" s="582" t="s">
        <v>715</v>
      </c>
      <c r="E85" s="645" t="s">
        <v>717</v>
      </c>
      <c r="F85" s="646">
        <v>41960</v>
      </c>
      <c r="G85" s="590">
        <f t="shared" si="2"/>
        <v>2014</v>
      </c>
      <c r="H85" s="590">
        <f t="shared" si="3"/>
        <v>11</v>
      </c>
      <c r="I85" s="647">
        <v>18</v>
      </c>
      <c r="J85" s="647">
        <v>8.4359999999999999</v>
      </c>
      <c r="K85" s="647">
        <v>0</v>
      </c>
      <c r="L85" s="648">
        <v>8.4359999999999999</v>
      </c>
      <c r="M85" s="649">
        <v>6677</v>
      </c>
      <c r="N85" s="647">
        <v>0.126</v>
      </c>
      <c r="O85" s="647">
        <v>8.5090000000000003</v>
      </c>
      <c r="P85" s="647">
        <v>0</v>
      </c>
      <c r="Q85" s="581"/>
      <c r="R85" s="581"/>
      <c r="S85" s="581"/>
      <c r="T85" s="581"/>
      <c r="U85" s="581"/>
    </row>
    <row r="86" spans="1:21">
      <c r="A86" s="581"/>
      <c r="B86" s="581"/>
      <c r="C86" s="581"/>
      <c r="D86" s="582" t="s">
        <v>715</v>
      </c>
      <c r="E86" s="645" t="s">
        <v>717</v>
      </c>
      <c r="F86" s="646">
        <v>41974</v>
      </c>
      <c r="G86" s="590">
        <f t="shared" si="2"/>
        <v>2014</v>
      </c>
      <c r="H86" s="590">
        <f t="shared" si="3"/>
        <v>12</v>
      </c>
      <c r="I86" s="647">
        <v>18</v>
      </c>
      <c r="J86" s="647">
        <v>8.6910000000000007</v>
      </c>
      <c r="K86" s="647">
        <v>0</v>
      </c>
      <c r="L86" s="648">
        <v>8.6910000000000007</v>
      </c>
      <c r="M86" s="649">
        <v>6850</v>
      </c>
      <c r="N86" s="647">
        <v>0.127</v>
      </c>
      <c r="O86" s="647">
        <v>8.7550000000000008</v>
      </c>
      <c r="P86" s="647">
        <v>0</v>
      </c>
      <c r="Q86" s="581"/>
      <c r="R86" s="581"/>
      <c r="S86" s="581"/>
      <c r="T86" s="581"/>
      <c r="U86" s="581"/>
    </row>
    <row r="87" spans="1:21">
      <c r="A87" s="581"/>
      <c r="B87" s="581"/>
      <c r="C87" s="581"/>
      <c r="D87" s="582" t="s">
        <v>715</v>
      </c>
      <c r="E87" s="645" t="s">
        <v>717</v>
      </c>
      <c r="F87" s="646">
        <v>42011</v>
      </c>
      <c r="G87" s="590">
        <f t="shared" si="2"/>
        <v>2015</v>
      </c>
      <c r="H87" s="590">
        <f t="shared" si="3"/>
        <v>1</v>
      </c>
      <c r="I87" s="647">
        <v>18</v>
      </c>
      <c r="J87" s="647">
        <v>8.9250000000000007</v>
      </c>
      <c r="K87" s="647">
        <v>0</v>
      </c>
      <c r="L87" s="648">
        <v>8.9250000000000007</v>
      </c>
      <c r="M87" s="649">
        <v>6978</v>
      </c>
      <c r="N87" s="647">
        <v>0.128</v>
      </c>
      <c r="O87" s="647">
        <v>9</v>
      </c>
      <c r="P87" s="647">
        <v>0</v>
      </c>
      <c r="Q87" s="581"/>
      <c r="R87" s="581"/>
      <c r="S87" s="581"/>
      <c r="T87" s="581"/>
      <c r="U87" s="581"/>
    </row>
    <row r="88" spans="1:21">
      <c r="A88" s="581"/>
      <c r="B88" s="581"/>
      <c r="C88" s="581"/>
      <c r="D88" s="582" t="s">
        <v>715</v>
      </c>
      <c r="E88" s="645" t="s">
        <v>717</v>
      </c>
      <c r="F88" s="646">
        <v>42053</v>
      </c>
      <c r="G88" s="590">
        <f t="shared" si="2"/>
        <v>2015</v>
      </c>
      <c r="H88" s="590">
        <f t="shared" si="3"/>
        <v>2</v>
      </c>
      <c r="I88" s="647">
        <v>19</v>
      </c>
      <c r="J88" s="647">
        <v>8.8620000000000001</v>
      </c>
      <c r="K88" s="647">
        <v>0</v>
      </c>
      <c r="L88" s="648">
        <v>8.8620000000000001</v>
      </c>
      <c r="M88" s="649">
        <v>6744</v>
      </c>
      <c r="N88" s="647">
        <v>0.13100000000000001</v>
      </c>
      <c r="O88" s="647">
        <v>8.9450000000000003</v>
      </c>
      <c r="P88" s="647">
        <v>0</v>
      </c>
      <c r="Q88" s="581"/>
      <c r="R88" s="581"/>
      <c r="S88" s="581"/>
      <c r="T88" s="581"/>
      <c r="U88" s="581"/>
    </row>
    <row r="89" spans="1:21">
      <c r="A89" s="581"/>
      <c r="B89" s="581"/>
      <c r="C89" s="581"/>
      <c r="D89" s="582" t="s">
        <v>715</v>
      </c>
      <c r="E89" s="645" t="s">
        <v>717</v>
      </c>
      <c r="F89" s="646">
        <v>42067</v>
      </c>
      <c r="G89" s="590">
        <f t="shared" si="2"/>
        <v>2015</v>
      </c>
      <c r="H89" s="590">
        <f t="shared" si="3"/>
        <v>3</v>
      </c>
      <c r="I89" s="647">
        <v>20</v>
      </c>
      <c r="J89" s="647">
        <v>8.5839999999999996</v>
      </c>
      <c r="K89" s="647">
        <v>0</v>
      </c>
      <c r="L89" s="648">
        <v>8.5839999999999996</v>
      </c>
      <c r="M89" s="649">
        <v>6470</v>
      </c>
      <c r="N89" s="647">
        <v>0.13300000000000001</v>
      </c>
      <c r="O89" s="647">
        <v>8.6620000000000008</v>
      </c>
      <c r="P89" s="647">
        <v>0</v>
      </c>
      <c r="Q89" s="581"/>
      <c r="R89" s="581"/>
      <c r="S89" s="581"/>
      <c r="T89" s="581"/>
      <c r="U89" s="581"/>
    </row>
    <row r="90" spans="1:21">
      <c r="A90" s="581"/>
      <c r="B90" s="581"/>
      <c r="C90" s="581"/>
      <c r="D90" s="582" t="s">
        <v>715</v>
      </c>
      <c r="E90" s="645" t="s">
        <v>717</v>
      </c>
      <c r="F90" s="646">
        <v>42103</v>
      </c>
      <c r="G90" s="590">
        <f t="shared" si="2"/>
        <v>2015</v>
      </c>
      <c r="H90" s="590">
        <f t="shared" si="3"/>
        <v>4</v>
      </c>
      <c r="I90" s="647">
        <v>12</v>
      </c>
      <c r="J90" s="647">
        <v>8.3059999999999992</v>
      </c>
      <c r="K90" s="647">
        <v>0</v>
      </c>
      <c r="L90" s="648">
        <v>8.3059999999999992</v>
      </c>
      <c r="M90" s="649">
        <v>5914</v>
      </c>
      <c r="N90" s="647">
        <v>0.14000000000000001</v>
      </c>
      <c r="O90" s="647">
        <v>8.3859999999999992</v>
      </c>
      <c r="P90" s="647">
        <v>0</v>
      </c>
      <c r="Q90" s="581"/>
      <c r="R90" s="581"/>
      <c r="S90" s="581"/>
      <c r="T90" s="581"/>
      <c r="U90" s="581"/>
    </row>
    <row r="91" spans="1:21">
      <c r="A91" s="581"/>
      <c r="B91" s="581"/>
      <c r="C91" s="581"/>
      <c r="D91" s="582" t="s">
        <v>715</v>
      </c>
      <c r="E91" s="645" t="s">
        <v>717</v>
      </c>
      <c r="F91" s="646">
        <v>42152</v>
      </c>
      <c r="G91" s="590">
        <f t="shared" si="2"/>
        <v>2015</v>
      </c>
      <c r="H91" s="590">
        <f t="shared" si="3"/>
        <v>5</v>
      </c>
      <c r="I91" s="647">
        <v>16</v>
      </c>
      <c r="J91" s="647">
        <v>9.5909999999999993</v>
      </c>
      <c r="K91" s="647">
        <v>0</v>
      </c>
      <c r="L91" s="648">
        <v>9.5909999999999993</v>
      </c>
      <c r="M91" s="649">
        <v>6837</v>
      </c>
      <c r="N91" s="647">
        <v>0.14000000000000001</v>
      </c>
      <c r="O91" s="647">
        <v>9.6890000000000001</v>
      </c>
      <c r="P91" s="647">
        <v>0</v>
      </c>
      <c r="Q91" s="581"/>
      <c r="R91" s="581"/>
      <c r="S91" s="581"/>
      <c r="T91" s="581"/>
      <c r="U91" s="581"/>
    </row>
    <row r="92" spans="1:21">
      <c r="A92" s="581"/>
      <c r="B92" s="581"/>
      <c r="C92" s="581"/>
      <c r="D92" s="582" t="s">
        <v>715</v>
      </c>
      <c r="E92" s="645" t="s">
        <v>717</v>
      </c>
      <c r="F92" s="646">
        <v>42164</v>
      </c>
      <c r="G92" s="590">
        <f t="shared" si="2"/>
        <v>2015</v>
      </c>
      <c r="H92" s="590">
        <f t="shared" si="3"/>
        <v>6</v>
      </c>
      <c r="I92" s="647">
        <v>17</v>
      </c>
      <c r="J92" s="647">
        <v>11.484999999999999</v>
      </c>
      <c r="K92" s="647">
        <v>0</v>
      </c>
      <c r="L92" s="648">
        <v>11.484999999999999</v>
      </c>
      <c r="M92" s="649">
        <v>8136</v>
      </c>
      <c r="N92" s="647">
        <v>0.14099999999999999</v>
      </c>
      <c r="O92" s="647">
        <v>11.609</v>
      </c>
      <c r="P92" s="647">
        <v>0</v>
      </c>
      <c r="Q92" s="581"/>
      <c r="R92" s="581"/>
      <c r="S92" s="581"/>
      <c r="T92" s="581"/>
      <c r="U92" s="581"/>
    </row>
    <row r="93" spans="1:21">
      <c r="A93" s="581"/>
      <c r="B93" s="581"/>
      <c r="C93" s="581"/>
      <c r="D93" s="582" t="s">
        <v>715</v>
      </c>
      <c r="E93" s="645" t="s">
        <v>717</v>
      </c>
      <c r="F93" s="646">
        <v>42212</v>
      </c>
      <c r="G93" s="590">
        <f t="shared" si="2"/>
        <v>2015</v>
      </c>
      <c r="H93" s="590">
        <f t="shared" si="3"/>
        <v>7</v>
      </c>
      <c r="I93" s="647">
        <v>17</v>
      </c>
      <c r="J93" s="647">
        <v>12.162000000000001</v>
      </c>
      <c r="K93" s="647">
        <v>0</v>
      </c>
      <c r="L93" s="648">
        <v>12.162000000000001</v>
      </c>
      <c r="M93" s="649">
        <v>8769</v>
      </c>
      <c r="N93" s="647">
        <v>0.13900000000000001</v>
      </c>
      <c r="O93" s="647">
        <v>12.26</v>
      </c>
      <c r="P93" s="647">
        <v>0</v>
      </c>
      <c r="Q93" s="581"/>
      <c r="R93" s="581"/>
      <c r="S93" s="581"/>
      <c r="T93" s="581"/>
      <c r="U93" s="581"/>
    </row>
    <row r="94" spans="1:21">
      <c r="A94" s="581"/>
      <c r="B94" s="581"/>
      <c r="C94" s="581"/>
      <c r="D94" s="582" t="s">
        <v>715</v>
      </c>
      <c r="E94" s="645" t="s">
        <v>717</v>
      </c>
      <c r="F94" s="646">
        <v>42230</v>
      </c>
      <c r="G94" s="590">
        <f t="shared" si="2"/>
        <v>2015</v>
      </c>
      <c r="H94" s="590">
        <f t="shared" si="3"/>
        <v>8</v>
      </c>
      <c r="I94" s="647">
        <v>16</v>
      </c>
      <c r="J94" s="647">
        <v>12.263</v>
      </c>
      <c r="K94" s="647">
        <v>0</v>
      </c>
      <c r="L94" s="648">
        <v>12.263</v>
      </c>
      <c r="M94" s="649">
        <v>8926</v>
      </c>
      <c r="N94" s="647">
        <v>0.13700000000000001</v>
      </c>
      <c r="O94" s="647">
        <v>12.375</v>
      </c>
      <c r="P94" s="647">
        <v>0</v>
      </c>
      <c r="Q94" s="581"/>
      <c r="R94" s="581"/>
      <c r="S94" s="581"/>
      <c r="T94" s="581"/>
      <c r="U94" s="581"/>
    </row>
    <row r="95" spans="1:21">
      <c r="A95" s="581"/>
      <c r="B95" s="581"/>
      <c r="C95" s="581"/>
      <c r="D95" s="582" t="s">
        <v>715</v>
      </c>
      <c r="E95" s="645" t="s">
        <v>717</v>
      </c>
      <c r="F95" s="646">
        <v>42250</v>
      </c>
      <c r="G95" s="590">
        <f t="shared" si="2"/>
        <v>2015</v>
      </c>
      <c r="H95" s="590">
        <f t="shared" si="3"/>
        <v>9</v>
      </c>
      <c r="I95" s="647">
        <v>17</v>
      </c>
      <c r="J95" s="647">
        <v>12.021000000000001</v>
      </c>
      <c r="K95" s="647">
        <v>0</v>
      </c>
      <c r="L95" s="648">
        <v>12.021000000000001</v>
      </c>
      <c r="M95" s="649">
        <v>8657</v>
      </c>
      <c r="N95" s="647">
        <v>0.13900000000000001</v>
      </c>
      <c r="O95" s="647">
        <v>12.135999999999999</v>
      </c>
      <c r="P95" s="647">
        <v>0</v>
      </c>
      <c r="Q95" s="581"/>
      <c r="R95" s="581"/>
      <c r="S95" s="581"/>
      <c r="T95" s="581"/>
      <c r="U95" s="581"/>
    </row>
    <row r="96" spans="1:21">
      <c r="A96" s="581"/>
      <c r="B96" s="581"/>
      <c r="C96" s="581"/>
      <c r="D96" s="582" t="s">
        <v>715</v>
      </c>
      <c r="E96" s="645" t="s">
        <v>717</v>
      </c>
      <c r="F96" s="646">
        <v>42285</v>
      </c>
      <c r="G96" s="590">
        <f t="shared" si="2"/>
        <v>2015</v>
      </c>
      <c r="H96" s="590">
        <f t="shared" si="3"/>
        <v>10</v>
      </c>
      <c r="I96" s="647">
        <v>12</v>
      </c>
      <c r="J96" s="647">
        <v>8.08</v>
      </c>
      <c r="K96" s="647">
        <v>0</v>
      </c>
      <c r="L96" s="648">
        <v>8.08</v>
      </c>
      <c r="M96" s="649">
        <v>5943</v>
      </c>
      <c r="N96" s="647">
        <v>0.13600000000000001</v>
      </c>
      <c r="O96" s="647">
        <v>8.2509999999999994</v>
      </c>
      <c r="P96" s="647">
        <v>0</v>
      </c>
      <c r="Q96" s="581"/>
      <c r="R96" s="581"/>
      <c r="S96" s="581"/>
      <c r="T96" s="581"/>
      <c r="U96" s="581"/>
    </row>
    <row r="97" spans="1:21">
      <c r="A97" s="581"/>
      <c r="B97" s="581"/>
      <c r="C97" s="581"/>
      <c r="D97" s="582" t="s">
        <v>715</v>
      </c>
      <c r="E97" s="645" t="s">
        <v>717</v>
      </c>
      <c r="F97" s="646">
        <v>42338</v>
      </c>
      <c r="G97" s="590">
        <f t="shared" si="2"/>
        <v>2015</v>
      </c>
      <c r="H97" s="590">
        <f t="shared" si="3"/>
        <v>11</v>
      </c>
      <c r="I97" s="647">
        <v>18</v>
      </c>
      <c r="J97" s="647">
        <v>8.7469999999999999</v>
      </c>
      <c r="K97" s="647">
        <v>0</v>
      </c>
      <c r="L97" s="648">
        <v>8.7469999999999999</v>
      </c>
      <c r="M97" s="649">
        <v>6574</v>
      </c>
      <c r="N97" s="647">
        <v>0.13300000000000001</v>
      </c>
      <c r="O97" s="647">
        <v>8.8330000000000002</v>
      </c>
      <c r="P97" s="647">
        <v>0</v>
      </c>
      <c r="Q97" s="581"/>
      <c r="R97" s="581"/>
      <c r="S97" s="581"/>
      <c r="T97" s="581"/>
      <c r="U97" s="581"/>
    </row>
    <row r="98" spans="1:21">
      <c r="A98" s="581"/>
      <c r="B98" s="581"/>
      <c r="C98" s="581"/>
      <c r="D98" s="582" t="s">
        <v>715</v>
      </c>
      <c r="E98" s="645" t="s">
        <v>717</v>
      </c>
      <c r="F98" s="646">
        <v>42355</v>
      </c>
      <c r="G98" s="590">
        <f t="shared" si="2"/>
        <v>2015</v>
      </c>
      <c r="H98" s="590">
        <f t="shared" si="3"/>
        <v>12</v>
      </c>
      <c r="I98" s="647">
        <v>18</v>
      </c>
      <c r="J98" s="647">
        <v>8.8409999999999993</v>
      </c>
      <c r="K98" s="647">
        <v>0</v>
      </c>
      <c r="L98" s="648">
        <v>8.8409999999999993</v>
      </c>
      <c r="M98" s="649">
        <v>6450</v>
      </c>
      <c r="N98" s="647">
        <v>0.13700000000000001</v>
      </c>
      <c r="O98" s="647">
        <v>8.9220000000000006</v>
      </c>
      <c r="P98" s="647">
        <v>0</v>
      </c>
      <c r="Q98" s="581"/>
      <c r="R98" s="581"/>
      <c r="S98" s="581"/>
      <c r="T98" s="581"/>
      <c r="U98" s="581"/>
    </row>
    <row r="99" spans="1:21">
      <c r="A99" s="581"/>
      <c r="B99" s="581"/>
      <c r="C99" s="581"/>
      <c r="D99" s="582" t="s">
        <v>715</v>
      </c>
      <c r="E99" s="588" t="s">
        <v>718</v>
      </c>
      <c r="F99" s="589">
        <v>40927</v>
      </c>
      <c r="G99" s="590">
        <f t="shared" si="2"/>
        <v>2012</v>
      </c>
      <c r="H99" s="590">
        <f t="shared" si="3"/>
        <v>1</v>
      </c>
      <c r="I99" s="591">
        <v>19</v>
      </c>
      <c r="J99" s="591">
        <v>2.6880000000000002</v>
      </c>
      <c r="K99" s="591">
        <v>0</v>
      </c>
      <c r="L99" s="592">
        <v>0.68799999999999994</v>
      </c>
      <c r="M99" s="591">
        <v>6604</v>
      </c>
      <c r="N99" s="593">
        <v>4.0000000000000002E-4</v>
      </c>
      <c r="O99" s="591">
        <v>2.7069999999999999</v>
      </c>
      <c r="P99" s="591">
        <v>0</v>
      </c>
      <c r="Q99" s="581"/>
      <c r="R99" s="581"/>
      <c r="S99" s="581"/>
      <c r="T99" s="581"/>
      <c r="U99" s="581"/>
    </row>
    <row r="100" spans="1:21">
      <c r="A100" s="581"/>
      <c r="B100" s="581"/>
      <c r="C100" s="581"/>
      <c r="D100" s="582" t="s">
        <v>715</v>
      </c>
      <c r="E100" s="588" t="s">
        <v>718</v>
      </c>
      <c r="F100" s="589">
        <v>40967</v>
      </c>
      <c r="G100" s="590">
        <f t="shared" si="2"/>
        <v>2012</v>
      </c>
      <c r="H100" s="590">
        <f t="shared" si="3"/>
        <v>2</v>
      </c>
      <c r="I100" s="591">
        <v>19</v>
      </c>
      <c r="J100" s="591">
        <v>2.3820000000000001</v>
      </c>
      <c r="K100" s="591">
        <v>0</v>
      </c>
      <c r="L100" s="592">
        <v>0.38200000000000001</v>
      </c>
      <c r="M100" s="591">
        <v>6178</v>
      </c>
      <c r="N100" s="593">
        <v>4.0000000000000002E-4</v>
      </c>
      <c r="O100" s="591">
        <v>2.3980000000000001</v>
      </c>
      <c r="P100" s="591">
        <v>0</v>
      </c>
      <c r="Q100" s="581"/>
      <c r="R100" s="581"/>
      <c r="S100" s="581"/>
      <c r="T100" s="581"/>
      <c r="U100" s="581"/>
    </row>
    <row r="101" spans="1:21">
      <c r="A101" s="581"/>
      <c r="B101" s="581"/>
      <c r="C101" s="581"/>
      <c r="D101" s="582" t="s">
        <v>715</v>
      </c>
      <c r="E101" s="588" t="s">
        <v>718</v>
      </c>
      <c r="F101" s="589">
        <v>40987</v>
      </c>
      <c r="G101" s="590">
        <f t="shared" si="2"/>
        <v>2012</v>
      </c>
      <c r="H101" s="590">
        <f t="shared" si="3"/>
        <v>3</v>
      </c>
      <c r="I101" s="591">
        <v>14</v>
      </c>
      <c r="J101" s="591">
        <v>1.591</v>
      </c>
      <c r="K101" s="591">
        <v>0</v>
      </c>
      <c r="L101" s="592">
        <v>0.59099999999999997</v>
      </c>
      <c r="M101" s="591">
        <v>6170</v>
      </c>
      <c r="N101" s="593">
        <v>2.9999999999999997E-4</v>
      </c>
      <c r="O101" s="591">
        <v>1.597</v>
      </c>
      <c r="P101" s="591">
        <v>0</v>
      </c>
      <c r="Q101" s="581"/>
      <c r="R101" s="581"/>
      <c r="S101" s="581"/>
      <c r="T101" s="581"/>
      <c r="U101" s="581"/>
    </row>
    <row r="102" spans="1:21">
      <c r="A102" s="581"/>
      <c r="B102" s="581"/>
      <c r="C102" s="581"/>
      <c r="D102" s="582" t="s">
        <v>715</v>
      </c>
      <c r="E102" s="588" t="s">
        <v>718</v>
      </c>
      <c r="F102" s="589">
        <v>41024</v>
      </c>
      <c r="G102" s="590">
        <f t="shared" si="2"/>
        <v>2012</v>
      </c>
      <c r="H102" s="590">
        <f t="shared" si="3"/>
        <v>4</v>
      </c>
      <c r="I102" s="591">
        <v>15</v>
      </c>
      <c r="J102" s="591">
        <v>1.673</v>
      </c>
      <c r="K102" s="591">
        <v>0</v>
      </c>
      <c r="L102" s="592">
        <v>0.67300000000000004</v>
      </c>
      <c r="M102" s="591">
        <v>5813</v>
      </c>
      <c r="N102" s="593">
        <v>2.9999999999999997E-4</v>
      </c>
      <c r="O102" s="591">
        <v>1.7</v>
      </c>
      <c r="P102" s="591">
        <v>0</v>
      </c>
      <c r="Q102" s="581"/>
      <c r="R102" s="581"/>
      <c r="S102" s="581"/>
      <c r="T102" s="581"/>
      <c r="U102" s="581"/>
    </row>
    <row r="103" spans="1:21">
      <c r="A103" s="581"/>
      <c r="B103" s="581"/>
      <c r="C103" s="581"/>
      <c r="D103" s="582" t="s">
        <v>715</v>
      </c>
      <c r="E103" s="588" t="s">
        <v>718</v>
      </c>
      <c r="F103" s="589">
        <v>41047</v>
      </c>
      <c r="G103" s="590">
        <f t="shared" si="2"/>
        <v>2012</v>
      </c>
      <c r="H103" s="590">
        <f t="shared" si="3"/>
        <v>5</v>
      </c>
      <c r="I103" s="591">
        <v>17</v>
      </c>
      <c r="J103" s="591">
        <v>2.09</v>
      </c>
      <c r="K103" s="591">
        <v>0</v>
      </c>
      <c r="L103" s="592">
        <v>1.0900000000000001</v>
      </c>
      <c r="M103" s="591">
        <v>7203</v>
      </c>
      <c r="N103" s="593">
        <v>2.9999999999999997E-4</v>
      </c>
      <c r="O103" s="591">
        <v>2.093</v>
      </c>
      <c r="P103" s="591">
        <v>0</v>
      </c>
      <c r="Q103" s="581"/>
      <c r="R103" s="581"/>
      <c r="S103" s="581"/>
      <c r="T103" s="581"/>
      <c r="U103" s="581"/>
    </row>
    <row r="104" spans="1:21">
      <c r="A104" s="581"/>
      <c r="B104" s="581"/>
      <c r="C104" s="581"/>
      <c r="D104" s="582" t="s">
        <v>715</v>
      </c>
      <c r="E104" s="588" t="s">
        <v>718</v>
      </c>
      <c r="F104" s="589">
        <v>41087</v>
      </c>
      <c r="G104" s="590">
        <f t="shared" si="2"/>
        <v>2012</v>
      </c>
      <c r="H104" s="590">
        <f t="shared" si="3"/>
        <v>6</v>
      </c>
      <c r="I104" s="591">
        <v>17</v>
      </c>
      <c r="J104" s="591">
        <v>2.0539999999999998</v>
      </c>
      <c r="K104" s="591">
        <v>0</v>
      </c>
      <c r="L104" s="592">
        <v>1.054</v>
      </c>
      <c r="M104" s="591">
        <v>8833</v>
      </c>
      <c r="N104" s="593">
        <v>2.0000000000000001E-4</v>
      </c>
      <c r="O104" s="591">
        <v>2.0859999999999999</v>
      </c>
      <c r="P104" s="591">
        <v>0</v>
      </c>
      <c r="Q104" s="581"/>
      <c r="R104" s="581"/>
      <c r="S104" s="581"/>
      <c r="T104" s="581"/>
      <c r="U104" s="581"/>
    </row>
    <row r="105" spans="1:21">
      <c r="A105" s="581"/>
      <c r="B105" s="581"/>
      <c r="C105" s="581"/>
      <c r="D105" s="582" t="s">
        <v>715</v>
      </c>
      <c r="E105" s="588" t="s">
        <v>718</v>
      </c>
      <c r="F105" s="589">
        <v>41092</v>
      </c>
      <c r="G105" s="590">
        <f t="shared" si="2"/>
        <v>2012</v>
      </c>
      <c r="H105" s="590">
        <f t="shared" si="3"/>
        <v>7</v>
      </c>
      <c r="I105" s="591">
        <v>17</v>
      </c>
      <c r="J105" s="591">
        <v>2.7240000000000002</v>
      </c>
      <c r="K105" s="591">
        <v>0</v>
      </c>
      <c r="L105" s="592">
        <v>1.724</v>
      </c>
      <c r="M105" s="591">
        <v>9682</v>
      </c>
      <c r="N105" s="593">
        <v>2.9999999999999997E-4</v>
      </c>
      <c r="O105" s="591">
        <v>2.7570000000000001</v>
      </c>
      <c r="P105" s="591">
        <v>0</v>
      </c>
      <c r="Q105" s="581"/>
      <c r="R105" s="581"/>
      <c r="S105" s="581"/>
      <c r="T105" s="581"/>
      <c r="U105" s="581"/>
    </row>
    <row r="106" spans="1:21">
      <c r="A106" s="581"/>
      <c r="B106" s="581"/>
      <c r="C106" s="581"/>
      <c r="D106" s="582" t="s">
        <v>715</v>
      </c>
      <c r="E106" s="588" t="s">
        <v>718</v>
      </c>
      <c r="F106" s="589">
        <v>41122</v>
      </c>
      <c r="G106" s="590">
        <f t="shared" si="2"/>
        <v>2012</v>
      </c>
      <c r="H106" s="590">
        <f t="shared" si="3"/>
        <v>8</v>
      </c>
      <c r="I106" s="591">
        <v>17</v>
      </c>
      <c r="J106" s="591">
        <v>2.4020000000000001</v>
      </c>
      <c r="K106" s="591">
        <v>0</v>
      </c>
      <c r="L106" s="592">
        <v>1.4019999999999999</v>
      </c>
      <c r="M106" s="591">
        <v>8979</v>
      </c>
      <c r="N106" s="593">
        <v>2.9999999999999997E-4</v>
      </c>
      <c r="O106" s="591">
        <v>2.4300000000000002</v>
      </c>
      <c r="P106" s="591">
        <v>0</v>
      </c>
      <c r="Q106" s="581"/>
      <c r="R106" s="581"/>
      <c r="S106" s="581"/>
      <c r="T106" s="581"/>
      <c r="U106" s="581"/>
    </row>
    <row r="107" spans="1:21">
      <c r="A107" s="581"/>
      <c r="B107" s="581"/>
      <c r="C107" s="581"/>
      <c r="D107" s="582" t="s">
        <v>715</v>
      </c>
      <c r="E107" s="588" t="s">
        <v>718</v>
      </c>
      <c r="F107" s="589">
        <v>41156</v>
      </c>
      <c r="G107" s="590">
        <f t="shared" si="2"/>
        <v>2012</v>
      </c>
      <c r="H107" s="590">
        <f t="shared" si="3"/>
        <v>9</v>
      </c>
      <c r="I107" s="591">
        <v>16</v>
      </c>
      <c r="J107" s="591">
        <v>1.73</v>
      </c>
      <c r="K107" s="591">
        <v>0</v>
      </c>
      <c r="L107" s="592">
        <v>0.73</v>
      </c>
      <c r="M107" s="591">
        <v>8521</v>
      </c>
      <c r="N107" s="593">
        <v>2.0000000000000001E-4</v>
      </c>
      <c r="O107" s="591">
        <v>2.1779999999999999</v>
      </c>
      <c r="P107" s="591">
        <v>0</v>
      </c>
      <c r="Q107" s="581"/>
      <c r="R107" s="581"/>
      <c r="S107" s="581"/>
      <c r="T107" s="581"/>
      <c r="U107" s="581"/>
    </row>
    <row r="108" spans="1:21">
      <c r="A108" s="581"/>
      <c r="B108" s="581"/>
      <c r="C108" s="581"/>
      <c r="D108" s="582" t="s">
        <v>715</v>
      </c>
      <c r="E108" s="588" t="s">
        <v>718</v>
      </c>
      <c r="F108" s="589">
        <v>41185</v>
      </c>
      <c r="G108" s="590">
        <f t="shared" si="2"/>
        <v>2012</v>
      </c>
      <c r="H108" s="590">
        <f t="shared" si="3"/>
        <v>10</v>
      </c>
      <c r="I108" s="591">
        <v>14</v>
      </c>
      <c r="J108" s="591">
        <v>1.4930000000000001</v>
      </c>
      <c r="K108" s="591">
        <v>0</v>
      </c>
      <c r="L108" s="592">
        <v>0.49299999999999999</v>
      </c>
      <c r="M108" s="591">
        <v>6122</v>
      </c>
      <c r="N108" s="593">
        <v>2.0000000000000001E-4</v>
      </c>
      <c r="O108" s="591">
        <v>1.5089999999999999</v>
      </c>
      <c r="P108" s="591">
        <v>0</v>
      </c>
      <c r="Q108" s="581"/>
      <c r="R108" s="581"/>
      <c r="S108" s="581"/>
      <c r="T108" s="581"/>
      <c r="U108" s="581"/>
    </row>
    <row r="109" spans="1:21">
      <c r="A109" s="581"/>
      <c r="B109" s="581"/>
      <c r="C109" s="581"/>
      <c r="D109" s="582" t="s">
        <v>715</v>
      </c>
      <c r="E109" s="588" t="s">
        <v>718</v>
      </c>
      <c r="F109" s="589">
        <v>41239</v>
      </c>
      <c r="G109" s="590">
        <f t="shared" si="2"/>
        <v>2012</v>
      </c>
      <c r="H109" s="590">
        <f t="shared" si="3"/>
        <v>11</v>
      </c>
      <c r="I109" s="591">
        <v>18</v>
      </c>
      <c r="J109" s="591">
        <v>2.2930000000000001</v>
      </c>
      <c r="K109" s="591">
        <v>0</v>
      </c>
      <c r="L109" s="592">
        <v>0.29299999999999998</v>
      </c>
      <c r="M109" s="591">
        <v>6416</v>
      </c>
      <c r="N109" s="593">
        <v>4.0000000000000002E-4</v>
      </c>
      <c r="O109" s="591">
        <v>2.319</v>
      </c>
      <c r="P109" s="591">
        <v>0</v>
      </c>
      <c r="Q109" s="581"/>
      <c r="R109" s="581"/>
      <c r="S109" s="581"/>
      <c r="T109" s="581"/>
      <c r="U109" s="581"/>
    </row>
    <row r="110" spans="1:21">
      <c r="A110" s="581"/>
      <c r="B110" s="581"/>
      <c r="C110" s="581"/>
      <c r="D110" s="582" t="s">
        <v>715</v>
      </c>
      <c r="E110" s="588" t="s">
        <v>718</v>
      </c>
      <c r="F110" s="589">
        <v>41253</v>
      </c>
      <c r="G110" s="590">
        <f t="shared" si="2"/>
        <v>2012</v>
      </c>
      <c r="H110" s="590">
        <f t="shared" si="3"/>
        <v>12</v>
      </c>
      <c r="I110" s="591">
        <v>18</v>
      </c>
      <c r="J110" s="591">
        <v>2.6339999999999999</v>
      </c>
      <c r="K110" s="591">
        <v>0</v>
      </c>
      <c r="L110" s="592">
        <v>0.63400000000000001</v>
      </c>
      <c r="M110" s="591">
        <v>6609</v>
      </c>
      <c r="N110" s="593">
        <v>4.0000000000000002E-4</v>
      </c>
      <c r="O110" s="591">
        <v>2.657</v>
      </c>
      <c r="P110" s="591">
        <v>0</v>
      </c>
      <c r="Q110" s="581"/>
      <c r="R110" s="581"/>
      <c r="S110" s="581"/>
      <c r="T110" s="581"/>
      <c r="U110" s="581"/>
    </row>
    <row r="111" spans="1:21">
      <c r="A111" s="581"/>
      <c r="B111" s="581"/>
      <c r="C111" s="581"/>
      <c r="D111" s="582" t="s">
        <v>715</v>
      </c>
      <c r="E111" s="588" t="s">
        <v>718</v>
      </c>
      <c r="F111" s="589">
        <v>41295</v>
      </c>
      <c r="G111" s="590">
        <f t="shared" si="2"/>
        <v>2013</v>
      </c>
      <c r="H111" s="590">
        <f t="shared" si="3"/>
        <v>1</v>
      </c>
      <c r="I111" s="591">
        <v>19</v>
      </c>
      <c r="J111" s="591">
        <v>2.7240000000000002</v>
      </c>
      <c r="K111" s="591">
        <v>0</v>
      </c>
      <c r="L111" s="592">
        <v>0.72399999999999998</v>
      </c>
      <c r="M111" s="591">
        <v>6846</v>
      </c>
      <c r="N111" s="593">
        <v>4.0000000000000002E-4</v>
      </c>
      <c r="O111" s="591">
        <v>2.7229999999999999</v>
      </c>
      <c r="P111" s="591">
        <v>0</v>
      </c>
      <c r="Q111" s="581"/>
      <c r="R111" s="581"/>
      <c r="S111" s="581"/>
      <c r="T111" s="581"/>
      <c r="U111" s="581"/>
    </row>
    <row r="112" spans="1:21">
      <c r="A112" s="581"/>
      <c r="B112" s="581"/>
      <c r="C112" s="581"/>
      <c r="D112" s="582" t="s">
        <v>715</v>
      </c>
      <c r="E112" s="588" t="s">
        <v>718</v>
      </c>
      <c r="F112" s="589">
        <v>41324</v>
      </c>
      <c r="G112" s="590">
        <f t="shared" si="2"/>
        <v>2013</v>
      </c>
      <c r="H112" s="590">
        <f t="shared" si="3"/>
        <v>2</v>
      </c>
      <c r="I112" s="591">
        <v>19</v>
      </c>
      <c r="J112" s="591">
        <v>2.6629999999999998</v>
      </c>
      <c r="K112" s="591">
        <v>0</v>
      </c>
      <c r="L112" s="592">
        <v>0.66300000000000003</v>
      </c>
      <c r="M112" s="591">
        <v>6511</v>
      </c>
      <c r="N112" s="593">
        <v>4.0000000000000002E-4</v>
      </c>
      <c r="O112" s="591">
        <v>2.7029999999999998</v>
      </c>
      <c r="P112" s="591">
        <v>0</v>
      </c>
      <c r="Q112" s="581"/>
      <c r="R112" s="581"/>
      <c r="S112" s="581"/>
      <c r="T112" s="581"/>
      <c r="U112" s="581"/>
    </row>
    <row r="113" spans="1:21">
      <c r="A113" s="581"/>
      <c r="B113" s="581"/>
      <c r="C113" s="581"/>
      <c r="D113" s="582" t="s">
        <v>715</v>
      </c>
      <c r="E113" s="588" t="s">
        <v>718</v>
      </c>
      <c r="F113" s="589">
        <v>41337</v>
      </c>
      <c r="G113" s="590">
        <f t="shared" si="2"/>
        <v>2013</v>
      </c>
      <c r="H113" s="590">
        <f t="shared" si="3"/>
        <v>3</v>
      </c>
      <c r="I113" s="591">
        <v>19</v>
      </c>
      <c r="J113" s="591">
        <v>1.85</v>
      </c>
      <c r="K113" s="591">
        <v>0</v>
      </c>
      <c r="L113" s="592">
        <v>-0.15</v>
      </c>
      <c r="M113" s="591">
        <v>6172</v>
      </c>
      <c r="N113" s="593">
        <v>2.9999999999999997E-4</v>
      </c>
      <c r="O113" s="591">
        <v>2.157</v>
      </c>
      <c r="P113" s="591">
        <v>0</v>
      </c>
      <c r="Q113" s="581"/>
      <c r="R113" s="581"/>
      <c r="S113" s="581"/>
      <c r="T113" s="581"/>
      <c r="U113" s="581"/>
    </row>
    <row r="114" spans="1:21">
      <c r="A114" s="581"/>
      <c r="B114" s="581"/>
      <c r="C114" s="581"/>
      <c r="D114" s="582" t="s">
        <v>715</v>
      </c>
      <c r="E114" s="588" t="s">
        <v>718</v>
      </c>
      <c r="F114" s="589">
        <v>41382</v>
      </c>
      <c r="G114" s="590">
        <f t="shared" si="2"/>
        <v>2013</v>
      </c>
      <c r="H114" s="590">
        <f t="shared" si="3"/>
        <v>4</v>
      </c>
      <c r="I114" s="591">
        <v>12</v>
      </c>
      <c r="J114" s="591">
        <v>1.8640000000000001</v>
      </c>
      <c r="K114" s="591">
        <v>0</v>
      </c>
      <c r="L114" s="592">
        <v>0.86399999999999999</v>
      </c>
      <c r="M114" s="591">
        <v>5851</v>
      </c>
      <c r="N114" s="593">
        <v>2.9999999999999997E-4</v>
      </c>
      <c r="O114" s="591">
        <v>1.8819999999999999</v>
      </c>
      <c r="P114" s="591">
        <v>0</v>
      </c>
      <c r="Q114" s="581"/>
      <c r="R114" s="581"/>
      <c r="S114" s="581"/>
      <c r="T114" s="581"/>
      <c r="U114" s="581"/>
    </row>
    <row r="115" spans="1:21">
      <c r="A115" s="581"/>
      <c r="B115" s="581"/>
      <c r="C115" s="581"/>
      <c r="D115" s="582" t="s">
        <v>715</v>
      </c>
      <c r="E115" s="588" t="s">
        <v>718</v>
      </c>
      <c r="F115" s="589">
        <v>41408</v>
      </c>
      <c r="G115" s="590">
        <f t="shared" si="2"/>
        <v>2013</v>
      </c>
      <c r="H115" s="590">
        <f t="shared" si="3"/>
        <v>5</v>
      </c>
      <c r="I115" s="591">
        <v>17</v>
      </c>
      <c r="J115" s="591">
        <v>1.5960000000000001</v>
      </c>
      <c r="K115" s="591">
        <v>0</v>
      </c>
      <c r="L115" s="592">
        <v>0.59599999999999997</v>
      </c>
      <c r="M115" s="591">
        <v>6516</v>
      </c>
      <c r="N115" s="593">
        <v>2.0000000000000001E-4</v>
      </c>
      <c r="O115" s="591">
        <v>1.617</v>
      </c>
      <c r="P115" s="591">
        <v>0</v>
      </c>
      <c r="Q115" s="581"/>
      <c r="R115" s="581"/>
      <c r="S115" s="581"/>
      <c r="T115" s="581"/>
      <c r="U115" s="581"/>
    </row>
    <row r="116" spans="1:21">
      <c r="A116" s="581"/>
      <c r="B116" s="581"/>
      <c r="C116" s="581"/>
      <c r="D116" s="582" t="s">
        <v>715</v>
      </c>
      <c r="E116" s="588" t="s">
        <v>718</v>
      </c>
      <c r="F116" s="589">
        <v>41451</v>
      </c>
      <c r="G116" s="590">
        <f t="shared" si="2"/>
        <v>2013</v>
      </c>
      <c r="H116" s="590">
        <f t="shared" si="3"/>
        <v>6</v>
      </c>
      <c r="I116" s="591">
        <v>16</v>
      </c>
      <c r="J116" s="591">
        <v>2.1059999999999999</v>
      </c>
      <c r="K116" s="591">
        <v>0</v>
      </c>
      <c r="L116" s="592">
        <v>1.1060000000000001</v>
      </c>
      <c r="M116" s="591">
        <v>8280</v>
      </c>
      <c r="N116" s="593">
        <v>2.9999999999999997E-4</v>
      </c>
      <c r="O116" s="591">
        <v>2.1429999999999998</v>
      </c>
      <c r="P116" s="591">
        <v>0</v>
      </c>
      <c r="Q116" s="581"/>
      <c r="R116" s="581"/>
      <c r="S116" s="581"/>
      <c r="T116" s="581"/>
      <c r="U116" s="581"/>
    </row>
    <row r="117" spans="1:21">
      <c r="A117" s="581"/>
      <c r="B117" s="581"/>
      <c r="C117" s="581"/>
      <c r="D117" s="582" t="s">
        <v>715</v>
      </c>
      <c r="E117" s="588" t="s">
        <v>718</v>
      </c>
      <c r="F117" s="589">
        <v>41473</v>
      </c>
      <c r="G117" s="590">
        <f t="shared" si="2"/>
        <v>2013</v>
      </c>
      <c r="H117" s="590">
        <f t="shared" si="3"/>
        <v>7</v>
      </c>
      <c r="I117" s="591">
        <v>17</v>
      </c>
      <c r="J117" s="591">
        <v>2.577</v>
      </c>
      <c r="K117" s="591">
        <v>0</v>
      </c>
      <c r="L117" s="592">
        <v>1.577</v>
      </c>
      <c r="M117" s="591">
        <v>9566</v>
      </c>
      <c r="N117" s="593">
        <v>2.9999999999999997E-4</v>
      </c>
      <c r="O117" s="591">
        <v>2.6040000000000001</v>
      </c>
      <c r="P117" s="591">
        <v>0</v>
      </c>
      <c r="Q117" s="581"/>
      <c r="R117" s="581"/>
      <c r="S117" s="581"/>
      <c r="T117" s="581"/>
      <c r="U117" s="581"/>
    </row>
    <row r="118" spans="1:21">
      <c r="A118" s="581"/>
      <c r="B118" s="581"/>
      <c r="C118" s="581"/>
      <c r="D118" s="582" t="s">
        <v>715</v>
      </c>
      <c r="E118" s="588" t="s">
        <v>718</v>
      </c>
      <c r="F118" s="589">
        <v>41512</v>
      </c>
      <c r="G118" s="590">
        <f t="shared" si="2"/>
        <v>2013</v>
      </c>
      <c r="H118" s="590">
        <f t="shared" si="3"/>
        <v>8</v>
      </c>
      <c r="I118" s="591">
        <v>17</v>
      </c>
      <c r="J118" s="591">
        <v>2.726</v>
      </c>
      <c r="K118" s="591">
        <v>0</v>
      </c>
      <c r="L118" s="592">
        <v>1.726</v>
      </c>
      <c r="M118" s="591">
        <v>9821</v>
      </c>
      <c r="N118" s="593">
        <v>2.9999999999999997E-4</v>
      </c>
      <c r="O118" s="591">
        <v>2.7480000000000002</v>
      </c>
      <c r="P118" s="591">
        <v>0</v>
      </c>
      <c r="Q118" s="581"/>
      <c r="R118" s="581"/>
      <c r="S118" s="581"/>
      <c r="T118" s="581"/>
      <c r="U118" s="581"/>
    </row>
    <row r="119" spans="1:21">
      <c r="A119" s="581"/>
      <c r="B119" s="581"/>
      <c r="C119" s="581"/>
      <c r="D119" s="582" t="s">
        <v>715</v>
      </c>
      <c r="E119" s="588" t="s">
        <v>718</v>
      </c>
      <c r="F119" s="589">
        <v>41526</v>
      </c>
      <c r="G119" s="590">
        <f t="shared" si="2"/>
        <v>2013</v>
      </c>
      <c r="H119" s="590">
        <f t="shared" si="3"/>
        <v>9</v>
      </c>
      <c r="I119" s="591">
        <v>17</v>
      </c>
      <c r="J119" s="591">
        <v>2.5070000000000001</v>
      </c>
      <c r="K119" s="591">
        <v>0</v>
      </c>
      <c r="L119" s="592">
        <v>1.5069999999999999</v>
      </c>
      <c r="M119" s="591">
        <v>8781</v>
      </c>
      <c r="N119" s="593">
        <v>2.9999999999999997E-4</v>
      </c>
      <c r="O119" s="591">
        <v>2.5299999999999998</v>
      </c>
      <c r="P119" s="591">
        <v>0</v>
      </c>
      <c r="Q119" s="581"/>
      <c r="R119" s="581"/>
      <c r="S119" s="581"/>
      <c r="T119" s="581"/>
      <c r="U119" s="581"/>
    </row>
    <row r="120" spans="1:21">
      <c r="A120" s="581"/>
      <c r="B120" s="581"/>
      <c r="C120" s="581"/>
      <c r="D120" s="582" t="s">
        <v>715</v>
      </c>
      <c r="E120" s="588" t="s">
        <v>718</v>
      </c>
      <c r="F120" s="589">
        <v>41548</v>
      </c>
      <c r="G120" s="590">
        <f t="shared" si="2"/>
        <v>2013</v>
      </c>
      <c r="H120" s="590">
        <f t="shared" si="3"/>
        <v>10</v>
      </c>
      <c r="I120" s="591">
        <v>14</v>
      </c>
      <c r="J120" s="591">
        <v>1.637</v>
      </c>
      <c r="K120" s="591">
        <v>0</v>
      </c>
      <c r="L120" s="592">
        <v>0.63700000000000001</v>
      </c>
      <c r="M120" s="591">
        <v>6214</v>
      </c>
      <c r="N120" s="593">
        <v>2.9999999999999997E-4</v>
      </c>
      <c r="O120" s="591">
        <v>1.653</v>
      </c>
      <c r="P120" s="591">
        <v>0</v>
      </c>
      <c r="Q120" s="581"/>
      <c r="R120" s="581"/>
      <c r="S120" s="581"/>
      <c r="T120" s="581"/>
      <c r="U120" s="581"/>
    </row>
    <row r="121" spans="1:21">
      <c r="A121" s="581"/>
      <c r="B121" s="581"/>
      <c r="C121" s="581"/>
      <c r="D121" s="582" t="s">
        <v>715</v>
      </c>
      <c r="E121" s="588" t="s">
        <v>718</v>
      </c>
      <c r="F121" s="589">
        <v>41604</v>
      </c>
      <c r="G121" s="590">
        <f t="shared" si="2"/>
        <v>2013</v>
      </c>
      <c r="H121" s="590">
        <f t="shared" si="3"/>
        <v>11</v>
      </c>
      <c r="I121" s="591">
        <v>18</v>
      </c>
      <c r="J121" s="591">
        <v>2.423</v>
      </c>
      <c r="K121" s="591">
        <v>0</v>
      </c>
      <c r="L121" s="592">
        <v>0.42299999999999999</v>
      </c>
      <c r="M121" s="591">
        <v>6372</v>
      </c>
      <c r="N121" s="593">
        <v>4.0000000000000002E-4</v>
      </c>
      <c r="O121" s="591">
        <v>2.4580000000000002</v>
      </c>
      <c r="P121" s="591">
        <v>0</v>
      </c>
      <c r="Q121" s="581"/>
      <c r="R121" s="581"/>
      <c r="S121" s="581"/>
      <c r="T121" s="581"/>
      <c r="U121" s="581"/>
    </row>
    <row r="122" spans="1:21">
      <c r="A122" s="581"/>
      <c r="B122" s="581"/>
      <c r="C122" s="581"/>
      <c r="D122" s="582" t="s">
        <v>715</v>
      </c>
      <c r="E122" s="588" t="s">
        <v>718</v>
      </c>
      <c r="F122" s="589">
        <v>41619</v>
      </c>
      <c r="G122" s="590">
        <f t="shared" si="2"/>
        <v>2013</v>
      </c>
      <c r="H122" s="590">
        <f t="shared" si="3"/>
        <v>12</v>
      </c>
      <c r="I122" s="591">
        <v>18</v>
      </c>
      <c r="J122" s="591">
        <v>2.5019999999999998</v>
      </c>
      <c r="K122" s="591">
        <v>0</v>
      </c>
      <c r="L122" s="592">
        <v>0.502</v>
      </c>
      <c r="M122" s="591">
        <v>6972</v>
      </c>
      <c r="N122" s="593">
        <v>4.0000000000000002E-4</v>
      </c>
      <c r="O122" s="591">
        <v>2.5249999999999999</v>
      </c>
      <c r="P122" s="591">
        <v>0</v>
      </c>
      <c r="Q122" s="581"/>
      <c r="R122" s="581"/>
      <c r="S122" s="581"/>
      <c r="T122" s="581"/>
      <c r="U122" s="581"/>
    </row>
    <row r="123" spans="1:21">
      <c r="A123" s="581"/>
      <c r="B123" s="581"/>
      <c r="C123" s="581"/>
      <c r="D123" s="582" t="s">
        <v>715</v>
      </c>
      <c r="E123" s="645" t="s">
        <v>718</v>
      </c>
      <c r="F123" s="646">
        <v>41645</v>
      </c>
      <c r="G123" s="590">
        <f t="shared" si="2"/>
        <v>2014</v>
      </c>
      <c r="H123" s="590">
        <f t="shared" si="3"/>
        <v>1</v>
      </c>
      <c r="I123" s="647">
        <v>18</v>
      </c>
      <c r="J123" s="647">
        <v>2.36</v>
      </c>
      <c r="K123" s="647">
        <v>0</v>
      </c>
      <c r="L123" s="648">
        <v>2.36</v>
      </c>
      <c r="M123" s="649">
        <v>7188</v>
      </c>
      <c r="N123" s="647">
        <v>3.3000000000000002E-2</v>
      </c>
      <c r="O123" s="647">
        <v>2.6269999999999998</v>
      </c>
      <c r="P123" s="647">
        <v>0</v>
      </c>
      <c r="Q123" s="581"/>
      <c r="R123" s="581"/>
      <c r="S123" s="581"/>
      <c r="T123" s="581"/>
      <c r="U123" s="581"/>
    </row>
    <row r="124" spans="1:21">
      <c r="A124" s="581"/>
      <c r="B124" s="581"/>
      <c r="C124" s="581"/>
      <c r="D124" s="582" t="s">
        <v>715</v>
      </c>
      <c r="E124" s="645" t="s">
        <v>718</v>
      </c>
      <c r="F124" s="646">
        <v>41676</v>
      </c>
      <c r="G124" s="590">
        <f t="shared" si="2"/>
        <v>2014</v>
      </c>
      <c r="H124" s="590">
        <f t="shared" si="3"/>
        <v>2</v>
      </c>
      <c r="I124" s="647">
        <v>19</v>
      </c>
      <c r="J124" s="647">
        <v>2.573</v>
      </c>
      <c r="K124" s="647">
        <v>0</v>
      </c>
      <c r="L124" s="648">
        <v>2.573</v>
      </c>
      <c r="M124" s="649">
        <v>6743</v>
      </c>
      <c r="N124" s="647">
        <v>3.7999999999999999E-2</v>
      </c>
      <c r="O124" s="647">
        <v>2.601</v>
      </c>
      <c r="P124" s="647">
        <v>0</v>
      </c>
      <c r="Q124" s="581"/>
      <c r="R124" s="581"/>
      <c r="S124" s="581"/>
      <c r="T124" s="581"/>
      <c r="U124" s="581"/>
    </row>
    <row r="125" spans="1:21">
      <c r="A125" s="581"/>
      <c r="B125" s="581"/>
      <c r="C125" s="581"/>
      <c r="D125" s="582" t="s">
        <v>715</v>
      </c>
      <c r="E125" s="645" t="s">
        <v>718</v>
      </c>
      <c r="F125" s="646">
        <v>41701</v>
      </c>
      <c r="G125" s="590">
        <f t="shared" si="2"/>
        <v>2014</v>
      </c>
      <c r="H125" s="590">
        <f t="shared" si="3"/>
        <v>3</v>
      </c>
      <c r="I125" s="647">
        <v>19</v>
      </c>
      <c r="J125" s="647">
        <v>2.4129999999999998</v>
      </c>
      <c r="K125" s="647">
        <v>0</v>
      </c>
      <c r="L125" s="648">
        <v>2.4129999999999998</v>
      </c>
      <c r="M125" s="649">
        <v>6537</v>
      </c>
      <c r="N125" s="647">
        <v>3.6999999999999998E-2</v>
      </c>
      <c r="O125" s="647">
        <v>2.4329999999999998</v>
      </c>
      <c r="P125" s="647">
        <v>0</v>
      </c>
      <c r="Q125" s="581"/>
      <c r="R125" s="581"/>
      <c r="S125" s="581"/>
      <c r="T125" s="581"/>
      <c r="U125" s="581"/>
    </row>
    <row r="126" spans="1:21">
      <c r="A126" s="581"/>
      <c r="B126" s="581"/>
      <c r="C126" s="581"/>
      <c r="D126" s="582" t="s">
        <v>715</v>
      </c>
      <c r="E126" s="645" t="s">
        <v>718</v>
      </c>
      <c r="F126" s="646">
        <v>41730</v>
      </c>
      <c r="G126" s="590">
        <f t="shared" si="2"/>
        <v>2014</v>
      </c>
      <c r="H126" s="590">
        <f t="shared" si="3"/>
        <v>4</v>
      </c>
      <c r="I126" s="647">
        <v>11</v>
      </c>
      <c r="J126" s="647">
        <v>2.0070000000000001</v>
      </c>
      <c r="K126" s="647">
        <v>0</v>
      </c>
      <c r="L126" s="648">
        <v>2.0070000000000001</v>
      </c>
      <c r="M126" s="649">
        <v>5924</v>
      </c>
      <c r="N126" s="647">
        <v>3.4000000000000002E-2</v>
      </c>
      <c r="O126" s="647">
        <v>2.0579999999999998</v>
      </c>
      <c r="P126" s="647">
        <v>0</v>
      </c>
      <c r="Q126" s="581"/>
      <c r="R126" s="581"/>
      <c r="S126" s="581"/>
      <c r="T126" s="581"/>
      <c r="U126" s="581"/>
    </row>
    <row r="127" spans="1:21">
      <c r="A127" s="581"/>
      <c r="B127" s="581"/>
      <c r="C127" s="581"/>
      <c r="D127" s="582" t="s">
        <v>715</v>
      </c>
      <c r="E127" s="645" t="s">
        <v>718</v>
      </c>
      <c r="F127" s="646">
        <v>41789</v>
      </c>
      <c r="G127" s="590">
        <f t="shared" si="2"/>
        <v>2014</v>
      </c>
      <c r="H127" s="590">
        <f t="shared" si="3"/>
        <v>5</v>
      </c>
      <c r="I127" s="647">
        <v>16</v>
      </c>
      <c r="J127" s="647">
        <v>1.8979999999999999</v>
      </c>
      <c r="K127" s="647">
        <v>0</v>
      </c>
      <c r="L127" s="648">
        <v>1.8979999999999999</v>
      </c>
      <c r="M127" s="649">
        <v>7422</v>
      </c>
      <c r="N127" s="647">
        <v>2.5999999999999999E-2</v>
      </c>
      <c r="O127" s="647">
        <v>1.917</v>
      </c>
      <c r="P127" s="647">
        <v>0</v>
      </c>
      <c r="Q127" s="581"/>
      <c r="R127" s="581"/>
      <c r="S127" s="581"/>
      <c r="T127" s="581"/>
      <c r="U127" s="581"/>
    </row>
    <row r="128" spans="1:21">
      <c r="A128" s="581"/>
      <c r="B128" s="581"/>
      <c r="C128" s="581"/>
      <c r="D128" s="582" t="s">
        <v>715</v>
      </c>
      <c r="E128" s="645" t="s">
        <v>718</v>
      </c>
      <c r="F128" s="646">
        <v>41814</v>
      </c>
      <c r="G128" s="590">
        <f t="shared" si="2"/>
        <v>2014</v>
      </c>
      <c r="H128" s="590">
        <f t="shared" si="3"/>
        <v>6</v>
      </c>
      <c r="I128" s="647">
        <v>16</v>
      </c>
      <c r="J128" s="647">
        <v>1.8919999999999999</v>
      </c>
      <c r="K128" s="647">
        <v>0</v>
      </c>
      <c r="L128" s="648">
        <v>1.8919999999999999</v>
      </c>
      <c r="M128" s="649">
        <v>7670</v>
      </c>
      <c r="N128" s="647">
        <v>2.5000000000000001E-2</v>
      </c>
      <c r="O128" s="647">
        <v>1.9139999999999999</v>
      </c>
      <c r="P128" s="647">
        <v>0</v>
      </c>
      <c r="Q128" s="581"/>
      <c r="R128" s="581"/>
      <c r="S128" s="581"/>
      <c r="T128" s="581"/>
      <c r="U128" s="581"/>
    </row>
    <row r="129" spans="1:21">
      <c r="A129" s="581"/>
      <c r="B129" s="581"/>
      <c r="C129" s="581"/>
      <c r="D129" s="582" t="s">
        <v>715</v>
      </c>
      <c r="E129" s="645" t="s">
        <v>718</v>
      </c>
      <c r="F129" s="646">
        <v>41841</v>
      </c>
      <c r="G129" s="590">
        <f t="shared" si="2"/>
        <v>2014</v>
      </c>
      <c r="H129" s="590">
        <f t="shared" si="3"/>
        <v>7</v>
      </c>
      <c r="I129" s="647">
        <v>17</v>
      </c>
      <c r="J129" s="647">
        <v>2.2000000000000002</v>
      </c>
      <c r="K129" s="647">
        <v>0</v>
      </c>
      <c r="L129" s="648">
        <v>2.2000000000000002</v>
      </c>
      <c r="M129" s="649">
        <v>9150</v>
      </c>
      <c r="N129" s="647">
        <v>2.4E-2</v>
      </c>
      <c r="O129" s="647">
        <v>2.1949999999999998</v>
      </c>
      <c r="P129" s="647">
        <v>0</v>
      </c>
      <c r="Q129" s="581"/>
      <c r="R129" s="581"/>
      <c r="S129" s="581"/>
      <c r="T129" s="581"/>
      <c r="U129" s="581"/>
    </row>
    <row r="130" spans="1:21">
      <c r="A130" s="581"/>
      <c r="B130" s="581"/>
      <c r="C130" s="581"/>
      <c r="D130" s="582" t="s">
        <v>715</v>
      </c>
      <c r="E130" s="645" t="s">
        <v>718</v>
      </c>
      <c r="F130" s="646">
        <v>41869</v>
      </c>
      <c r="G130" s="590">
        <f t="shared" si="2"/>
        <v>2014</v>
      </c>
      <c r="H130" s="590">
        <f t="shared" si="3"/>
        <v>8</v>
      </c>
      <c r="I130" s="647">
        <v>16</v>
      </c>
      <c r="J130" s="647">
        <v>1.853</v>
      </c>
      <c r="K130" s="647">
        <v>0</v>
      </c>
      <c r="L130" s="648">
        <v>1.853</v>
      </c>
      <c r="M130" s="649">
        <v>8190</v>
      </c>
      <c r="N130" s="647">
        <v>2.3E-2</v>
      </c>
      <c r="O130" s="647">
        <v>1.8660000000000001</v>
      </c>
      <c r="P130" s="647">
        <v>0</v>
      </c>
      <c r="Q130" s="581"/>
      <c r="R130" s="581"/>
      <c r="S130" s="581"/>
      <c r="T130" s="581"/>
      <c r="U130" s="581"/>
    </row>
    <row r="131" spans="1:21">
      <c r="A131" s="581"/>
      <c r="B131" s="581"/>
      <c r="C131" s="581"/>
      <c r="D131" s="582" t="s">
        <v>715</v>
      </c>
      <c r="E131" s="645" t="s">
        <v>718</v>
      </c>
      <c r="F131" s="646">
        <v>41886</v>
      </c>
      <c r="G131" s="590">
        <f t="shared" ref="G131:G194" si="4">YEAR(F131)</f>
        <v>2014</v>
      </c>
      <c r="H131" s="590">
        <f t="shared" ref="H131:H194" si="5">MONTH(F131)</f>
        <v>9</v>
      </c>
      <c r="I131" s="647">
        <v>15</v>
      </c>
      <c r="J131" s="647">
        <v>1.849</v>
      </c>
      <c r="K131" s="647">
        <v>0</v>
      </c>
      <c r="L131" s="648">
        <v>1.849</v>
      </c>
      <c r="M131" s="649">
        <v>7758</v>
      </c>
      <c r="N131" s="647">
        <v>2.4E-2</v>
      </c>
      <c r="O131" s="647">
        <v>1.87</v>
      </c>
      <c r="P131" s="647">
        <v>0</v>
      </c>
      <c r="Q131" s="581"/>
      <c r="R131" s="581"/>
      <c r="S131" s="581"/>
      <c r="T131" s="581"/>
      <c r="U131" s="581"/>
    </row>
    <row r="132" spans="1:21">
      <c r="A132" s="581"/>
      <c r="B132" s="581"/>
      <c r="C132" s="581"/>
      <c r="D132" s="582" t="s">
        <v>715</v>
      </c>
      <c r="E132" s="645" t="s">
        <v>718</v>
      </c>
      <c r="F132" s="646">
        <v>41942</v>
      </c>
      <c r="G132" s="590">
        <f t="shared" si="4"/>
        <v>2014</v>
      </c>
      <c r="H132" s="590">
        <f t="shared" si="5"/>
        <v>10</v>
      </c>
      <c r="I132" s="647">
        <v>20</v>
      </c>
      <c r="J132" s="647">
        <v>1.456</v>
      </c>
      <c r="K132" s="647">
        <v>0</v>
      </c>
      <c r="L132" s="648">
        <v>1.456</v>
      </c>
      <c r="M132" s="649">
        <v>5901</v>
      </c>
      <c r="N132" s="647">
        <v>2.5000000000000001E-2</v>
      </c>
      <c r="O132" s="647">
        <v>1.468</v>
      </c>
      <c r="P132" s="647">
        <v>0</v>
      </c>
      <c r="Q132" s="581"/>
      <c r="R132" s="581"/>
      <c r="S132" s="581"/>
      <c r="T132" s="581"/>
      <c r="U132" s="581"/>
    </row>
    <row r="133" spans="1:21">
      <c r="A133" s="581"/>
      <c r="B133" s="581"/>
      <c r="C133" s="581"/>
      <c r="D133" s="582" t="s">
        <v>715</v>
      </c>
      <c r="E133" s="645" t="s">
        <v>718</v>
      </c>
      <c r="F133" s="646">
        <v>41960</v>
      </c>
      <c r="G133" s="590">
        <f t="shared" si="4"/>
        <v>2014</v>
      </c>
      <c r="H133" s="590">
        <f t="shared" si="5"/>
        <v>11</v>
      </c>
      <c r="I133" s="647">
        <v>18</v>
      </c>
      <c r="J133" s="647">
        <v>2.16</v>
      </c>
      <c r="K133" s="647">
        <v>0</v>
      </c>
      <c r="L133" s="648">
        <v>2.16</v>
      </c>
      <c r="M133" s="649">
        <v>6677</v>
      </c>
      <c r="N133" s="647">
        <v>3.2000000000000001E-2</v>
      </c>
      <c r="O133" s="647">
        <v>2.1800000000000002</v>
      </c>
      <c r="P133" s="647">
        <v>0</v>
      </c>
      <c r="Q133" s="581"/>
      <c r="R133" s="581"/>
      <c r="S133" s="581"/>
      <c r="T133" s="581"/>
      <c r="U133" s="581"/>
    </row>
    <row r="134" spans="1:21">
      <c r="A134" s="581"/>
      <c r="B134" s="581"/>
      <c r="C134" s="581"/>
      <c r="D134" s="582" t="s">
        <v>715</v>
      </c>
      <c r="E134" s="645" t="s">
        <v>718</v>
      </c>
      <c r="F134" s="646">
        <v>41974</v>
      </c>
      <c r="G134" s="590">
        <f t="shared" si="4"/>
        <v>2014</v>
      </c>
      <c r="H134" s="590">
        <f t="shared" si="5"/>
        <v>12</v>
      </c>
      <c r="I134" s="647">
        <v>18</v>
      </c>
      <c r="J134" s="647">
        <v>2.16</v>
      </c>
      <c r="K134" s="647">
        <v>0</v>
      </c>
      <c r="L134" s="648">
        <v>2.16</v>
      </c>
      <c r="M134" s="649">
        <v>6850</v>
      </c>
      <c r="N134" s="647">
        <v>3.2000000000000001E-2</v>
      </c>
      <c r="O134" s="647">
        <v>2.1819999999999999</v>
      </c>
      <c r="P134" s="647">
        <v>0</v>
      </c>
      <c r="Q134" s="581"/>
      <c r="R134" s="581"/>
      <c r="S134" s="581"/>
      <c r="T134" s="581"/>
      <c r="U134" s="581"/>
    </row>
    <row r="135" spans="1:21">
      <c r="A135" s="581"/>
      <c r="B135" s="581"/>
      <c r="C135" s="581"/>
      <c r="D135" s="582" t="s">
        <v>715</v>
      </c>
      <c r="E135" s="645" t="s">
        <v>718</v>
      </c>
      <c r="F135" s="646">
        <v>42011</v>
      </c>
      <c r="G135" s="590">
        <f t="shared" si="4"/>
        <v>2015</v>
      </c>
      <c r="H135" s="590">
        <f t="shared" si="5"/>
        <v>1</v>
      </c>
      <c r="I135" s="647">
        <v>18</v>
      </c>
      <c r="J135" s="647">
        <v>2.2120000000000002</v>
      </c>
      <c r="K135" s="647">
        <v>0</v>
      </c>
      <c r="L135" s="648">
        <v>2.2120000000000002</v>
      </c>
      <c r="M135" s="649">
        <v>6978</v>
      </c>
      <c r="N135" s="647">
        <v>3.2000000000000001E-2</v>
      </c>
      <c r="O135" s="647">
        <v>2.2349999999999999</v>
      </c>
      <c r="P135" s="647">
        <v>0</v>
      </c>
      <c r="Q135" s="581"/>
      <c r="R135" s="581"/>
      <c r="S135" s="581"/>
      <c r="T135" s="581"/>
      <c r="U135" s="581"/>
    </row>
    <row r="136" spans="1:21">
      <c r="A136" s="581"/>
      <c r="B136" s="581"/>
      <c r="C136" s="581"/>
      <c r="D136" s="582" t="s">
        <v>715</v>
      </c>
      <c r="E136" s="645" t="s">
        <v>718</v>
      </c>
      <c r="F136" s="646">
        <v>42053</v>
      </c>
      <c r="G136" s="590">
        <f t="shared" si="4"/>
        <v>2015</v>
      </c>
      <c r="H136" s="590">
        <f t="shared" si="5"/>
        <v>2</v>
      </c>
      <c r="I136" s="647">
        <v>19</v>
      </c>
      <c r="J136" s="647">
        <v>2.4990000000000001</v>
      </c>
      <c r="K136" s="647">
        <v>0</v>
      </c>
      <c r="L136" s="648">
        <v>2.4990000000000001</v>
      </c>
      <c r="M136" s="649">
        <v>6744</v>
      </c>
      <c r="N136" s="647">
        <v>3.6999999999999998E-2</v>
      </c>
      <c r="O136" s="647">
        <v>2.5179999999999998</v>
      </c>
      <c r="P136" s="647">
        <v>0</v>
      </c>
      <c r="Q136" s="581"/>
      <c r="R136" s="581"/>
      <c r="S136" s="581"/>
      <c r="T136" s="581"/>
      <c r="U136" s="581"/>
    </row>
    <row r="137" spans="1:21">
      <c r="A137" s="581"/>
      <c r="B137" s="581"/>
      <c r="C137" s="581"/>
      <c r="D137" s="582" t="s">
        <v>715</v>
      </c>
      <c r="E137" s="645" t="s">
        <v>718</v>
      </c>
      <c r="F137" s="646">
        <v>42067</v>
      </c>
      <c r="G137" s="590">
        <f t="shared" si="4"/>
        <v>2015</v>
      </c>
      <c r="H137" s="590">
        <f t="shared" si="5"/>
        <v>3</v>
      </c>
      <c r="I137" s="647">
        <v>20</v>
      </c>
      <c r="J137" s="647">
        <v>2.2440000000000002</v>
      </c>
      <c r="K137" s="647">
        <v>0</v>
      </c>
      <c r="L137" s="648">
        <v>2.2440000000000002</v>
      </c>
      <c r="M137" s="649">
        <v>6470</v>
      </c>
      <c r="N137" s="647">
        <v>3.5000000000000003E-2</v>
      </c>
      <c r="O137" s="647">
        <v>2.2629999999999999</v>
      </c>
      <c r="P137" s="647">
        <v>0</v>
      </c>
      <c r="Q137" s="581"/>
      <c r="R137" s="581"/>
      <c r="S137" s="581"/>
      <c r="T137" s="581"/>
      <c r="U137" s="581"/>
    </row>
    <row r="138" spans="1:21">
      <c r="A138" s="581"/>
      <c r="B138" s="581"/>
      <c r="C138" s="581"/>
      <c r="D138" s="582" t="s">
        <v>715</v>
      </c>
      <c r="E138" s="645" t="s">
        <v>718</v>
      </c>
      <c r="F138" s="646">
        <v>42103</v>
      </c>
      <c r="G138" s="590">
        <f t="shared" si="4"/>
        <v>2015</v>
      </c>
      <c r="H138" s="590">
        <f t="shared" si="5"/>
        <v>4</v>
      </c>
      <c r="I138" s="647">
        <v>12</v>
      </c>
      <c r="J138" s="647">
        <v>1.6539999999999999</v>
      </c>
      <c r="K138" s="647">
        <v>0</v>
      </c>
      <c r="L138" s="648">
        <v>1.6539999999999999</v>
      </c>
      <c r="M138" s="649">
        <v>5914</v>
      </c>
      <c r="N138" s="647">
        <v>2.8000000000000001E-2</v>
      </c>
      <c r="O138" s="647">
        <v>1.677</v>
      </c>
      <c r="P138" s="647">
        <v>0</v>
      </c>
      <c r="Q138" s="581"/>
      <c r="R138" s="581"/>
      <c r="S138" s="581"/>
      <c r="T138" s="581"/>
      <c r="U138" s="581"/>
    </row>
    <row r="139" spans="1:21">
      <c r="A139" s="581"/>
      <c r="B139" s="581"/>
      <c r="C139" s="581"/>
      <c r="D139" s="582" t="s">
        <v>715</v>
      </c>
      <c r="E139" s="645" t="s">
        <v>718</v>
      </c>
      <c r="F139" s="646">
        <v>42152</v>
      </c>
      <c r="G139" s="590">
        <f t="shared" si="4"/>
        <v>2015</v>
      </c>
      <c r="H139" s="590">
        <f t="shared" si="5"/>
        <v>5</v>
      </c>
      <c r="I139" s="647">
        <v>16</v>
      </c>
      <c r="J139" s="647">
        <v>1.5660000000000001</v>
      </c>
      <c r="K139" s="647">
        <v>0</v>
      </c>
      <c r="L139" s="648">
        <v>1.5660000000000001</v>
      </c>
      <c r="M139" s="649">
        <v>6837</v>
      </c>
      <c r="N139" s="647">
        <v>2.3E-2</v>
      </c>
      <c r="O139" s="647">
        <v>1.587</v>
      </c>
      <c r="P139" s="647">
        <v>0</v>
      </c>
      <c r="Q139" s="581"/>
      <c r="R139" s="581"/>
      <c r="S139" s="581"/>
      <c r="T139" s="581"/>
      <c r="U139" s="581"/>
    </row>
    <row r="140" spans="1:21">
      <c r="A140" s="581"/>
      <c r="B140" s="581"/>
      <c r="C140" s="581"/>
      <c r="D140" s="582" t="s">
        <v>715</v>
      </c>
      <c r="E140" s="645" t="s">
        <v>718</v>
      </c>
      <c r="F140" s="646">
        <v>42164</v>
      </c>
      <c r="G140" s="590">
        <f t="shared" si="4"/>
        <v>2015</v>
      </c>
      <c r="H140" s="590">
        <f t="shared" si="5"/>
        <v>6</v>
      </c>
      <c r="I140" s="647">
        <v>17</v>
      </c>
      <c r="J140" s="647">
        <v>2.0910000000000002</v>
      </c>
      <c r="K140" s="647">
        <v>0</v>
      </c>
      <c r="L140" s="648">
        <v>2.0910000000000002</v>
      </c>
      <c r="M140" s="649">
        <v>8136</v>
      </c>
      <c r="N140" s="647">
        <v>2.5999999999999999E-2</v>
      </c>
      <c r="O140" s="647">
        <v>2.12</v>
      </c>
      <c r="P140" s="647">
        <v>0</v>
      </c>
      <c r="Q140" s="581"/>
      <c r="R140" s="581"/>
      <c r="S140" s="581"/>
      <c r="T140" s="581"/>
      <c r="U140" s="581"/>
    </row>
    <row r="141" spans="1:21">
      <c r="A141" s="581"/>
      <c r="B141" s="581"/>
      <c r="C141" s="581"/>
      <c r="D141" s="582" t="s">
        <v>715</v>
      </c>
      <c r="E141" s="645" t="s">
        <v>718</v>
      </c>
      <c r="F141" s="646">
        <v>42212</v>
      </c>
      <c r="G141" s="590">
        <f t="shared" si="4"/>
        <v>2015</v>
      </c>
      <c r="H141" s="590">
        <f t="shared" si="5"/>
        <v>7</v>
      </c>
      <c r="I141" s="647">
        <v>17</v>
      </c>
      <c r="J141" s="647">
        <v>2.1629999999999998</v>
      </c>
      <c r="K141" s="647">
        <v>0</v>
      </c>
      <c r="L141" s="648">
        <v>2.1629999999999998</v>
      </c>
      <c r="M141" s="649">
        <v>8769</v>
      </c>
      <c r="N141" s="647">
        <v>2.5000000000000001E-2</v>
      </c>
      <c r="O141" s="647">
        <v>2.1880000000000002</v>
      </c>
      <c r="P141" s="647">
        <v>0</v>
      </c>
      <c r="Q141" s="581"/>
      <c r="R141" s="581"/>
      <c r="S141" s="581"/>
      <c r="T141" s="581"/>
      <c r="U141" s="581"/>
    </row>
    <row r="142" spans="1:21">
      <c r="A142" s="581"/>
      <c r="B142" s="581"/>
      <c r="C142" s="581"/>
      <c r="D142" s="582" t="s">
        <v>715</v>
      </c>
      <c r="E142" s="645" t="s">
        <v>718</v>
      </c>
      <c r="F142" s="646">
        <v>42230</v>
      </c>
      <c r="G142" s="590">
        <f t="shared" si="4"/>
        <v>2015</v>
      </c>
      <c r="H142" s="590">
        <f t="shared" si="5"/>
        <v>8</v>
      </c>
      <c r="I142" s="647">
        <v>16</v>
      </c>
      <c r="J142" s="647">
        <v>2.2050000000000001</v>
      </c>
      <c r="K142" s="647">
        <v>0</v>
      </c>
      <c r="L142" s="648">
        <v>2.2050000000000001</v>
      </c>
      <c r="M142" s="649">
        <v>8926</v>
      </c>
      <c r="N142" s="647">
        <v>2.5000000000000001E-2</v>
      </c>
      <c r="O142" s="647">
        <v>2.2320000000000002</v>
      </c>
      <c r="P142" s="647">
        <v>0</v>
      </c>
      <c r="Q142" s="581"/>
      <c r="R142" s="581"/>
      <c r="S142" s="581"/>
      <c r="T142" s="581"/>
      <c r="U142" s="581"/>
    </row>
    <row r="143" spans="1:21">
      <c r="A143" s="581"/>
      <c r="B143" s="581"/>
      <c r="C143" s="581"/>
      <c r="D143" s="582" t="s">
        <v>715</v>
      </c>
      <c r="E143" s="645" t="s">
        <v>718</v>
      </c>
      <c r="F143" s="646">
        <v>42250</v>
      </c>
      <c r="G143" s="590">
        <f t="shared" si="4"/>
        <v>2015</v>
      </c>
      <c r="H143" s="590">
        <f t="shared" si="5"/>
        <v>9</v>
      </c>
      <c r="I143" s="647">
        <v>17</v>
      </c>
      <c r="J143" s="647">
        <v>2.2559999999999998</v>
      </c>
      <c r="K143" s="647">
        <v>0</v>
      </c>
      <c r="L143" s="648">
        <v>2.2559999999999998</v>
      </c>
      <c r="M143" s="649">
        <v>8657</v>
      </c>
      <c r="N143" s="647">
        <v>2.5999999999999999E-2</v>
      </c>
      <c r="O143" s="647">
        <v>2.2869999999999999</v>
      </c>
      <c r="P143" s="647">
        <v>0</v>
      </c>
      <c r="Q143" s="581"/>
      <c r="R143" s="581"/>
      <c r="S143" s="581"/>
      <c r="T143" s="581"/>
      <c r="U143" s="581"/>
    </row>
    <row r="144" spans="1:21">
      <c r="A144" s="581"/>
      <c r="B144" s="581"/>
      <c r="C144" s="581"/>
      <c r="D144" s="582" t="s">
        <v>715</v>
      </c>
      <c r="E144" s="645" t="s">
        <v>718</v>
      </c>
      <c r="F144" s="646">
        <v>42285</v>
      </c>
      <c r="G144" s="590">
        <f t="shared" si="4"/>
        <v>2015</v>
      </c>
      <c r="H144" s="590">
        <f t="shared" si="5"/>
        <v>10</v>
      </c>
      <c r="I144" s="647">
        <v>12</v>
      </c>
      <c r="J144" s="647">
        <v>1.4370000000000001</v>
      </c>
      <c r="K144" s="647">
        <v>0</v>
      </c>
      <c r="L144" s="648">
        <v>1.4370000000000001</v>
      </c>
      <c r="M144" s="649">
        <v>5943</v>
      </c>
      <c r="N144" s="647">
        <v>2.4E-2</v>
      </c>
      <c r="O144" s="647">
        <v>1.34</v>
      </c>
      <c r="P144" s="647">
        <v>0</v>
      </c>
      <c r="Q144" s="581"/>
      <c r="R144" s="581"/>
      <c r="S144" s="581"/>
      <c r="T144" s="581"/>
      <c r="U144" s="581"/>
    </row>
    <row r="145" spans="1:21">
      <c r="A145" s="581"/>
      <c r="B145" s="581"/>
      <c r="C145" s="581"/>
      <c r="D145" s="582" t="s">
        <v>715</v>
      </c>
      <c r="E145" s="645" t="s">
        <v>718</v>
      </c>
      <c r="F145" s="646">
        <v>42338</v>
      </c>
      <c r="G145" s="590">
        <f t="shared" si="4"/>
        <v>2015</v>
      </c>
      <c r="H145" s="590">
        <f t="shared" si="5"/>
        <v>11</v>
      </c>
      <c r="I145" s="647">
        <v>18</v>
      </c>
      <c r="J145" s="647">
        <v>1.9810000000000001</v>
      </c>
      <c r="K145" s="647">
        <v>0</v>
      </c>
      <c r="L145" s="648">
        <v>1.9810000000000001</v>
      </c>
      <c r="M145" s="649">
        <v>6574</v>
      </c>
      <c r="N145" s="647">
        <v>0.03</v>
      </c>
      <c r="O145" s="647">
        <v>2.0110000000000001</v>
      </c>
      <c r="P145" s="647">
        <v>0</v>
      </c>
      <c r="Q145" s="581"/>
      <c r="R145" s="581"/>
      <c r="S145" s="581"/>
      <c r="T145" s="581"/>
      <c r="U145" s="581"/>
    </row>
    <row r="146" spans="1:21">
      <c r="A146" s="581"/>
      <c r="B146" s="581"/>
      <c r="C146" s="581"/>
      <c r="D146" s="582" t="s">
        <v>715</v>
      </c>
      <c r="E146" s="645" t="s">
        <v>718</v>
      </c>
      <c r="F146" s="646">
        <v>42355</v>
      </c>
      <c r="G146" s="590">
        <f t="shared" si="4"/>
        <v>2015</v>
      </c>
      <c r="H146" s="590">
        <f t="shared" si="5"/>
        <v>12</v>
      </c>
      <c r="I146" s="647">
        <v>18</v>
      </c>
      <c r="J146" s="647">
        <v>2.036</v>
      </c>
      <c r="K146" s="647">
        <v>0</v>
      </c>
      <c r="L146" s="648">
        <v>2.036</v>
      </c>
      <c r="M146" s="649">
        <v>6450</v>
      </c>
      <c r="N146" s="647">
        <v>3.2000000000000001E-2</v>
      </c>
      <c r="O146" s="647">
        <v>2.0739999999999998</v>
      </c>
      <c r="P146" s="647">
        <v>0</v>
      </c>
      <c r="Q146" s="581"/>
      <c r="R146" s="581"/>
      <c r="S146" s="581"/>
      <c r="T146" s="581"/>
      <c r="U146" s="581"/>
    </row>
    <row r="147" spans="1:21">
      <c r="A147" s="581"/>
      <c r="B147" s="581"/>
      <c r="C147" s="581"/>
      <c r="D147" s="582" t="s">
        <v>715</v>
      </c>
      <c r="E147" s="588" t="s">
        <v>719</v>
      </c>
      <c r="F147" s="589">
        <v>40927</v>
      </c>
      <c r="G147" s="590">
        <f t="shared" si="4"/>
        <v>2012</v>
      </c>
      <c r="H147" s="590">
        <f t="shared" si="5"/>
        <v>1</v>
      </c>
      <c r="I147" s="591">
        <v>19</v>
      </c>
      <c r="J147" s="591">
        <v>4.556</v>
      </c>
      <c r="K147" s="591">
        <v>0.312</v>
      </c>
      <c r="L147" s="592">
        <v>2.8679999999999999</v>
      </c>
      <c r="M147" s="591">
        <v>6604</v>
      </c>
      <c r="N147" s="593">
        <v>6.9999999999999999E-4</v>
      </c>
      <c r="O147" s="591">
        <v>2.5870000000000002</v>
      </c>
      <c r="P147" s="591">
        <v>0.312</v>
      </c>
      <c r="Q147" s="581"/>
      <c r="R147" s="581"/>
      <c r="S147" s="581"/>
      <c r="T147" s="581"/>
      <c r="U147" s="581"/>
    </row>
    <row r="148" spans="1:21">
      <c r="A148" s="581"/>
      <c r="B148" s="581"/>
      <c r="C148" s="581"/>
      <c r="D148" s="582" t="s">
        <v>715</v>
      </c>
      <c r="E148" s="588" t="s">
        <v>719</v>
      </c>
      <c r="F148" s="589">
        <v>40967</v>
      </c>
      <c r="G148" s="590">
        <f t="shared" si="4"/>
        <v>2012</v>
      </c>
      <c r="H148" s="590">
        <f t="shared" si="5"/>
        <v>2</v>
      </c>
      <c r="I148" s="591">
        <v>19</v>
      </c>
      <c r="J148" s="591">
        <v>4.3949999999999996</v>
      </c>
      <c r="K148" s="591">
        <v>0</v>
      </c>
      <c r="L148" s="592">
        <v>2.395</v>
      </c>
      <c r="M148" s="591">
        <v>6178</v>
      </c>
      <c r="N148" s="593">
        <v>6.9999999999999999E-4</v>
      </c>
      <c r="O148" s="591">
        <v>2.4249999999999998</v>
      </c>
      <c r="P148" s="591">
        <v>0</v>
      </c>
      <c r="Q148" s="581"/>
      <c r="R148" s="581"/>
      <c r="S148" s="581"/>
      <c r="T148" s="581"/>
      <c r="U148" s="581"/>
    </row>
    <row r="149" spans="1:21">
      <c r="A149" s="581"/>
      <c r="B149" s="581"/>
      <c r="C149" s="581"/>
      <c r="D149" s="582" t="s">
        <v>715</v>
      </c>
      <c r="E149" s="588" t="s">
        <v>719</v>
      </c>
      <c r="F149" s="589">
        <v>40987</v>
      </c>
      <c r="G149" s="590">
        <f t="shared" si="4"/>
        <v>2012</v>
      </c>
      <c r="H149" s="590">
        <f t="shared" si="5"/>
        <v>3</v>
      </c>
      <c r="I149" s="591">
        <v>14</v>
      </c>
      <c r="J149" s="591">
        <v>4.0759999999999996</v>
      </c>
      <c r="K149" s="591">
        <v>0.72399999999999998</v>
      </c>
      <c r="L149" s="592">
        <v>3.8</v>
      </c>
      <c r="M149" s="591">
        <v>6170</v>
      </c>
      <c r="N149" s="593">
        <v>8.0000000000000004E-4</v>
      </c>
      <c r="O149" s="591">
        <v>3.1179999999999999</v>
      </c>
      <c r="P149" s="591">
        <v>0.72399999999999998</v>
      </c>
      <c r="Q149" s="581"/>
      <c r="R149" s="581"/>
      <c r="S149" s="581"/>
      <c r="T149" s="581"/>
      <c r="U149" s="581"/>
    </row>
    <row r="150" spans="1:21">
      <c r="A150" s="581"/>
      <c r="B150" s="581"/>
      <c r="C150" s="581"/>
      <c r="D150" s="582" t="s">
        <v>715</v>
      </c>
      <c r="E150" s="588" t="s">
        <v>719</v>
      </c>
      <c r="F150" s="589">
        <v>41024</v>
      </c>
      <c r="G150" s="590">
        <f t="shared" si="4"/>
        <v>2012</v>
      </c>
      <c r="H150" s="590">
        <f t="shared" si="5"/>
        <v>4</v>
      </c>
      <c r="I150" s="591">
        <v>15</v>
      </c>
      <c r="J150" s="591">
        <v>3.806</v>
      </c>
      <c r="K150" s="591">
        <v>0.73599999999999999</v>
      </c>
      <c r="L150" s="592">
        <v>3.5419999999999998</v>
      </c>
      <c r="M150" s="591">
        <v>5813</v>
      </c>
      <c r="N150" s="593">
        <v>8.0000000000000004E-4</v>
      </c>
      <c r="O150" s="591">
        <v>2.847</v>
      </c>
      <c r="P150" s="591">
        <v>0.73599999999999999</v>
      </c>
      <c r="Q150" s="581"/>
      <c r="R150" s="581"/>
      <c r="S150" s="581"/>
      <c r="T150" s="581"/>
      <c r="U150" s="581"/>
    </row>
    <row r="151" spans="1:21">
      <c r="A151" s="581"/>
      <c r="B151" s="581"/>
      <c r="C151" s="581"/>
      <c r="D151" s="582" t="s">
        <v>715</v>
      </c>
      <c r="E151" s="588" t="s">
        <v>719</v>
      </c>
      <c r="F151" s="589">
        <v>41047</v>
      </c>
      <c r="G151" s="590">
        <f t="shared" si="4"/>
        <v>2012</v>
      </c>
      <c r="H151" s="590">
        <f t="shared" si="5"/>
        <v>5</v>
      </c>
      <c r="I151" s="591">
        <v>17</v>
      </c>
      <c r="J151" s="591">
        <v>4.8780000000000001</v>
      </c>
      <c r="K151" s="591">
        <v>0.75700000000000001</v>
      </c>
      <c r="L151" s="592">
        <v>4.6349999999999998</v>
      </c>
      <c r="M151" s="591">
        <v>7203</v>
      </c>
      <c r="N151" s="593">
        <v>8.0000000000000004E-4</v>
      </c>
      <c r="O151" s="591">
        <v>3.9239999999999999</v>
      </c>
      <c r="P151" s="591">
        <v>0.75700000000000001</v>
      </c>
      <c r="Q151" s="581"/>
      <c r="R151" s="581"/>
      <c r="S151" s="581"/>
      <c r="T151" s="581"/>
      <c r="U151" s="581"/>
    </row>
    <row r="152" spans="1:21">
      <c r="A152" s="581"/>
      <c r="B152" s="581"/>
      <c r="C152" s="581"/>
      <c r="D152" s="582" t="s">
        <v>715</v>
      </c>
      <c r="E152" s="588" t="s">
        <v>719</v>
      </c>
      <c r="F152" s="589">
        <v>41087</v>
      </c>
      <c r="G152" s="590">
        <f t="shared" si="4"/>
        <v>2012</v>
      </c>
      <c r="H152" s="590">
        <f t="shared" si="5"/>
        <v>6</v>
      </c>
      <c r="I152" s="591">
        <v>17</v>
      </c>
      <c r="J152" s="591">
        <v>6.1870000000000003</v>
      </c>
      <c r="K152" s="591">
        <v>0.68899999999999995</v>
      </c>
      <c r="L152" s="592">
        <v>5.8760000000000003</v>
      </c>
      <c r="M152" s="591">
        <v>8833</v>
      </c>
      <c r="N152" s="593">
        <v>8.0000000000000004E-4</v>
      </c>
      <c r="O152" s="591">
        <v>5.2430000000000003</v>
      </c>
      <c r="P152" s="591">
        <v>0.68899999999999995</v>
      </c>
      <c r="Q152" s="581"/>
      <c r="R152" s="581"/>
      <c r="S152" s="581"/>
      <c r="T152" s="581"/>
      <c r="U152" s="581"/>
    </row>
    <row r="153" spans="1:21">
      <c r="A153" s="581"/>
      <c r="B153" s="581"/>
      <c r="C153" s="581"/>
      <c r="D153" s="582" t="s">
        <v>715</v>
      </c>
      <c r="E153" s="588" t="s">
        <v>719</v>
      </c>
      <c r="F153" s="589">
        <v>41092</v>
      </c>
      <c r="G153" s="590">
        <f t="shared" si="4"/>
        <v>2012</v>
      </c>
      <c r="H153" s="590">
        <f t="shared" si="5"/>
        <v>7</v>
      </c>
      <c r="I153" s="591">
        <v>17</v>
      </c>
      <c r="J153" s="591">
        <v>6.6539999999999999</v>
      </c>
      <c r="K153" s="591">
        <v>0.73</v>
      </c>
      <c r="L153" s="592">
        <v>5.3840000000000003</v>
      </c>
      <c r="M153" s="591">
        <v>9682</v>
      </c>
      <c r="N153" s="593">
        <v>8.0000000000000004E-4</v>
      </c>
      <c r="O153" s="591">
        <v>4.6950000000000003</v>
      </c>
      <c r="P153" s="591">
        <v>0.73</v>
      </c>
      <c r="Q153" s="581"/>
      <c r="R153" s="581"/>
      <c r="S153" s="581"/>
      <c r="T153" s="581"/>
      <c r="U153" s="581"/>
    </row>
    <row r="154" spans="1:21">
      <c r="A154" s="581"/>
      <c r="B154" s="581"/>
      <c r="C154" s="581"/>
      <c r="D154" s="582" t="s">
        <v>715</v>
      </c>
      <c r="E154" s="588" t="s">
        <v>719</v>
      </c>
      <c r="F154" s="589">
        <v>41122</v>
      </c>
      <c r="G154" s="590">
        <f t="shared" si="4"/>
        <v>2012</v>
      </c>
      <c r="H154" s="590">
        <f t="shared" si="5"/>
        <v>8</v>
      </c>
      <c r="I154" s="591">
        <v>17</v>
      </c>
      <c r="J154" s="591">
        <v>7.3029999999999999</v>
      </c>
      <c r="K154" s="591">
        <v>0</v>
      </c>
      <c r="L154" s="592">
        <v>6.3029999999999999</v>
      </c>
      <c r="M154" s="591">
        <v>8979</v>
      </c>
      <c r="N154" s="593">
        <v>8.0000000000000004E-4</v>
      </c>
      <c r="O154" s="591">
        <v>6.3630000000000004</v>
      </c>
      <c r="P154" s="591">
        <v>0</v>
      </c>
      <c r="Q154" s="581"/>
      <c r="R154" s="581"/>
      <c r="S154" s="581"/>
      <c r="T154" s="581"/>
      <c r="U154" s="581"/>
    </row>
    <row r="155" spans="1:21">
      <c r="A155" s="581"/>
      <c r="B155" s="581"/>
      <c r="C155" s="581"/>
      <c r="D155" s="582" t="s">
        <v>715</v>
      </c>
      <c r="E155" s="588" t="s">
        <v>719</v>
      </c>
      <c r="F155" s="589">
        <v>41156</v>
      </c>
      <c r="G155" s="590">
        <f t="shared" si="4"/>
        <v>2012</v>
      </c>
      <c r="H155" s="590">
        <f t="shared" si="5"/>
        <v>9</v>
      </c>
      <c r="I155" s="591">
        <v>16</v>
      </c>
      <c r="J155" s="591">
        <v>6.6070000000000002</v>
      </c>
      <c r="K155" s="591">
        <v>0</v>
      </c>
      <c r="L155" s="592">
        <v>5.6070000000000002</v>
      </c>
      <c r="M155" s="591">
        <v>8521</v>
      </c>
      <c r="N155" s="593">
        <v>8.0000000000000004E-4</v>
      </c>
      <c r="O155" s="591">
        <v>5.6829999999999998</v>
      </c>
      <c r="P155" s="591">
        <v>0</v>
      </c>
      <c r="Q155" s="581"/>
      <c r="R155" s="581"/>
      <c r="S155" s="581"/>
      <c r="T155" s="581"/>
      <c r="U155" s="581"/>
    </row>
    <row r="156" spans="1:21">
      <c r="A156" s="581"/>
      <c r="B156" s="581"/>
      <c r="C156" s="581"/>
      <c r="D156" s="582" t="s">
        <v>715</v>
      </c>
      <c r="E156" s="588" t="s">
        <v>719</v>
      </c>
      <c r="F156" s="589">
        <v>41185</v>
      </c>
      <c r="G156" s="590">
        <f t="shared" si="4"/>
        <v>2012</v>
      </c>
      <c r="H156" s="590">
        <f t="shared" si="5"/>
        <v>10</v>
      </c>
      <c r="I156" s="591">
        <v>14</v>
      </c>
      <c r="J156" s="591">
        <v>4.3979999999999997</v>
      </c>
      <c r="K156" s="591">
        <v>0</v>
      </c>
      <c r="L156" s="592">
        <v>3.3980000000000001</v>
      </c>
      <c r="M156" s="591">
        <v>6122</v>
      </c>
      <c r="N156" s="593">
        <v>6.9999999999999999E-4</v>
      </c>
      <c r="O156" s="591">
        <v>3.45</v>
      </c>
      <c r="P156" s="591">
        <v>0</v>
      </c>
      <c r="Q156" s="581"/>
      <c r="R156" s="581"/>
      <c r="S156" s="581"/>
      <c r="T156" s="581"/>
      <c r="U156" s="581"/>
    </row>
    <row r="157" spans="1:21">
      <c r="A157" s="581"/>
      <c r="B157" s="581"/>
      <c r="C157" s="581"/>
      <c r="D157" s="582" t="s">
        <v>715</v>
      </c>
      <c r="E157" s="588" t="s">
        <v>719</v>
      </c>
      <c r="F157" s="589">
        <v>41239</v>
      </c>
      <c r="G157" s="590">
        <f t="shared" si="4"/>
        <v>2012</v>
      </c>
      <c r="H157" s="590">
        <f t="shared" si="5"/>
        <v>11</v>
      </c>
      <c r="I157" s="591">
        <v>18</v>
      </c>
      <c r="J157" s="591">
        <v>4.5149999999999997</v>
      </c>
      <c r="K157" s="591">
        <v>0</v>
      </c>
      <c r="L157" s="592">
        <v>2.5150000000000001</v>
      </c>
      <c r="M157" s="591">
        <v>6416</v>
      </c>
      <c r="N157" s="593">
        <v>6.9999999999999999E-4</v>
      </c>
      <c r="O157" s="591">
        <v>2.556</v>
      </c>
      <c r="P157" s="591">
        <v>0</v>
      </c>
      <c r="Q157" s="581"/>
      <c r="R157" s="581"/>
      <c r="S157" s="581"/>
      <c r="T157" s="581"/>
      <c r="U157" s="581"/>
    </row>
    <row r="158" spans="1:21">
      <c r="A158" s="581"/>
      <c r="B158" s="581"/>
      <c r="C158" s="581"/>
      <c r="D158" s="582" t="s">
        <v>715</v>
      </c>
      <c r="E158" s="588" t="s">
        <v>719</v>
      </c>
      <c r="F158" s="589">
        <v>41253</v>
      </c>
      <c r="G158" s="590">
        <f t="shared" si="4"/>
        <v>2012</v>
      </c>
      <c r="H158" s="590">
        <f t="shared" si="5"/>
        <v>12</v>
      </c>
      <c r="I158" s="591">
        <v>18</v>
      </c>
      <c r="J158" s="591">
        <v>4.7649999999999997</v>
      </c>
      <c r="K158" s="591">
        <v>0</v>
      </c>
      <c r="L158" s="592">
        <v>2.7650000000000001</v>
      </c>
      <c r="M158" s="591">
        <v>6609</v>
      </c>
      <c r="N158" s="593">
        <v>6.9999999999999999E-4</v>
      </c>
      <c r="O158" s="591">
        <v>2.8090000000000002</v>
      </c>
      <c r="P158" s="591">
        <v>0</v>
      </c>
      <c r="Q158" s="581"/>
      <c r="R158" s="581"/>
      <c r="S158" s="581"/>
      <c r="T158" s="581"/>
      <c r="U158" s="581"/>
    </row>
    <row r="159" spans="1:21">
      <c r="A159" s="581"/>
      <c r="B159" s="581"/>
      <c r="C159" s="581"/>
      <c r="D159" s="582" t="s">
        <v>715</v>
      </c>
      <c r="E159" s="588" t="s">
        <v>719</v>
      </c>
      <c r="F159" s="589">
        <v>41295</v>
      </c>
      <c r="G159" s="590">
        <f t="shared" si="4"/>
        <v>2013</v>
      </c>
      <c r="H159" s="590">
        <f t="shared" si="5"/>
        <v>1</v>
      </c>
      <c r="I159" s="591">
        <v>19</v>
      </c>
      <c r="J159" s="591">
        <v>4.8570000000000002</v>
      </c>
      <c r="K159" s="591">
        <v>0</v>
      </c>
      <c r="L159" s="592">
        <v>2.8570000000000002</v>
      </c>
      <c r="M159" s="591">
        <v>6846</v>
      </c>
      <c r="N159" s="593">
        <v>6.9999999999999999E-4</v>
      </c>
      <c r="O159" s="591">
        <v>2.8959999999999999</v>
      </c>
      <c r="P159" s="591">
        <v>0</v>
      </c>
      <c r="Q159" s="581"/>
      <c r="R159" s="581"/>
      <c r="S159" s="581"/>
      <c r="T159" s="581"/>
      <c r="U159" s="581"/>
    </row>
    <row r="160" spans="1:21">
      <c r="A160" s="581"/>
      <c r="B160" s="581"/>
      <c r="C160" s="581"/>
      <c r="D160" s="582" t="s">
        <v>715</v>
      </c>
      <c r="E160" s="588" t="s">
        <v>719</v>
      </c>
      <c r="F160" s="589">
        <v>41324</v>
      </c>
      <c r="G160" s="590">
        <f t="shared" si="4"/>
        <v>2013</v>
      </c>
      <c r="H160" s="590">
        <f t="shared" si="5"/>
        <v>2</v>
      </c>
      <c r="I160" s="591">
        <v>19</v>
      </c>
      <c r="J160" s="591">
        <v>4.67</v>
      </c>
      <c r="K160" s="591">
        <v>0</v>
      </c>
      <c r="L160" s="592">
        <v>2.67</v>
      </c>
      <c r="M160" s="591">
        <v>6511</v>
      </c>
      <c r="N160" s="593">
        <v>6.9999999999999999E-4</v>
      </c>
      <c r="O160" s="591">
        <v>2.871</v>
      </c>
      <c r="P160" s="591">
        <v>0</v>
      </c>
      <c r="Q160" s="581"/>
      <c r="R160" s="581"/>
      <c r="S160" s="581"/>
      <c r="T160" s="581"/>
      <c r="U160" s="581"/>
    </row>
    <row r="161" spans="1:21">
      <c r="A161" s="581"/>
      <c r="B161" s="581"/>
      <c r="C161" s="581"/>
      <c r="D161" s="582" t="s">
        <v>715</v>
      </c>
      <c r="E161" s="588" t="s">
        <v>719</v>
      </c>
      <c r="F161" s="589">
        <v>41337</v>
      </c>
      <c r="G161" s="590">
        <f t="shared" si="4"/>
        <v>2013</v>
      </c>
      <c r="H161" s="590">
        <f t="shared" si="5"/>
        <v>3</v>
      </c>
      <c r="I161" s="591">
        <v>19</v>
      </c>
      <c r="J161" s="591">
        <v>4.1639999999999997</v>
      </c>
      <c r="K161" s="591">
        <v>0</v>
      </c>
      <c r="L161" s="592">
        <v>2.1640000000000001</v>
      </c>
      <c r="M161" s="591">
        <v>6172</v>
      </c>
      <c r="N161" s="593">
        <v>6.9999999999999999E-4</v>
      </c>
      <c r="O161" s="591">
        <v>2.206</v>
      </c>
      <c r="P161" s="591">
        <v>0</v>
      </c>
      <c r="Q161" s="581"/>
      <c r="R161" s="581"/>
      <c r="S161" s="581"/>
      <c r="T161" s="581"/>
      <c r="U161" s="581"/>
    </row>
    <row r="162" spans="1:21">
      <c r="A162" s="581"/>
      <c r="B162" s="581"/>
      <c r="C162" s="581"/>
      <c r="D162" s="582" t="s">
        <v>715</v>
      </c>
      <c r="E162" s="588" t="s">
        <v>719</v>
      </c>
      <c r="F162" s="589">
        <v>41382</v>
      </c>
      <c r="G162" s="590">
        <f t="shared" si="4"/>
        <v>2013</v>
      </c>
      <c r="H162" s="590">
        <f t="shared" si="5"/>
        <v>4</v>
      </c>
      <c r="I162" s="591">
        <v>12</v>
      </c>
      <c r="J162" s="591">
        <v>3.8879999999999999</v>
      </c>
      <c r="K162" s="591">
        <v>0.67200000000000004</v>
      </c>
      <c r="L162" s="592">
        <v>4.5599999999999996</v>
      </c>
      <c r="M162" s="591">
        <v>5851</v>
      </c>
      <c r="N162" s="593">
        <v>8.0000000000000004E-4</v>
      </c>
      <c r="O162" s="591">
        <v>3.9289999999999998</v>
      </c>
      <c r="P162" s="591">
        <v>0.67200000000000004</v>
      </c>
      <c r="Q162" s="581"/>
      <c r="R162" s="581"/>
      <c r="S162" s="581"/>
      <c r="T162" s="581"/>
      <c r="U162" s="581"/>
    </row>
    <row r="163" spans="1:21">
      <c r="A163" s="581"/>
      <c r="B163" s="581"/>
      <c r="C163" s="581"/>
      <c r="D163" s="582" t="s">
        <v>715</v>
      </c>
      <c r="E163" s="588" t="s">
        <v>719</v>
      </c>
      <c r="F163" s="589">
        <v>41408</v>
      </c>
      <c r="G163" s="590">
        <f t="shared" si="4"/>
        <v>2013</v>
      </c>
      <c r="H163" s="590">
        <f t="shared" si="5"/>
        <v>5</v>
      </c>
      <c r="I163" s="591">
        <v>17</v>
      </c>
      <c r="J163" s="591">
        <v>4.4669999999999996</v>
      </c>
      <c r="K163" s="591">
        <v>0.65600000000000003</v>
      </c>
      <c r="L163" s="592">
        <v>4.1230000000000002</v>
      </c>
      <c r="M163" s="591">
        <v>6516</v>
      </c>
      <c r="N163" s="593">
        <v>8.0000000000000004E-4</v>
      </c>
      <c r="O163" s="591">
        <v>3.4990000000000001</v>
      </c>
      <c r="P163" s="591">
        <v>0.65600000000000003</v>
      </c>
      <c r="Q163" s="581"/>
      <c r="R163" s="581"/>
      <c r="S163" s="581"/>
      <c r="T163" s="581"/>
      <c r="U163" s="581"/>
    </row>
    <row r="164" spans="1:21">
      <c r="A164" s="581"/>
      <c r="B164" s="581"/>
      <c r="C164" s="581"/>
      <c r="D164" s="582" t="s">
        <v>715</v>
      </c>
      <c r="E164" s="588" t="s">
        <v>719</v>
      </c>
      <c r="F164" s="589">
        <v>41451</v>
      </c>
      <c r="G164" s="590">
        <f t="shared" si="4"/>
        <v>2013</v>
      </c>
      <c r="H164" s="590">
        <f t="shared" si="5"/>
        <v>6</v>
      </c>
      <c r="I164" s="591">
        <v>16</v>
      </c>
      <c r="J164" s="591">
        <v>6.1120000000000001</v>
      </c>
      <c r="K164" s="591">
        <v>0.66400000000000003</v>
      </c>
      <c r="L164" s="592">
        <v>5.7759999999999998</v>
      </c>
      <c r="M164" s="591">
        <v>8280</v>
      </c>
      <c r="N164" s="593">
        <v>8.0000000000000004E-4</v>
      </c>
      <c r="O164" s="591">
        <v>5.1779999999999999</v>
      </c>
      <c r="P164" s="591">
        <v>0.66400000000000003</v>
      </c>
      <c r="Q164" s="581"/>
      <c r="R164" s="581"/>
      <c r="S164" s="581"/>
      <c r="T164" s="581"/>
      <c r="U164" s="581"/>
    </row>
    <row r="165" spans="1:21">
      <c r="A165" s="581"/>
      <c r="B165" s="581"/>
      <c r="C165" s="581"/>
      <c r="D165" s="582" t="s">
        <v>715</v>
      </c>
      <c r="E165" s="588" t="s">
        <v>719</v>
      </c>
      <c r="F165" s="589">
        <v>41473</v>
      </c>
      <c r="G165" s="590">
        <f t="shared" si="4"/>
        <v>2013</v>
      </c>
      <c r="H165" s="590">
        <f t="shared" si="5"/>
        <v>7</v>
      </c>
      <c r="I165" s="591">
        <v>17</v>
      </c>
      <c r="J165" s="591">
        <v>6.5549999999999997</v>
      </c>
      <c r="K165" s="591">
        <v>0.67600000000000005</v>
      </c>
      <c r="L165" s="592">
        <v>5.2309999999999999</v>
      </c>
      <c r="M165" s="591">
        <v>9566</v>
      </c>
      <c r="N165" s="593">
        <v>8.0000000000000004E-4</v>
      </c>
      <c r="O165" s="591">
        <v>6.6269999999999998</v>
      </c>
      <c r="P165" s="591">
        <v>0.67600000000000005</v>
      </c>
      <c r="Q165" s="581"/>
      <c r="R165" s="581"/>
      <c r="S165" s="581"/>
      <c r="T165" s="581"/>
      <c r="U165" s="581"/>
    </row>
    <row r="166" spans="1:21">
      <c r="A166" s="581"/>
      <c r="B166" s="581"/>
      <c r="C166" s="581"/>
      <c r="D166" s="582" t="s">
        <v>715</v>
      </c>
      <c r="E166" s="588" t="s">
        <v>719</v>
      </c>
      <c r="F166" s="589">
        <v>41512</v>
      </c>
      <c r="G166" s="590">
        <f t="shared" si="4"/>
        <v>2013</v>
      </c>
      <c r="H166" s="590">
        <f t="shared" si="5"/>
        <v>8</v>
      </c>
      <c r="I166" s="591">
        <v>17</v>
      </c>
      <c r="J166" s="591">
        <v>7.3789999999999996</v>
      </c>
      <c r="K166" s="591">
        <v>0</v>
      </c>
      <c r="L166" s="592">
        <v>5.3789999999999996</v>
      </c>
      <c r="M166" s="591">
        <v>9821</v>
      </c>
      <c r="N166" s="593">
        <v>8.0000000000000004E-4</v>
      </c>
      <c r="O166" s="591">
        <v>7.46</v>
      </c>
      <c r="P166" s="591">
        <v>0</v>
      </c>
      <c r="Q166" s="581"/>
      <c r="R166" s="581"/>
      <c r="S166" s="581"/>
      <c r="T166" s="581"/>
      <c r="U166" s="581"/>
    </row>
    <row r="167" spans="1:21">
      <c r="A167" s="581"/>
      <c r="B167" s="581"/>
      <c r="C167" s="581"/>
      <c r="D167" s="582" t="s">
        <v>715</v>
      </c>
      <c r="E167" s="588" t="s">
        <v>719</v>
      </c>
      <c r="F167" s="589">
        <v>41526</v>
      </c>
      <c r="G167" s="590">
        <f t="shared" si="4"/>
        <v>2013</v>
      </c>
      <c r="H167" s="590">
        <f t="shared" si="5"/>
        <v>9</v>
      </c>
      <c r="I167" s="591">
        <v>17</v>
      </c>
      <c r="J167" s="591">
        <v>7.0419999999999998</v>
      </c>
      <c r="K167" s="591">
        <v>0</v>
      </c>
      <c r="L167" s="592">
        <v>6.0419999999999998</v>
      </c>
      <c r="M167" s="591">
        <v>8781</v>
      </c>
      <c r="N167" s="593">
        <v>8.0000000000000004E-4</v>
      </c>
      <c r="O167" s="591">
        <v>7.1310000000000002</v>
      </c>
      <c r="P167" s="591">
        <v>0</v>
      </c>
      <c r="Q167" s="581"/>
      <c r="R167" s="581"/>
      <c r="S167" s="581"/>
      <c r="T167" s="581"/>
      <c r="U167" s="581"/>
    </row>
    <row r="168" spans="1:21">
      <c r="A168" s="581"/>
      <c r="B168" s="581"/>
      <c r="C168" s="581"/>
      <c r="D168" s="582" t="s">
        <v>715</v>
      </c>
      <c r="E168" s="588" t="s">
        <v>719</v>
      </c>
      <c r="F168" s="589">
        <v>41548</v>
      </c>
      <c r="G168" s="590">
        <f t="shared" si="4"/>
        <v>2013</v>
      </c>
      <c r="H168" s="590">
        <f t="shared" si="5"/>
        <v>10</v>
      </c>
      <c r="I168" s="591">
        <v>14</v>
      </c>
      <c r="J168" s="591">
        <v>4.532</v>
      </c>
      <c r="K168" s="591">
        <v>0</v>
      </c>
      <c r="L168" s="592">
        <v>3.532</v>
      </c>
      <c r="M168" s="591">
        <v>6214</v>
      </c>
      <c r="N168" s="593">
        <v>6.9999999999999999E-4</v>
      </c>
      <c r="O168" s="591">
        <v>4.5869999999999997</v>
      </c>
      <c r="P168" s="591">
        <v>0</v>
      </c>
      <c r="Q168" s="581"/>
      <c r="R168" s="581"/>
      <c r="S168" s="581"/>
      <c r="T168" s="581"/>
      <c r="U168" s="581"/>
    </row>
    <row r="169" spans="1:21">
      <c r="A169" s="581"/>
      <c r="B169" s="581"/>
      <c r="C169" s="581"/>
      <c r="D169" s="582" t="s">
        <v>715</v>
      </c>
      <c r="E169" s="588" t="s">
        <v>719</v>
      </c>
      <c r="F169" s="589">
        <v>41604</v>
      </c>
      <c r="G169" s="590">
        <f t="shared" si="4"/>
        <v>2013</v>
      </c>
      <c r="H169" s="590">
        <f t="shared" si="5"/>
        <v>11</v>
      </c>
      <c r="I169" s="591">
        <v>18</v>
      </c>
      <c r="J169" s="591">
        <v>4.3369999999999997</v>
      </c>
      <c r="K169" s="591">
        <v>0</v>
      </c>
      <c r="L169" s="592">
        <v>2.3370000000000002</v>
      </c>
      <c r="M169" s="591">
        <v>6372</v>
      </c>
      <c r="N169" s="593">
        <v>6.9999999999999999E-4</v>
      </c>
      <c r="O169" s="591">
        <v>4.3979999999999997</v>
      </c>
      <c r="P169" s="591">
        <v>0</v>
      </c>
      <c r="Q169" s="581"/>
      <c r="R169" s="581"/>
      <c r="S169" s="581"/>
      <c r="T169" s="581"/>
      <c r="U169" s="581"/>
    </row>
    <row r="170" spans="1:21">
      <c r="A170" s="581"/>
      <c r="B170" s="581"/>
      <c r="C170" s="581"/>
      <c r="D170" s="582" t="s">
        <v>715</v>
      </c>
      <c r="E170" s="588" t="s">
        <v>719</v>
      </c>
      <c r="F170" s="589">
        <v>41619</v>
      </c>
      <c r="G170" s="590">
        <f t="shared" si="4"/>
        <v>2013</v>
      </c>
      <c r="H170" s="590">
        <f t="shared" si="5"/>
        <v>12</v>
      </c>
      <c r="I170" s="591">
        <v>18</v>
      </c>
      <c r="J170" s="591">
        <v>5.1180000000000003</v>
      </c>
      <c r="K170" s="591">
        <v>0</v>
      </c>
      <c r="L170" s="592">
        <v>3.1179999999999999</v>
      </c>
      <c r="M170" s="591">
        <v>6972</v>
      </c>
      <c r="N170" s="593">
        <v>6.9999999999999999E-4</v>
      </c>
      <c r="O170" s="591">
        <v>5.1820000000000004</v>
      </c>
      <c r="P170" s="591">
        <v>0</v>
      </c>
      <c r="Q170" s="581"/>
      <c r="R170" s="581"/>
      <c r="S170" s="581"/>
      <c r="T170" s="581"/>
      <c r="U170" s="581"/>
    </row>
    <row r="171" spans="1:21">
      <c r="A171" s="581"/>
      <c r="B171" s="581"/>
      <c r="C171" s="581"/>
      <c r="D171" s="582" t="s">
        <v>715</v>
      </c>
      <c r="E171" s="645" t="s">
        <v>719</v>
      </c>
      <c r="F171" s="646">
        <v>41645</v>
      </c>
      <c r="G171" s="590">
        <f t="shared" si="4"/>
        <v>2014</v>
      </c>
      <c r="H171" s="590">
        <f t="shared" si="5"/>
        <v>1</v>
      </c>
      <c r="I171" s="647">
        <v>18</v>
      </c>
      <c r="J171" s="647">
        <v>5.4219999999999997</v>
      </c>
      <c r="K171" s="647">
        <v>0</v>
      </c>
      <c r="L171" s="648">
        <v>5.4219999999999997</v>
      </c>
      <c r="M171" s="649">
        <v>7188</v>
      </c>
      <c r="N171" s="647">
        <v>7.4999999999999997E-2</v>
      </c>
      <c r="O171" s="647">
        <v>5.48</v>
      </c>
      <c r="P171" s="647">
        <v>0</v>
      </c>
      <c r="Q171" s="581"/>
      <c r="R171" s="581"/>
      <c r="S171" s="581"/>
      <c r="T171" s="581"/>
      <c r="U171" s="581"/>
    </row>
    <row r="172" spans="1:21">
      <c r="A172" s="581"/>
      <c r="B172" s="581"/>
      <c r="C172" s="581"/>
      <c r="D172" s="582" t="s">
        <v>715</v>
      </c>
      <c r="E172" s="645" t="s">
        <v>719</v>
      </c>
      <c r="F172" s="646">
        <v>41676</v>
      </c>
      <c r="G172" s="590">
        <f t="shared" si="4"/>
        <v>2014</v>
      </c>
      <c r="H172" s="590">
        <f t="shared" si="5"/>
        <v>2</v>
      </c>
      <c r="I172" s="647">
        <v>19</v>
      </c>
      <c r="J172" s="647">
        <v>4.95</v>
      </c>
      <c r="K172" s="647">
        <v>0</v>
      </c>
      <c r="L172" s="648">
        <v>4.95</v>
      </c>
      <c r="M172" s="649">
        <v>6743</v>
      </c>
      <c r="N172" s="647">
        <v>7.2999999999999995E-2</v>
      </c>
      <c r="O172" s="647">
        <v>4.8099999999999996</v>
      </c>
      <c r="P172" s="647">
        <v>0</v>
      </c>
      <c r="Q172" s="581"/>
      <c r="R172" s="581"/>
      <c r="S172" s="581"/>
      <c r="T172" s="581"/>
      <c r="U172" s="581"/>
    </row>
    <row r="173" spans="1:21">
      <c r="A173" s="581"/>
      <c r="B173" s="581"/>
      <c r="C173" s="581"/>
      <c r="D173" s="582" t="s">
        <v>715</v>
      </c>
      <c r="E173" s="645" t="s">
        <v>719</v>
      </c>
      <c r="F173" s="646">
        <v>41701</v>
      </c>
      <c r="G173" s="590">
        <f t="shared" si="4"/>
        <v>2014</v>
      </c>
      <c r="H173" s="590">
        <f t="shared" si="5"/>
        <v>3</v>
      </c>
      <c r="I173" s="647">
        <v>19</v>
      </c>
      <c r="J173" s="647">
        <v>4.9400000000000004</v>
      </c>
      <c r="K173" s="647">
        <v>0</v>
      </c>
      <c r="L173" s="648">
        <v>4.9400000000000004</v>
      </c>
      <c r="M173" s="649">
        <v>6537</v>
      </c>
      <c r="N173" s="647">
        <v>7.5999999999999998E-2</v>
      </c>
      <c r="O173" s="647">
        <v>4.681</v>
      </c>
      <c r="P173" s="647">
        <v>0</v>
      </c>
      <c r="Q173" s="581"/>
      <c r="R173" s="581"/>
      <c r="S173" s="581"/>
      <c r="T173" s="581"/>
      <c r="U173" s="581"/>
    </row>
    <row r="174" spans="1:21">
      <c r="A174" s="581"/>
      <c r="B174" s="581"/>
      <c r="C174" s="581"/>
      <c r="D174" s="582" t="s">
        <v>715</v>
      </c>
      <c r="E174" s="645" t="s">
        <v>719</v>
      </c>
      <c r="F174" s="646">
        <v>41730</v>
      </c>
      <c r="G174" s="590">
        <f t="shared" si="4"/>
        <v>2014</v>
      </c>
      <c r="H174" s="590">
        <f t="shared" si="5"/>
        <v>4</v>
      </c>
      <c r="I174" s="647">
        <v>11</v>
      </c>
      <c r="J174" s="647">
        <v>4.71</v>
      </c>
      <c r="K174" s="647">
        <v>0</v>
      </c>
      <c r="L174" s="648">
        <v>4.71</v>
      </c>
      <c r="M174" s="649">
        <v>5924</v>
      </c>
      <c r="N174" s="647">
        <v>0.08</v>
      </c>
      <c r="O174" s="647">
        <v>4.585</v>
      </c>
      <c r="P174" s="647">
        <v>0</v>
      </c>
      <c r="Q174" s="581"/>
      <c r="R174" s="581"/>
      <c r="S174" s="581"/>
      <c r="T174" s="581"/>
      <c r="U174" s="581"/>
    </row>
    <row r="175" spans="1:21">
      <c r="A175" s="581"/>
      <c r="B175" s="581"/>
      <c r="C175" s="581"/>
      <c r="D175" s="582" t="s">
        <v>715</v>
      </c>
      <c r="E175" s="645" t="s">
        <v>719</v>
      </c>
      <c r="F175" s="646">
        <v>41789</v>
      </c>
      <c r="G175" s="590">
        <f t="shared" si="4"/>
        <v>2014</v>
      </c>
      <c r="H175" s="590">
        <f t="shared" si="5"/>
        <v>5</v>
      </c>
      <c r="I175" s="647">
        <v>16</v>
      </c>
      <c r="J175" s="647">
        <v>5.3719999999999999</v>
      </c>
      <c r="K175" s="647">
        <v>0.69099999999999995</v>
      </c>
      <c r="L175" s="648">
        <v>6.0629999999999997</v>
      </c>
      <c r="M175" s="649">
        <v>7422</v>
      </c>
      <c r="N175" s="647">
        <v>8.2000000000000003E-2</v>
      </c>
      <c r="O175" s="647">
        <v>5.4260000000000002</v>
      </c>
      <c r="P175" s="647">
        <v>0.69099999999999995</v>
      </c>
      <c r="Q175" s="581"/>
      <c r="R175" s="581"/>
      <c r="S175" s="581"/>
      <c r="T175" s="581"/>
      <c r="U175" s="581"/>
    </row>
    <row r="176" spans="1:21">
      <c r="A176" s="581"/>
      <c r="B176" s="581"/>
      <c r="C176" s="581"/>
      <c r="D176" s="582" t="s">
        <v>715</v>
      </c>
      <c r="E176" s="645" t="s">
        <v>719</v>
      </c>
      <c r="F176" s="646">
        <v>41814</v>
      </c>
      <c r="G176" s="590">
        <f t="shared" si="4"/>
        <v>2014</v>
      </c>
      <c r="H176" s="590">
        <f t="shared" si="5"/>
        <v>6</v>
      </c>
      <c r="I176" s="647">
        <v>16</v>
      </c>
      <c r="J176" s="647">
        <v>5.3780000000000001</v>
      </c>
      <c r="K176" s="647">
        <v>0.50600000000000001</v>
      </c>
      <c r="L176" s="648">
        <v>5.8840000000000003</v>
      </c>
      <c r="M176" s="649">
        <v>7670</v>
      </c>
      <c r="N176" s="647">
        <v>7.6999999999999999E-2</v>
      </c>
      <c r="O176" s="647">
        <v>5.4320000000000004</v>
      </c>
      <c r="P176" s="647">
        <v>0.50600000000000001</v>
      </c>
      <c r="Q176" s="581"/>
      <c r="R176" s="581"/>
      <c r="S176" s="581"/>
      <c r="T176" s="581"/>
      <c r="U176" s="581"/>
    </row>
    <row r="177" spans="1:21">
      <c r="A177" s="581"/>
      <c r="B177" s="581"/>
      <c r="C177" s="581"/>
      <c r="D177" s="582" t="s">
        <v>715</v>
      </c>
      <c r="E177" s="645" t="s">
        <v>719</v>
      </c>
      <c r="F177" s="646">
        <v>41841</v>
      </c>
      <c r="G177" s="590">
        <f t="shared" si="4"/>
        <v>2014</v>
      </c>
      <c r="H177" s="590">
        <f t="shared" si="5"/>
        <v>7</v>
      </c>
      <c r="I177" s="647">
        <v>17</v>
      </c>
      <c r="J177" s="647">
        <v>6.6</v>
      </c>
      <c r="K177" s="647">
        <v>0.622</v>
      </c>
      <c r="L177" s="648">
        <v>7.2220000000000004</v>
      </c>
      <c r="M177" s="649">
        <v>9150</v>
      </c>
      <c r="N177" s="647">
        <v>7.9000000000000001E-2</v>
      </c>
      <c r="O177" s="647">
        <v>6.43</v>
      </c>
      <c r="P177" s="647">
        <v>0.622</v>
      </c>
      <c r="Q177" s="581"/>
      <c r="R177" s="581"/>
      <c r="S177" s="581"/>
      <c r="T177" s="581"/>
      <c r="U177" s="581"/>
    </row>
    <row r="178" spans="1:21">
      <c r="A178" s="581"/>
      <c r="B178" s="581"/>
      <c r="C178" s="581"/>
      <c r="D178" s="582" t="s">
        <v>715</v>
      </c>
      <c r="E178" s="645" t="s">
        <v>719</v>
      </c>
      <c r="F178" s="646">
        <v>41869</v>
      </c>
      <c r="G178" s="590">
        <f t="shared" si="4"/>
        <v>2014</v>
      </c>
      <c r="H178" s="590">
        <f t="shared" si="5"/>
        <v>8</v>
      </c>
      <c r="I178" s="647">
        <v>16</v>
      </c>
      <c r="J178" s="647">
        <v>6.0750000000000002</v>
      </c>
      <c r="K178" s="647">
        <v>0.72599999999999998</v>
      </c>
      <c r="L178" s="648">
        <v>6.8010000000000002</v>
      </c>
      <c r="M178" s="649">
        <v>8190</v>
      </c>
      <c r="N178" s="647">
        <v>8.3000000000000004E-2</v>
      </c>
      <c r="O178" s="647">
        <v>5.8959999999999999</v>
      </c>
      <c r="P178" s="647">
        <v>0.72599999999999998</v>
      </c>
      <c r="Q178" s="581"/>
      <c r="R178" s="581"/>
      <c r="S178" s="581"/>
      <c r="T178" s="581"/>
      <c r="U178" s="581"/>
    </row>
    <row r="179" spans="1:21">
      <c r="A179" s="581"/>
      <c r="B179" s="581"/>
      <c r="C179" s="581"/>
      <c r="D179" s="582" t="s">
        <v>715</v>
      </c>
      <c r="E179" s="645" t="s">
        <v>719</v>
      </c>
      <c r="F179" s="646">
        <v>41886</v>
      </c>
      <c r="G179" s="590">
        <f t="shared" si="4"/>
        <v>2014</v>
      </c>
      <c r="H179" s="590">
        <f t="shared" si="5"/>
        <v>9</v>
      </c>
      <c r="I179" s="647">
        <v>15</v>
      </c>
      <c r="J179" s="647">
        <v>5.3470000000000004</v>
      </c>
      <c r="K179" s="647">
        <v>0.71199999999999997</v>
      </c>
      <c r="L179" s="648">
        <v>6.0590000000000002</v>
      </c>
      <c r="M179" s="649">
        <v>7758</v>
      </c>
      <c r="N179" s="647">
        <v>7.8E-2</v>
      </c>
      <c r="O179" s="647">
        <v>5.1929999999999996</v>
      </c>
      <c r="P179" s="647">
        <v>0.71199999999999997</v>
      </c>
      <c r="Q179" s="581"/>
      <c r="R179" s="581"/>
      <c r="S179" s="581"/>
      <c r="T179" s="581"/>
      <c r="U179" s="581"/>
    </row>
    <row r="180" spans="1:21">
      <c r="A180" s="581"/>
      <c r="B180" s="581"/>
      <c r="C180" s="581"/>
      <c r="D180" s="582" t="s">
        <v>715</v>
      </c>
      <c r="E180" s="645" t="s">
        <v>719</v>
      </c>
      <c r="F180" s="646">
        <v>41942</v>
      </c>
      <c r="G180" s="590">
        <f t="shared" si="4"/>
        <v>2014</v>
      </c>
      <c r="H180" s="590">
        <f t="shared" si="5"/>
        <v>10</v>
      </c>
      <c r="I180" s="647">
        <v>20</v>
      </c>
      <c r="J180" s="647">
        <v>3.7450000000000001</v>
      </c>
      <c r="K180" s="647">
        <v>0</v>
      </c>
      <c r="L180" s="648">
        <v>3.7450000000000001</v>
      </c>
      <c r="M180" s="649">
        <v>5901</v>
      </c>
      <c r="N180" s="647">
        <v>6.3E-2</v>
      </c>
      <c r="O180" s="647">
        <v>3.718</v>
      </c>
      <c r="P180" s="647">
        <v>0</v>
      </c>
      <c r="Q180" s="581"/>
      <c r="R180" s="581"/>
      <c r="S180" s="581"/>
      <c r="T180" s="581"/>
      <c r="U180" s="581"/>
    </row>
    <row r="181" spans="1:21">
      <c r="A181" s="581"/>
      <c r="B181" s="581"/>
      <c r="C181" s="581"/>
      <c r="D181" s="582" t="s">
        <v>715</v>
      </c>
      <c r="E181" s="645" t="s">
        <v>719</v>
      </c>
      <c r="F181" s="646">
        <v>41960</v>
      </c>
      <c r="G181" s="590">
        <f t="shared" si="4"/>
        <v>2014</v>
      </c>
      <c r="H181" s="590">
        <f t="shared" si="5"/>
        <v>11</v>
      </c>
      <c r="I181" s="647">
        <v>18</v>
      </c>
      <c r="J181" s="647">
        <v>4.8860000000000001</v>
      </c>
      <c r="K181" s="647">
        <v>0</v>
      </c>
      <c r="L181" s="648">
        <v>4.8860000000000001</v>
      </c>
      <c r="M181" s="649">
        <v>6677</v>
      </c>
      <c r="N181" s="647">
        <v>7.2999999999999995E-2</v>
      </c>
      <c r="O181" s="647">
        <v>4.8419999999999996</v>
      </c>
      <c r="P181" s="647">
        <v>0</v>
      </c>
      <c r="Q181" s="581"/>
      <c r="R181" s="581"/>
      <c r="S181" s="581"/>
      <c r="T181" s="581"/>
      <c r="U181" s="581"/>
    </row>
    <row r="182" spans="1:21">
      <c r="A182" s="581"/>
      <c r="B182" s="581"/>
      <c r="C182" s="581"/>
      <c r="D182" s="582" t="s">
        <v>715</v>
      </c>
      <c r="E182" s="645" t="s">
        <v>719</v>
      </c>
      <c r="F182" s="646">
        <v>41974</v>
      </c>
      <c r="G182" s="590">
        <f t="shared" si="4"/>
        <v>2014</v>
      </c>
      <c r="H182" s="590">
        <f t="shared" si="5"/>
        <v>12</v>
      </c>
      <c r="I182" s="647">
        <v>18</v>
      </c>
      <c r="J182" s="647">
        <v>5.1340000000000003</v>
      </c>
      <c r="K182" s="647">
        <v>0</v>
      </c>
      <c r="L182" s="648">
        <v>5.1340000000000003</v>
      </c>
      <c r="M182" s="649">
        <v>6850</v>
      </c>
      <c r="N182" s="647">
        <v>7.4999999999999997E-2</v>
      </c>
      <c r="O182" s="647">
        <v>4.9550000000000001</v>
      </c>
      <c r="P182" s="647">
        <v>0</v>
      </c>
      <c r="Q182" s="581"/>
      <c r="R182" s="581"/>
      <c r="S182" s="581"/>
      <c r="T182" s="581"/>
      <c r="U182" s="581"/>
    </row>
    <row r="183" spans="1:21">
      <c r="A183" s="581"/>
      <c r="B183" s="581"/>
      <c r="C183" s="581"/>
      <c r="D183" s="582" t="s">
        <v>715</v>
      </c>
      <c r="E183" s="645" t="s">
        <v>719</v>
      </c>
      <c r="F183" s="646">
        <v>42011</v>
      </c>
      <c r="G183" s="590">
        <f t="shared" si="4"/>
        <v>2015</v>
      </c>
      <c r="H183" s="590">
        <f t="shared" si="5"/>
        <v>1</v>
      </c>
      <c r="I183" s="647">
        <v>18</v>
      </c>
      <c r="J183" s="647">
        <v>5.1079999999999997</v>
      </c>
      <c r="K183" s="647">
        <v>0</v>
      </c>
      <c r="L183" s="648">
        <v>5.1079999999999997</v>
      </c>
      <c r="M183" s="649">
        <v>6978</v>
      </c>
      <c r="N183" s="647">
        <v>7.2999999999999995E-2</v>
      </c>
      <c r="O183" s="647">
        <v>4.9550000000000001</v>
      </c>
      <c r="P183" s="647">
        <v>0</v>
      </c>
      <c r="Q183" s="581"/>
      <c r="R183" s="581"/>
      <c r="S183" s="581"/>
      <c r="T183" s="581"/>
      <c r="U183" s="581"/>
    </row>
    <row r="184" spans="1:21">
      <c r="A184" s="581"/>
      <c r="B184" s="581"/>
      <c r="C184" s="581"/>
      <c r="D184" s="582" t="s">
        <v>715</v>
      </c>
      <c r="E184" s="645" t="s">
        <v>719</v>
      </c>
      <c r="F184" s="646">
        <v>42053</v>
      </c>
      <c r="G184" s="590">
        <f t="shared" si="4"/>
        <v>2015</v>
      </c>
      <c r="H184" s="590">
        <f t="shared" si="5"/>
        <v>2</v>
      </c>
      <c r="I184" s="647">
        <v>19</v>
      </c>
      <c r="J184" s="647">
        <v>4.7789999999999999</v>
      </c>
      <c r="K184" s="647">
        <v>0</v>
      </c>
      <c r="L184" s="648">
        <v>4.7789999999999999</v>
      </c>
      <c r="M184" s="649">
        <v>6744</v>
      </c>
      <c r="N184" s="647">
        <v>7.0999999999999994E-2</v>
      </c>
      <c r="O184" s="647">
        <v>4.6340000000000003</v>
      </c>
      <c r="P184" s="647">
        <v>0</v>
      </c>
      <c r="Q184" s="581"/>
      <c r="R184" s="581"/>
      <c r="S184" s="581"/>
      <c r="T184" s="581"/>
      <c r="U184" s="581"/>
    </row>
    <row r="185" spans="1:21">
      <c r="A185" s="581"/>
      <c r="B185" s="581"/>
      <c r="C185" s="581"/>
      <c r="D185" s="582" t="s">
        <v>715</v>
      </c>
      <c r="E185" s="645" t="s">
        <v>719</v>
      </c>
      <c r="F185" s="646">
        <v>42067</v>
      </c>
      <c r="G185" s="590">
        <f t="shared" si="4"/>
        <v>2015</v>
      </c>
      <c r="H185" s="590">
        <f t="shared" si="5"/>
        <v>3</v>
      </c>
      <c r="I185" s="647">
        <v>20</v>
      </c>
      <c r="J185" s="647">
        <v>4.6589999999999998</v>
      </c>
      <c r="K185" s="647">
        <v>0</v>
      </c>
      <c r="L185" s="648">
        <v>4.6589999999999998</v>
      </c>
      <c r="M185" s="649">
        <v>6470</v>
      </c>
      <c r="N185" s="647">
        <v>7.1999999999999995E-2</v>
      </c>
      <c r="O185" s="647">
        <v>4.4740000000000002</v>
      </c>
      <c r="P185" s="647">
        <v>0</v>
      </c>
      <c r="Q185" s="581"/>
      <c r="R185" s="581"/>
      <c r="S185" s="581"/>
      <c r="T185" s="581"/>
      <c r="U185" s="581"/>
    </row>
    <row r="186" spans="1:21">
      <c r="A186" s="581"/>
      <c r="B186" s="581"/>
      <c r="C186" s="581"/>
      <c r="D186" s="582" t="s">
        <v>715</v>
      </c>
      <c r="E186" s="645" t="s">
        <v>719</v>
      </c>
      <c r="F186" s="646">
        <v>42103</v>
      </c>
      <c r="G186" s="590">
        <f t="shared" si="4"/>
        <v>2015</v>
      </c>
      <c r="H186" s="590">
        <f t="shared" si="5"/>
        <v>4</v>
      </c>
      <c r="I186" s="647">
        <v>12</v>
      </c>
      <c r="J186" s="647">
        <v>3.798</v>
      </c>
      <c r="K186" s="647">
        <v>0.7</v>
      </c>
      <c r="L186" s="648">
        <v>4.4980000000000002</v>
      </c>
      <c r="M186" s="649">
        <v>5914</v>
      </c>
      <c r="N186" s="647">
        <v>7.5999999999999998E-2</v>
      </c>
      <c r="O186" s="647">
        <v>3.6840000000000002</v>
      </c>
      <c r="P186" s="647">
        <v>0.7</v>
      </c>
      <c r="Q186" s="581"/>
      <c r="R186" s="581"/>
      <c r="S186" s="581"/>
      <c r="T186" s="581"/>
      <c r="U186" s="581"/>
    </row>
    <row r="187" spans="1:21">
      <c r="A187" s="581"/>
      <c r="B187" s="581"/>
      <c r="C187" s="581"/>
      <c r="D187" s="582" t="s">
        <v>715</v>
      </c>
      <c r="E187" s="645" t="s">
        <v>719</v>
      </c>
      <c r="F187" s="646">
        <v>42152</v>
      </c>
      <c r="G187" s="590">
        <f t="shared" si="4"/>
        <v>2015</v>
      </c>
      <c r="H187" s="590">
        <f t="shared" si="5"/>
        <v>5</v>
      </c>
      <c r="I187" s="647">
        <v>16</v>
      </c>
      <c r="J187" s="647">
        <v>4.4969999999999999</v>
      </c>
      <c r="K187" s="647">
        <v>0.67100000000000004</v>
      </c>
      <c r="L187" s="648">
        <v>5.1680000000000001</v>
      </c>
      <c r="M187" s="649">
        <v>6837</v>
      </c>
      <c r="N187" s="647">
        <v>7.5999999999999998E-2</v>
      </c>
      <c r="O187" s="647">
        <v>4.3719999999999999</v>
      </c>
      <c r="P187" s="647">
        <v>0.67100000000000004</v>
      </c>
      <c r="Q187" s="581"/>
      <c r="R187" s="581"/>
      <c r="S187" s="581"/>
      <c r="T187" s="581"/>
      <c r="U187" s="581"/>
    </row>
    <row r="188" spans="1:21">
      <c r="A188" s="581"/>
      <c r="B188" s="581"/>
      <c r="C188" s="581"/>
      <c r="D188" s="582" t="s">
        <v>715</v>
      </c>
      <c r="E188" s="645" t="s">
        <v>719</v>
      </c>
      <c r="F188" s="646">
        <v>42164</v>
      </c>
      <c r="G188" s="590">
        <f t="shared" si="4"/>
        <v>2015</v>
      </c>
      <c r="H188" s="590">
        <f t="shared" si="5"/>
        <v>6</v>
      </c>
      <c r="I188" s="647">
        <v>17</v>
      </c>
      <c r="J188" s="647">
        <v>6.1360000000000001</v>
      </c>
      <c r="K188" s="647">
        <v>0.66600000000000004</v>
      </c>
      <c r="L188" s="648">
        <v>6.8019999999999996</v>
      </c>
      <c r="M188" s="649">
        <v>8136</v>
      </c>
      <c r="N188" s="647">
        <v>8.4000000000000005E-2</v>
      </c>
      <c r="O188" s="647">
        <v>5.9660000000000002</v>
      </c>
      <c r="P188" s="647">
        <v>0.66600000000000004</v>
      </c>
      <c r="Q188" s="581"/>
      <c r="R188" s="581"/>
      <c r="S188" s="581"/>
      <c r="T188" s="581"/>
      <c r="U188" s="581"/>
    </row>
    <row r="189" spans="1:21">
      <c r="A189" s="581"/>
      <c r="B189" s="581"/>
      <c r="C189" s="581"/>
      <c r="D189" s="582" t="s">
        <v>715</v>
      </c>
      <c r="E189" s="645" t="s">
        <v>719</v>
      </c>
      <c r="F189" s="646">
        <v>42212</v>
      </c>
      <c r="G189" s="590">
        <f t="shared" si="4"/>
        <v>2015</v>
      </c>
      <c r="H189" s="590">
        <f t="shared" si="5"/>
        <v>7</v>
      </c>
      <c r="I189" s="647">
        <v>17</v>
      </c>
      <c r="J189" s="647">
        <v>6.2430000000000003</v>
      </c>
      <c r="K189" s="647">
        <v>0.71499999999999997</v>
      </c>
      <c r="L189" s="648">
        <v>6.9580000000000002</v>
      </c>
      <c r="M189" s="649">
        <v>8769</v>
      </c>
      <c r="N189" s="647">
        <v>7.9000000000000001E-2</v>
      </c>
      <c r="O189" s="647">
        <v>5.9779999999999998</v>
      </c>
      <c r="P189" s="647">
        <v>0.71499999999999997</v>
      </c>
      <c r="Q189" s="581"/>
      <c r="R189" s="581"/>
      <c r="S189" s="581"/>
      <c r="T189" s="581"/>
      <c r="U189" s="581"/>
    </row>
    <row r="190" spans="1:21">
      <c r="A190" s="581"/>
      <c r="B190" s="581"/>
      <c r="C190" s="581"/>
      <c r="D190" s="582" t="s">
        <v>715</v>
      </c>
      <c r="E190" s="645" t="s">
        <v>719</v>
      </c>
      <c r="F190" s="646">
        <v>42230</v>
      </c>
      <c r="G190" s="590">
        <f t="shared" si="4"/>
        <v>2015</v>
      </c>
      <c r="H190" s="590">
        <f t="shared" si="5"/>
        <v>8</v>
      </c>
      <c r="I190" s="647">
        <v>16</v>
      </c>
      <c r="J190" s="647">
        <v>6.915</v>
      </c>
      <c r="K190" s="647">
        <v>0</v>
      </c>
      <c r="L190" s="648">
        <v>6.915</v>
      </c>
      <c r="M190" s="649">
        <v>8926</v>
      </c>
      <c r="N190" s="647">
        <v>7.6999999999999999E-2</v>
      </c>
      <c r="O190" s="647">
        <v>6.6779999999999999</v>
      </c>
      <c r="P190" s="647">
        <v>0</v>
      </c>
      <c r="Q190" s="581"/>
      <c r="R190" s="581"/>
      <c r="S190" s="581"/>
      <c r="T190" s="581"/>
      <c r="U190" s="581"/>
    </row>
    <row r="191" spans="1:21">
      <c r="A191" s="581"/>
      <c r="B191" s="581"/>
      <c r="C191" s="581"/>
      <c r="D191" s="582" t="s">
        <v>715</v>
      </c>
      <c r="E191" s="645" t="s">
        <v>719</v>
      </c>
      <c r="F191" s="646">
        <v>42250</v>
      </c>
      <c r="G191" s="590">
        <f t="shared" si="4"/>
        <v>2015</v>
      </c>
      <c r="H191" s="590">
        <f t="shared" si="5"/>
        <v>9</v>
      </c>
      <c r="I191" s="647">
        <v>17</v>
      </c>
      <c r="J191" s="647">
        <v>6.5209999999999999</v>
      </c>
      <c r="K191" s="647">
        <v>0.70499999999999996</v>
      </c>
      <c r="L191" s="648">
        <v>7.226</v>
      </c>
      <c r="M191" s="649">
        <v>8657</v>
      </c>
      <c r="N191" s="647">
        <v>8.3000000000000004E-2</v>
      </c>
      <c r="O191" s="647">
        <v>6.2590000000000003</v>
      </c>
      <c r="P191" s="647">
        <v>0.70499999999999996</v>
      </c>
      <c r="Q191" s="581"/>
      <c r="R191" s="581"/>
      <c r="S191" s="581"/>
      <c r="T191" s="581"/>
      <c r="U191" s="581"/>
    </row>
    <row r="192" spans="1:21">
      <c r="A192" s="581"/>
      <c r="B192" s="581"/>
      <c r="C192" s="581"/>
      <c r="D192" s="582" t="s">
        <v>715</v>
      </c>
      <c r="E192" s="645" t="s">
        <v>719</v>
      </c>
      <c r="F192" s="646">
        <v>42285</v>
      </c>
      <c r="G192" s="590">
        <f t="shared" si="4"/>
        <v>2015</v>
      </c>
      <c r="H192" s="590">
        <f t="shared" si="5"/>
        <v>10</v>
      </c>
      <c r="I192" s="647">
        <v>12</v>
      </c>
      <c r="J192" s="647">
        <v>4.2690000000000001</v>
      </c>
      <c r="K192" s="647">
        <v>0</v>
      </c>
      <c r="L192" s="648">
        <v>4.2690000000000001</v>
      </c>
      <c r="M192" s="649">
        <v>5943</v>
      </c>
      <c r="N192" s="647">
        <v>7.1999999999999995E-2</v>
      </c>
      <c r="O192" s="647">
        <v>4.1379999999999999</v>
      </c>
      <c r="P192" s="647">
        <v>0</v>
      </c>
      <c r="Q192" s="581"/>
      <c r="R192" s="581"/>
      <c r="S192" s="581"/>
      <c r="T192" s="581"/>
      <c r="U192" s="581"/>
    </row>
    <row r="193" spans="1:21">
      <c r="A193" s="581"/>
      <c r="B193" s="581"/>
      <c r="C193" s="581"/>
      <c r="D193" s="582" t="s">
        <v>715</v>
      </c>
      <c r="E193" s="645" t="s">
        <v>719</v>
      </c>
      <c r="F193" s="646">
        <v>42338</v>
      </c>
      <c r="G193" s="590">
        <f t="shared" si="4"/>
        <v>2015</v>
      </c>
      <c r="H193" s="590">
        <f t="shared" si="5"/>
        <v>11</v>
      </c>
      <c r="I193" s="647">
        <v>18</v>
      </c>
      <c r="J193" s="647">
        <v>3.6160000000000001</v>
      </c>
      <c r="K193" s="647">
        <v>0.76500000000000001</v>
      </c>
      <c r="L193" s="648">
        <v>4.3810000000000002</v>
      </c>
      <c r="M193" s="649">
        <v>6574</v>
      </c>
      <c r="N193" s="647">
        <v>6.7000000000000004E-2</v>
      </c>
      <c r="O193" s="647">
        <v>3.5259999999999998</v>
      </c>
      <c r="P193" s="647">
        <v>0.76500000000000001</v>
      </c>
      <c r="Q193" s="581"/>
      <c r="R193" s="581"/>
      <c r="S193" s="581"/>
      <c r="T193" s="581"/>
      <c r="U193" s="581"/>
    </row>
    <row r="194" spans="1:21">
      <c r="A194" s="581"/>
      <c r="B194" s="581"/>
      <c r="C194" s="581"/>
      <c r="D194" s="582" t="s">
        <v>715</v>
      </c>
      <c r="E194" s="645" t="s">
        <v>719</v>
      </c>
      <c r="F194" s="646">
        <v>42355</v>
      </c>
      <c r="G194" s="590">
        <f t="shared" si="4"/>
        <v>2015</v>
      </c>
      <c r="H194" s="590">
        <f t="shared" si="5"/>
        <v>12</v>
      </c>
      <c r="I194" s="647">
        <v>18</v>
      </c>
      <c r="J194" s="647">
        <v>4.55</v>
      </c>
      <c r="K194" s="647">
        <v>0</v>
      </c>
      <c r="L194" s="648">
        <v>4.55</v>
      </c>
      <c r="M194" s="649">
        <v>6450</v>
      </c>
      <c r="N194" s="647">
        <v>7.0999999999999994E-2</v>
      </c>
      <c r="O194" s="647">
        <v>4.383</v>
      </c>
      <c r="P194" s="647">
        <v>0</v>
      </c>
      <c r="Q194" s="581"/>
      <c r="R194" s="581"/>
      <c r="S194" s="581"/>
      <c r="T194" s="581"/>
      <c r="U194" s="581"/>
    </row>
    <row r="195" spans="1:21">
      <c r="A195" s="581"/>
      <c r="B195" s="581"/>
      <c r="C195" s="581"/>
      <c r="D195" s="582" t="s">
        <v>715</v>
      </c>
      <c r="E195" s="588" t="s">
        <v>720</v>
      </c>
      <c r="F195" s="589">
        <v>40927</v>
      </c>
      <c r="G195" s="590">
        <f t="shared" ref="G195:G258" si="6">YEAR(F195)</f>
        <v>2012</v>
      </c>
      <c r="H195" s="590">
        <f t="shared" ref="H195:H258" si="7">MONTH(F195)</f>
        <v>1</v>
      </c>
      <c r="I195" s="591">
        <v>19</v>
      </c>
      <c r="J195" s="591">
        <v>6.5119999999999996</v>
      </c>
      <c r="K195" s="591">
        <v>2.8460000000000001</v>
      </c>
      <c r="L195" s="592">
        <v>9.3580000000000005</v>
      </c>
      <c r="M195" s="591">
        <v>6604</v>
      </c>
      <c r="N195" s="593">
        <v>1.4E-3</v>
      </c>
      <c r="O195" s="591">
        <v>6.5940000000000003</v>
      </c>
      <c r="P195" s="591">
        <v>2.8460000000000001</v>
      </c>
      <c r="Q195" s="581"/>
      <c r="R195" s="581"/>
      <c r="S195" s="581"/>
      <c r="T195" s="581"/>
      <c r="U195" s="581"/>
    </row>
    <row r="196" spans="1:21">
      <c r="A196" s="581"/>
      <c r="B196" s="581"/>
      <c r="C196" s="581"/>
      <c r="D196" s="582" t="s">
        <v>715</v>
      </c>
      <c r="E196" s="588" t="s">
        <v>720</v>
      </c>
      <c r="F196" s="589">
        <v>40967</v>
      </c>
      <c r="G196" s="590">
        <f t="shared" si="6"/>
        <v>2012</v>
      </c>
      <c r="H196" s="590">
        <f t="shared" si="7"/>
        <v>2</v>
      </c>
      <c r="I196" s="591">
        <v>19</v>
      </c>
      <c r="J196" s="591">
        <v>5.9139999999999997</v>
      </c>
      <c r="K196" s="591">
        <v>2.7850000000000001</v>
      </c>
      <c r="L196" s="592">
        <v>8.6989999999999998</v>
      </c>
      <c r="M196" s="591">
        <v>6178</v>
      </c>
      <c r="N196" s="593">
        <v>1.4E-3</v>
      </c>
      <c r="O196" s="591">
        <v>5.9880000000000004</v>
      </c>
      <c r="P196" s="591">
        <v>2.7850000000000001</v>
      </c>
      <c r="Q196" s="581"/>
      <c r="R196" s="581"/>
      <c r="S196" s="581"/>
      <c r="T196" s="581"/>
      <c r="U196" s="581"/>
    </row>
    <row r="197" spans="1:21">
      <c r="A197" s="581"/>
      <c r="B197" s="581"/>
      <c r="C197" s="581"/>
      <c r="D197" s="582" t="s">
        <v>715</v>
      </c>
      <c r="E197" s="588" t="s">
        <v>720</v>
      </c>
      <c r="F197" s="589">
        <v>40987</v>
      </c>
      <c r="G197" s="590">
        <f t="shared" si="6"/>
        <v>2012</v>
      </c>
      <c r="H197" s="590">
        <f t="shared" si="7"/>
        <v>3</v>
      </c>
      <c r="I197" s="591">
        <v>14</v>
      </c>
      <c r="J197" s="591">
        <v>5.0599999999999996</v>
      </c>
      <c r="K197" s="591">
        <v>3.028</v>
      </c>
      <c r="L197" s="592">
        <v>8.0879999999999992</v>
      </c>
      <c r="M197" s="591">
        <v>6170</v>
      </c>
      <c r="N197" s="593">
        <v>1.2999999999999999E-3</v>
      </c>
      <c r="O197" s="591">
        <v>5.1100000000000003</v>
      </c>
      <c r="P197" s="591">
        <v>3.028</v>
      </c>
      <c r="Q197" s="581"/>
      <c r="R197" s="581"/>
      <c r="S197" s="581"/>
      <c r="T197" s="581"/>
      <c r="U197" s="581"/>
    </row>
    <row r="198" spans="1:21">
      <c r="A198" s="581"/>
      <c r="B198" s="581"/>
      <c r="C198" s="581"/>
      <c r="D198" s="582" t="s">
        <v>715</v>
      </c>
      <c r="E198" s="588" t="s">
        <v>720</v>
      </c>
      <c r="F198" s="589">
        <v>41024</v>
      </c>
      <c r="G198" s="590">
        <f t="shared" si="6"/>
        <v>2012</v>
      </c>
      <c r="H198" s="590">
        <f t="shared" si="7"/>
        <v>4</v>
      </c>
      <c r="I198" s="591">
        <v>15</v>
      </c>
      <c r="J198" s="591">
        <v>4.9480000000000004</v>
      </c>
      <c r="K198" s="591">
        <v>2.7429999999999999</v>
      </c>
      <c r="L198" s="592">
        <v>7.6909999999999998</v>
      </c>
      <c r="M198" s="591">
        <v>5813</v>
      </c>
      <c r="N198" s="593">
        <v>1.2999999999999999E-3</v>
      </c>
      <c r="O198" s="591">
        <v>5.0069999999999997</v>
      </c>
      <c r="P198" s="591">
        <v>2.7429999999999999</v>
      </c>
      <c r="Q198" s="581"/>
      <c r="R198" s="581"/>
      <c r="S198" s="581"/>
      <c r="T198" s="581"/>
      <c r="U198" s="581"/>
    </row>
    <row r="199" spans="1:21">
      <c r="A199" s="581"/>
      <c r="B199" s="581"/>
      <c r="C199" s="581"/>
      <c r="D199" s="582" t="s">
        <v>715</v>
      </c>
      <c r="E199" s="588" t="s">
        <v>720</v>
      </c>
      <c r="F199" s="589">
        <v>41047</v>
      </c>
      <c r="G199" s="590">
        <f t="shared" si="6"/>
        <v>2012</v>
      </c>
      <c r="H199" s="590">
        <f t="shared" si="7"/>
        <v>5</v>
      </c>
      <c r="I199" s="591">
        <v>17</v>
      </c>
      <c r="J199" s="591">
        <v>6.6539999999999999</v>
      </c>
      <c r="K199" s="591">
        <v>2.964</v>
      </c>
      <c r="L199" s="592">
        <v>9.6180000000000003</v>
      </c>
      <c r="M199" s="591">
        <v>7203</v>
      </c>
      <c r="N199" s="593">
        <v>1.2999999999999999E-3</v>
      </c>
      <c r="O199" s="591">
        <v>6.7210000000000001</v>
      </c>
      <c r="P199" s="591">
        <v>2.964</v>
      </c>
      <c r="Q199" s="581"/>
      <c r="R199" s="581"/>
      <c r="S199" s="581"/>
      <c r="T199" s="581"/>
      <c r="U199" s="581"/>
    </row>
    <row r="200" spans="1:21">
      <c r="A200" s="581"/>
      <c r="B200" s="581"/>
      <c r="C200" s="581"/>
      <c r="D200" s="582" t="s">
        <v>715</v>
      </c>
      <c r="E200" s="588" t="s">
        <v>720</v>
      </c>
      <c r="F200" s="589">
        <v>41087</v>
      </c>
      <c r="G200" s="590">
        <f t="shared" si="6"/>
        <v>2012</v>
      </c>
      <c r="H200" s="590">
        <f t="shared" si="7"/>
        <v>6</v>
      </c>
      <c r="I200" s="591">
        <v>17</v>
      </c>
      <c r="J200" s="591">
        <v>10.6</v>
      </c>
      <c r="K200" s="591">
        <v>3.1</v>
      </c>
      <c r="L200" s="592">
        <v>13.7</v>
      </c>
      <c r="M200" s="591">
        <v>8833</v>
      </c>
      <c r="N200" s="593">
        <v>1.6000000000000001E-3</v>
      </c>
      <c r="O200" s="591">
        <v>10.72</v>
      </c>
      <c r="P200" s="591">
        <v>3.1</v>
      </c>
      <c r="Q200" s="581"/>
      <c r="R200" s="581"/>
      <c r="S200" s="581"/>
      <c r="T200" s="581"/>
      <c r="U200" s="581"/>
    </row>
    <row r="201" spans="1:21">
      <c r="A201" s="581"/>
      <c r="B201" s="581"/>
      <c r="C201" s="581"/>
      <c r="D201" s="582" t="s">
        <v>715</v>
      </c>
      <c r="E201" s="588" t="s">
        <v>720</v>
      </c>
      <c r="F201" s="589">
        <v>41092</v>
      </c>
      <c r="G201" s="590">
        <f t="shared" si="6"/>
        <v>2012</v>
      </c>
      <c r="H201" s="590">
        <f t="shared" si="7"/>
        <v>7</v>
      </c>
      <c r="I201" s="591">
        <v>17</v>
      </c>
      <c r="J201" s="591">
        <v>16.855</v>
      </c>
      <c r="K201" s="591">
        <v>3.0859999999999999</v>
      </c>
      <c r="L201" s="592">
        <v>19.940999999999999</v>
      </c>
      <c r="M201" s="591">
        <v>9682</v>
      </c>
      <c r="N201" s="593">
        <v>2.0999999999999999E-3</v>
      </c>
      <c r="O201" s="591">
        <v>17.027000000000001</v>
      </c>
      <c r="P201" s="591">
        <v>3.0859999999999999</v>
      </c>
      <c r="Q201" s="581"/>
      <c r="R201" s="581"/>
      <c r="S201" s="581"/>
      <c r="T201" s="581"/>
      <c r="U201" s="581"/>
    </row>
    <row r="202" spans="1:21">
      <c r="A202" s="581"/>
      <c r="B202" s="581"/>
      <c r="C202" s="581"/>
      <c r="D202" s="582" t="s">
        <v>715</v>
      </c>
      <c r="E202" s="588" t="s">
        <v>720</v>
      </c>
      <c r="F202" s="589">
        <v>41122</v>
      </c>
      <c r="G202" s="590">
        <f t="shared" si="6"/>
        <v>2012</v>
      </c>
      <c r="H202" s="590">
        <f t="shared" si="7"/>
        <v>8</v>
      </c>
      <c r="I202" s="591">
        <v>17</v>
      </c>
      <c r="J202" s="591">
        <v>18.501999999999999</v>
      </c>
      <c r="K202" s="591">
        <v>3.0640000000000001</v>
      </c>
      <c r="L202" s="592">
        <v>21.565999999999999</v>
      </c>
      <c r="M202" s="591">
        <v>8979</v>
      </c>
      <c r="N202" s="593">
        <v>2.3999999999999998E-3</v>
      </c>
      <c r="O202" s="591">
        <v>18.704000000000001</v>
      </c>
      <c r="P202" s="591">
        <v>3.0640000000000001</v>
      </c>
      <c r="Q202" s="581"/>
      <c r="R202" s="581"/>
      <c r="S202" s="581"/>
      <c r="T202" s="581"/>
      <c r="U202" s="581"/>
    </row>
    <row r="203" spans="1:21">
      <c r="A203" s="581"/>
      <c r="B203" s="581"/>
      <c r="C203" s="581"/>
      <c r="D203" s="582" t="s">
        <v>715</v>
      </c>
      <c r="E203" s="588" t="s">
        <v>720</v>
      </c>
      <c r="F203" s="589">
        <v>41156</v>
      </c>
      <c r="G203" s="590">
        <f t="shared" si="6"/>
        <v>2012</v>
      </c>
      <c r="H203" s="590">
        <f t="shared" si="7"/>
        <v>9</v>
      </c>
      <c r="I203" s="591">
        <v>16</v>
      </c>
      <c r="J203" s="591">
        <v>14.412000000000001</v>
      </c>
      <c r="K203" s="591">
        <v>3.0219999999999998</v>
      </c>
      <c r="L203" s="592">
        <v>17.434000000000001</v>
      </c>
      <c r="M203" s="591">
        <v>8521</v>
      </c>
      <c r="N203" s="593">
        <v>2E-3</v>
      </c>
      <c r="O203" s="591">
        <v>14.622</v>
      </c>
      <c r="P203" s="591">
        <v>3.0219999999999998</v>
      </c>
      <c r="Q203" s="581"/>
      <c r="R203" s="581"/>
      <c r="S203" s="581"/>
      <c r="T203" s="581"/>
      <c r="U203" s="581"/>
    </row>
    <row r="204" spans="1:21">
      <c r="A204" s="581"/>
      <c r="B204" s="581"/>
      <c r="C204" s="581"/>
      <c r="D204" s="582" t="s">
        <v>715</v>
      </c>
      <c r="E204" s="588" t="s">
        <v>720</v>
      </c>
      <c r="F204" s="589">
        <v>41185</v>
      </c>
      <c r="G204" s="590">
        <f t="shared" si="6"/>
        <v>2012</v>
      </c>
      <c r="H204" s="590">
        <f t="shared" si="7"/>
        <v>10</v>
      </c>
      <c r="I204" s="591">
        <v>14</v>
      </c>
      <c r="J204" s="591">
        <v>6.7279999999999998</v>
      </c>
      <c r="K204" s="591">
        <v>3.089</v>
      </c>
      <c r="L204" s="592">
        <v>9.8170000000000002</v>
      </c>
      <c r="M204" s="591">
        <v>6122</v>
      </c>
      <c r="N204" s="593">
        <v>1.6000000000000001E-3</v>
      </c>
      <c r="O204" s="591">
        <v>6.8259999999999996</v>
      </c>
      <c r="P204" s="591">
        <v>3.089</v>
      </c>
      <c r="Q204" s="581"/>
      <c r="R204" s="581"/>
      <c r="S204" s="581"/>
      <c r="T204" s="581"/>
      <c r="U204" s="581"/>
    </row>
    <row r="205" spans="1:21">
      <c r="A205" s="581"/>
      <c r="B205" s="581"/>
      <c r="C205" s="581"/>
      <c r="D205" s="582" t="s">
        <v>715</v>
      </c>
      <c r="E205" s="588" t="s">
        <v>720</v>
      </c>
      <c r="F205" s="589">
        <v>41239</v>
      </c>
      <c r="G205" s="590">
        <f t="shared" si="6"/>
        <v>2012</v>
      </c>
      <c r="H205" s="590">
        <f t="shared" si="7"/>
        <v>11</v>
      </c>
      <c r="I205" s="591">
        <v>18</v>
      </c>
      <c r="J205" s="591">
        <v>6.0590000000000002</v>
      </c>
      <c r="K205" s="591">
        <v>3.032</v>
      </c>
      <c r="L205" s="592">
        <v>9.0909999999999993</v>
      </c>
      <c r="M205" s="591">
        <v>6416</v>
      </c>
      <c r="N205" s="593">
        <v>1.4E-3</v>
      </c>
      <c r="O205" s="591">
        <v>6.117</v>
      </c>
      <c r="P205" s="591">
        <v>3.032</v>
      </c>
      <c r="Q205" s="581"/>
      <c r="R205" s="581"/>
      <c r="S205" s="581"/>
      <c r="T205" s="581"/>
      <c r="U205" s="581"/>
    </row>
    <row r="206" spans="1:21">
      <c r="A206" s="581"/>
      <c r="B206" s="581"/>
      <c r="C206" s="581"/>
      <c r="D206" s="582" t="s">
        <v>715</v>
      </c>
      <c r="E206" s="588" t="s">
        <v>720</v>
      </c>
      <c r="F206" s="589">
        <v>41253</v>
      </c>
      <c r="G206" s="590">
        <f t="shared" si="6"/>
        <v>2012</v>
      </c>
      <c r="H206" s="590">
        <f t="shared" si="7"/>
        <v>12</v>
      </c>
      <c r="I206" s="591">
        <v>18</v>
      </c>
      <c r="J206" s="591">
        <v>6.6429999999999998</v>
      </c>
      <c r="K206" s="591">
        <v>3.105</v>
      </c>
      <c r="L206" s="592">
        <v>9.7479999999999993</v>
      </c>
      <c r="M206" s="591">
        <v>6609</v>
      </c>
      <c r="N206" s="593">
        <v>1.5E-3</v>
      </c>
      <c r="O206" s="591">
        <v>6.7389999999999999</v>
      </c>
      <c r="P206" s="591">
        <v>3.105</v>
      </c>
      <c r="Q206" s="581"/>
      <c r="R206" s="581"/>
      <c r="S206" s="581"/>
      <c r="T206" s="581"/>
      <c r="U206" s="581"/>
    </row>
    <row r="207" spans="1:21">
      <c r="A207" s="581"/>
      <c r="B207" s="581"/>
      <c r="C207" s="581"/>
      <c r="D207" s="582" t="s">
        <v>715</v>
      </c>
      <c r="E207" s="588" t="s">
        <v>720</v>
      </c>
      <c r="F207" s="589">
        <v>41295</v>
      </c>
      <c r="G207" s="590">
        <f t="shared" si="6"/>
        <v>2013</v>
      </c>
      <c r="H207" s="590">
        <f t="shared" si="7"/>
        <v>1</v>
      </c>
      <c r="I207" s="591">
        <v>19</v>
      </c>
      <c r="J207" s="591">
        <v>6.7839999999999998</v>
      </c>
      <c r="K207" s="591">
        <v>3.0529999999999999</v>
      </c>
      <c r="L207" s="592">
        <v>9.8369999999999997</v>
      </c>
      <c r="M207" s="591">
        <v>6846</v>
      </c>
      <c r="N207" s="593">
        <v>1.4E-3</v>
      </c>
      <c r="O207" s="591">
        <v>6.875</v>
      </c>
      <c r="P207" s="591">
        <v>3.0529999999999999</v>
      </c>
      <c r="Q207" s="581"/>
      <c r="R207" s="581"/>
      <c r="S207" s="581"/>
      <c r="T207" s="581"/>
      <c r="U207" s="581"/>
    </row>
    <row r="208" spans="1:21">
      <c r="A208" s="581"/>
      <c r="B208" s="581"/>
      <c r="C208" s="581"/>
      <c r="D208" s="582" t="s">
        <v>715</v>
      </c>
      <c r="E208" s="588" t="s">
        <v>720</v>
      </c>
      <c r="F208" s="589">
        <v>41324</v>
      </c>
      <c r="G208" s="590">
        <f t="shared" si="6"/>
        <v>2013</v>
      </c>
      <c r="H208" s="590">
        <f t="shared" si="7"/>
        <v>2</v>
      </c>
      <c r="I208" s="591">
        <v>19</v>
      </c>
      <c r="J208" s="591">
        <v>6.7569999999999997</v>
      </c>
      <c r="K208" s="591">
        <v>2.6389999999999998</v>
      </c>
      <c r="L208" s="592">
        <v>9.3960000000000008</v>
      </c>
      <c r="M208" s="591">
        <v>6511</v>
      </c>
      <c r="N208" s="593">
        <v>1.4E-3</v>
      </c>
      <c r="O208" s="591">
        <v>6.8460000000000001</v>
      </c>
      <c r="P208" s="591">
        <v>2.6389999999999998</v>
      </c>
      <c r="Q208" s="581"/>
      <c r="R208" s="581"/>
      <c r="S208" s="581"/>
      <c r="T208" s="581"/>
      <c r="U208" s="581"/>
    </row>
    <row r="209" spans="1:21">
      <c r="A209" s="581"/>
      <c r="B209" s="581"/>
      <c r="C209" s="581"/>
      <c r="D209" s="582" t="s">
        <v>715</v>
      </c>
      <c r="E209" s="588" t="s">
        <v>720</v>
      </c>
      <c r="F209" s="589">
        <v>41337</v>
      </c>
      <c r="G209" s="590">
        <f t="shared" si="6"/>
        <v>2013</v>
      </c>
      <c r="H209" s="590">
        <f t="shared" si="7"/>
        <v>3</v>
      </c>
      <c r="I209" s="591">
        <v>19</v>
      </c>
      <c r="J209" s="591">
        <v>5.8410000000000002</v>
      </c>
      <c r="K209" s="591">
        <v>3.1019999999999999</v>
      </c>
      <c r="L209" s="592">
        <v>8.9429999999999996</v>
      </c>
      <c r="M209" s="591">
        <v>6172</v>
      </c>
      <c r="N209" s="593">
        <v>1.4E-3</v>
      </c>
      <c r="O209" s="591">
        <v>5.9</v>
      </c>
      <c r="P209" s="591">
        <v>3.1019999999999999</v>
      </c>
      <c r="Q209" s="581"/>
      <c r="R209" s="581"/>
      <c r="S209" s="581"/>
      <c r="T209" s="581"/>
      <c r="U209" s="581"/>
    </row>
    <row r="210" spans="1:21">
      <c r="A210" s="581"/>
      <c r="B210" s="581"/>
      <c r="C210" s="581"/>
      <c r="D210" s="582" t="s">
        <v>715</v>
      </c>
      <c r="E210" s="588" t="s">
        <v>720</v>
      </c>
      <c r="F210" s="589">
        <v>41382</v>
      </c>
      <c r="G210" s="590">
        <f t="shared" si="6"/>
        <v>2013</v>
      </c>
      <c r="H210" s="590">
        <f t="shared" si="7"/>
        <v>4</v>
      </c>
      <c r="I210" s="591">
        <v>12</v>
      </c>
      <c r="J210" s="591">
        <v>5.51</v>
      </c>
      <c r="K210" s="591">
        <v>3.1440000000000001</v>
      </c>
      <c r="L210" s="592">
        <v>8.6539999999999999</v>
      </c>
      <c r="M210" s="591">
        <v>5851</v>
      </c>
      <c r="N210" s="593">
        <v>1.5E-3</v>
      </c>
      <c r="O210" s="591">
        <v>5.5679999999999996</v>
      </c>
      <c r="P210" s="591">
        <v>3.1440000000000001</v>
      </c>
      <c r="Q210" s="581"/>
      <c r="R210" s="581"/>
      <c r="S210" s="581"/>
      <c r="T210" s="581"/>
      <c r="U210" s="581"/>
    </row>
    <row r="211" spans="1:21">
      <c r="A211" s="581"/>
      <c r="B211" s="581"/>
      <c r="C211" s="581"/>
      <c r="D211" s="582" t="s">
        <v>715</v>
      </c>
      <c r="E211" s="588" t="s">
        <v>720</v>
      </c>
      <c r="F211" s="589">
        <v>41408</v>
      </c>
      <c r="G211" s="590">
        <f t="shared" si="6"/>
        <v>2013</v>
      </c>
      <c r="H211" s="590">
        <f t="shared" si="7"/>
        <v>5</v>
      </c>
      <c r="I211" s="591">
        <v>17</v>
      </c>
      <c r="J211" s="591">
        <v>5.8529999999999998</v>
      </c>
      <c r="K211" s="591">
        <v>2.988</v>
      </c>
      <c r="L211" s="592">
        <v>8.8409999999999993</v>
      </c>
      <c r="M211" s="591">
        <v>6516</v>
      </c>
      <c r="N211" s="593">
        <v>1.4E-3</v>
      </c>
      <c r="O211" s="591">
        <v>5.9260000000000002</v>
      </c>
      <c r="P211" s="591">
        <v>2.988</v>
      </c>
      <c r="Q211" s="581"/>
      <c r="R211" s="581"/>
      <c r="S211" s="581"/>
      <c r="T211" s="581"/>
      <c r="U211" s="581"/>
    </row>
    <row r="212" spans="1:21">
      <c r="A212" s="581"/>
      <c r="B212" s="581"/>
      <c r="C212" s="581"/>
      <c r="D212" s="582" t="s">
        <v>715</v>
      </c>
      <c r="E212" s="588" t="s">
        <v>720</v>
      </c>
      <c r="F212" s="589">
        <v>41451</v>
      </c>
      <c r="G212" s="590">
        <f t="shared" si="6"/>
        <v>2013</v>
      </c>
      <c r="H212" s="590">
        <f t="shared" si="7"/>
        <v>6</v>
      </c>
      <c r="I212" s="591">
        <v>16</v>
      </c>
      <c r="J212" s="591">
        <v>10.445</v>
      </c>
      <c r="K212" s="591">
        <v>3.0680000000000001</v>
      </c>
      <c r="L212" s="592">
        <v>13.513</v>
      </c>
      <c r="M212" s="591">
        <v>8280</v>
      </c>
      <c r="N212" s="593">
        <v>1.6000000000000001E-3</v>
      </c>
      <c r="O212" s="591">
        <v>10.521000000000001</v>
      </c>
      <c r="P212" s="591">
        <v>3.0680000000000001</v>
      </c>
      <c r="Q212" s="581"/>
      <c r="R212" s="581"/>
      <c r="S212" s="581"/>
      <c r="T212" s="581"/>
      <c r="U212" s="581"/>
    </row>
    <row r="213" spans="1:21">
      <c r="A213" s="581"/>
      <c r="B213" s="581"/>
      <c r="C213" s="581"/>
      <c r="D213" s="582" t="s">
        <v>715</v>
      </c>
      <c r="E213" s="588" t="s">
        <v>720</v>
      </c>
      <c r="F213" s="589">
        <v>41473</v>
      </c>
      <c r="G213" s="590">
        <f t="shared" si="6"/>
        <v>2013</v>
      </c>
      <c r="H213" s="590">
        <f t="shared" si="7"/>
        <v>7</v>
      </c>
      <c r="I213" s="591">
        <v>17</v>
      </c>
      <c r="J213" s="591">
        <v>13.795999999999999</v>
      </c>
      <c r="K213" s="591">
        <v>2.7719999999999998</v>
      </c>
      <c r="L213" s="592">
        <v>16.568000000000001</v>
      </c>
      <c r="M213" s="591">
        <v>9566</v>
      </c>
      <c r="N213" s="593">
        <v>1.6999999999999999E-3</v>
      </c>
      <c r="O213" s="591">
        <v>13.911</v>
      </c>
      <c r="P213" s="591">
        <v>2.7719999999999998</v>
      </c>
      <c r="Q213" s="581"/>
      <c r="R213" s="581"/>
      <c r="S213" s="581"/>
      <c r="T213" s="581"/>
      <c r="U213" s="581"/>
    </row>
    <row r="214" spans="1:21">
      <c r="A214" s="581"/>
      <c r="B214" s="581"/>
      <c r="C214" s="581"/>
      <c r="D214" s="582" t="s">
        <v>715</v>
      </c>
      <c r="E214" s="588" t="s">
        <v>720</v>
      </c>
      <c r="F214" s="589">
        <v>41512</v>
      </c>
      <c r="G214" s="590">
        <f t="shared" si="6"/>
        <v>2013</v>
      </c>
      <c r="H214" s="590">
        <f t="shared" si="7"/>
        <v>8</v>
      </c>
      <c r="I214" s="591">
        <v>17</v>
      </c>
      <c r="J214" s="591">
        <v>19.170999999999999</v>
      </c>
      <c r="K214" s="591">
        <v>2.3959999999999999</v>
      </c>
      <c r="L214" s="592">
        <v>21.567</v>
      </c>
      <c r="M214" s="591">
        <v>9821</v>
      </c>
      <c r="N214" s="593">
        <v>2.2000000000000001E-3</v>
      </c>
      <c r="O214" s="591">
        <v>19.344999999999999</v>
      </c>
      <c r="P214" s="591">
        <v>2.3959999999999999</v>
      </c>
      <c r="Q214" s="581"/>
      <c r="R214" s="581"/>
      <c r="S214" s="581"/>
      <c r="T214" s="581"/>
      <c r="U214" s="581"/>
    </row>
    <row r="215" spans="1:21">
      <c r="A215" s="581"/>
      <c r="B215" s="581"/>
      <c r="C215" s="581"/>
      <c r="D215" s="582" t="s">
        <v>715</v>
      </c>
      <c r="E215" s="588" t="s">
        <v>720</v>
      </c>
      <c r="F215" s="589">
        <v>41526</v>
      </c>
      <c r="G215" s="590">
        <f t="shared" si="6"/>
        <v>2013</v>
      </c>
      <c r="H215" s="590">
        <f t="shared" si="7"/>
        <v>9</v>
      </c>
      <c r="I215" s="591">
        <v>17</v>
      </c>
      <c r="J215" s="591">
        <v>17.827999999999999</v>
      </c>
      <c r="K215" s="591">
        <v>1.7829999999999999</v>
      </c>
      <c r="L215" s="592">
        <v>19.611000000000001</v>
      </c>
      <c r="M215" s="591">
        <v>8781</v>
      </c>
      <c r="N215" s="593">
        <v>2.2000000000000001E-3</v>
      </c>
      <c r="O215" s="591">
        <v>18.007999999999999</v>
      </c>
      <c r="P215" s="591">
        <v>1.7829999999999999</v>
      </c>
      <c r="Q215" s="581"/>
      <c r="R215" s="581"/>
      <c r="S215" s="581"/>
      <c r="T215" s="581"/>
      <c r="U215" s="581"/>
    </row>
    <row r="216" spans="1:21">
      <c r="A216" s="581"/>
      <c r="B216" s="581"/>
      <c r="C216" s="581"/>
      <c r="D216" s="582" t="s">
        <v>715</v>
      </c>
      <c r="E216" s="588" t="s">
        <v>720</v>
      </c>
      <c r="F216" s="589">
        <v>41548</v>
      </c>
      <c r="G216" s="590">
        <f t="shared" si="6"/>
        <v>2013</v>
      </c>
      <c r="H216" s="590">
        <f t="shared" si="7"/>
        <v>10</v>
      </c>
      <c r="I216" s="591">
        <v>14</v>
      </c>
      <c r="J216" s="591">
        <v>11.746</v>
      </c>
      <c r="K216" s="591">
        <v>2.2869999999999999</v>
      </c>
      <c r="L216" s="592">
        <v>14.032999999999999</v>
      </c>
      <c r="M216" s="591">
        <v>6214</v>
      </c>
      <c r="N216" s="593">
        <v>2.3E-3</v>
      </c>
      <c r="O216" s="591">
        <v>11.94</v>
      </c>
      <c r="P216" s="591">
        <v>2.2869999999999999</v>
      </c>
      <c r="Q216" s="581"/>
      <c r="R216" s="581"/>
      <c r="S216" s="581"/>
      <c r="T216" s="581"/>
      <c r="U216" s="581"/>
    </row>
    <row r="217" spans="1:21">
      <c r="A217" s="581"/>
      <c r="B217" s="581"/>
      <c r="C217" s="581"/>
      <c r="D217" s="582" t="s">
        <v>715</v>
      </c>
      <c r="E217" s="588" t="s">
        <v>720</v>
      </c>
      <c r="F217" s="589">
        <v>41604</v>
      </c>
      <c r="G217" s="590">
        <f t="shared" si="6"/>
        <v>2013</v>
      </c>
      <c r="H217" s="590">
        <f t="shared" si="7"/>
        <v>11</v>
      </c>
      <c r="I217" s="591">
        <v>18</v>
      </c>
      <c r="J217" s="591">
        <v>5.7809999999999997</v>
      </c>
      <c r="K217" s="591">
        <v>3.105</v>
      </c>
      <c r="L217" s="592">
        <v>8.8859999999999992</v>
      </c>
      <c r="M217" s="591">
        <v>6372</v>
      </c>
      <c r="N217" s="593">
        <v>1.4E-3</v>
      </c>
      <c r="O217" s="591">
        <v>5.8440000000000003</v>
      </c>
      <c r="P217" s="591">
        <v>3.105</v>
      </c>
      <c r="Q217" s="581"/>
      <c r="R217" s="581"/>
      <c r="S217" s="581"/>
      <c r="T217" s="581"/>
      <c r="U217" s="581"/>
    </row>
    <row r="218" spans="1:21">
      <c r="A218" s="581"/>
      <c r="B218" s="581"/>
      <c r="C218" s="581"/>
      <c r="D218" s="582" t="s">
        <v>715</v>
      </c>
      <c r="E218" s="588" t="s">
        <v>720</v>
      </c>
      <c r="F218" s="589">
        <v>41619</v>
      </c>
      <c r="G218" s="590">
        <f t="shared" si="6"/>
        <v>2013</v>
      </c>
      <c r="H218" s="590">
        <f t="shared" si="7"/>
        <v>12</v>
      </c>
      <c r="I218" s="591">
        <v>18</v>
      </c>
      <c r="J218" s="591">
        <v>7.4790000000000001</v>
      </c>
      <c r="K218" s="591">
        <v>2.7349999999999999</v>
      </c>
      <c r="L218" s="592">
        <v>10.214</v>
      </c>
      <c r="M218" s="591">
        <v>6972</v>
      </c>
      <c r="N218" s="593">
        <v>1.5E-3</v>
      </c>
      <c r="O218" s="591">
        <v>7.569</v>
      </c>
      <c r="P218" s="591">
        <v>2.7349999999999999</v>
      </c>
      <c r="Q218" s="581"/>
      <c r="R218" s="581"/>
      <c r="S218" s="581"/>
      <c r="T218" s="581"/>
      <c r="U218" s="581"/>
    </row>
    <row r="219" spans="1:21">
      <c r="A219" s="581"/>
      <c r="B219" s="581"/>
      <c r="C219" s="581"/>
      <c r="D219" s="582" t="s">
        <v>715</v>
      </c>
      <c r="E219" s="645" t="s">
        <v>720</v>
      </c>
      <c r="F219" s="646">
        <v>41645</v>
      </c>
      <c r="G219" s="590">
        <f t="shared" si="6"/>
        <v>2014</v>
      </c>
      <c r="H219" s="590">
        <f t="shared" si="7"/>
        <v>1</v>
      </c>
      <c r="I219" s="647">
        <v>18</v>
      </c>
      <c r="J219" s="647">
        <v>7.867</v>
      </c>
      <c r="K219" s="647">
        <v>2.8210000000000002</v>
      </c>
      <c r="L219" s="648">
        <v>10.688000000000001</v>
      </c>
      <c r="M219" s="649">
        <v>7188</v>
      </c>
      <c r="N219" s="647">
        <v>0.14899999999999999</v>
      </c>
      <c r="O219" s="647">
        <v>7.968</v>
      </c>
      <c r="P219" s="647">
        <v>2.8210000000000002</v>
      </c>
      <c r="Q219" s="581"/>
      <c r="R219" s="581"/>
      <c r="S219" s="581"/>
      <c r="T219" s="581"/>
      <c r="U219" s="581"/>
    </row>
    <row r="220" spans="1:21">
      <c r="A220" s="581"/>
      <c r="B220" s="581"/>
      <c r="C220" s="581"/>
      <c r="D220" s="582" t="s">
        <v>715</v>
      </c>
      <c r="E220" s="645" t="s">
        <v>720</v>
      </c>
      <c r="F220" s="646">
        <v>41676</v>
      </c>
      <c r="G220" s="590">
        <f t="shared" si="6"/>
        <v>2014</v>
      </c>
      <c r="H220" s="590">
        <f t="shared" si="7"/>
        <v>2</v>
      </c>
      <c r="I220" s="647">
        <v>19</v>
      </c>
      <c r="J220" s="647">
        <v>6.9930000000000003</v>
      </c>
      <c r="K220" s="647">
        <v>2.6379999999999999</v>
      </c>
      <c r="L220" s="648">
        <v>9.6310000000000002</v>
      </c>
      <c r="M220" s="649">
        <v>6743</v>
      </c>
      <c r="N220" s="647">
        <v>0.14299999999999999</v>
      </c>
      <c r="O220" s="647">
        <v>7.0830000000000002</v>
      </c>
      <c r="P220" s="647">
        <v>2.6379999999999999</v>
      </c>
      <c r="Q220" s="581"/>
      <c r="R220" s="581"/>
      <c r="S220" s="581"/>
      <c r="T220" s="581"/>
      <c r="U220" s="581"/>
    </row>
    <row r="221" spans="1:21">
      <c r="A221" s="581"/>
      <c r="B221" s="581"/>
      <c r="C221" s="581"/>
      <c r="D221" s="582" t="s">
        <v>715</v>
      </c>
      <c r="E221" s="645" t="s">
        <v>720</v>
      </c>
      <c r="F221" s="646">
        <v>41701</v>
      </c>
      <c r="G221" s="590">
        <f t="shared" si="6"/>
        <v>2014</v>
      </c>
      <c r="H221" s="590">
        <f t="shared" si="7"/>
        <v>3</v>
      </c>
      <c r="I221" s="647">
        <v>19</v>
      </c>
      <c r="J221" s="647">
        <v>6.7590000000000003</v>
      </c>
      <c r="K221" s="647">
        <v>2.3359999999999999</v>
      </c>
      <c r="L221" s="648">
        <v>9.0950000000000006</v>
      </c>
      <c r="M221" s="649">
        <v>6537</v>
      </c>
      <c r="N221" s="647">
        <v>0.13900000000000001</v>
      </c>
      <c r="O221" s="647">
        <v>6.8220000000000001</v>
      </c>
      <c r="P221" s="647">
        <v>2.3359999999999999</v>
      </c>
      <c r="Q221" s="581"/>
      <c r="R221" s="581"/>
      <c r="S221" s="581"/>
      <c r="T221" s="581"/>
      <c r="U221" s="581"/>
    </row>
    <row r="222" spans="1:21">
      <c r="A222" s="581"/>
      <c r="B222" s="581"/>
      <c r="C222" s="581"/>
      <c r="D222" s="582" t="s">
        <v>715</v>
      </c>
      <c r="E222" s="645" t="s">
        <v>720</v>
      </c>
      <c r="F222" s="646">
        <v>41730</v>
      </c>
      <c r="G222" s="590">
        <f t="shared" si="6"/>
        <v>2014</v>
      </c>
      <c r="H222" s="590">
        <f t="shared" si="7"/>
        <v>4</v>
      </c>
      <c r="I222" s="647">
        <v>11</v>
      </c>
      <c r="J222" s="647">
        <v>3.2829999999999999</v>
      </c>
      <c r="K222" s="647">
        <v>5.4589999999999996</v>
      </c>
      <c r="L222" s="648">
        <v>8.7420000000000009</v>
      </c>
      <c r="M222" s="649">
        <v>5924</v>
      </c>
      <c r="N222" s="647">
        <v>0.14799999999999999</v>
      </c>
      <c r="O222" s="647">
        <v>3.387</v>
      </c>
      <c r="P222" s="647">
        <v>5.4589999999999996</v>
      </c>
      <c r="Q222" s="581"/>
      <c r="R222" s="581"/>
      <c r="S222" s="581"/>
      <c r="T222" s="581"/>
      <c r="U222" s="581"/>
    </row>
    <row r="223" spans="1:21">
      <c r="A223" s="581"/>
      <c r="B223" s="581"/>
      <c r="C223" s="581"/>
      <c r="D223" s="582" t="s">
        <v>715</v>
      </c>
      <c r="E223" s="645" t="s">
        <v>720</v>
      </c>
      <c r="F223" s="646">
        <v>41789</v>
      </c>
      <c r="G223" s="590">
        <f t="shared" si="6"/>
        <v>2014</v>
      </c>
      <c r="H223" s="590">
        <f t="shared" si="7"/>
        <v>5</v>
      </c>
      <c r="I223" s="647">
        <v>16</v>
      </c>
      <c r="J223" s="647">
        <v>7.2290000000000001</v>
      </c>
      <c r="K223" s="647">
        <v>3.1459999999999999</v>
      </c>
      <c r="L223" s="648">
        <v>10.375</v>
      </c>
      <c r="M223" s="649">
        <v>7422</v>
      </c>
      <c r="N223" s="647">
        <v>0.14000000000000001</v>
      </c>
      <c r="O223" s="647">
        <v>7.2930000000000001</v>
      </c>
      <c r="P223" s="647">
        <v>3.1459999999999999</v>
      </c>
      <c r="Q223" s="581"/>
      <c r="R223" s="581"/>
      <c r="S223" s="581"/>
      <c r="T223" s="581"/>
      <c r="U223" s="581"/>
    </row>
    <row r="224" spans="1:21">
      <c r="A224" s="581"/>
      <c r="B224" s="581"/>
      <c r="C224" s="581"/>
      <c r="D224" s="582" t="s">
        <v>715</v>
      </c>
      <c r="E224" s="645" t="s">
        <v>720</v>
      </c>
      <c r="F224" s="646">
        <v>41814</v>
      </c>
      <c r="G224" s="590">
        <f t="shared" si="6"/>
        <v>2014</v>
      </c>
      <c r="H224" s="590">
        <f t="shared" si="7"/>
        <v>6</v>
      </c>
      <c r="I224" s="647">
        <v>16</v>
      </c>
      <c r="J224" s="647">
        <v>9.048</v>
      </c>
      <c r="K224" s="647">
        <v>3.1070000000000002</v>
      </c>
      <c r="L224" s="648">
        <v>12.154999999999999</v>
      </c>
      <c r="M224" s="649">
        <v>7670</v>
      </c>
      <c r="N224" s="647">
        <v>0.158</v>
      </c>
      <c r="O224" s="647">
        <v>9.0969999999999995</v>
      </c>
      <c r="P224" s="647">
        <v>3.1070000000000002</v>
      </c>
      <c r="Q224" s="581"/>
      <c r="R224" s="581"/>
      <c r="S224" s="581"/>
      <c r="T224" s="581"/>
      <c r="U224" s="581"/>
    </row>
    <row r="225" spans="1:21">
      <c r="A225" s="581"/>
      <c r="B225" s="581"/>
      <c r="C225" s="581"/>
      <c r="D225" s="582" t="s">
        <v>715</v>
      </c>
      <c r="E225" s="645" t="s">
        <v>720</v>
      </c>
      <c r="F225" s="646">
        <v>41841</v>
      </c>
      <c r="G225" s="590">
        <f t="shared" si="6"/>
        <v>2014</v>
      </c>
      <c r="H225" s="590">
        <f t="shared" si="7"/>
        <v>7</v>
      </c>
      <c r="I225" s="647">
        <v>17</v>
      </c>
      <c r="J225" s="647">
        <v>14.111000000000001</v>
      </c>
      <c r="K225" s="647">
        <v>3.0870000000000002</v>
      </c>
      <c r="L225" s="648">
        <v>17.198</v>
      </c>
      <c r="M225" s="649">
        <v>9150</v>
      </c>
      <c r="N225" s="647">
        <v>0.188</v>
      </c>
      <c r="O225" s="647">
        <v>14.202999999999999</v>
      </c>
      <c r="P225" s="647">
        <v>3.0870000000000002</v>
      </c>
      <c r="Q225" s="581"/>
      <c r="R225" s="581"/>
      <c r="S225" s="581"/>
      <c r="T225" s="581"/>
      <c r="U225" s="581"/>
    </row>
    <row r="226" spans="1:21">
      <c r="A226" s="581"/>
      <c r="B226" s="581"/>
      <c r="C226" s="581"/>
      <c r="D226" s="582" t="s">
        <v>715</v>
      </c>
      <c r="E226" s="645" t="s">
        <v>720</v>
      </c>
      <c r="F226" s="646">
        <v>41869</v>
      </c>
      <c r="G226" s="590">
        <f t="shared" si="6"/>
        <v>2014</v>
      </c>
      <c r="H226" s="590">
        <f t="shared" si="7"/>
        <v>8</v>
      </c>
      <c r="I226" s="647">
        <v>16</v>
      </c>
      <c r="J226" s="647">
        <v>17.620999999999999</v>
      </c>
      <c r="K226" s="647">
        <v>2.3929999999999998</v>
      </c>
      <c r="L226" s="648">
        <v>20.013999999999999</v>
      </c>
      <c r="M226" s="649">
        <v>8190</v>
      </c>
      <c r="N226" s="647">
        <v>0.24399999999999999</v>
      </c>
      <c r="O226" s="647">
        <v>17.780999999999999</v>
      </c>
      <c r="P226" s="647">
        <v>2.3929999999999998</v>
      </c>
      <c r="Q226" s="581"/>
      <c r="R226" s="581"/>
      <c r="S226" s="581"/>
      <c r="T226" s="581"/>
      <c r="U226" s="581"/>
    </row>
    <row r="227" spans="1:21">
      <c r="A227" s="581"/>
      <c r="B227" s="581"/>
      <c r="C227" s="581"/>
      <c r="D227" s="582" t="s">
        <v>715</v>
      </c>
      <c r="E227" s="645" t="s">
        <v>720</v>
      </c>
      <c r="F227" s="646">
        <v>41886</v>
      </c>
      <c r="G227" s="590">
        <f t="shared" si="6"/>
        <v>2014</v>
      </c>
      <c r="H227" s="590">
        <f t="shared" si="7"/>
        <v>9</v>
      </c>
      <c r="I227" s="647">
        <v>15</v>
      </c>
      <c r="J227" s="647">
        <v>13.897</v>
      </c>
      <c r="K227" s="647">
        <v>2.76</v>
      </c>
      <c r="L227" s="648">
        <v>16.657</v>
      </c>
      <c r="M227" s="649">
        <v>7758</v>
      </c>
      <c r="N227" s="647">
        <v>0.215</v>
      </c>
      <c r="O227" s="647">
        <v>14.141999999999999</v>
      </c>
      <c r="P227" s="647">
        <v>2.76</v>
      </c>
      <c r="Q227" s="581"/>
      <c r="R227" s="581"/>
      <c r="S227" s="581"/>
      <c r="T227" s="581"/>
      <c r="U227" s="581"/>
    </row>
    <row r="228" spans="1:21">
      <c r="A228" s="581"/>
      <c r="B228" s="581"/>
      <c r="C228" s="581"/>
      <c r="D228" s="582" t="s">
        <v>715</v>
      </c>
      <c r="E228" s="645" t="s">
        <v>720</v>
      </c>
      <c r="F228" s="646">
        <v>41942</v>
      </c>
      <c r="G228" s="590">
        <f t="shared" si="6"/>
        <v>2014</v>
      </c>
      <c r="H228" s="590">
        <f t="shared" si="7"/>
        <v>10</v>
      </c>
      <c r="I228" s="647">
        <v>20</v>
      </c>
      <c r="J228" s="647">
        <v>5.3360000000000003</v>
      </c>
      <c r="K228" s="647">
        <v>3.0979999999999999</v>
      </c>
      <c r="L228" s="648">
        <v>8.4339999999999993</v>
      </c>
      <c r="M228" s="649">
        <v>5901</v>
      </c>
      <c r="N228" s="647">
        <v>0.14299999999999999</v>
      </c>
      <c r="O228" s="647">
        <v>5.407</v>
      </c>
      <c r="P228" s="647">
        <v>3.0979999999999999</v>
      </c>
      <c r="Q228" s="581"/>
      <c r="R228" s="581"/>
      <c r="S228" s="581"/>
      <c r="T228" s="581"/>
      <c r="U228" s="581"/>
    </row>
    <row r="229" spans="1:21">
      <c r="A229" s="581"/>
      <c r="B229" s="581"/>
      <c r="C229" s="581"/>
      <c r="D229" s="582" t="s">
        <v>715</v>
      </c>
      <c r="E229" s="645" t="s">
        <v>720</v>
      </c>
      <c r="F229" s="646">
        <v>41960</v>
      </c>
      <c r="G229" s="590">
        <f t="shared" si="6"/>
        <v>2014</v>
      </c>
      <c r="H229" s="590">
        <f t="shared" si="7"/>
        <v>11</v>
      </c>
      <c r="I229" s="647">
        <v>18</v>
      </c>
      <c r="J229" s="647">
        <v>6.4240000000000004</v>
      </c>
      <c r="K229" s="647">
        <v>3.101</v>
      </c>
      <c r="L229" s="648">
        <v>9.5250000000000004</v>
      </c>
      <c r="M229" s="649">
        <v>6677</v>
      </c>
      <c r="N229" s="647">
        <v>0.14299999999999999</v>
      </c>
      <c r="O229" s="647">
        <v>6.4870000000000001</v>
      </c>
      <c r="P229" s="647">
        <v>3.101</v>
      </c>
      <c r="Q229" s="581"/>
      <c r="R229" s="581"/>
      <c r="S229" s="581"/>
      <c r="T229" s="581"/>
      <c r="U229" s="581"/>
    </row>
    <row r="230" spans="1:21">
      <c r="A230" s="581"/>
      <c r="B230" s="581"/>
      <c r="C230" s="581"/>
      <c r="D230" s="582" t="s">
        <v>715</v>
      </c>
      <c r="E230" s="645" t="s">
        <v>720</v>
      </c>
      <c r="F230" s="646">
        <v>41974</v>
      </c>
      <c r="G230" s="590">
        <f t="shared" si="6"/>
        <v>2014</v>
      </c>
      <c r="H230" s="590">
        <f t="shared" si="7"/>
        <v>12</v>
      </c>
      <c r="I230" s="647">
        <v>18</v>
      </c>
      <c r="J230" s="647">
        <v>6.7640000000000002</v>
      </c>
      <c r="K230" s="647">
        <v>3.0939999999999999</v>
      </c>
      <c r="L230" s="648">
        <v>9.8580000000000005</v>
      </c>
      <c r="M230" s="649">
        <v>6850</v>
      </c>
      <c r="N230" s="647">
        <v>0.14399999999999999</v>
      </c>
      <c r="O230" s="647">
        <v>6.84</v>
      </c>
      <c r="P230" s="647">
        <v>3.0939999999999999</v>
      </c>
      <c r="Q230" s="581"/>
      <c r="R230" s="581"/>
      <c r="S230" s="581"/>
      <c r="T230" s="581"/>
      <c r="U230" s="581"/>
    </row>
    <row r="231" spans="1:21">
      <c r="A231" s="581"/>
      <c r="B231" s="581"/>
      <c r="C231" s="581"/>
      <c r="D231" s="582" t="s">
        <v>715</v>
      </c>
      <c r="E231" s="645" t="s">
        <v>720</v>
      </c>
      <c r="F231" s="646">
        <v>42011</v>
      </c>
      <c r="G231" s="590">
        <f t="shared" si="6"/>
        <v>2015</v>
      </c>
      <c r="H231" s="590">
        <f t="shared" si="7"/>
        <v>1</v>
      </c>
      <c r="I231" s="647">
        <v>18</v>
      </c>
      <c r="J231" s="647">
        <v>7.2480000000000002</v>
      </c>
      <c r="K231" s="647">
        <v>2.9020000000000001</v>
      </c>
      <c r="L231" s="648">
        <v>10.15</v>
      </c>
      <c r="M231" s="649">
        <v>6978</v>
      </c>
      <c r="N231" s="647">
        <v>0.14499999999999999</v>
      </c>
      <c r="O231" s="647">
        <v>7.35</v>
      </c>
      <c r="P231" s="647">
        <v>2.9020000000000001</v>
      </c>
      <c r="Q231" s="581"/>
      <c r="R231" s="581"/>
      <c r="S231" s="581"/>
      <c r="T231" s="581"/>
      <c r="U231" s="581"/>
    </row>
    <row r="232" spans="1:21">
      <c r="A232" s="581"/>
      <c r="B232" s="581"/>
      <c r="C232" s="581"/>
      <c r="D232" s="582" t="s">
        <v>715</v>
      </c>
      <c r="E232" s="645" t="s">
        <v>720</v>
      </c>
      <c r="F232" s="646">
        <v>42053</v>
      </c>
      <c r="G232" s="590">
        <f t="shared" si="6"/>
        <v>2015</v>
      </c>
      <c r="H232" s="590">
        <f t="shared" si="7"/>
        <v>2</v>
      </c>
      <c r="I232" s="647">
        <v>19</v>
      </c>
      <c r="J232" s="647">
        <v>6.8470000000000004</v>
      </c>
      <c r="K232" s="647">
        <v>2.9809999999999999</v>
      </c>
      <c r="L232" s="648">
        <v>9.8279999999999994</v>
      </c>
      <c r="M232" s="649">
        <v>6744</v>
      </c>
      <c r="N232" s="647">
        <v>0.14599999999999999</v>
      </c>
      <c r="O232" s="647">
        <v>6.9379999999999997</v>
      </c>
      <c r="P232" s="647">
        <v>2.9809999999999999</v>
      </c>
      <c r="Q232" s="581"/>
      <c r="R232" s="581"/>
      <c r="S232" s="581"/>
      <c r="T232" s="581"/>
      <c r="U232" s="581"/>
    </row>
    <row r="233" spans="1:21">
      <c r="A233" s="581"/>
      <c r="B233" s="581"/>
      <c r="C233" s="581"/>
      <c r="D233" s="582" t="s">
        <v>715</v>
      </c>
      <c r="E233" s="645" t="s">
        <v>720</v>
      </c>
      <c r="F233" s="646">
        <v>42067</v>
      </c>
      <c r="G233" s="590">
        <f t="shared" si="6"/>
        <v>2015</v>
      </c>
      <c r="H233" s="590">
        <f t="shared" si="7"/>
        <v>3</v>
      </c>
      <c r="I233" s="647">
        <v>20</v>
      </c>
      <c r="J233" s="647">
        <v>6.218</v>
      </c>
      <c r="K233" s="647">
        <v>3.0579999999999998</v>
      </c>
      <c r="L233" s="648">
        <v>9.2759999999999998</v>
      </c>
      <c r="M233" s="649">
        <v>6470</v>
      </c>
      <c r="N233" s="647">
        <v>0.14299999999999999</v>
      </c>
      <c r="O233" s="647">
        <v>6.3</v>
      </c>
      <c r="P233" s="647">
        <v>3.0579999999999998</v>
      </c>
      <c r="Q233" s="581"/>
      <c r="R233" s="581"/>
      <c r="S233" s="581"/>
      <c r="T233" s="581"/>
      <c r="U233" s="581"/>
    </row>
    <row r="234" spans="1:21">
      <c r="A234" s="581"/>
      <c r="B234" s="581"/>
      <c r="C234" s="581"/>
      <c r="D234" s="582" t="s">
        <v>715</v>
      </c>
      <c r="E234" s="645" t="s">
        <v>720</v>
      </c>
      <c r="F234" s="646">
        <v>42103</v>
      </c>
      <c r="G234" s="590">
        <f t="shared" si="6"/>
        <v>2015</v>
      </c>
      <c r="H234" s="590">
        <f t="shared" si="7"/>
        <v>4</v>
      </c>
      <c r="I234" s="647">
        <v>12</v>
      </c>
      <c r="J234" s="647">
        <v>5.7670000000000003</v>
      </c>
      <c r="K234" s="647">
        <v>2.5990000000000002</v>
      </c>
      <c r="L234" s="648">
        <v>8.3659999999999997</v>
      </c>
      <c r="M234" s="649">
        <v>5914</v>
      </c>
      <c r="N234" s="647">
        <v>0.14099999999999999</v>
      </c>
      <c r="O234" s="647">
        <v>5.8520000000000003</v>
      </c>
      <c r="P234" s="647">
        <v>2.5990000000000002</v>
      </c>
      <c r="Q234" s="581"/>
      <c r="R234" s="581"/>
      <c r="S234" s="581"/>
      <c r="T234" s="581"/>
      <c r="U234" s="581"/>
    </row>
    <row r="235" spans="1:21">
      <c r="A235" s="581"/>
      <c r="B235" s="581"/>
      <c r="C235" s="581"/>
      <c r="D235" s="582" t="s">
        <v>715</v>
      </c>
      <c r="E235" s="645" t="s">
        <v>720</v>
      </c>
      <c r="F235" s="646">
        <v>42152</v>
      </c>
      <c r="G235" s="590">
        <f t="shared" si="6"/>
        <v>2015</v>
      </c>
      <c r="H235" s="590">
        <f t="shared" si="7"/>
        <v>5</v>
      </c>
      <c r="I235" s="647">
        <v>16</v>
      </c>
      <c r="J235" s="647">
        <v>6.633</v>
      </c>
      <c r="K235" s="647">
        <v>3.0630000000000002</v>
      </c>
      <c r="L235" s="648">
        <v>9.6959999999999997</v>
      </c>
      <c r="M235" s="649">
        <v>6837</v>
      </c>
      <c r="N235" s="647">
        <v>0.14199999999999999</v>
      </c>
      <c r="O235" s="647">
        <v>6.7</v>
      </c>
      <c r="P235" s="647">
        <v>3.0630000000000002</v>
      </c>
      <c r="Q235" s="581"/>
      <c r="R235" s="581"/>
      <c r="S235" s="581"/>
      <c r="T235" s="581"/>
      <c r="U235" s="581"/>
    </row>
    <row r="236" spans="1:21">
      <c r="A236" s="581"/>
      <c r="B236" s="581"/>
      <c r="C236" s="581"/>
      <c r="D236" s="582" t="s">
        <v>715</v>
      </c>
      <c r="E236" s="645" t="s">
        <v>720</v>
      </c>
      <c r="F236" s="646">
        <v>42164</v>
      </c>
      <c r="G236" s="590">
        <f t="shared" si="6"/>
        <v>2015</v>
      </c>
      <c r="H236" s="590">
        <f t="shared" si="7"/>
        <v>6</v>
      </c>
      <c r="I236" s="647">
        <v>17</v>
      </c>
      <c r="J236" s="647">
        <v>9.8040000000000003</v>
      </c>
      <c r="K236" s="647">
        <v>2.641</v>
      </c>
      <c r="L236" s="648">
        <v>12.445</v>
      </c>
      <c r="M236" s="649">
        <v>8136</v>
      </c>
      <c r="N236" s="647">
        <v>0.153</v>
      </c>
      <c r="O236" s="647">
        <v>9.8710000000000004</v>
      </c>
      <c r="P236" s="647">
        <v>2.641</v>
      </c>
      <c r="Q236" s="581"/>
      <c r="R236" s="581"/>
      <c r="S236" s="581"/>
      <c r="T236" s="581"/>
      <c r="U236" s="581"/>
    </row>
    <row r="237" spans="1:21">
      <c r="A237" s="581"/>
      <c r="B237" s="581"/>
      <c r="C237" s="581"/>
      <c r="D237" s="582" t="s">
        <v>715</v>
      </c>
      <c r="E237" s="645" t="s">
        <v>720</v>
      </c>
      <c r="F237" s="646">
        <v>42212</v>
      </c>
      <c r="G237" s="590">
        <f t="shared" si="6"/>
        <v>2015</v>
      </c>
      <c r="H237" s="590">
        <f t="shared" si="7"/>
        <v>7</v>
      </c>
      <c r="I237" s="647">
        <v>17</v>
      </c>
      <c r="J237" s="647">
        <v>11.95</v>
      </c>
      <c r="K237" s="647">
        <v>3.0609999999999999</v>
      </c>
      <c r="L237" s="648">
        <v>15.010999999999999</v>
      </c>
      <c r="M237" s="649">
        <v>8769</v>
      </c>
      <c r="N237" s="647">
        <v>0.17100000000000001</v>
      </c>
      <c r="O237" s="647">
        <v>12.054</v>
      </c>
      <c r="P237" s="647">
        <v>3.0609999999999999</v>
      </c>
      <c r="Q237" s="581"/>
      <c r="R237" s="581"/>
      <c r="S237" s="581"/>
      <c r="T237" s="581"/>
      <c r="U237" s="581"/>
    </row>
    <row r="238" spans="1:21">
      <c r="A238" s="581"/>
      <c r="B238" s="581"/>
      <c r="C238" s="581"/>
      <c r="D238" s="582" t="s">
        <v>715</v>
      </c>
      <c r="E238" s="645" t="s">
        <v>720</v>
      </c>
      <c r="F238" s="646">
        <v>42230</v>
      </c>
      <c r="G238" s="590">
        <f t="shared" si="6"/>
        <v>2015</v>
      </c>
      <c r="H238" s="590">
        <f t="shared" si="7"/>
        <v>8</v>
      </c>
      <c r="I238" s="647">
        <v>16</v>
      </c>
      <c r="J238" s="647">
        <v>18.081</v>
      </c>
      <c r="K238" s="647">
        <v>3.06</v>
      </c>
      <c r="L238" s="648">
        <v>21.140999999999998</v>
      </c>
      <c r="M238" s="649">
        <v>8926</v>
      </c>
      <c r="N238" s="647">
        <v>0.23699999999999999</v>
      </c>
      <c r="O238" s="647">
        <v>18.231999999999999</v>
      </c>
      <c r="P238" s="647">
        <v>3.06</v>
      </c>
      <c r="Q238" s="581"/>
      <c r="R238" s="581"/>
      <c r="S238" s="581"/>
      <c r="T238" s="581"/>
      <c r="U238" s="581"/>
    </row>
    <row r="239" spans="1:21">
      <c r="A239" s="581"/>
      <c r="B239" s="581"/>
      <c r="C239" s="581"/>
      <c r="D239" s="582" t="s">
        <v>715</v>
      </c>
      <c r="E239" s="645" t="s">
        <v>720</v>
      </c>
      <c r="F239" s="646">
        <v>42250</v>
      </c>
      <c r="G239" s="590">
        <f t="shared" si="6"/>
        <v>2015</v>
      </c>
      <c r="H239" s="590">
        <f t="shared" si="7"/>
        <v>9</v>
      </c>
      <c r="I239" s="647">
        <v>17</v>
      </c>
      <c r="J239" s="647">
        <v>18.384</v>
      </c>
      <c r="K239" s="647">
        <v>2.7770000000000001</v>
      </c>
      <c r="L239" s="648">
        <v>21.161000000000001</v>
      </c>
      <c r="M239" s="649">
        <v>8657</v>
      </c>
      <c r="N239" s="647">
        <v>0.24399999999999999</v>
      </c>
      <c r="O239" s="647">
        <v>18.547999999999998</v>
      </c>
      <c r="P239" s="647">
        <v>2.7770000000000001</v>
      </c>
      <c r="Q239" s="581"/>
      <c r="R239" s="581"/>
      <c r="S239" s="581"/>
      <c r="T239" s="581"/>
      <c r="U239" s="581"/>
    </row>
    <row r="240" spans="1:21">
      <c r="A240" s="581"/>
      <c r="B240" s="581"/>
      <c r="C240" s="581"/>
      <c r="D240" s="582" t="s">
        <v>715</v>
      </c>
      <c r="E240" s="645" t="s">
        <v>720</v>
      </c>
      <c r="F240" s="646">
        <v>42285</v>
      </c>
      <c r="G240" s="590">
        <f t="shared" si="6"/>
        <v>2015</v>
      </c>
      <c r="H240" s="590">
        <f t="shared" si="7"/>
        <v>10</v>
      </c>
      <c r="I240" s="647">
        <v>12</v>
      </c>
      <c r="J240" s="647">
        <v>8.3539999999999992</v>
      </c>
      <c r="K240" s="647">
        <v>3.0619999999999998</v>
      </c>
      <c r="L240" s="648">
        <v>11.416</v>
      </c>
      <c r="M240" s="649">
        <v>5943</v>
      </c>
      <c r="N240" s="647">
        <v>0.192</v>
      </c>
      <c r="O240" s="647">
        <v>8.4450000000000003</v>
      </c>
      <c r="P240" s="647">
        <v>3.0619999999999998</v>
      </c>
      <c r="Q240" s="581"/>
      <c r="R240" s="581"/>
      <c r="S240" s="581"/>
      <c r="T240" s="581"/>
      <c r="U240" s="581"/>
    </row>
    <row r="241" spans="1:21">
      <c r="A241" s="581"/>
      <c r="B241" s="581"/>
      <c r="C241" s="581"/>
      <c r="D241" s="582" t="s">
        <v>715</v>
      </c>
      <c r="E241" s="645" t="s">
        <v>720</v>
      </c>
      <c r="F241" s="646">
        <v>42338</v>
      </c>
      <c r="G241" s="590">
        <f t="shared" si="6"/>
        <v>2015</v>
      </c>
      <c r="H241" s="590">
        <f t="shared" si="7"/>
        <v>11</v>
      </c>
      <c r="I241" s="647">
        <v>18</v>
      </c>
      <c r="J241" s="647">
        <v>6.1550000000000002</v>
      </c>
      <c r="K241" s="647">
        <v>3.0950000000000002</v>
      </c>
      <c r="L241" s="648">
        <v>9.25</v>
      </c>
      <c r="M241" s="649">
        <v>6574</v>
      </c>
      <c r="N241" s="647">
        <v>0.14099999999999999</v>
      </c>
      <c r="O241" s="647">
        <v>6.23</v>
      </c>
      <c r="P241" s="647">
        <v>3.0950000000000002</v>
      </c>
      <c r="Q241" s="581"/>
      <c r="R241" s="581"/>
      <c r="S241" s="581"/>
      <c r="T241" s="581"/>
      <c r="U241" s="581"/>
    </row>
    <row r="242" spans="1:21">
      <c r="A242" s="581"/>
      <c r="B242" s="581"/>
      <c r="C242" s="581"/>
      <c r="D242" s="582" t="s">
        <v>715</v>
      </c>
      <c r="E242" s="645" t="s">
        <v>720</v>
      </c>
      <c r="F242" s="646">
        <v>42355</v>
      </c>
      <c r="G242" s="590">
        <f t="shared" si="6"/>
        <v>2015</v>
      </c>
      <c r="H242" s="590">
        <f t="shared" si="7"/>
        <v>12</v>
      </c>
      <c r="I242" s="647">
        <v>18</v>
      </c>
      <c r="J242" s="647">
        <v>6.3479999999999999</v>
      </c>
      <c r="K242" s="647">
        <v>3.0419999999999998</v>
      </c>
      <c r="L242" s="648">
        <v>9.39</v>
      </c>
      <c r="M242" s="649">
        <v>6450</v>
      </c>
      <c r="N242" s="647">
        <v>0.14599999999999999</v>
      </c>
      <c r="O242" s="647">
        <v>6.4210000000000003</v>
      </c>
      <c r="P242" s="647">
        <v>3.0419999999999998</v>
      </c>
      <c r="Q242" s="581"/>
      <c r="R242" s="581"/>
      <c r="S242" s="581"/>
      <c r="T242" s="581"/>
      <c r="U242" s="581"/>
    </row>
    <row r="243" spans="1:21">
      <c r="A243" s="581"/>
      <c r="B243" s="581"/>
      <c r="C243" s="581"/>
      <c r="D243" s="582" t="s">
        <v>715</v>
      </c>
      <c r="E243" s="588" t="s">
        <v>721</v>
      </c>
      <c r="F243" s="589">
        <v>40927</v>
      </c>
      <c r="G243" s="590">
        <f t="shared" si="6"/>
        <v>2012</v>
      </c>
      <c r="H243" s="590">
        <f t="shared" si="7"/>
        <v>1</v>
      </c>
      <c r="I243" s="591">
        <v>19</v>
      </c>
      <c r="J243" s="591">
        <v>1.9430000000000001</v>
      </c>
      <c r="K243" s="591">
        <v>0</v>
      </c>
      <c r="L243" s="592">
        <v>1.9430000000000001</v>
      </c>
      <c r="M243" s="591">
        <v>6604</v>
      </c>
      <c r="N243" s="593">
        <v>2.9999999999999997E-4</v>
      </c>
      <c r="O243" s="591">
        <v>1.97</v>
      </c>
      <c r="P243" s="591">
        <v>0</v>
      </c>
      <c r="Q243" s="581"/>
      <c r="R243" s="581"/>
      <c r="S243" s="581"/>
      <c r="T243" s="581"/>
      <c r="U243" s="581"/>
    </row>
    <row r="244" spans="1:21">
      <c r="A244" s="581"/>
      <c r="B244" s="581"/>
      <c r="C244" s="581"/>
      <c r="D244" s="582" t="s">
        <v>715</v>
      </c>
      <c r="E244" s="588" t="s">
        <v>721</v>
      </c>
      <c r="F244" s="589">
        <v>40967</v>
      </c>
      <c r="G244" s="590">
        <f t="shared" si="6"/>
        <v>2012</v>
      </c>
      <c r="H244" s="590">
        <f t="shared" si="7"/>
        <v>2</v>
      </c>
      <c r="I244" s="591">
        <v>19</v>
      </c>
      <c r="J244" s="591">
        <v>1.768</v>
      </c>
      <c r="K244" s="591">
        <v>0</v>
      </c>
      <c r="L244" s="592">
        <v>1.768</v>
      </c>
      <c r="M244" s="591">
        <v>6178</v>
      </c>
      <c r="N244" s="593">
        <v>2.9999999999999997E-4</v>
      </c>
      <c r="O244" s="591">
        <v>1.796</v>
      </c>
      <c r="P244" s="591">
        <v>0</v>
      </c>
      <c r="Q244" s="581"/>
      <c r="R244" s="581"/>
      <c r="S244" s="581"/>
      <c r="T244" s="581"/>
      <c r="U244" s="581"/>
    </row>
    <row r="245" spans="1:21">
      <c r="A245" s="581"/>
      <c r="B245" s="581"/>
      <c r="C245" s="581"/>
      <c r="D245" s="582" t="s">
        <v>715</v>
      </c>
      <c r="E245" s="588" t="s">
        <v>721</v>
      </c>
      <c r="F245" s="589">
        <v>40987</v>
      </c>
      <c r="G245" s="590">
        <f t="shared" si="6"/>
        <v>2012</v>
      </c>
      <c r="H245" s="590">
        <f t="shared" si="7"/>
        <v>3</v>
      </c>
      <c r="I245" s="591">
        <v>14</v>
      </c>
      <c r="J245" s="591">
        <v>1.3320000000000001</v>
      </c>
      <c r="K245" s="591">
        <v>0</v>
      </c>
      <c r="L245" s="592">
        <v>1.3320000000000001</v>
      </c>
      <c r="M245" s="591">
        <v>6170</v>
      </c>
      <c r="N245" s="593">
        <v>2.0000000000000001E-4</v>
      </c>
      <c r="O245" s="591">
        <v>1.351</v>
      </c>
      <c r="P245" s="591">
        <v>0</v>
      </c>
      <c r="Q245" s="581"/>
      <c r="R245" s="581"/>
      <c r="S245" s="581"/>
      <c r="T245" s="581"/>
      <c r="U245" s="581"/>
    </row>
    <row r="246" spans="1:21">
      <c r="A246" s="581"/>
      <c r="B246" s="581"/>
      <c r="C246" s="581"/>
      <c r="D246" s="582" t="s">
        <v>715</v>
      </c>
      <c r="E246" s="588" t="s">
        <v>721</v>
      </c>
      <c r="F246" s="589">
        <v>41024</v>
      </c>
      <c r="G246" s="590">
        <f t="shared" si="6"/>
        <v>2012</v>
      </c>
      <c r="H246" s="590">
        <f t="shared" si="7"/>
        <v>4</v>
      </c>
      <c r="I246" s="591">
        <v>15</v>
      </c>
      <c r="J246" s="591">
        <v>1.2969999999999999</v>
      </c>
      <c r="K246" s="591">
        <v>0</v>
      </c>
      <c r="L246" s="592">
        <v>1.2969999999999999</v>
      </c>
      <c r="M246" s="591">
        <v>5813</v>
      </c>
      <c r="N246" s="593">
        <v>2.0000000000000001E-4</v>
      </c>
      <c r="O246" s="591">
        <v>1.3160000000000001</v>
      </c>
      <c r="P246" s="591">
        <v>0</v>
      </c>
      <c r="Q246" s="581"/>
      <c r="R246" s="581"/>
      <c r="S246" s="581"/>
      <c r="T246" s="581"/>
      <c r="U246" s="581"/>
    </row>
    <row r="247" spans="1:21">
      <c r="A247" s="581"/>
      <c r="B247" s="581"/>
      <c r="C247" s="581"/>
      <c r="D247" s="582" t="s">
        <v>715</v>
      </c>
      <c r="E247" s="588" t="s">
        <v>721</v>
      </c>
      <c r="F247" s="589">
        <v>41047</v>
      </c>
      <c r="G247" s="590">
        <f t="shared" si="6"/>
        <v>2012</v>
      </c>
      <c r="H247" s="590">
        <f t="shared" si="7"/>
        <v>5</v>
      </c>
      <c r="I247" s="591">
        <v>17</v>
      </c>
      <c r="J247" s="591">
        <v>2.0640000000000001</v>
      </c>
      <c r="K247" s="591">
        <v>0</v>
      </c>
      <c r="L247" s="592">
        <v>2.0640000000000001</v>
      </c>
      <c r="M247" s="591">
        <v>7203</v>
      </c>
      <c r="N247" s="593">
        <v>2.9999999999999997E-4</v>
      </c>
      <c r="O247" s="591">
        <v>2.0939999999999999</v>
      </c>
      <c r="P247" s="591">
        <v>0</v>
      </c>
      <c r="Q247" s="581"/>
      <c r="R247" s="581"/>
      <c r="S247" s="581"/>
      <c r="T247" s="581"/>
      <c r="U247" s="581"/>
    </row>
    <row r="248" spans="1:21">
      <c r="A248" s="581"/>
      <c r="B248" s="581"/>
      <c r="C248" s="581"/>
      <c r="D248" s="582" t="s">
        <v>715</v>
      </c>
      <c r="E248" s="588" t="s">
        <v>721</v>
      </c>
      <c r="F248" s="589">
        <v>41087</v>
      </c>
      <c r="G248" s="590">
        <f t="shared" si="6"/>
        <v>2012</v>
      </c>
      <c r="H248" s="590">
        <f t="shared" si="7"/>
        <v>6</v>
      </c>
      <c r="I248" s="591">
        <v>17</v>
      </c>
      <c r="J248" s="591">
        <v>3.0289999999999999</v>
      </c>
      <c r="K248" s="591">
        <v>0</v>
      </c>
      <c r="L248" s="592">
        <v>3.0289999999999999</v>
      </c>
      <c r="M248" s="591">
        <v>8833</v>
      </c>
      <c r="N248" s="593">
        <v>2.9999999999999997E-4</v>
      </c>
      <c r="O248" s="591">
        <v>3.0750000000000002</v>
      </c>
      <c r="P248" s="591">
        <v>0</v>
      </c>
      <c r="Q248" s="581"/>
      <c r="R248" s="581"/>
      <c r="S248" s="581"/>
      <c r="T248" s="581"/>
      <c r="U248" s="581"/>
    </row>
    <row r="249" spans="1:21">
      <c r="A249" s="581"/>
      <c r="B249" s="581"/>
      <c r="C249" s="581"/>
      <c r="D249" s="582" t="s">
        <v>715</v>
      </c>
      <c r="E249" s="588" t="s">
        <v>721</v>
      </c>
      <c r="F249" s="589">
        <v>41092</v>
      </c>
      <c r="G249" s="590">
        <f t="shared" si="6"/>
        <v>2012</v>
      </c>
      <c r="H249" s="590">
        <f t="shared" si="7"/>
        <v>7</v>
      </c>
      <c r="I249" s="591">
        <v>17</v>
      </c>
      <c r="J249" s="591">
        <v>3.327</v>
      </c>
      <c r="K249" s="591">
        <v>0</v>
      </c>
      <c r="L249" s="592">
        <v>3.327</v>
      </c>
      <c r="M249" s="591">
        <v>9682</v>
      </c>
      <c r="N249" s="593">
        <v>2.9999999999999997E-4</v>
      </c>
      <c r="O249" s="591">
        <v>3.379</v>
      </c>
      <c r="P249" s="591">
        <v>0</v>
      </c>
      <c r="Q249" s="581"/>
      <c r="R249" s="581"/>
      <c r="S249" s="581"/>
      <c r="T249" s="581"/>
      <c r="U249" s="581"/>
    </row>
    <row r="250" spans="1:21">
      <c r="A250" s="581"/>
      <c r="B250" s="581"/>
      <c r="C250" s="581"/>
      <c r="D250" s="582" t="s">
        <v>715</v>
      </c>
      <c r="E250" s="588" t="s">
        <v>721</v>
      </c>
      <c r="F250" s="589">
        <v>41122</v>
      </c>
      <c r="G250" s="590">
        <f t="shared" si="6"/>
        <v>2012</v>
      </c>
      <c r="H250" s="590">
        <f t="shared" si="7"/>
        <v>8</v>
      </c>
      <c r="I250" s="591">
        <v>17</v>
      </c>
      <c r="J250" s="591">
        <v>3.0059999999999998</v>
      </c>
      <c r="K250" s="591">
        <v>0</v>
      </c>
      <c r="L250" s="592">
        <v>3.0059999999999998</v>
      </c>
      <c r="M250" s="591">
        <v>8979</v>
      </c>
      <c r="N250" s="593">
        <v>2.9999999999999997E-4</v>
      </c>
      <c r="O250" s="591">
        <v>3.052</v>
      </c>
      <c r="P250" s="591">
        <v>0</v>
      </c>
      <c r="Q250" s="581"/>
      <c r="R250" s="581"/>
      <c r="S250" s="581"/>
      <c r="T250" s="581"/>
      <c r="U250" s="581"/>
    </row>
    <row r="251" spans="1:21">
      <c r="A251" s="581"/>
      <c r="B251" s="581"/>
      <c r="C251" s="581"/>
      <c r="D251" s="582" t="s">
        <v>715</v>
      </c>
      <c r="E251" s="588" t="s">
        <v>721</v>
      </c>
      <c r="F251" s="589">
        <v>41156</v>
      </c>
      <c r="G251" s="590">
        <f t="shared" si="6"/>
        <v>2012</v>
      </c>
      <c r="H251" s="590">
        <f t="shared" si="7"/>
        <v>9</v>
      </c>
      <c r="I251" s="591">
        <v>16</v>
      </c>
      <c r="J251" s="591">
        <v>2.8119999999999998</v>
      </c>
      <c r="K251" s="591">
        <v>0</v>
      </c>
      <c r="L251" s="592">
        <v>2.8119999999999998</v>
      </c>
      <c r="M251" s="591">
        <v>8521</v>
      </c>
      <c r="N251" s="593">
        <v>2.9999999999999997E-4</v>
      </c>
      <c r="O251" s="591">
        <v>2.855</v>
      </c>
      <c r="P251" s="591">
        <v>0</v>
      </c>
      <c r="Q251" s="581"/>
      <c r="R251" s="581"/>
      <c r="S251" s="581"/>
      <c r="T251" s="581"/>
      <c r="U251" s="581"/>
    </row>
    <row r="252" spans="1:21">
      <c r="A252" s="581"/>
      <c r="B252" s="581"/>
      <c r="C252" s="581"/>
      <c r="D252" s="582" t="s">
        <v>715</v>
      </c>
      <c r="E252" s="588" t="s">
        <v>721</v>
      </c>
      <c r="F252" s="589">
        <v>41185</v>
      </c>
      <c r="G252" s="590">
        <f t="shared" si="6"/>
        <v>2012</v>
      </c>
      <c r="H252" s="590">
        <f t="shared" si="7"/>
        <v>10</v>
      </c>
      <c r="I252" s="591">
        <v>14</v>
      </c>
      <c r="J252" s="591">
        <v>1.347</v>
      </c>
      <c r="K252" s="591">
        <v>0</v>
      </c>
      <c r="L252" s="592">
        <v>1.347</v>
      </c>
      <c r="M252" s="591">
        <v>6122</v>
      </c>
      <c r="N252" s="593">
        <v>2.0000000000000001E-4</v>
      </c>
      <c r="O252" s="591">
        <v>1.365</v>
      </c>
      <c r="P252" s="591">
        <v>0</v>
      </c>
      <c r="Q252" s="581"/>
      <c r="R252" s="581"/>
      <c r="S252" s="581"/>
      <c r="T252" s="581"/>
      <c r="U252" s="581"/>
    </row>
    <row r="253" spans="1:21">
      <c r="A253" s="581"/>
      <c r="B253" s="581"/>
      <c r="C253" s="581"/>
      <c r="D253" s="582" t="s">
        <v>715</v>
      </c>
      <c r="E253" s="588" t="s">
        <v>721</v>
      </c>
      <c r="F253" s="589">
        <v>41239</v>
      </c>
      <c r="G253" s="590">
        <f t="shared" si="6"/>
        <v>2012</v>
      </c>
      <c r="H253" s="590">
        <f t="shared" si="7"/>
        <v>11</v>
      </c>
      <c r="I253" s="591">
        <v>18</v>
      </c>
      <c r="J253" s="591">
        <v>1.9810000000000001</v>
      </c>
      <c r="K253" s="591">
        <v>0</v>
      </c>
      <c r="L253" s="592">
        <v>1.9810000000000001</v>
      </c>
      <c r="M253" s="591">
        <v>6416</v>
      </c>
      <c r="N253" s="593">
        <v>2.9999999999999997E-4</v>
      </c>
      <c r="O253" s="591">
        <v>2.0070000000000001</v>
      </c>
      <c r="P253" s="591">
        <v>0</v>
      </c>
      <c r="Q253" s="581"/>
      <c r="R253" s="581"/>
      <c r="S253" s="581"/>
      <c r="T253" s="581"/>
      <c r="U253" s="581"/>
    </row>
    <row r="254" spans="1:21">
      <c r="A254" s="581"/>
      <c r="B254" s="581"/>
      <c r="C254" s="581"/>
      <c r="D254" s="582" t="s">
        <v>715</v>
      </c>
      <c r="E254" s="588" t="s">
        <v>721</v>
      </c>
      <c r="F254" s="589">
        <v>41253</v>
      </c>
      <c r="G254" s="590">
        <f t="shared" si="6"/>
        <v>2012</v>
      </c>
      <c r="H254" s="590">
        <f t="shared" si="7"/>
        <v>12</v>
      </c>
      <c r="I254" s="591">
        <v>18</v>
      </c>
      <c r="J254" s="591">
        <v>2.0920000000000001</v>
      </c>
      <c r="K254" s="591">
        <v>0</v>
      </c>
      <c r="L254" s="592">
        <v>2.0920000000000001</v>
      </c>
      <c r="M254" s="591">
        <v>6609</v>
      </c>
      <c r="N254" s="593">
        <v>2.9999999999999997E-4</v>
      </c>
      <c r="O254" s="591">
        <v>2.1219999999999999</v>
      </c>
      <c r="P254" s="591">
        <v>0</v>
      </c>
      <c r="Q254" s="581"/>
      <c r="R254" s="581"/>
      <c r="S254" s="581"/>
      <c r="T254" s="581"/>
      <c r="U254" s="581"/>
    </row>
    <row r="255" spans="1:21">
      <c r="A255" s="581"/>
      <c r="B255" s="581"/>
      <c r="C255" s="581"/>
      <c r="D255" s="582" t="s">
        <v>715</v>
      </c>
      <c r="E255" s="588" t="s">
        <v>721</v>
      </c>
      <c r="F255" s="589">
        <v>41295</v>
      </c>
      <c r="G255" s="590">
        <f t="shared" si="6"/>
        <v>2013</v>
      </c>
      <c r="H255" s="590">
        <f t="shared" si="7"/>
        <v>1</v>
      </c>
      <c r="I255" s="591">
        <v>19</v>
      </c>
      <c r="J255" s="591">
        <v>2.008</v>
      </c>
      <c r="K255" s="591">
        <v>0</v>
      </c>
      <c r="L255" s="592">
        <v>2.008</v>
      </c>
      <c r="M255" s="591">
        <v>6846</v>
      </c>
      <c r="N255" s="593">
        <v>2.9999999999999997E-4</v>
      </c>
      <c r="O255" s="591">
        <v>2.0390000000000001</v>
      </c>
      <c r="P255" s="591">
        <v>0</v>
      </c>
      <c r="Q255" s="581"/>
      <c r="R255" s="581"/>
      <c r="S255" s="581"/>
      <c r="T255" s="581"/>
      <c r="U255" s="581"/>
    </row>
    <row r="256" spans="1:21">
      <c r="A256" s="581"/>
      <c r="B256" s="581"/>
      <c r="C256" s="581"/>
      <c r="D256" s="582" t="s">
        <v>715</v>
      </c>
      <c r="E256" s="588" t="s">
        <v>721</v>
      </c>
      <c r="F256" s="589">
        <v>41324</v>
      </c>
      <c r="G256" s="590">
        <f t="shared" si="6"/>
        <v>2013</v>
      </c>
      <c r="H256" s="590">
        <f t="shared" si="7"/>
        <v>2</v>
      </c>
      <c r="I256" s="591">
        <v>19</v>
      </c>
      <c r="J256" s="591">
        <v>1.9319999999999999</v>
      </c>
      <c r="K256" s="591">
        <v>0</v>
      </c>
      <c r="L256" s="592">
        <v>1.9319999999999999</v>
      </c>
      <c r="M256" s="591">
        <v>6511</v>
      </c>
      <c r="N256" s="593">
        <v>2.9999999999999997E-4</v>
      </c>
      <c r="O256" s="591">
        <v>1.9590000000000001</v>
      </c>
      <c r="P256" s="591">
        <v>0</v>
      </c>
      <c r="Q256" s="581"/>
      <c r="R256" s="581"/>
      <c r="S256" s="581"/>
      <c r="T256" s="581"/>
      <c r="U256" s="581"/>
    </row>
    <row r="257" spans="1:21">
      <c r="A257" s="581"/>
      <c r="B257" s="581"/>
      <c r="C257" s="581"/>
      <c r="D257" s="582" t="s">
        <v>715</v>
      </c>
      <c r="E257" s="588" t="s">
        <v>721</v>
      </c>
      <c r="F257" s="589">
        <v>41337</v>
      </c>
      <c r="G257" s="590">
        <f t="shared" si="6"/>
        <v>2013</v>
      </c>
      <c r="H257" s="590">
        <f t="shared" si="7"/>
        <v>3</v>
      </c>
      <c r="I257" s="591">
        <v>19</v>
      </c>
      <c r="J257" s="591">
        <v>1.7110000000000001</v>
      </c>
      <c r="K257" s="591">
        <v>0</v>
      </c>
      <c r="L257" s="592">
        <v>1.7110000000000001</v>
      </c>
      <c r="M257" s="591">
        <v>6172</v>
      </c>
      <c r="N257" s="593">
        <v>2.9999999999999997E-4</v>
      </c>
      <c r="O257" s="591">
        <v>1.74</v>
      </c>
      <c r="P257" s="591">
        <v>0</v>
      </c>
      <c r="Q257" s="581"/>
      <c r="R257" s="581"/>
      <c r="S257" s="581"/>
      <c r="T257" s="581"/>
      <c r="U257" s="581"/>
    </row>
    <row r="258" spans="1:21">
      <c r="A258" s="581"/>
      <c r="B258" s="581"/>
      <c r="C258" s="581"/>
      <c r="D258" s="582" t="s">
        <v>715</v>
      </c>
      <c r="E258" s="588" t="s">
        <v>721</v>
      </c>
      <c r="F258" s="589">
        <v>41382</v>
      </c>
      <c r="G258" s="590">
        <f t="shared" si="6"/>
        <v>2013</v>
      </c>
      <c r="H258" s="590">
        <f t="shared" si="7"/>
        <v>4</v>
      </c>
      <c r="I258" s="591">
        <v>12</v>
      </c>
      <c r="J258" s="591">
        <v>1.42</v>
      </c>
      <c r="K258" s="591">
        <v>0</v>
      </c>
      <c r="L258" s="592">
        <v>1.42</v>
      </c>
      <c r="M258" s="591">
        <v>5851</v>
      </c>
      <c r="N258" s="593">
        <v>2.0000000000000001E-4</v>
      </c>
      <c r="O258" s="591">
        <v>1.4410000000000001</v>
      </c>
      <c r="P258" s="591">
        <v>0</v>
      </c>
      <c r="Q258" s="581"/>
      <c r="R258" s="581"/>
      <c r="S258" s="581"/>
      <c r="T258" s="581"/>
      <c r="U258" s="581"/>
    </row>
    <row r="259" spans="1:21">
      <c r="A259" s="581"/>
      <c r="B259" s="581"/>
      <c r="C259" s="581"/>
      <c r="D259" s="582" t="s">
        <v>715</v>
      </c>
      <c r="E259" s="588" t="s">
        <v>721</v>
      </c>
      <c r="F259" s="589">
        <v>41408</v>
      </c>
      <c r="G259" s="590">
        <f t="shared" ref="G259:G322" si="8">YEAR(F259)</f>
        <v>2013</v>
      </c>
      <c r="H259" s="590">
        <f t="shared" ref="H259:H322" si="9">MONTH(F259)</f>
        <v>5</v>
      </c>
      <c r="I259" s="591">
        <v>17</v>
      </c>
      <c r="J259" s="591">
        <v>1.7210000000000001</v>
      </c>
      <c r="K259" s="591">
        <v>0</v>
      </c>
      <c r="L259" s="592">
        <v>1.7210000000000001</v>
      </c>
      <c r="M259" s="591">
        <v>6516</v>
      </c>
      <c r="N259" s="593">
        <v>2.9999999999999997E-4</v>
      </c>
      <c r="O259" s="591">
        <v>1.742</v>
      </c>
      <c r="P259" s="591">
        <v>0</v>
      </c>
      <c r="Q259" s="581"/>
      <c r="R259" s="581"/>
      <c r="S259" s="581"/>
      <c r="T259" s="581"/>
      <c r="U259" s="581"/>
    </row>
    <row r="260" spans="1:21">
      <c r="A260" s="581"/>
      <c r="B260" s="581"/>
      <c r="C260" s="581"/>
      <c r="D260" s="582" t="s">
        <v>715</v>
      </c>
      <c r="E260" s="588" t="s">
        <v>721</v>
      </c>
      <c r="F260" s="589">
        <v>41451</v>
      </c>
      <c r="G260" s="590">
        <f t="shared" si="8"/>
        <v>2013</v>
      </c>
      <c r="H260" s="590">
        <f t="shared" si="9"/>
        <v>6</v>
      </c>
      <c r="I260" s="591">
        <v>16</v>
      </c>
      <c r="J260" s="591">
        <v>2.5739999999999998</v>
      </c>
      <c r="K260" s="591">
        <v>0</v>
      </c>
      <c r="L260" s="592">
        <v>2.5739999999999998</v>
      </c>
      <c r="M260" s="591">
        <v>8280</v>
      </c>
      <c r="N260" s="593">
        <v>2.9999999999999997E-4</v>
      </c>
      <c r="O260" s="591">
        <v>2.6110000000000002</v>
      </c>
      <c r="P260" s="591">
        <v>0</v>
      </c>
      <c r="Q260" s="581"/>
      <c r="R260" s="581"/>
      <c r="S260" s="581"/>
      <c r="T260" s="581"/>
      <c r="U260" s="581"/>
    </row>
    <row r="261" spans="1:21">
      <c r="A261" s="581"/>
      <c r="B261" s="581"/>
      <c r="C261" s="581"/>
      <c r="D261" s="582" t="s">
        <v>715</v>
      </c>
      <c r="E261" s="588" t="s">
        <v>721</v>
      </c>
      <c r="F261" s="589">
        <v>41473</v>
      </c>
      <c r="G261" s="590">
        <f t="shared" si="8"/>
        <v>2013</v>
      </c>
      <c r="H261" s="590">
        <f t="shared" si="9"/>
        <v>7</v>
      </c>
      <c r="I261" s="591">
        <v>17</v>
      </c>
      <c r="J261" s="591">
        <v>3.137</v>
      </c>
      <c r="K261" s="591">
        <v>0</v>
      </c>
      <c r="L261" s="592">
        <v>3.137</v>
      </c>
      <c r="M261" s="591">
        <v>9566</v>
      </c>
      <c r="N261" s="593">
        <v>2.9999999999999997E-4</v>
      </c>
      <c r="O261" s="591">
        <v>3.1829999999999998</v>
      </c>
      <c r="P261" s="591">
        <v>0</v>
      </c>
      <c r="Q261" s="581"/>
      <c r="R261" s="581"/>
      <c r="S261" s="581"/>
      <c r="T261" s="581"/>
      <c r="U261" s="581"/>
    </row>
    <row r="262" spans="1:21">
      <c r="A262" s="581"/>
      <c r="B262" s="581"/>
      <c r="C262" s="581"/>
      <c r="D262" s="582" t="s">
        <v>715</v>
      </c>
      <c r="E262" s="588" t="s">
        <v>721</v>
      </c>
      <c r="F262" s="589">
        <v>41512</v>
      </c>
      <c r="G262" s="590">
        <f t="shared" si="8"/>
        <v>2013</v>
      </c>
      <c r="H262" s="590">
        <f t="shared" si="9"/>
        <v>8</v>
      </c>
      <c r="I262" s="591">
        <v>17</v>
      </c>
      <c r="J262" s="591">
        <v>3.153</v>
      </c>
      <c r="K262" s="591">
        <v>0</v>
      </c>
      <c r="L262" s="592">
        <v>3.153</v>
      </c>
      <c r="M262" s="591">
        <v>9821</v>
      </c>
      <c r="N262" s="593">
        <v>2.9999999999999997E-4</v>
      </c>
      <c r="O262" s="591">
        <v>3.1989999999999998</v>
      </c>
      <c r="P262" s="591">
        <v>0</v>
      </c>
      <c r="Q262" s="581"/>
      <c r="R262" s="581"/>
      <c r="S262" s="581"/>
      <c r="T262" s="581"/>
      <c r="U262" s="581"/>
    </row>
    <row r="263" spans="1:21">
      <c r="A263" s="581"/>
      <c r="B263" s="581"/>
      <c r="C263" s="581"/>
      <c r="D263" s="582" t="s">
        <v>715</v>
      </c>
      <c r="E263" s="588" t="s">
        <v>721</v>
      </c>
      <c r="F263" s="589">
        <v>41526</v>
      </c>
      <c r="G263" s="590">
        <f t="shared" si="8"/>
        <v>2013</v>
      </c>
      <c r="H263" s="590">
        <f t="shared" si="9"/>
        <v>9</v>
      </c>
      <c r="I263" s="591">
        <v>17</v>
      </c>
      <c r="J263" s="591">
        <v>3.077</v>
      </c>
      <c r="K263" s="591">
        <v>0</v>
      </c>
      <c r="L263" s="592">
        <v>3.077</v>
      </c>
      <c r="M263" s="591">
        <v>8781</v>
      </c>
      <c r="N263" s="593">
        <v>4.0000000000000002E-4</v>
      </c>
      <c r="O263" s="591">
        <v>3.1219999999999999</v>
      </c>
      <c r="P263" s="591">
        <v>0</v>
      </c>
      <c r="Q263" s="581"/>
      <c r="R263" s="581"/>
      <c r="S263" s="581"/>
      <c r="T263" s="581"/>
      <c r="U263" s="581"/>
    </row>
    <row r="264" spans="1:21">
      <c r="A264" s="581"/>
      <c r="B264" s="581"/>
      <c r="C264" s="581"/>
      <c r="D264" s="582" t="s">
        <v>715</v>
      </c>
      <c r="E264" s="588" t="s">
        <v>721</v>
      </c>
      <c r="F264" s="589">
        <v>41548</v>
      </c>
      <c r="G264" s="590">
        <f t="shared" si="8"/>
        <v>2013</v>
      </c>
      <c r="H264" s="590">
        <f t="shared" si="9"/>
        <v>10</v>
      </c>
      <c r="I264" s="591">
        <v>14</v>
      </c>
      <c r="J264" s="591">
        <v>1.409</v>
      </c>
      <c r="K264" s="591">
        <v>0</v>
      </c>
      <c r="L264" s="592">
        <v>1.409</v>
      </c>
      <c r="M264" s="591">
        <v>6214</v>
      </c>
      <c r="N264" s="593">
        <v>2.0000000000000001E-4</v>
      </c>
      <c r="O264" s="591">
        <v>1.429</v>
      </c>
      <c r="P264" s="591">
        <v>0</v>
      </c>
      <c r="Q264" s="581"/>
      <c r="R264" s="581"/>
      <c r="S264" s="581"/>
      <c r="T264" s="581"/>
      <c r="U264" s="581"/>
    </row>
    <row r="265" spans="1:21">
      <c r="A265" s="581"/>
      <c r="B265" s="581"/>
      <c r="C265" s="581"/>
      <c r="D265" s="582" t="s">
        <v>715</v>
      </c>
      <c r="E265" s="588" t="s">
        <v>721</v>
      </c>
      <c r="F265" s="589">
        <v>41604</v>
      </c>
      <c r="G265" s="590">
        <f t="shared" si="8"/>
        <v>2013</v>
      </c>
      <c r="H265" s="590">
        <f t="shared" si="9"/>
        <v>11</v>
      </c>
      <c r="I265" s="591">
        <v>18</v>
      </c>
      <c r="J265" s="591">
        <v>1.9410000000000001</v>
      </c>
      <c r="K265" s="591">
        <v>0</v>
      </c>
      <c r="L265" s="592">
        <v>1.9410000000000001</v>
      </c>
      <c r="M265" s="591">
        <v>6372</v>
      </c>
      <c r="N265" s="593">
        <v>2.9999999999999997E-4</v>
      </c>
      <c r="O265" s="591">
        <v>1.9650000000000001</v>
      </c>
      <c r="P265" s="591">
        <v>0</v>
      </c>
      <c r="Q265" s="581"/>
      <c r="R265" s="581"/>
      <c r="S265" s="581"/>
      <c r="T265" s="581"/>
      <c r="U265" s="581"/>
    </row>
    <row r="266" spans="1:21">
      <c r="A266" s="581"/>
      <c r="B266" s="581"/>
      <c r="C266" s="581"/>
      <c r="D266" s="582" t="s">
        <v>715</v>
      </c>
      <c r="E266" s="588" t="s">
        <v>721</v>
      </c>
      <c r="F266" s="589">
        <v>41619</v>
      </c>
      <c r="G266" s="590">
        <f t="shared" si="8"/>
        <v>2013</v>
      </c>
      <c r="H266" s="590">
        <f t="shared" si="9"/>
        <v>12</v>
      </c>
      <c r="I266" s="591">
        <v>18</v>
      </c>
      <c r="J266" s="591">
        <v>2.1120000000000001</v>
      </c>
      <c r="K266" s="591">
        <v>0</v>
      </c>
      <c r="L266" s="592">
        <v>2.1120000000000001</v>
      </c>
      <c r="M266" s="591">
        <v>6972</v>
      </c>
      <c r="N266" s="593">
        <v>2.9999999999999997E-4</v>
      </c>
      <c r="O266" s="591">
        <v>2.1360000000000001</v>
      </c>
      <c r="P266" s="591">
        <v>0</v>
      </c>
      <c r="Q266" s="581"/>
      <c r="R266" s="581"/>
      <c r="S266" s="581"/>
      <c r="T266" s="581"/>
      <c r="U266" s="581"/>
    </row>
    <row r="267" spans="1:21">
      <c r="A267" s="581"/>
      <c r="B267" s="581"/>
      <c r="C267" s="581"/>
      <c r="D267" s="582" t="s">
        <v>715</v>
      </c>
      <c r="E267" s="645" t="s">
        <v>721</v>
      </c>
      <c r="F267" s="646">
        <v>41645</v>
      </c>
      <c r="G267" s="590">
        <f t="shared" si="8"/>
        <v>2014</v>
      </c>
      <c r="H267" s="590">
        <f t="shared" si="9"/>
        <v>1</v>
      </c>
      <c r="I267" s="647">
        <v>18</v>
      </c>
      <c r="J267" s="647">
        <v>2.2639999999999998</v>
      </c>
      <c r="K267" s="647">
        <v>0</v>
      </c>
      <c r="L267" s="648">
        <v>2.2639999999999998</v>
      </c>
      <c r="M267" s="649">
        <v>7188</v>
      </c>
      <c r="N267" s="647">
        <v>3.1E-2</v>
      </c>
      <c r="O267" s="647">
        <v>2.29</v>
      </c>
      <c r="P267" s="647">
        <v>0</v>
      </c>
      <c r="Q267" s="581"/>
      <c r="R267" s="581"/>
      <c r="S267" s="581"/>
      <c r="T267" s="581"/>
      <c r="U267" s="581"/>
    </row>
    <row r="268" spans="1:21">
      <c r="A268" s="581"/>
      <c r="B268" s="581"/>
      <c r="C268" s="581"/>
      <c r="D268" s="582" t="s">
        <v>715</v>
      </c>
      <c r="E268" s="645" t="s">
        <v>721</v>
      </c>
      <c r="F268" s="646">
        <v>41676</v>
      </c>
      <c r="G268" s="590">
        <f t="shared" si="8"/>
        <v>2014</v>
      </c>
      <c r="H268" s="590">
        <f t="shared" si="9"/>
        <v>2</v>
      </c>
      <c r="I268" s="647">
        <v>19</v>
      </c>
      <c r="J268" s="647">
        <v>1.9239999999999999</v>
      </c>
      <c r="K268" s="647">
        <v>0</v>
      </c>
      <c r="L268" s="648">
        <v>1.9239999999999999</v>
      </c>
      <c r="M268" s="649">
        <v>6743</v>
      </c>
      <c r="N268" s="647">
        <v>2.9000000000000001E-2</v>
      </c>
      <c r="O268" s="647">
        <v>1.9550000000000001</v>
      </c>
      <c r="P268" s="647">
        <v>0</v>
      </c>
      <c r="Q268" s="581"/>
      <c r="R268" s="581"/>
      <c r="S268" s="581"/>
      <c r="T268" s="581"/>
      <c r="U268" s="581"/>
    </row>
    <row r="269" spans="1:21">
      <c r="A269" s="581"/>
      <c r="B269" s="581"/>
      <c r="C269" s="581"/>
      <c r="D269" s="582" t="s">
        <v>715</v>
      </c>
      <c r="E269" s="645" t="s">
        <v>721</v>
      </c>
      <c r="F269" s="646">
        <v>41701</v>
      </c>
      <c r="G269" s="590">
        <f t="shared" si="8"/>
        <v>2014</v>
      </c>
      <c r="H269" s="590">
        <f t="shared" si="9"/>
        <v>3</v>
      </c>
      <c r="I269" s="647">
        <v>19</v>
      </c>
      <c r="J269" s="647">
        <v>1.88</v>
      </c>
      <c r="K269" s="647">
        <v>0</v>
      </c>
      <c r="L269" s="648">
        <v>1.88</v>
      </c>
      <c r="M269" s="649">
        <v>6537</v>
      </c>
      <c r="N269" s="647">
        <v>2.9000000000000001E-2</v>
      </c>
      <c r="O269" s="647">
        <v>1.9079999999999999</v>
      </c>
      <c r="P269" s="647">
        <v>0</v>
      </c>
      <c r="Q269" s="581"/>
      <c r="R269" s="581"/>
      <c r="S269" s="581"/>
      <c r="T269" s="581"/>
      <c r="U269" s="581"/>
    </row>
    <row r="270" spans="1:21">
      <c r="A270" s="581"/>
      <c r="B270" s="581"/>
      <c r="C270" s="581"/>
      <c r="D270" s="582" t="s">
        <v>715</v>
      </c>
      <c r="E270" s="645" t="s">
        <v>721</v>
      </c>
      <c r="F270" s="646">
        <v>41730</v>
      </c>
      <c r="G270" s="590">
        <f t="shared" si="8"/>
        <v>2014</v>
      </c>
      <c r="H270" s="590">
        <f t="shared" si="9"/>
        <v>4</v>
      </c>
      <c r="I270" s="647">
        <v>11</v>
      </c>
      <c r="J270" s="647">
        <v>1.4670000000000001</v>
      </c>
      <c r="K270" s="647">
        <v>0</v>
      </c>
      <c r="L270" s="648">
        <v>1.4670000000000001</v>
      </c>
      <c r="M270" s="649">
        <v>5924</v>
      </c>
      <c r="N270" s="647">
        <v>2.5000000000000001E-2</v>
      </c>
      <c r="O270" s="647">
        <v>1.4870000000000001</v>
      </c>
      <c r="P270" s="647">
        <v>0</v>
      </c>
      <c r="Q270" s="581"/>
      <c r="R270" s="581"/>
      <c r="S270" s="581"/>
      <c r="T270" s="581"/>
      <c r="U270" s="581"/>
    </row>
    <row r="271" spans="1:21">
      <c r="A271" s="581"/>
      <c r="B271" s="581"/>
      <c r="C271" s="581"/>
      <c r="D271" s="582" t="s">
        <v>715</v>
      </c>
      <c r="E271" s="645" t="s">
        <v>721</v>
      </c>
      <c r="F271" s="646">
        <v>41789</v>
      </c>
      <c r="G271" s="590">
        <f t="shared" si="8"/>
        <v>2014</v>
      </c>
      <c r="H271" s="590">
        <f t="shared" si="9"/>
        <v>5</v>
      </c>
      <c r="I271" s="647">
        <v>16</v>
      </c>
      <c r="J271" s="647">
        <v>2.0840000000000001</v>
      </c>
      <c r="K271" s="647">
        <v>0</v>
      </c>
      <c r="L271" s="648">
        <v>2.0840000000000001</v>
      </c>
      <c r="M271" s="649">
        <v>7422</v>
      </c>
      <c r="N271" s="647">
        <v>2.8000000000000001E-2</v>
      </c>
      <c r="O271" s="647">
        <v>2.1080000000000001</v>
      </c>
      <c r="P271" s="647">
        <v>0</v>
      </c>
      <c r="Q271" s="581"/>
      <c r="R271" s="581"/>
      <c r="S271" s="581"/>
      <c r="T271" s="581"/>
      <c r="U271" s="581"/>
    </row>
    <row r="272" spans="1:21">
      <c r="A272" s="581"/>
      <c r="B272" s="581"/>
      <c r="C272" s="581"/>
      <c r="D272" s="582" t="s">
        <v>715</v>
      </c>
      <c r="E272" s="645" t="s">
        <v>721</v>
      </c>
      <c r="F272" s="646">
        <v>41814</v>
      </c>
      <c r="G272" s="590">
        <f t="shared" si="8"/>
        <v>2014</v>
      </c>
      <c r="H272" s="590">
        <f t="shared" si="9"/>
        <v>6</v>
      </c>
      <c r="I272" s="647">
        <v>16</v>
      </c>
      <c r="J272" s="647">
        <v>2.1309999999999998</v>
      </c>
      <c r="K272" s="647">
        <v>0</v>
      </c>
      <c r="L272" s="648">
        <v>2.1309999999999998</v>
      </c>
      <c r="M272" s="649">
        <v>7670</v>
      </c>
      <c r="N272" s="647">
        <v>2.8000000000000001E-2</v>
      </c>
      <c r="O272" s="647">
        <v>2.157</v>
      </c>
      <c r="P272" s="647">
        <v>0</v>
      </c>
      <c r="Q272" s="581"/>
      <c r="R272" s="581"/>
      <c r="S272" s="581"/>
      <c r="T272" s="581"/>
      <c r="U272" s="581"/>
    </row>
    <row r="273" spans="1:21">
      <c r="A273" s="581"/>
      <c r="B273" s="581"/>
      <c r="C273" s="581"/>
      <c r="D273" s="582" t="s">
        <v>715</v>
      </c>
      <c r="E273" s="645" t="s">
        <v>721</v>
      </c>
      <c r="F273" s="646">
        <v>41841</v>
      </c>
      <c r="G273" s="590">
        <f t="shared" si="8"/>
        <v>2014</v>
      </c>
      <c r="H273" s="590">
        <f t="shared" si="9"/>
        <v>7</v>
      </c>
      <c r="I273" s="647">
        <v>17</v>
      </c>
      <c r="J273" s="647">
        <v>2.8570000000000002</v>
      </c>
      <c r="K273" s="647">
        <v>0</v>
      </c>
      <c r="L273" s="648">
        <v>2.8570000000000002</v>
      </c>
      <c r="M273" s="649">
        <v>9150</v>
      </c>
      <c r="N273" s="647">
        <v>3.1E-2</v>
      </c>
      <c r="O273" s="647">
        <v>2.8919999999999999</v>
      </c>
      <c r="P273" s="647">
        <v>0</v>
      </c>
      <c r="Q273" s="581"/>
      <c r="R273" s="581"/>
      <c r="S273" s="581"/>
      <c r="T273" s="581"/>
      <c r="U273" s="581"/>
    </row>
    <row r="274" spans="1:21">
      <c r="A274" s="581"/>
      <c r="B274" s="581"/>
      <c r="C274" s="581"/>
      <c r="D274" s="582" t="s">
        <v>715</v>
      </c>
      <c r="E274" s="645" t="s">
        <v>721</v>
      </c>
      <c r="F274" s="646">
        <v>41869</v>
      </c>
      <c r="G274" s="590">
        <f t="shared" si="8"/>
        <v>2014</v>
      </c>
      <c r="H274" s="590">
        <f t="shared" si="9"/>
        <v>8</v>
      </c>
      <c r="I274" s="647">
        <v>16</v>
      </c>
      <c r="J274" s="647">
        <v>2.6389999999999998</v>
      </c>
      <c r="K274" s="647">
        <v>0</v>
      </c>
      <c r="L274" s="648">
        <v>2.6389999999999998</v>
      </c>
      <c r="M274" s="649">
        <v>8190</v>
      </c>
      <c r="N274" s="647">
        <v>3.2000000000000001E-2</v>
      </c>
      <c r="O274" s="647">
        <v>2.673</v>
      </c>
      <c r="P274" s="647">
        <v>0</v>
      </c>
      <c r="Q274" s="581"/>
      <c r="R274" s="581"/>
      <c r="S274" s="581"/>
      <c r="T274" s="581"/>
      <c r="U274" s="581"/>
    </row>
    <row r="275" spans="1:21">
      <c r="A275" s="581"/>
      <c r="B275" s="581"/>
      <c r="C275" s="581"/>
      <c r="D275" s="582" t="s">
        <v>715</v>
      </c>
      <c r="E275" s="645" t="s">
        <v>721</v>
      </c>
      <c r="F275" s="646">
        <v>41886</v>
      </c>
      <c r="G275" s="590">
        <f t="shared" si="8"/>
        <v>2014</v>
      </c>
      <c r="H275" s="590">
        <f t="shared" si="9"/>
        <v>9</v>
      </c>
      <c r="I275" s="647">
        <v>15</v>
      </c>
      <c r="J275" s="647">
        <v>2.4180000000000001</v>
      </c>
      <c r="K275" s="647">
        <v>0</v>
      </c>
      <c r="L275" s="648">
        <v>2.4180000000000001</v>
      </c>
      <c r="M275" s="649">
        <v>7758</v>
      </c>
      <c r="N275" s="647">
        <v>3.1E-2</v>
      </c>
      <c r="O275" s="647">
        <v>2.4569999999999999</v>
      </c>
      <c r="P275" s="647">
        <v>0</v>
      </c>
      <c r="Q275" s="581"/>
      <c r="R275" s="581"/>
      <c r="S275" s="581"/>
      <c r="T275" s="581"/>
      <c r="U275" s="581"/>
    </row>
    <row r="276" spans="1:21">
      <c r="A276" s="581"/>
      <c r="B276" s="581"/>
      <c r="C276" s="581"/>
      <c r="D276" s="582" t="s">
        <v>715</v>
      </c>
      <c r="E276" s="645" t="s">
        <v>721</v>
      </c>
      <c r="F276" s="646">
        <v>41942</v>
      </c>
      <c r="G276" s="590">
        <f t="shared" si="8"/>
        <v>2014</v>
      </c>
      <c r="H276" s="590">
        <f t="shared" si="9"/>
        <v>10</v>
      </c>
      <c r="I276" s="647">
        <v>20</v>
      </c>
      <c r="J276" s="647">
        <v>1.726</v>
      </c>
      <c r="K276" s="647">
        <v>0</v>
      </c>
      <c r="L276" s="648">
        <v>1.726</v>
      </c>
      <c r="M276" s="649">
        <v>5901</v>
      </c>
      <c r="N276" s="647">
        <v>2.9000000000000001E-2</v>
      </c>
      <c r="O276" s="647">
        <v>1.7509999999999999</v>
      </c>
      <c r="P276" s="647">
        <v>0</v>
      </c>
      <c r="Q276" s="581"/>
      <c r="R276" s="581"/>
      <c r="S276" s="581"/>
      <c r="T276" s="581"/>
      <c r="U276" s="581"/>
    </row>
    <row r="277" spans="1:21">
      <c r="A277" s="581"/>
      <c r="B277" s="581"/>
      <c r="C277" s="581"/>
      <c r="D277" s="582" t="s">
        <v>715</v>
      </c>
      <c r="E277" s="645" t="s">
        <v>721</v>
      </c>
      <c r="F277" s="646">
        <v>41960</v>
      </c>
      <c r="G277" s="590">
        <f t="shared" si="8"/>
        <v>2014</v>
      </c>
      <c r="H277" s="590">
        <f t="shared" si="9"/>
        <v>11</v>
      </c>
      <c r="I277" s="647">
        <v>18</v>
      </c>
      <c r="J277" s="647">
        <v>1.9670000000000001</v>
      </c>
      <c r="K277" s="647">
        <v>0</v>
      </c>
      <c r="L277" s="648">
        <v>1.9670000000000001</v>
      </c>
      <c r="M277" s="649">
        <v>6677</v>
      </c>
      <c r="N277" s="647">
        <v>2.9000000000000001E-2</v>
      </c>
      <c r="O277" s="647">
        <v>1.9810000000000001</v>
      </c>
      <c r="P277" s="647">
        <v>0</v>
      </c>
      <c r="Q277" s="581"/>
      <c r="R277" s="581"/>
      <c r="S277" s="581"/>
      <c r="T277" s="581"/>
      <c r="U277" s="581"/>
    </row>
    <row r="278" spans="1:21">
      <c r="A278" s="581"/>
      <c r="B278" s="581"/>
      <c r="C278" s="581"/>
      <c r="D278" s="582" t="s">
        <v>715</v>
      </c>
      <c r="E278" s="645" t="s">
        <v>721</v>
      </c>
      <c r="F278" s="646">
        <v>41974</v>
      </c>
      <c r="G278" s="590">
        <f t="shared" si="8"/>
        <v>2014</v>
      </c>
      <c r="H278" s="590">
        <f t="shared" si="9"/>
        <v>12</v>
      </c>
      <c r="I278" s="647">
        <v>18</v>
      </c>
      <c r="J278" s="647">
        <v>1.994</v>
      </c>
      <c r="K278" s="647">
        <v>0</v>
      </c>
      <c r="L278" s="648">
        <v>1.994</v>
      </c>
      <c r="M278" s="649">
        <v>6850</v>
      </c>
      <c r="N278" s="647">
        <v>2.9000000000000001E-2</v>
      </c>
      <c r="O278" s="647">
        <v>2.0049999999999999</v>
      </c>
      <c r="P278" s="647">
        <v>0</v>
      </c>
      <c r="Q278" s="581"/>
      <c r="R278" s="581"/>
      <c r="S278" s="581"/>
      <c r="T278" s="581"/>
      <c r="U278" s="581"/>
    </row>
    <row r="279" spans="1:21">
      <c r="A279" s="581"/>
      <c r="B279" s="581"/>
      <c r="C279" s="581"/>
      <c r="D279" s="582" t="s">
        <v>715</v>
      </c>
      <c r="E279" s="645" t="s">
        <v>721</v>
      </c>
      <c r="F279" s="646">
        <v>42011</v>
      </c>
      <c r="G279" s="590">
        <f t="shared" si="8"/>
        <v>2015</v>
      </c>
      <c r="H279" s="590">
        <f t="shared" si="9"/>
        <v>1</v>
      </c>
      <c r="I279" s="647">
        <v>18</v>
      </c>
      <c r="J279" s="647">
        <v>2.0960000000000001</v>
      </c>
      <c r="K279" s="647">
        <v>0</v>
      </c>
      <c r="L279" s="648">
        <v>2.0960000000000001</v>
      </c>
      <c r="M279" s="649">
        <v>6978</v>
      </c>
      <c r="N279" s="647">
        <v>0.03</v>
      </c>
      <c r="O279" s="647">
        <v>2.1030000000000002</v>
      </c>
      <c r="P279" s="647">
        <v>0</v>
      </c>
      <c r="Q279" s="581"/>
      <c r="R279" s="581"/>
      <c r="S279" s="581"/>
      <c r="T279" s="581"/>
      <c r="U279" s="581"/>
    </row>
    <row r="280" spans="1:21">
      <c r="A280" s="581"/>
      <c r="B280" s="581"/>
      <c r="C280" s="581"/>
      <c r="D280" s="582" t="s">
        <v>715</v>
      </c>
      <c r="E280" s="645" t="s">
        <v>721</v>
      </c>
      <c r="F280" s="646">
        <v>42053</v>
      </c>
      <c r="G280" s="590">
        <f t="shared" si="8"/>
        <v>2015</v>
      </c>
      <c r="H280" s="590">
        <f t="shared" si="9"/>
        <v>2</v>
      </c>
      <c r="I280" s="647">
        <v>19</v>
      </c>
      <c r="J280" s="647">
        <v>1.9630000000000001</v>
      </c>
      <c r="K280" s="647">
        <v>0</v>
      </c>
      <c r="L280" s="648">
        <v>1.9630000000000001</v>
      </c>
      <c r="M280" s="649">
        <v>6744</v>
      </c>
      <c r="N280" s="647">
        <v>2.9000000000000001E-2</v>
      </c>
      <c r="O280" s="647">
        <v>1.9950000000000001</v>
      </c>
      <c r="P280" s="647">
        <v>0</v>
      </c>
      <c r="Q280" s="581"/>
      <c r="R280" s="581"/>
      <c r="S280" s="581"/>
      <c r="T280" s="581"/>
      <c r="U280" s="581"/>
    </row>
    <row r="281" spans="1:21">
      <c r="A281" s="581"/>
      <c r="B281" s="581"/>
      <c r="C281" s="581"/>
      <c r="D281" s="582" t="s">
        <v>715</v>
      </c>
      <c r="E281" s="645" t="s">
        <v>721</v>
      </c>
      <c r="F281" s="646">
        <v>42067</v>
      </c>
      <c r="G281" s="590">
        <f t="shared" si="8"/>
        <v>2015</v>
      </c>
      <c r="H281" s="590">
        <f t="shared" si="9"/>
        <v>3</v>
      </c>
      <c r="I281" s="647">
        <v>20</v>
      </c>
      <c r="J281" s="647">
        <v>1.804</v>
      </c>
      <c r="K281" s="647">
        <v>0</v>
      </c>
      <c r="L281" s="648">
        <v>1.804</v>
      </c>
      <c r="M281" s="649">
        <v>6470</v>
      </c>
      <c r="N281" s="647">
        <v>2.8000000000000001E-2</v>
      </c>
      <c r="O281" s="647">
        <v>1.835</v>
      </c>
      <c r="P281" s="647">
        <v>0</v>
      </c>
      <c r="Q281" s="581"/>
      <c r="R281" s="581"/>
      <c r="S281" s="581"/>
      <c r="T281" s="581"/>
      <c r="U281" s="581"/>
    </row>
    <row r="282" spans="1:21">
      <c r="A282" s="581"/>
      <c r="B282" s="581"/>
      <c r="C282" s="581"/>
      <c r="D282" s="582" t="s">
        <v>715</v>
      </c>
      <c r="E282" s="645" t="s">
        <v>721</v>
      </c>
      <c r="F282" s="646">
        <v>42103</v>
      </c>
      <c r="G282" s="590">
        <f t="shared" si="8"/>
        <v>2015</v>
      </c>
      <c r="H282" s="590">
        <f t="shared" si="9"/>
        <v>4</v>
      </c>
      <c r="I282" s="647">
        <v>12</v>
      </c>
      <c r="J282" s="647">
        <v>1.3939999999999999</v>
      </c>
      <c r="K282" s="647">
        <v>0</v>
      </c>
      <c r="L282" s="648">
        <v>1.3939999999999999</v>
      </c>
      <c r="M282" s="649">
        <v>5914</v>
      </c>
      <c r="N282" s="647">
        <v>2.4E-2</v>
      </c>
      <c r="O282" s="647">
        <v>1.415</v>
      </c>
      <c r="P282" s="647">
        <v>0</v>
      </c>
      <c r="Q282" s="581"/>
      <c r="R282" s="581"/>
      <c r="S282" s="581"/>
      <c r="T282" s="581"/>
      <c r="U282" s="581"/>
    </row>
    <row r="283" spans="1:21">
      <c r="A283" s="581"/>
      <c r="B283" s="581"/>
      <c r="C283" s="581"/>
      <c r="D283" s="582" t="s">
        <v>715</v>
      </c>
      <c r="E283" s="645" t="s">
        <v>721</v>
      </c>
      <c r="F283" s="646">
        <v>42152</v>
      </c>
      <c r="G283" s="590">
        <f t="shared" si="8"/>
        <v>2015</v>
      </c>
      <c r="H283" s="590">
        <f t="shared" si="9"/>
        <v>5</v>
      </c>
      <c r="I283" s="647">
        <v>16</v>
      </c>
      <c r="J283" s="647">
        <v>1.649</v>
      </c>
      <c r="K283" s="647">
        <v>0</v>
      </c>
      <c r="L283" s="648">
        <v>1.649</v>
      </c>
      <c r="M283" s="649">
        <v>6837</v>
      </c>
      <c r="N283" s="647">
        <v>2.4E-2</v>
      </c>
      <c r="O283" s="647">
        <v>1.671</v>
      </c>
      <c r="P283" s="647">
        <v>0</v>
      </c>
      <c r="Q283" s="581"/>
      <c r="R283" s="581"/>
      <c r="S283" s="581"/>
      <c r="T283" s="581"/>
      <c r="U283" s="581"/>
    </row>
    <row r="284" spans="1:21">
      <c r="A284" s="581"/>
      <c r="B284" s="581"/>
      <c r="C284" s="581"/>
      <c r="D284" s="582" t="s">
        <v>715</v>
      </c>
      <c r="E284" s="645" t="s">
        <v>721</v>
      </c>
      <c r="F284" s="646">
        <v>42164</v>
      </c>
      <c r="G284" s="590">
        <f t="shared" si="8"/>
        <v>2015</v>
      </c>
      <c r="H284" s="590">
        <f t="shared" si="9"/>
        <v>6</v>
      </c>
      <c r="I284" s="647">
        <v>17</v>
      </c>
      <c r="J284" s="647">
        <v>2.5619999999999998</v>
      </c>
      <c r="K284" s="647">
        <v>0</v>
      </c>
      <c r="L284" s="648">
        <v>2.5619999999999998</v>
      </c>
      <c r="M284" s="649">
        <v>8136</v>
      </c>
      <c r="N284" s="647">
        <v>3.1E-2</v>
      </c>
      <c r="O284" s="647">
        <v>2.5950000000000002</v>
      </c>
      <c r="P284" s="647">
        <v>0</v>
      </c>
      <c r="Q284" s="581"/>
      <c r="R284" s="581"/>
      <c r="S284" s="581"/>
      <c r="T284" s="581"/>
      <c r="U284" s="581"/>
    </row>
    <row r="285" spans="1:21">
      <c r="A285" s="581"/>
      <c r="B285" s="581"/>
      <c r="C285" s="581"/>
      <c r="D285" s="582" t="s">
        <v>715</v>
      </c>
      <c r="E285" s="645" t="s">
        <v>721</v>
      </c>
      <c r="F285" s="646">
        <v>42212</v>
      </c>
      <c r="G285" s="590">
        <f t="shared" si="8"/>
        <v>2015</v>
      </c>
      <c r="H285" s="590">
        <f t="shared" si="9"/>
        <v>7</v>
      </c>
      <c r="I285" s="647">
        <v>17</v>
      </c>
      <c r="J285" s="647">
        <v>2.6629999999999998</v>
      </c>
      <c r="K285" s="647">
        <v>0</v>
      </c>
      <c r="L285" s="648">
        <v>2.6629999999999998</v>
      </c>
      <c r="M285" s="649">
        <v>8769</v>
      </c>
      <c r="N285" s="647">
        <v>0.03</v>
      </c>
      <c r="O285" s="647">
        <v>2.702</v>
      </c>
      <c r="P285" s="647">
        <v>0</v>
      </c>
      <c r="Q285" s="581"/>
      <c r="R285" s="581"/>
      <c r="S285" s="581"/>
      <c r="T285" s="581"/>
      <c r="U285" s="581"/>
    </row>
    <row r="286" spans="1:21">
      <c r="A286" s="581"/>
      <c r="B286" s="581"/>
      <c r="C286" s="581"/>
      <c r="D286" s="582" t="s">
        <v>715</v>
      </c>
      <c r="E286" s="645" t="s">
        <v>721</v>
      </c>
      <c r="F286" s="646">
        <v>42230</v>
      </c>
      <c r="G286" s="590">
        <f t="shared" si="8"/>
        <v>2015</v>
      </c>
      <c r="H286" s="590">
        <f t="shared" si="9"/>
        <v>8</v>
      </c>
      <c r="I286" s="647">
        <v>16</v>
      </c>
      <c r="J286" s="647">
        <v>2.9359999999999999</v>
      </c>
      <c r="K286" s="647">
        <v>0</v>
      </c>
      <c r="L286" s="648">
        <v>2.9359999999999999</v>
      </c>
      <c r="M286" s="649">
        <v>8926</v>
      </c>
      <c r="N286" s="647">
        <v>3.3000000000000002E-2</v>
      </c>
      <c r="O286" s="647">
        <v>2.9809999999999999</v>
      </c>
      <c r="P286" s="647">
        <v>0</v>
      </c>
      <c r="Q286" s="581"/>
      <c r="R286" s="581"/>
      <c r="S286" s="581"/>
      <c r="T286" s="581"/>
      <c r="U286" s="581"/>
    </row>
    <row r="287" spans="1:21">
      <c r="A287" s="581"/>
      <c r="B287" s="581"/>
      <c r="C287" s="581"/>
      <c r="D287" s="582" t="s">
        <v>715</v>
      </c>
      <c r="E287" s="645" t="s">
        <v>721</v>
      </c>
      <c r="F287" s="646">
        <v>42250</v>
      </c>
      <c r="G287" s="590">
        <f t="shared" si="8"/>
        <v>2015</v>
      </c>
      <c r="H287" s="590">
        <f t="shared" si="9"/>
        <v>9</v>
      </c>
      <c r="I287" s="647">
        <v>17</v>
      </c>
      <c r="J287" s="647">
        <v>2.48</v>
      </c>
      <c r="K287" s="647">
        <v>0</v>
      </c>
      <c r="L287" s="648">
        <v>2.48</v>
      </c>
      <c r="M287" s="649">
        <v>8657</v>
      </c>
      <c r="N287" s="647">
        <v>2.9000000000000001E-2</v>
      </c>
      <c r="O287" s="647">
        <v>3.109</v>
      </c>
      <c r="P287" s="647">
        <v>0</v>
      </c>
      <c r="Q287" s="581"/>
      <c r="R287" s="581"/>
      <c r="S287" s="581"/>
      <c r="T287" s="581"/>
      <c r="U287" s="581"/>
    </row>
    <row r="288" spans="1:21">
      <c r="A288" s="581"/>
      <c r="B288" s="581"/>
      <c r="C288" s="581"/>
      <c r="D288" s="582" t="s">
        <v>715</v>
      </c>
      <c r="E288" s="645" t="s">
        <v>721</v>
      </c>
      <c r="F288" s="646">
        <v>42285</v>
      </c>
      <c r="G288" s="590">
        <f t="shared" si="8"/>
        <v>2015</v>
      </c>
      <c r="H288" s="590">
        <f t="shared" si="9"/>
        <v>10</v>
      </c>
      <c r="I288" s="647">
        <v>12</v>
      </c>
      <c r="J288" s="647">
        <v>1.3240000000000001</v>
      </c>
      <c r="K288" s="647">
        <v>0</v>
      </c>
      <c r="L288" s="648">
        <v>1.3240000000000001</v>
      </c>
      <c r="M288" s="649">
        <v>5943</v>
      </c>
      <c r="N288" s="647">
        <v>2.1999999999999999E-2</v>
      </c>
      <c r="O288" s="647">
        <v>1.3420000000000001</v>
      </c>
      <c r="P288" s="647">
        <v>0</v>
      </c>
      <c r="Q288" s="581"/>
      <c r="R288" s="581"/>
      <c r="S288" s="581"/>
      <c r="T288" s="581"/>
      <c r="U288" s="581"/>
    </row>
    <row r="289" spans="1:21">
      <c r="A289" s="581"/>
      <c r="B289" s="581"/>
      <c r="C289" s="581"/>
      <c r="D289" s="220" t="s">
        <v>715</v>
      </c>
      <c r="E289" s="650" t="s">
        <v>721</v>
      </c>
      <c r="F289" s="651">
        <v>42338</v>
      </c>
      <c r="G289" s="652">
        <f t="shared" si="8"/>
        <v>2015</v>
      </c>
      <c r="H289" s="652">
        <f t="shared" si="9"/>
        <v>11</v>
      </c>
      <c r="I289" s="653">
        <v>18</v>
      </c>
      <c r="J289" s="653">
        <v>1.907</v>
      </c>
      <c r="K289" s="653">
        <v>0</v>
      </c>
      <c r="L289" s="654">
        <v>1.907</v>
      </c>
      <c r="M289" s="655">
        <v>6574</v>
      </c>
      <c r="N289" s="653">
        <v>2.9000000000000001E-2</v>
      </c>
      <c r="O289" s="653">
        <v>1.9350000000000001</v>
      </c>
      <c r="P289" s="653">
        <v>0</v>
      </c>
      <c r="Q289" s="581"/>
      <c r="R289" s="581"/>
      <c r="S289" s="581"/>
      <c r="T289" s="581"/>
      <c r="U289" s="581"/>
    </row>
    <row r="290" spans="1:21">
      <c r="A290" s="581"/>
      <c r="B290" s="581"/>
      <c r="C290" s="581"/>
      <c r="D290" s="582" t="s">
        <v>715</v>
      </c>
      <c r="E290" s="582" t="s">
        <v>721</v>
      </c>
      <c r="F290" s="656">
        <v>42355</v>
      </c>
      <c r="G290" s="657">
        <f t="shared" si="8"/>
        <v>2015</v>
      </c>
      <c r="H290" s="657">
        <f t="shared" si="9"/>
        <v>12</v>
      </c>
      <c r="I290" s="582">
        <v>18</v>
      </c>
      <c r="J290" s="582">
        <v>1.883</v>
      </c>
      <c r="K290" s="582">
        <v>0</v>
      </c>
      <c r="L290" s="658">
        <v>1.883</v>
      </c>
      <c r="M290" s="659">
        <v>6450</v>
      </c>
      <c r="N290" s="582">
        <v>2.9000000000000001E-2</v>
      </c>
      <c r="O290" s="582">
        <v>1.9119999999999999</v>
      </c>
      <c r="P290" s="582">
        <v>0</v>
      </c>
      <c r="Q290" s="581"/>
      <c r="R290" s="581"/>
      <c r="S290" s="581"/>
      <c r="T290" s="581"/>
      <c r="U290" s="581"/>
    </row>
    <row r="291" spans="1:21">
      <c r="A291" s="581"/>
      <c r="B291" s="581"/>
      <c r="C291" s="581"/>
      <c r="D291" s="582" t="s">
        <v>715</v>
      </c>
      <c r="E291" s="660" t="s">
        <v>722</v>
      </c>
      <c r="F291" s="661">
        <v>40927</v>
      </c>
      <c r="G291" s="657">
        <f t="shared" si="8"/>
        <v>2012</v>
      </c>
      <c r="H291" s="657">
        <f t="shared" si="9"/>
        <v>1</v>
      </c>
      <c r="I291" s="660">
        <v>19</v>
      </c>
      <c r="J291" s="660">
        <v>5.4589999999999996</v>
      </c>
      <c r="K291" s="660">
        <v>0</v>
      </c>
      <c r="L291" s="662">
        <v>5.4589999999999996</v>
      </c>
      <c r="M291" s="660">
        <v>6604</v>
      </c>
      <c r="N291" s="663">
        <v>8.0000000000000004E-4</v>
      </c>
      <c r="O291" s="660">
        <v>5.5469999999999997</v>
      </c>
      <c r="P291" s="660">
        <v>0</v>
      </c>
      <c r="Q291" s="581"/>
      <c r="R291" s="581"/>
      <c r="S291" s="581"/>
      <c r="T291" s="581"/>
      <c r="U291" s="581"/>
    </row>
    <row r="292" spans="1:21">
      <c r="A292" s="581"/>
      <c r="B292" s="581"/>
      <c r="C292" s="581"/>
      <c r="D292" s="582" t="s">
        <v>715</v>
      </c>
      <c r="E292" s="660" t="s">
        <v>722</v>
      </c>
      <c r="F292" s="661">
        <v>40967</v>
      </c>
      <c r="G292" s="657">
        <f t="shared" si="8"/>
        <v>2012</v>
      </c>
      <c r="H292" s="657">
        <f t="shared" si="9"/>
        <v>2</v>
      </c>
      <c r="I292" s="660">
        <v>19</v>
      </c>
      <c r="J292" s="660">
        <v>5.0599999999999996</v>
      </c>
      <c r="K292" s="660">
        <v>0</v>
      </c>
      <c r="L292" s="662">
        <v>5.0599999999999996</v>
      </c>
      <c r="M292" s="660">
        <v>6178</v>
      </c>
      <c r="N292" s="663">
        <v>8.0000000000000004E-4</v>
      </c>
      <c r="O292" s="660">
        <v>5.1180000000000003</v>
      </c>
      <c r="P292" s="660">
        <v>0</v>
      </c>
      <c r="Q292" s="581"/>
      <c r="R292" s="581"/>
      <c r="S292" s="581"/>
      <c r="T292" s="581"/>
      <c r="U292" s="581"/>
    </row>
    <row r="293" spans="1:21">
      <c r="A293" s="581"/>
      <c r="B293" s="581"/>
      <c r="C293" s="581"/>
      <c r="D293" s="582" t="s">
        <v>715</v>
      </c>
      <c r="E293" s="660" t="s">
        <v>722</v>
      </c>
      <c r="F293" s="661">
        <v>40987</v>
      </c>
      <c r="G293" s="657">
        <f t="shared" si="8"/>
        <v>2012</v>
      </c>
      <c r="H293" s="657">
        <f t="shared" si="9"/>
        <v>3</v>
      </c>
      <c r="I293" s="660">
        <v>14</v>
      </c>
      <c r="J293" s="660">
        <v>4.117</v>
      </c>
      <c r="K293" s="660">
        <v>0</v>
      </c>
      <c r="L293" s="662">
        <v>4.117</v>
      </c>
      <c r="M293" s="660">
        <v>6170</v>
      </c>
      <c r="N293" s="663">
        <v>6.9999999999999999E-4</v>
      </c>
      <c r="O293" s="660">
        <v>4.1520000000000001</v>
      </c>
      <c r="P293" s="660">
        <v>0</v>
      </c>
      <c r="Q293" s="581"/>
      <c r="R293" s="581"/>
      <c r="S293" s="581"/>
      <c r="T293" s="581"/>
      <c r="U293" s="581"/>
    </row>
    <row r="294" spans="1:21">
      <c r="A294" s="581"/>
      <c r="B294" s="581"/>
      <c r="C294" s="581"/>
      <c r="D294" s="582" t="s">
        <v>715</v>
      </c>
      <c r="E294" s="660" t="s">
        <v>722</v>
      </c>
      <c r="F294" s="661">
        <v>41024</v>
      </c>
      <c r="G294" s="657">
        <f t="shared" si="8"/>
        <v>2012</v>
      </c>
      <c r="H294" s="657">
        <f t="shared" si="9"/>
        <v>4</v>
      </c>
      <c r="I294" s="660">
        <v>15</v>
      </c>
      <c r="J294" s="660">
        <v>3.9140000000000001</v>
      </c>
      <c r="K294" s="660">
        <v>0</v>
      </c>
      <c r="L294" s="662">
        <v>3.9140000000000001</v>
      </c>
      <c r="M294" s="660">
        <v>5813</v>
      </c>
      <c r="N294" s="663">
        <v>6.9999999999999999E-4</v>
      </c>
      <c r="O294" s="660">
        <v>3.9569999999999999</v>
      </c>
      <c r="P294" s="660">
        <v>0</v>
      </c>
      <c r="Q294" s="581"/>
      <c r="R294" s="581"/>
      <c r="S294" s="581"/>
      <c r="T294" s="581"/>
      <c r="U294" s="581"/>
    </row>
    <row r="295" spans="1:21">
      <c r="A295" s="581"/>
      <c r="B295" s="581"/>
      <c r="C295" s="581"/>
      <c r="D295" s="582" t="s">
        <v>715</v>
      </c>
      <c r="E295" s="660" t="s">
        <v>722</v>
      </c>
      <c r="F295" s="661">
        <v>41047</v>
      </c>
      <c r="G295" s="657">
        <f t="shared" si="8"/>
        <v>2012</v>
      </c>
      <c r="H295" s="657">
        <f t="shared" si="9"/>
        <v>5</v>
      </c>
      <c r="I295" s="660">
        <v>17</v>
      </c>
      <c r="J295" s="660">
        <v>5.7140000000000004</v>
      </c>
      <c r="K295" s="660">
        <v>0</v>
      </c>
      <c r="L295" s="662">
        <v>5.7140000000000004</v>
      </c>
      <c r="M295" s="660">
        <v>7203</v>
      </c>
      <c r="N295" s="663">
        <v>8.0000000000000004E-4</v>
      </c>
      <c r="O295" s="660">
        <v>5.76</v>
      </c>
      <c r="P295" s="660">
        <v>0</v>
      </c>
      <c r="Q295" s="581"/>
      <c r="R295" s="581"/>
      <c r="S295" s="581"/>
      <c r="T295" s="581"/>
      <c r="U295" s="581"/>
    </row>
    <row r="296" spans="1:21">
      <c r="A296" s="581"/>
      <c r="B296" s="581"/>
      <c r="C296" s="581"/>
      <c r="D296" s="582" t="s">
        <v>715</v>
      </c>
      <c r="E296" s="660" t="s">
        <v>722</v>
      </c>
      <c r="F296" s="661">
        <v>41087</v>
      </c>
      <c r="G296" s="657">
        <f t="shared" si="8"/>
        <v>2012</v>
      </c>
      <c r="H296" s="657">
        <f t="shared" si="9"/>
        <v>6</v>
      </c>
      <c r="I296" s="660">
        <v>17</v>
      </c>
      <c r="J296" s="660">
        <v>8.766</v>
      </c>
      <c r="K296" s="660">
        <v>0</v>
      </c>
      <c r="L296" s="662">
        <v>8.766</v>
      </c>
      <c r="M296" s="660">
        <v>8833</v>
      </c>
      <c r="N296" s="663">
        <v>1E-3</v>
      </c>
      <c r="O296" s="660">
        <v>8.8659999999999997</v>
      </c>
      <c r="P296" s="660">
        <v>0</v>
      </c>
      <c r="Q296" s="581"/>
      <c r="R296" s="581"/>
      <c r="S296" s="581"/>
      <c r="T296" s="581"/>
      <c r="U296" s="581"/>
    </row>
    <row r="297" spans="1:21">
      <c r="A297" s="581"/>
      <c r="B297" s="581"/>
      <c r="C297" s="581"/>
      <c r="D297" s="582" t="s">
        <v>715</v>
      </c>
      <c r="E297" s="660" t="s">
        <v>722</v>
      </c>
      <c r="F297" s="661">
        <v>41092</v>
      </c>
      <c r="G297" s="657">
        <f t="shared" si="8"/>
        <v>2012</v>
      </c>
      <c r="H297" s="657">
        <f t="shared" si="9"/>
        <v>7</v>
      </c>
      <c r="I297" s="660">
        <v>17</v>
      </c>
      <c r="J297" s="660">
        <v>9.3569999999999993</v>
      </c>
      <c r="K297" s="660">
        <v>0</v>
      </c>
      <c r="L297" s="662">
        <v>9.3569999999999993</v>
      </c>
      <c r="M297" s="660">
        <v>9682</v>
      </c>
      <c r="N297" s="663">
        <v>1E-3</v>
      </c>
      <c r="O297" s="660">
        <v>9.4459999999999997</v>
      </c>
      <c r="P297" s="660">
        <v>0</v>
      </c>
      <c r="Q297" s="581"/>
      <c r="R297" s="581"/>
      <c r="S297" s="581"/>
      <c r="T297" s="581"/>
      <c r="U297" s="581"/>
    </row>
    <row r="298" spans="1:21">
      <c r="A298" s="581"/>
      <c r="B298" s="581"/>
      <c r="C298" s="581"/>
      <c r="D298" s="582" t="s">
        <v>715</v>
      </c>
      <c r="E298" s="660" t="s">
        <v>722</v>
      </c>
      <c r="F298" s="661">
        <v>41122</v>
      </c>
      <c r="G298" s="657">
        <f t="shared" si="8"/>
        <v>2012</v>
      </c>
      <c r="H298" s="657">
        <f t="shared" si="9"/>
        <v>8</v>
      </c>
      <c r="I298" s="660">
        <v>17</v>
      </c>
      <c r="J298" s="660">
        <v>8.5210000000000008</v>
      </c>
      <c r="K298" s="660">
        <v>0</v>
      </c>
      <c r="L298" s="662">
        <v>8.5210000000000008</v>
      </c>
      <c r="M298" s="660">
        <v>8979</v>
      </c>
      <c r="N298" s="663">
        <v>8.9999999999999998E-4</v>
      </c>
      <c r="O298" s="660">
        <v>8.6029999999999998</v>
      </c>
      <c r="P298" s="660">
        <v>0</v>
      </c>
      <c r="Q298" s="581"/>
      <c r="R298" s="581"/>
      <c r="S298" s="581"/>
      <c r="T298" s="581"/>
      <c r="U298" s="581"/>
    </row>
    <row r="299" spans="1:21">
      <c r="A299" s="581"/>
      <c r="B299" s="581"/>
      <c r="C299" s="581"/>
      <c r="D299" s="582" t="s">
        <v>715</v>
      </c>
      <c r="E299" s="660" t="s">
        <v>722</v>
      </c>
      <c r="F299" s="661">
        <v>41156</v>
      </c>
      <c r="G299" s="657">
        <f t="shared" si="8"/>
        <v>2012</v>
      </c>
      <c r="H299" s="657">
        <f t="shared" si="9"/>
        <v>9</v>
      </c>
      <c r="I299" s="660">
        <v>16</v>
      </c>
      <c r="J299" s="660">
        <v>8.1349999999999998</v>
      </c>
      <c r="K299" s="660">
        <v>0</v>
      </c>
      <c r="L299" s="662">
        <v>8.1349999999999998</v>
      </c>
      <c r="M299" s="660">
        <v>8521</v>
      </c>
      <c r="N299" s="663">
        <v>1E-3</v>
      </c>
      <c r="O299" s="660">
        <v>8.2560000000000002</v>
      </c>
      <c r="P299" s="660">
        <v>0</v>
      </c>
      <c r="Q299" s="581"/>
      <c r="R299" s="581"/>
      <c r="S299" s="581"/>
      <c r="T299" s="581"/>
      <c r="U299" s="581"/>
    </row>
    <row r="300" spans="1:21">
      <c r="A300" s="581"/>
      <c r="B300" s="581"/>
      <c r="C300" s="581"/>
      <c r="D300" s="582" t="s">
        <v>715</v>
      </c>
      <c r="E300" s="660" t="s">
        <v>722</v>
      </c>
      <c r="F300" s="661">
        <v>41185</v>
      </c>
      <c r="G300" s="657">
        <f t="shared" si="8"/>
        <v>2012</v>
      </c>
      <c r="H300" s="657">
        <f t="shared" si="9"/>
        <v>10</v>
      </c>
      <c r="I300" s="660">
        <v>14</v>
      </c>
      <c r="J300" s="660">
        <v>4.0270000000000001</v>
      </c>
      <c r="K300" s="660">
        <v>0</v>
      </c>
      <c r="L300" s="662">
        <v>4.0270000000000001</v>
      </c>
      <c r="M300" s="660">
        <v>6122</v>
      </c>
      <c r="N300" s="663">
        <v>6.9999999999999999E-4</v>
      </c>
      <c r="O300" s="660">
        <v>4.0590000000000002</v>
      </c>
      <c r="P300" s="660">
        <v>0</v>
      </c>
      <c r="Q300" s="581"/>
      <c r="R300" s="581"/>
      <c r="S300" s="581"/>
      <c r="T300" s="581"/>
      <c r="U300" s="581"/>
    </row>
    <row r="301" spans="1:21">
      <c r="A301" s="581"/>
      <c r="B301" s="581"/>
      <c r="C301" s="581"/>
      <c r="D301" s="582" t="s">
        <v>715</v>
      </c>
      <c r="E301" s="660" t="s">
        <v>722</v>
      </c>
      <c r="F301" s="661">
        <v>41239</v>
      </c>
      <c r="G301" s="657">
        <f t="shared" si="8"/>
        <v>2012</v>
      </c>
      <c r="H301" s="657">
        <f t="shared" si="9"/>
        <v>11</v>
      </c>
      <c r="I301" s="660">
        <v>18</v>
      </c>
      <c r="J301" s="660">
        <v>5.2889999999999997</v>
      </c>
      <c r="K301" s="660">
        <v>0</v>
      </c>
      <c r="L301" s="662">
        <v>5.2889999999999997</v>
      </c>
      <c r="M301" s="660">
        <v>6416</v>
      </c>
      <c r="N301" s="663">
        <v>8.0000000000000004E-4</v>
      </c>
      <c r="O301" s="660">
        <v>5.407</v>
      </c>
      <c r="P301" s="660">
        <v>0</v>
      </c>
      <c r="Q301" s="581"/>
      <c r="R301" s="581"/>
      <c r="S301" s="581"/>
      <c r="T301" s="581"/>
      <c r="U301" s="581"/>
    </row>
    <row r="302" spans="1:21">
      <c r="A302" s="581"/>
      <c r="B302" s="581"/>
      <c r="C302" s="581"/>
      <c r="D302" s="582" t="s">
        <v>715</v>
      </c>
      <c r="E302" s="660" t="s">
        <v>722</v>
      </c>
      <c r="F302" s="661">
        <v>41253</v>
      </c>
      <c r="G302" s="657">
        <f t="shared" si="8"/>
        <v>2012</v>
      </c>
      <c r="H302" s="657">
        <f t="shared" si="9"/>
        <v>12</v>
      </c>
      <c r="I302" s="660">
        <v>18</v>
      </c>
      <c r="J302" s="660">
        <v>5.4589999999999996</v>
      </c>
      <c r="K302" s="660">
        <v>0</v>
      </c>
      <c r="L302" s="662">
        <v>5.4589999999999996</v>
      </c>
      <c r="M302" s="660">
        <v>6609</v>
      </c>
      <c r="N302" s="663">
        <v>8.0000000000000004E-4</v>
      </c>
      <c r="O302" s="660">
        <v>5.56</v>
      </c>
      <c r="P302" s="660">
        <v>0</v>
      </c>
      <c r="Q302" s="581"/>
      <c r="R302" s="581"/>
      <c r="S302" s="581"/>
      <c r="T302" s="581"/>
      <c r="U302" s="581"/>
    </row>
    <row r="303" spans="1:21">
      <c r="A303" s="581"/>
      <c r="B303" s="581"/>
      <c r="C303" s="581"/>
      <c r="D303" s="582" t="s">
        <v>715</v>
      </c>
      <c r="E303" s="660" t="s">
        <v>722</v>
      </c>
      <c r="F303" s="661">
        <v>41295</v>
      </c>
      <c r="G303" s="657">
        <f t="shared" si="8"/>
        <v>2013</v>
      </c>
      <c r="H303" s="657">
        <f t="shared" si="9"/>
        <v>1</v>
      </c>
      <c r="I303" s="660">
        <v>19</v>
      </c>
      <c r="J303" s="660">
        <v>5.8559999999999999</v>
      </c>
      <c r="K303" s="660">
        <v>0</v>
      </c>
      <c r="L303" s="662">
        <v>5.8559999999999999</v>
      </c>
      <c r="M303" s="660">
        <v>6846</v>
      </c>
      <c r="N303" s="663">
        <v>8.9999999999999998E-4</v>
      </c>
      <c r="O303" s="660">
        <v>5.9569999999999999</v>
      </c>
      <c r="P303" s="660">
        <v>0</v>
      </c>
      <c r="Q303" s="581"/>
      <c r="R303" s="581"/>
      <c r="S303" s="581"/>
      <c r="T303" s="581"/>
      <c r="U303" s="581"/>
    </row>
    <row r="304" spans="1:21">
      <c r="A304" s="581"/>
      <c r="B304" s="581"/>
      <c r="C304" s="581"/>
      <c r="D304" s="582" t="s">
        <v>715</v>
      </c>
      <c r="E304" s="660" t="s">
        <v>722</v>
      </c>
      <c r="F304" s="661">
        <v>41324</v>
      </c>
      <c r="G304" s="657">
        <f t="shared" si="8"/>
        <v>2013</v>
      </c>
      <c r="H304" s="657">
        <f t="shared" si="9"/>
        <v>2</v>
      </c>
      <c r="I304" s="660">
        <v>19</v>
      </c>
      <c r="J304" s="660">
        <v>5.4690000000000003</v>
      </c>
      <c r="K304" s="660">
        <v>0</v>
      </c>
      <c r="L304" s="662">
        <v>5.4690000000000003</v>
      </c>
      <c r="M304" s="660">
        <v>6511</v>
      </c>
      <c r="N304" s="663">
        <v>8.0000000000000004E-4</v>
      </c>
      <c r="O304" s="660">
        <v>5.5750000000000002</v>
      </c>
      <c r="P304" s="660">
        <v>0</v>
      </c>
      <c r="Q304" s="581"/>
      <c r="R304" s="581"/>
      <c r="S304" s="581"/>
      <c r="T304" s="581"/>
      <c r="U304" s="581"/>
    </row>
    <row r="305" spans="1:21">
      <c r="A305" s="581"/>
      <c r="B305" s="581"/>
      <c r="C305" s="581"/>
      <c r="D305" s="582" t="s">
        <v>715</v>
      </c>
      <c r="E305" s="660" t="s">
        <v>722</v>
      </c>
      <c r="F305" s="661">
        <v>41337</v>
      </c>
      <c r="G305" s="657">
        <f t="shared" si="8"/>
        <v>2013</v>
      </c>
      <c r="H305" s="657">
        <f t="shared" si="9"/>
        <v>3</v>
      </c>
      <c r="I305" s="660">
        <v>19</v>
      </c>
      <c r="J305" s="660">
        <v>4.9210000000000003</v>
      </c>
      <c r="K305" s="660">
        <v>0</v>
      </c>
      <c r="L305" s="662">
        <v>4.9210000000000003</v>
      </c>
      <c r="M305" s="660">
        <v>6172</v>
      </c>
      <c r="N305" s="663">
        <v>8.0000000000000004E-4</v>
      </c>
      <c r="O305" s="660">
        <v>5.024</v>
      </c>
      <c r="P305" s="660">
        <v>0</v>
      </c>
      <c r="Q305" s="581"/>
      <c r="R305" s="581"/>
      <c r="S305" s="581"/>
      <c r="T305" s="581"/>
      <c r="U305" s="581"/>
    </row>
    <row r="306" spans="1:21">
      <c r="A306" s="581"/>
      <c r="B306" s="581"/>
      <c r="C306" s="581"/>
      <c r="D306" s="582" t="s">
        <v>715</v>
      </c>
      <c r="E306" s="660" t="s">
        <v>722</v>
      </c>
      <c r="F306" s="661">
        <v>41382</v>
      </c>
      <c r="G306" s="657">
        <f t="shared" si="8"/>
        <v>2013</v>
      </c>
      <c r="H306" s="657">
        <f t="shared" si="9"/>
        <v>4</v>
      </c>
      <c r="I306" s="660">
        <v>12</v>
      </c>
      <c r="J306" s="660">
        <v>4.0140000000000002</v>
      </c>
      <c r="K306" s="660">
        <v>0</v>
      </c>
      <c r="L306" s="662">
        <v>4.0140000000000002</v>
      </c>
      <c r="M306" s="660">
        <v>5851</v>
      </c>
      <c r="N306" s="663">
        <v>6.9999999999999999E-4</v>
      </c>
      <c r="O306" s="660">
        <v>4.0810000000000004</v>
      </c>
      <c r="P306" s="660">
        <v>0</v>
      </c>
      <c r="Q306" s="581"/>
      <c r="R306" s="581"/>
      <c r="S306" s="581"/>
      <c r="T306" s="581"/>
      <c r="U306" s="581"/>
    </row>
    <row r="307" spans="1:21">
      <c r="A307" s="581"/>
      <c r="B307" s="581"/>
      <c r="C307" s="581"/>
      <c r="D307" s="582" t="s">
        <v>715</v>
      </c>
      <c r="E307" s="660" t="s">
        <v>722</v>
      </c>
      <c r="F307" s="661">
        <v>41408</v>
      </c>
      <c r="G307" s="657">
        <f t="shared" si="8"/>
        <v>2013</v>
      </c>
      <c r="H307" s="657">
        <f t="shared" si="9"/>
        <v>5</v>
      </c>
      <c r="I307" s="660">
        <v>17</v>
      </c>
      <c r="J307" s="660">
        <v>4.8659999999999997</v>
      </c>
      <c r="K307" s="660">
        <v>0</v>
      </c>
      <c r="L307" s="662">
        <v>4.8659999999999997</v>
      </c>
      <c r="M307" s="660">
        <v>6516</v>
      </c>
      <c r="N307" s="663">
        <v>6.9999999999999999E-4</v>
      </c>
      <c r="O307" s="660">
        <v>4.9279999999999999</v>
      </c>
      <c r="P307" s="660">
        <v>0</v>
      </c>
      <c r="Q307" s="581"/>
      <c r="R307" s="581"/>
      <c r="S307" s="581"/>
      <c r="T307" s="581"/>
      <c r="U307" s="581"/>
    </row>
    <row r="308" spans="1:21">
      <c r="A308" s="581"/>
      <c r="B308" s="581"/>
      <c r="C308" s="581"/>
      <c r="D308" s="582" t="s">
        <v>715</v>
      </c>
      <c r="E308" s="660" t="s">
        <v>722</v>
      </c>
      <c r="F308" s="661">
        <v>41451</v>
      </c>
      <c r="G308" s="657">
        <f t="shared" si="8"/>
        <v>2013</v>
      </c>
      <c r="H308" s="657">
        <f t="shared" si="9"/>
        <v>6</v>
      </c>
      <c r="I308" s="660">
        <v>16</v>
      </c>
      <c r="J308" s="660">
        <v>4.9870000000000001</v>
      </c>
      <c r="K308" s="660">
        <v>0</v>
      </c>
      <c r="L308" s="662">
        <v>4.9870000000000001</v>
      </c>
      <c r="M308" s="660">
        <v>8280</v>
      </c>
      <c r="N308" s="663">
        <v>5.9999999999999995E-4</v>
      </c>
      <c r="O308" s="660">
        <v>7.0010000000000003</v>
      </c>
      <c r="P308" s="660">
        <v>0</v>
      </c>
      <c r="Q308" s="581"/>
      <c r="R308" s="581"/>
      <c r="S308" s="581"/>
      <c r="T308" s="581"/>
      <c r="U308" s="581"/>
    </row>
    <row r="309" spans="1:21">
      <c r="A309" s="581"/>
      <c r="B309" s="581"/>
      <c r="C309" s="581"/>
      <c r="D309" s="582" t="s">
        <v>715</v>
      </c>
      <c r="E309" s="660" t="s">
        <v>722</v>
      </c>
      <c r="F309" s="661">
        <v>41473</v>
      </c>
      <c r="G309" s="657">
        <f t="shared" si="8"/>
        <v>2013</v>
      </c>
      <c r="H309" s="657">
        <f t="shared" si="9"/>
        <v>7</v>
      </c>
      <c r="I309" s="660">
        <v>17</v>
      </c>
      <c r="J309" s="660">
        <v>4.6420000000000003</v>
      </c>
      <c r="K309" s="660">
        <v>0</v>
      </c>
      <c r="L309" s="662">
        <v>4.6420000000000003</v>
      </c>
      <c r="M309" s="660">
        <v>9566</v>
      </c>
      <c r="N309" s="663">
        <v>5.0000000000000001E-4</v>
      </c>
      <c r="O309" s="660">
        <v>9.24</v>
      </c>
      <c r="P309" s="660">
        <v>0</v>
      </c>
      <c r="Q309" s="581"/>
      <c r="R309" s="581"/>
      <c r="S309" s="581"/>
      <c r="T309" s="581"/>
      <c r="U309" s="581"/>
    </row>
    <row r="310" spans="1:21">
      <c r="A310" s="581"/>
      <c r="B310" s="581"/>
      <c r="C310" s="581"/>
      <c r="D310" s="582" t="s">
        <v>715</v>
      </c>
      <c r="E310" s="660" t="s">
        <v>722</v>
      </c>
      <c r="F310" s="661">
        <v>41512</v>
      </c>
      <c r="G310" s="657">
        <f t="shared" si="8"/>
        <v>2013</v>
      </c>
      <c r="H310" s="657">
        <f t="shared" si="9"/>
        <v>8</v>
      </c>
      <c r="I310" s="660">
        <v>17</v>
      </c>
      <c r="J310" s="660">
        <v>9.2859999999999996</v>
      </c>
      <c r="K310" s="660">
        <v>0</v>
      </c>
      <c r="L310" s="662">
        <v>9.2859999999999996</v>
      </c>
      <c r="M310" s="660">
        <v>9821</v>
      </c>
      <c r="N310" s="663">
        <v>8.9999999999999998E-4</v>
      </c>
      <c r="O310" s="660">
        <v>9.3689999999999998</v>
      </c>
      <c r="P310" s="660">
        <v>0</v>
      </c>
      <c r="Q310" s="581"/>
      <c r="R310" s="581"/>
      <c r="S310" s="581"/>
      <c r="T310" s="581"/>
      <c r="U310" s="581"/>
    </row>
    <row r="311" spans="1:21">
      <c r="A311" s="581"/>
      <c r="B311" s="581"/>
      <c r="C311" s="581"/>
      <c r="D311" s="582" t="s">
        <v>715</v>
      </c>
      <c r="E311" s="660" t="s">
        <v>722</v>
      </c>
      <c r="F311" s="661">
        <v>41526</v>
      </c>
      <c r="G311" s="657">
        <f t="shared" si="8"/>
        <v>2013</v>
      </c>
      <c r="H311" s="657">
        <f t="shared" si="9"/>
        <v>9</v>
      </c>
      <c r="I311" s="660">
        <v>17</v>
      </c>
      <c r="J311" s="660">
        <v>8.6739999999999995</v>
      </c>
      <c r="K311" s="660">
        <v>0</v>
      </c>
      <c r="L311" s="662">
        <v>8.6739999999999995</v>
      </c>
      <c r="M311" s="660">
        <v>8781</v>
      </c>
      <c r="N311" s="663">
        <v>1E-3</v>
      </c>
      <c r="O311" s="660">
        <v>8.766</v>
      </c>
      <c r="P311" s="660">
        <v>0</v>
      </c>
      <c r="Q311" s="581"/>
      <c r="R311" s="581"/>
      <c r="S311" s="581"/>
      <c r="T311" s="581"/>
      <c r="U311" s="581"/>
    </row>
    <row r="312" spans="1:21">
      <c r="A312" s="581"/>
      <c r="B312" s="581"/>
      <c r="C312" s="581"/>
      <c r="D312" s="582" t="s">
        <v>715</v>
      </c>
      <c r="E312" s="660" t="s">
        <v>722</v>
      </c>
      <c r="F312" s="661">
        <v>41548</v>
      </c>
      <c r="G312" s="657">
        <f t="shared" si="8"/>
        <v>2013</v>
      </c>
      <c r="H312" s="657">
        <f t="shared" si="9"/>
        <v>10</v>
      </c>
      <c r="I312" s="660">
        <v>14</v>
      </c>
      <c r="J312" s="660">
        <v>4.1669999999999998</v>
      </c>
      <c r="K312" s="660">
        <v>0</v>
      </c>
      <c r="L312" s="662">
        <v>4.1669999999999998</v>
      </c>
      <c r="M312" s="660">
        <v>6214</v>
      </c>
      <c r="N312" s="663">
        <v>6.9999999999999999E-4</v>
      </c>
      <c r="O312" s="660">
        <v>4.4009999999999998</v>
      </c>
      <c r="P312" s="660">
        <v>0</v>
      </c>
      <c r="Q312" s="581"/>
      <c r="R312" s="581"/>
      <c r="S312" s="581"/>
      <c r="T312" s="581"/>
      <c r="U312" s="581"/>
    </row>
    <row r="313" spans="1:21">
      <c r="A313" s="581"/>
      <c r="B313" s="581"/>
      <c r="C313" s="581"/>
      <c r="D313" s="582" t="s">
        <v>715</v>
      </c>
      <c r="E313" s="660" t="s">
        <v>722</v>
      </c>
      <c r="F313" s="661">
        <v>41604</v>
      </c>
      <c r="G313" s="657">
        <f t="shared" si="8"/>
        <v>2013</v>
      </c>
      <c r="H313" s="657">
        <f t="shared" si="9"/>
        <v>11</v>
      </c>
      <c r="I313" s="660">
        <v>18</v>
      </c>
      <c r="J313" s="660">
        <v>5.1920000000000002</v>
      </c>
      <c r="K313" s="660">
        <v>0</v>
      </c>
      <c r="L313" s="662">
        <v>5.1920000000000002</v>
      </c>
      <c r="M313" s="660">
        <v>6372</v>
      </c>
      <c r="N313" s="663">
        <v>8.0000000000000004E-4</v>
      </c>
      <c r="O313" s="660">
        <v>5.2779999999999996</v>
      </c>
      <c r="P313" s="660">
        <v>0</v>
      </c>
      <c r="Q313" s="581"/>
      <c r="R313" s="581"/>
      <c r="S313" s="581"/>
      <c r="T313" s="581"/>
      <c r="U313" s="581"/>
    </row>
    <row r="314" spans="1:21">
      <c r="A314" s="581"/>
      <c r="B314" s="581"/>
      <c r="C314" s="581"/>
      <c r="D314" s="582" t="s">
        <v>715</v>
      </c>
      <c r="E314" s="660" t="s">
        <v>722</v>
      </c>
      <c r="F314" s="661">
        <v>41619</v>
      </c>
      <c r="G314" s="657">
        <f t="shared" si="8"/>
        <v>2013</v>
      </c>
      <c r="H314" s="657">
        <f t="shared" si="9"/>
        <v>12</v>
      </c>
      <c r="I314" s="660">
        <v>18</v>
      </c>
      <c r="J314" s="660">
        <v>5.6970000000000001</v>
      </c>
      <c r="K314" s="660">
        <v>0</v>
      </c>
      <c r="L314" s="662">
        <v>5.6970000000000001</v>
      </c>
      <c r="M314" s="660">
        <v>6972</v>
      </c>
      <c r="N314" s="663">
        <v>8.0000000000000004E-4</v>
      </c>
      <c r="O314" s="660">
        <v>5.7990000000000004</v>
      </c>
      <c r="P314" s="660">
        <v>0</v>
      </c>
      <c r="Q314" s="581"/>
      <c r="R314" s="581"/>
      <c r="S314" s="581"/>
      <c r="T314" s="581"/>
      <c r="U314" s="581"/>
    </row>
    <row r="315" spans="1:21">
      <c r="A315" s="581"/>
      <c r="B315" s="581"/>
      <c r="C315" s="581"/>
      <c r="D315" s="582" t="s">
        <v>715</v>
      </c>
      <c r="E315" s="582" t="s">
        <v>722</v>
      </c>
      <c r="F315" s="656">
        <v>41645</v>
      </c>
      <c r="G315" s="657">
        <f t="shared" si="8"/>
        <v>2014</v>
      </c>
      <c r="H315" s="657">
        <f t="shared" si="9"/>
        <v>1</v>
      </c>
      <c r="I315" s="582">
        <v>18</v>
      </c>
      <c r="J315" s="582">
        <v>6.1189999999999998</v>
      </c>
      <c r="K315" s="582">
        <v>0</v>
      </c>
      <c r="L315" s="658">
        <v>6.1189999999999998</v>
      </c>
      <c r="M315" s="659">
        <v>7188</v>
      </c>
      <c r="N315" s="582">
        <v>8.5000000000000006E-2</v>
      </c>
      <c r="O315" s="582">
        <v>6.24</v>
      </c>
      <c r="P315" s="582">
        <v>0</v>
      </c>
      <c r="Q315" s="581"/>
      <c r="R315" s="581"/>
      <c r="S315" s="581"/>
      <c r="T315" s="581"/>
      <c r="U315" s="581"/>
    </row>
    <row r="316" spans="1:21">
      <c r="A316" s="581"/>
      <c r="B316" s="581"/>
      <c r="C316" s="581"/>
      <c r="D316" s="582" t="s">
        <v>715</v>
      </c>
      <c r="E316" s="582" t="s">
        <v>722</v>
      </c>
      <c r="F316" s="656">
        <v>41676</v>
      </c>
      <c r="G316" s="657">
        <f t="shared" si="8"/>
        <v>2014</v>
      </c>
      <c r="H316" s="657">
        <f t="shared" si="9"/>
        <v>2</v>
      </c>
      <c r="I316" s="582">
        <v>19</v>
      </c>
      <c r="J316" s="582">
        <v>5.4370000000000003</v>
      </c>
      <c r="K316" s="582">
        <v>0</v>
      </c>
      <c r="L316" s="658">
        <v>5.4370000000000003</v>
      </c>
      <c r="M316" s="659">
        <v>6743</v>
      </c>
      <c r="N316" s="582">
        <v>8.1000000000000003E-2</v>
      </c>
      <c r="O316" s="582">
        <v>5.54</v>
      </c>
      <c r="P316" s="582">
        <v>0</v>
      </c>
      <c r="Q316" s="581"/>
      <c r="R316" s="581"/>
      <c r="S316" s="581"/>
      <c r="T316" s="581"/>
      <c r="U316" s="581"/>
    </row>
    <row r="317" spans="1:21">
      <c r="A317" s="581"/>
      <c r="B317" s="581"/>
      <c r="C317" s="581"/>
      <c r="D317" s="582" t="s">
        <v>715</v>
      </c>
      <c r="E317" s="582" t="s">
        <v>722</v>
      </c>
      <c r="F317" s="656">
        <v>41701</v>
      </c>
      <c r="G317" s="657">
        <f t="shared" si="8"/>
        <v>2014</v>
      </c>
      <c r="H317" s="657">
        <f t="shared" si="9"/>
        <v>3</v>
      </c>
      <c r="I317" s="582">
        <v>19</v>
      </c>
      <c r="J317" s="582">
        <v>5.3529999999999998</v>
      </c>
      <c r="K317" s="582">
        <v>0</v>
      </c>
      <c r="L317" s="658">
        <v>5.3529999999999998</v>
      </c>
      <c r="M317" s="659">
        <v>6537</v>
      </c>
      <c r="N317" s="582">
        <v>8.2000000000000003E-2</v>
      </c>
      <c r="O317" s="582">
        <v>5.4569999999999999</v>
      </c>
      <c r="P317" s="582">
        <v>0</v>
      </c>
      <c r="Q317" s="581"/>
      <c r="R317" s="581"/>
      <c r="S317" s="581"/>
      <c r="T317" s="581"/>
      <c r="U317" s="581"/>
    </row>
    <row r="318" spans="1:21">
      <c r="A318" s="581"/>
      <c r="B318" s="581"/>
      <c r="C318" s="581"/>
      <c r="D318" s="582" t="s">
        <v>715</v>
      </c>
      <c r="E318" s="582" t="s">
        <v>722</v>
      </c>
      <c r="F318" s="656">
        <v>41730</v>
      </c>
      <c r="G318" s="657">
        <f t="shared" si="8"/>
        <v>2014</v>
      </c>
      <c r="H318" s="657">
        <f t="shared" si="9"/>
        <v>4</v>
      </c>
      <c r="I318" s="582">
        <v>11</v>
      </c>
      <c r="J318" s="582">
        <v>4.0419999999999998</v>
      </c>
      <c r="K318" s="582">
        <v>0</v>
      </c>
      <c r="L318" s="658">
        <v>4.0419999999999998</v>
      </c>
      <c r="M318" s="659">
        <v>5924</v>
      </c>
      <c r="N318" s="582">
        <v>6.8000000000000005E-2</v>
      </c>
      <c r="O318" s="582">
        <v>4.1230000000000002</v>
      </c>
      <c r="P318" s="582">
        <v>0</v>
      </c>
      <c r="Q318" s="581"/>
      <c r="R318" s="581"/>
      <c r="S318" s="581"/>
      <c r="T318" s="581"/>
      <c r="U318" s="581"/>
    </row>
    <row r="319" spans="1:21">
      <c r="A319" s="581"/>
      <c r="B319" s="581"/>
      <c r="C319" s="581"/>
      <c r="D319" s="582" t="s">
        <v>715</v>
      </c>
      <c r="E319" s="582" t="s">
        <v>722</v>
      </c>
      <c r="F319" s="656">
        <v>41789</v>
      </c>
      <c r="G319" s="657">
        <f t="shared" si="8"/>
        <v>2014</v>
      </c>
      <c r="H319" s="657">
        <f t="shared" si="9"/>
        <v>5</v>
      </c>
      <c r="I319" s="582">
        <v>16</v>
      </c>
      <c r="J319" s="582">
        <v>6.26</v>
      </c>
      <c r="K319" s="582">
        <v>0</v>
      </c>
      <c r="L319" s="658">
        <v>6.26</v>
      </c>
      <c r="M319" s="659">
        <v>7422</v>
      </c>
      <c r="N319" s="582">
        <v>8.4000000000000005E-2</v>
      </c>
      <c r="O319" s="582">
        <v>6.2729999999999997</v>
      </c>
      <c r="P319" s="582">
        <v>0</v>
      </c>
      <c r="Q319" s="581"/>
      <c r="R319" s="581"/>
      <c r="S319" s="581"/>
      <c r="T319" s="581"/>
      <c r="U319" s="581"/>
    </row>
    <row r="320" spans="1:21">
      <c r="A320" s="581"/>
      <c r="B320" s="581"/>
      <c r="C320" s="581"/>
      <c r="D320" s="582" t="s">
        <v>715</v>
      </c>
      <c r="E320" s="582" t="s">
        <v>722</v>
      </c>
      <c r="F320" s="656">
        <v>41814</v>
      </c>
      <c r="G320" s="657">
        <f t="shared" si="8"/>
        <v>2014</v>
      </c>
      <c r="H320" s="657">
        <f t="shared" si="9"/>
        <v>6</v>
      </c>
      <c r="I320" s="582">
        <v>16</v>
      </c>
      <c r="J320" s="582">
        <v>6.7590000000000003</v>
      </c>
      <c r="K320" s="582">
        <v>0</v>
      </c>
      <c r="L320" s="658">
        <v>6.7590000000000003</v>
      </c>
      <c r="M320" s="659">
        <v>7670</v>
      </c>
      <c r="N320" s="582">
        <v>8.7999999999999995E-2</v>
      </c>
      <c r="O320" s="582">
        <v>6.83</v>
      </c>
      <c r="P320" s="582">
        <v>0</v>
      </c>
      <c r="Q320" s="581"/>
      <c r="R320" s="581"/>
      <c r="S320" s="581"/>
      <c r="T320" s="581"/>
      <c r="U320" s="581"/>
    </row>
    <row r="321" spans="1:21">
      <c r="A321" s="581"/>
      <c r="B321" s="581"/>
      <c r="C321" s="581"/>
      <c r="D321" s="582" t="s">
        <v>715</v>
      </c>
      <c r="E321" s="582" t="s">
        <v>722</v>
      </c>
      <c r="F321" s="656">
        <v>41841</v>
      </c>
      <c r="G321" s="657">
        <f t="shared" si="8"/>
        <v>2014</v>
      </c>
      <c r="H321" s="657">
        <f t="shared" si="9"/>
        <v>7</v>
      </c>
      <c r="I321" s="582">
        <v>17</v>
      </c>
      <c r="J321" s="582">
        <v>8.8849999999999998</v>
      </c>
      <c r="K321" s="582">
        <v>0</v>
      </c>
      <c r="L321" s="658">
        <v>8.8849999999999998</v>
      </c>
      <c r="M321" s="659">
        <v>9150</v>
      </c>
      <c r="N321" s="582">
        <v>9.7000000000000003E-2</v>
      </c>
      <c r="O321" s="582">
        <v>8.9629999999999992</v>
      </c>
      <c r="P321" s="582">
        <v>0</v>
      </c>
      <c r="Q321" s="581"/>
      <c r="R321" s="581"/>
      <c r="S321" s="581"/>
      <c r="T321" s="581"/>
      <c r="U321" s="581"/>
    </row>
    <row r="322" spans="1:21">
      <c r="A322" s="581"/>
      <c r="B322" s="581"/>
      <c r="C322" s="581"/>
      <c r="D322" s="582" t="s">
        <v>715</v>
      </c>
      <c r="E322" s="582" t="s">
        <v>722</v>
      </c>
      <c r="F322" s="656">
        <v>41869</v>
      </c>
      <c r="G322" s="657">
        <f t="shared" si="8"/>
        <v>2014</v>
      </c>
      <c r="H322" s="657">
        <f t="shared" si="9"/>
        <v>8</v>
      </c>
      <c r="I322" s="582">
        <v>16</v>
      </c>
      <c r="J322" s="582">
        <v>7.9710000000000001</v>
      </c>
      <c r="K322" s="582">
        <v>0</v>
      </c>
      <c r="L322" s="658">
        <v>7.9710000000000001</v>
      </c>
      <c r="M322" s="659">
        <v>8190</v>
      </c>
      <c r="N322" s="582">
        <v>9.7000000000000003E-2</v>
      </c>
      <c r="O322" s="582">
        <v>8.1010000000000009</v>
      </c>
      <c r="P322" s="582">
        <v>0</v>
      </c>
      <c r="Q322" s="581"/>
      <c r="R322" s="581"/>
      <c r="S322" s="581"/>
      <c r="T322" s="581"/>
      <c r="U322" s="581"/>
    </row>
    <row r="323" spans="1:21">
      <c r="A323" s="581"/>
      <c r="B323" s="581"/>
      <c r="C323" s="581"/>
      <c r="D323" s="582" t="s">
        <v>715</v>
      </c>
      <c r="E323" s="582" t="s">
        <v>722</v>
      </c>
      <c r="F323" s="656">
        <v>41886</v>
      </c>
      <c r="G323" s="657">
        <f t="shared" ref="G323:G386" si="10">YEAR(F323)</f>
        <v>2014</v>
      </c>
      <c r="H323" s="657">
        <f t="shared" ref="H323:H386" si="11">MONTH(F323)</f>
        <v>9</v>
      </c>
      <c r="I323" s="582">
        <v>15</v>
      </c>
      <c r="J323" s="582">
        <v>7.1289999999999996</v>
      </c>
      <c r="K323" s="582">
        <v>0</v>
      </c>
      <c r="L323" s="658">
        <v>7.1289999999999996</v>
      </c>
      <c r="M323" s="659">
        <v>7758</v>
      </c>
      <c r="N323" s="582">
        <v>9.1999999999999998E-2</v>
      </c>
      <c r="O323" s="582">
        <v>7.1890000000000001</v>
      </c>
      <c r="P323" s="582">
        <v>0</v>
      </c>
      <c r="Q323" s="581"/>
      <c r="R323" s="581"/>
      <c r="S323" s="581"/>
      <c r="T323" s="581"/>
      <c r="U323" s="581"/>
    </row>
    <row r="324" spans="1:21">
      <c r="A324" s="581"/>
      <c r="B324" s="581"/>
      <c r="C324" s="581"/>
      <c r="D324" s="582" t="s">
        <v>715</v>
      </c>
      <c r="E324" s="582" t="s">
        <v>722</v>
      </c>
      <c r="F324" s="656">
        <v>41942</v>
      </c>
      <c r="G324" s="657">
        <f t="shared" si="10"/>
        <v>2014</v>
      </c>
      <c r="H324" s="657">
        <f t="shared" si="11"/>
        <v>10</v>
      </c>
      <c r="I324" s="582">
        <v>20</v>
      </c>
      <c r="J324" s="582">
        <v>4.5869999999999997</v>
      </c>
      <c r="K324" s="582">
        <v>0</v>
      </c>
      <c r="L324" s="658">
        <v>4.5869999999999997</v>
      </c>
      <c r="M324" s="659">
        <v>5901</v>
      </c>
      <c r="N324" s="582">
        <v>7.8E-2</v>
      </c>
      <c r="O324" s="582">
        <v>4.6189999999999998</v>
      </c>
      <c r="P324" s="582">
        <v>0</v>
      </c>
      <c r="Q324" s="581"/>
      <c r="R324" s="581"/>
      <c r="S324" s="581"/>
      <c r="T324" s="581"/>
      <c r="U324" s="581"/>
    </row>
    <row r="325" spans="1:21">
      <c r="A325" s="581"/>
      <c r="B325" s="581"/>
      <c r="C325" s="581"/>
      <c r="D325" s="582" t="s">
        <v>715</v>
      </c>
      <c r="E325" s="582" t="s">
        <v>722</v>
      </c>
      <c r="F325" s="656">
        <v>41960</v>
      </c>
      <c r="G325" s="657">
        <f t="shared" si="10"/>
        <v>2014</v>
      </c>
      <c r="H325" s="657">
        <f t="shared" si="11"/>
        <v>11</v>
      </c>
      <c r="I325" s="582">
        <v>18</v>
      </c>
      <c r="J325" s="582">
        <v>6.0030000000000001</v>
      </c>
      <c r="K325" s="582">
        <v>0</v>
      </c>
      <c r="L325" s="658">
        <v>6.0030000000000001</v>
      </c>
      <c r="M325" s="659">
        <v>6677</v>
      </c>
      <c r="N325" s="582">
        <v>0.09</v>
      </c>
      <c r="O325" s="582">
        <v>6.1379999999999999</v>
      </c>
      <c r="P325" s="582">
        <v>0</v>
      </c>
      <c r="Q325" s="581"/>
      <c r="R325" s="581"/>
      <c r="S325" s="581"/>
      <c r="T325" s="581"/>
      <c r="U325" s="581"/>
    </row>
    <row r="326" spans="1:21">
      <c r="A326" s="581"/>
      <c r="B326" s="581"/>
      <c r="C326" s="581"/>
      <c r="D326" s="582" t="s">
        <v>715</v>
      </c>
      <c r="E326" s="582" t="s">
        <v>722</v>
      </c>
      <c r="F326" s="656">
        <v>41974</v>
      </c>
      <c r="G326" s="657">
        <f t="shared" si="10"/>
        <v>2014</v>
      </c>
      <c r="H326" s="657">
        <f t="shared" si="11"/>
        <v>12</v>
      </c>
      <c r="I326" s="582">
        <v>18</v>
      </c>
      <c r="J326" s="582">
        <v>5.4530000000000003</v>
      </c>
      <c r="K326" s="582">
        <v>0</v>
      </c>
      <c r="L326" s="658">
        <v>5.4530000000000003</v>
      </c>
      <c r="M326" s="659">
        <v>6850</v>
      </c>
      <c r="N326" s="582">
        <v>0.08</v>
      </c>
      <c r="O326" s="582">
        <v>5.5830000000000002</v>
      </c>
      <c r="P326" s="582">
        <v>0</v>
      </c>
      <c r="Q326" s="581"/>
      <c r="R326" s="581"/>
      <c r="S326" s="581"/>
      <c r="T326" s="581"/>
      <c r="U326" s="581"/>
    </row>
    <row r="327" spans="1:21">
      <c r="A327" s="581"/>
      <c r="B327" s="581"/>
      <c r="C327" s="581"/>
      <c r="D327" s="582" t="s">
        <v>715</v>
      </c>
      <c r="E327" s="582" t="s">
        <v>722</v>
      </c>
      <c r="F327" s="656">
        <v>42011</v>
      </c>
      <c r="G327" s="657">
        <f t="shared" si="10"/>
        <v>2015</v>
      </c>
      <c r="H327" s="657">
        <f t="shared" si="11"/>
        <v>1</v>
      </c>
      <c r="I327" s="582">
        <v>18</v>
      </c>
      <c r="J327" s="582">
        <v>5.5979999999999999</v>
      </c>
      <c r="K327" s="582">
        <v>0</v>
      </c>
      <c r="L327" s="658">
        <v>5.5979999999999999</v>
      </c>
      <c r="M327" s="659">
        <v>6978</v>
      </c>
      <c r="N327" s="582">
        <v>0.08</v>
      </c>
      <c r="O327" s="582">
        <v>5.6909999999999998</v>
      </c>
      <c r="P327" s="582">
        <v>0</v>
      </c>
      <c r="Q327" s="581"/>
      <c r="R327" s="581"/>
      <c r="S327" s="581"/>
      <c r="T327" s="581"/>
      <c r="U327" s="581"/>
    </row>
    <row r="328" spans="1:21">
      <c r="A328" s="581"/>
      <c r="B328" s="581"/>
      <c r="C328" s="581"/>
      <c r="D328" s="582" t="s">
        <v>715</v>
      </c>
      <c r="E328" s="582" t="s">
        <v>722</v>
      </c>
      <c r="F328" s="656">
        <v>42053</v>
      </c>
      <c r="G328" s="657">
        <f t="shared" si="10"/>
        <v>2015</v>
      </c>
      <c r="H328" s="657">
        <f t="shared" si="11"/>
        <v>2</v>
      </c>
      <c r="I328" s="582">
        <v>19</v>
      </c>
      <c r="J328" s="582">
        <v>5.258</v>
      </c>
      <c r="K328" s="582">
        <v>0</v>
      </c>
      <c r="L328" s="658">
        <v>5.258</v>
      </c>
      <c r="M328" s="659">
        <v>6744</v>
      </c>
      <c r="N328" s="582">
        <v>7.8E-2</v>
      </c>
      <c r="O328" s="582">
        <v>5.359</v>
      </c>
      <c r="P328" s="582">
        <v>0</v>
      </c>
      <c r="Q328" s="581"/>
      <c r="R328" s="581"/>
      <c r="S328" s="581"/>
      <c r="T328" s="581"/>
      <c r="U328" s="581"/>
    </row>
    <row r="329" spans="1:21">
      <c r="A329" s="581"/>
      <c r="B329" s="581"/>
      <c r="C329" s="581"/>
      <c r="D329" s="582" t="s">
        <v>715</v>
      </c>
      <c r="E329" s="582" t="s">
        <v>722</v>
      </c>
      <c r="F329" s="656">
        <v>42067</v>
      </c>
      <c r="G329" s="657">
        <f t="shared" si="10"/>
        <v>2015</v>
      </c>
      <c r="H329" s="657">
        <f t="shared" si="11"/>
        <v>3</v>
      </c>
      <c r="I329" s="582">
        <v>20</v>
      </c>
      <c r="J329" s="582">
        <v>4.9029999999999996</v>
      </c>
      <c r="K329" s="582">
        <v>0</v>
      </c>
      <c r="L329" s="658">
        <v>4.9029999999999996</v>
      </c>
      <c r="M329" s="659">
        <v>6470</v>
      </c>
      <c r="N329" s="582">
        <v>7.5999999999999998E-2</v>
      </c>
      <c r="O329" s="582">
        <v>4.9770000000000003</v>
      </c>
      <c r="P329" s="582">
        <v>0</v>
      </c>
      <c r="Q329" s="581"/>
      <c r="R329" s="581"/>
      <c r="S329" s="581"/>
      <c r="T329" s="581"/>
      <c r="U329" s="581"/>
    </row>
    <row r="330" spans="1:21">
      <c r="A330" s="581"/>
      <c r="B330" s="581"/>
      <c r="C330" s="581"/>
      <c r="D330" s="582" t="s">
        <v>715</v>
      </c>
      <c r="E330" s="582" t="s">
        <v>722</v>
      </c>
      <c r="F330" s="656">
        <v>42103</v>
      </c>
      <c r="G330" s="657">
        <f t="shared" si="10"/>
        <v>2015</v>
      </c>
      <c r="H330" s="657">
        <f t="shared" si="11"/>
        <v>4</v>
      </c>
      <c r="I330" s="582">
        <v>12</v>
      </c>
      <c r="J330" s="582">
        <v>3.7759999999999998</v>
      </c>
      <c r="K330" s="582">
        <v>0</v>
      </c>
      <c r="L330" s="658">
        <v>3.7759999999999998</v>
      </c>
      <c r="M330" s="659">
        <v>5914</v>
      </c>
      <c r="N330" s="582">
        <v>6.4000000000000001E-2</v>
      </c>
      <c r="O330" s="582">
        <v>3.8140000000000001</v>
      </c>
      <c r="P330" s="582">
        <v>0</v>
      </c>
      <c r="Q330" s="581"/>
      <c r="R330" s="581"/>
      <c r="S330" s="581"/>
      <c r="T330" s="581"/>
      <c r="U330" s="581"/>
    </row>
    <row r="331" spans="1:21">
      <c r="A331" s="581"/>
      <c r="B331" s="581"/>
      <c r="C331" s="581"/>
      <c r="D331" s="582" t="s">
        <v>715</v>
      </c>
      <c r="E331" s="582" t="s">
        <v>722</v>
      </c>
      <c r="F331" s="656">
        <v>42152</v>
      </c>
      <c r="G331" s="657">
        <f t="shared" si="10"/>
        <v>2015</v>
      </c>
      <c r="H331" s="657">
        <f t="shared" si="11"/>
        <v>5</v>
      </c>
      <c r="I331" s="582">
        <v>16</v>
      </c>
      <c r="J331" s="582">
        <v>4.9969999999999999</v>
      </c>
      <c r="K331" s="582">
        <v>0</v>
      </c>
      <c r="L331" s="658">
        <v>4.9969999999999999</v>
      </c>
      <c r="M331" s="659">
        <v>6837</v>
      </c>
      <c r="N331" s="582">
        <v>7.2999999999999995E-2</v>
      </c>
      <c r="O331" s="582">
        <v>5.0540000000000003</v>
      </c>
      <c r="P331" s="582">
        <v>0</v>
      </c>
      <c r="Q331" s="581"/>
      <c r="R331" s="581"/>
      <c r="S331" s="581"/>
      <c r="T331" s="581"/>
      <c r="U331" s="581"/>
    </row>
    <row r="332" spans="1:21">
      <c r="A332" s="581"/>
      <c r="B332" s="581"/>
      <c r="C332" s="581"/>
      <c r="D332" s="582" t="s">
        <v>715</v>
      </c>
      <c r="E332" s="582" t="s">
        <v>722</v>
      </c>
      <c r="F332" s="656">
        <v>42164</v>
      </c>
      <c r="G332" s="657">
        <f t="shared" si="10"/>
        <v>2015</v>
      </c>
      <c r="H332" s="657">
        <f t="shared" si="11"/>
        <v>6</v>
      </c>
      <c r="I332" s="582">
        <v>17</v>
      </c>
      <c r="J332" s="582">
        <v>6.952</v>
      </c>
      <c r="K332" s="582">
        <v>0</v>
      </c>
      <c r="L332" s="658">
        <v>6.952</v>
      </c>
      <c r="M332" s="659">
        <v>8136</v>
      </c>
      <c r="N332" s="582">
        <v>8.5000000000000006E-2</v>
      </c>
      <c r="O332" s="582">
        <v>7.0359999999999996</v>
      </c>
      <c r="P332" s="582">
        <v>0</v>
      </c>
      <c r="Q332" s="581"/>
      <c r="R332" s="581"/>
      <c r="S332" s="581"/>
      <c r="T332" s="581"/>
      <c r="U332" s="581"/>
    </row>
    <row r="333" spans="1:21">
      <c r="A333" s="581"/>
      <c r="B333" s="581"/>
      <c r="C333" s="581"/>
      <c r="D333" s="582" t="s">
        <v>715</v>
      </c>
      <c r="E333" s="582" t="s">
        <v>722</v>
      </c>
      <c r="F333" s="656">
        <v>42212</v>
      </c>
      <c r="G333" s="657">
        <f t="shared" si="10"/>
        <v>2015</v>
      </c>
      <c r="H333" s="657">
        <f t="shared" si="11"/>
        <v>7</v>
      </c>
      <c r="I333" s="582">
        <v>17</v>
      </c>
      <c r="J333" s="582">
        <v>7.24</v>
      </c>
      <c r="K333" s="582">
        <v>0</v>
      </c>
      <c r="L333" s="658">
        <v>7.24</v>
      </c>
      <c r="M333" s="659">
        <v>8769</v>
      </c>
      <c r="N333" s="582">
        <v>8.3000000000000004E-2</v>
      </c>
      <c r="O333" s="582">
        <v>7.3659999999999997</v>
      </c>
      <c r="P333" s="582">
        <v>0</v>
      </c>
      <c r="Q333" s="581"/>
      <c r="R333" s="581"/>
      <c r="S333" s="581"/>
      <c r="T333" s="581"/>
      <c r="U333" s="581"/>
    </row>
    <row r="334" spans="1:21">
      <c r="A334" s="581"/>
      <c r="B334" s="581"/>
      <c r="C334" s="581"/>
      <c r="D334" s="582" t="s">
        <v>715</v>
      </c>
      <c r="E334" s="582" t="s">
        <v>722</v>
      </c>
      <c r="F334" s="656">
        <v>42230</v>
      </c>
      <c r="G334" s="657">
        <f t="shared" si="10"/>
        <v>2015</v>
      </c>
      <c r="H334" s="657">
        <f t="shared" si="11"/>
        <v>8</v>
      </c>
      <c r="I334" s="582">
        <v>16</v>
      </c>
      <c r="J334" s="582">
        <v>8.1720000000000006</v>
      </c>
      <c r="K334" s="582">
        <v>0</v>
      </c>
      <c r="L334" s="658">
        <v>8.1720000000000006</v>
      </c>
      <c r="M334" s="659">
        <v>8926</v>
      </c>
      <c r="N334" s="582">
        <v>9.1999999999999998E-2</v>
      </c>
      <c r="O334" s="582">
        <v>8.2550000000000008</v>
      </c>
      <c r="P334" s="582">
        <v>0</v>
      </c>
      <c r="Q334" s="581"/>
      <c r="R334" s="581"/>
      <c r="S334" s="581"/>
      <c r="T334" s="581"/>
      <c r="U334" s="581"/>
    </row>
    <row r="335" spans="1:21">
      <c r="A335" s="581"/>
      <c r="B335" s="581"/>
      <c r="C335" s="581"/>
      <c r="D335" s="582" t="s">
        <v>715</v>
      </c>
      <c r="E335" s="582" t="s">
        <v>722</v>
      </c>
      <c r="F335" s="656">
        <v>42250</v>
      </c>
      <c r="G335" s="657">
        <f t="shared" si="10"/>
        <v>2015</v>
      </c>
      <c r="H335" s="657">
        <f t="shared" si="11"/>
        <v>9</v>
      </c>
      <c r="I335" s="582">
        <v>17</v>
      </c>
      <c r="J335" s="582">
        <v>8.3439999999999994</v>
      </c>
      <c r="K335" s="582">
        <v>0</v>
      </c>
      <c r="L335" s="658">
        <v>8.3439999999999994</v>
      </c>
      <c r="M335" s="659">
        <v>8657</v>
      </c>
      <c r="N335" s="582">
        <v>9.6000000000000002E-2</v>
      </c>
      <c r="O335" s="582">
        <v>8.4510000000000005</v>
      </c>
      <c r="P335" s="582">
        <v>0</v>
      </c>
      <c r="Q335" s="581"/>
      <c r="R335" s="581"/>
      <c r="S335" s="581"/>
      <c r="T335" s="581"/>
      <c r="U335" s="581"/>
    </row>
    <row r="336" spans="1:21">
      <c r="A336" s="581"/>
      <c r="B336" s="581"/>
      <c r="C336" s="581"/>
      <c r="D336" s="582" t="s">
        <v>715</v>
      </c>
      <c r="E336" s="582" t="s">
        <v>722</v>
      </c>
      <c r="F336" s="656">
        <v>42285</v>
      </c>
      <c r="G336" s="657">
        <f t="shared" si="10"/>
        <v>2015</v>
      </c>
      <c r="H336" s="657">
        <f t="shared" si="11"/>
        <v>10</v>
      </c>
      <c r="I336" s="582">
        <v>12</v>
      </c>
      <c r="J336" s="582">
        <v>4.0990000000000002</v>
      </c>
      <c r="K336" s="582">
        <v>0</v>
      </c>
      <c r="L336" s="658">
        <v>4.0990000000000002</v>
      </c>
      <c r="M336" s="659">
        <v>5943</v>
      </c>
      <c r="N336" s="582">
        <v>6.9000000000000006E-2</v>
      </c>
      <c r="O336" s="582">
        <v>4.1660000000000004</v>
      </c>
      <c r="P336" s="582">
        <v>0</v>
      </c>
      <c r="Q336" s="581"/>
      <c r="R336" s="581"/>
      <c r="S336" s="581"/>
      <c r="T336" s="581"/>
      <c r="U336" s="581"/>
    </row>
    <row r="337" spans="1:21">
      <c r="A337" s="581"/>
      <c r="B337" s="581"/>
      <c r="C337" s="581"/>
      <c r="D337" s="582" t="s">
        <v>715</v>
      </c>
      <c r="E337" s="582" t="s">
        <v>722</v>
      </c>
      <c r="F337" s="656">
        <v>42338</v>
      </c>
      <c r="G337" s="657">
        <f t="shared" si="10"/>
        <v>2015</v>
      </c>
      <c r="H337" s="657">
        <f t="shared" si="11"/>
        <v>11</v>
      </c>
      <c r="I337" s="582">
        <v>18</v>
      </c>
      <c r="J337" s="582">
        <v>4.9619999999999997</v>
      </c>
      <c r="K337" s="582">
        <v>0</v>
      </c>
      <c r="L337" s="658">
        <v>4.9619999999999997</v>
      </c>
      <c r="M337" s="659">
        <v>6574</v>
      </c>
      <c r="N337" s="582">
        <v>7.4999999999999997E-2</v>
      </c>
      <c r="O337" s="582">
        <v>5.0990000000000002</v>
      </c>
      <c r="P337" s="582">
        <v>0</v>
      </c>
      <c r="Q337" s="581"/>
      <c r="R337" s="581"/>
      <c r="S337" s="581"/>
      <c r="T337" s="581"/>
      <c r="U337" s="581"/>
    </row>
    <row r="338" spans="1:21">
      <c r="A338" s="581"/>
      <c r="B338" s="581"/>
      <c r="C338" s="581"/>
      <c r="D338" s="582" t="s">
        <v>715</v>
      </c>
      <c r="E338" s="582" t="s">
        <v>722</v>
      </c>
      <c r="F338" s="656">
        <v>42355</v>
      </c>
      <c r="G338" s="657">
        <f t="shared" si="10"/>
        <v>2015</v>
      </c>
      <c r="H338" s="657">
        <f t="shared" si="11"/>
        <v>12</v>
      </c>
      <c r="I338" s="582">
        <v>18</v>
      </c>
      <c r="J338" s="582">
        <v>5.04</v>
      </c>
      <c r="K338" s="582">
        <v>0</v>
      </c>
      <c r="L338" s="658">
        <v>5.04</v>
      </c>
      <c r="M338" s="659">
        <v>6450</v>
      </c>
      <c r="N338" s="582">
        <v>7.8E-2</v>
      </c>
      <c r="O338" s="582">
        <v>5.1470000000000002</v>
      </c>
      <c r="P338" s="582">
        <v>0</v>
      </c>
      <c r="Q338" s="581"/>
      <c r="R338" s="581"/>
      <c r="S338" s="581"/>
      <c r="T338" s="581"/>
      <c r="U338" s="581"/>
    </row>
    <row r="339" spans="1:21">
      <c r="A339" s="581"/>
      <c r="B339" s="581"/>
      <c r="C339" s="581"/>
      <c r="D339" s="582" t="s">
        <v>715</v>
      </c>
      <c r="E339" s="660" t="s">
        <v>723</v>
      </c>
      <c r="F339" s="661">
        <v>40927</v>
      </c>
      <c r="G339" s="657">
        <f t="shared" si="10"/>
        <v>2012</v>
      </c>
      <c r="H339" s="657">
        <f t="shared" si="11"/>
        <v>1</v>
      </c>
      <c r="I339" s="660">
        <v>19</v>
      </c>
      <c r="J339" s="660">
        <v>2.0830000000000002</v>
      </c>
      <c r="K339" s="660">
        <v>0</v>
      </c>
      <c r="L339" s="662">
        <v>2.0830000000000002</v>
      </c>
      <c r="M339" s="660">
        <v>6604</v>
      </c>
      <c r="N339" s="663">
        <v>2.9999999999999997E-4</v>
      </c>
      <c r="O339" s="660">
        <v>2.1269999999999998</v>
      </c>
      <c r="P339" s="660">
        <v>0</v>
      </c>
      <c r="Q339" s="581"/>
      <c r="R339" s="581"/>
      <c r="S339" s="581"/>
      <c r="T339" s="581"/>
      <c r="U339" s="581"/>
    </row>
    <row r="340" spans="1:21">
      <c r="A340" s="581"/>
      <c r="B340" s="581"/>
      <c r="C340" s="581"/>
      <c r="D340" s="582" t="s">
        <v>715</v>
      </c>
      <c r="E340" s="660" t="s">
        <v>723</v>
      </c>
      <c r="F340" s="661">
        <v>40967</v>
      </c>
      <c r="G340" s="657">
        <f t="shared" si="10"/>
        <v>2012</v>
      </c>
      <c r="H340" s="657">
        <f t="shared" si="11"/>
        <v>2</v>
      </c>
      <c r="I340" s="660">
        <v>19</v>
      </c>
      <c r="J340" s="660">
        <v>1.929</v>
      </c>
      <c r="K340" s="660">
        <v>0</v>
      </c>
      <c r="L340" s="662">
        <v>1.929</v>
      </c>
      <c r="M340" s="660">
        <v>6178</v>
      </c>
      <c r="N340" s="663">
        <v>2.9999999999999997E-4</v>
      </c>
      <c r="O340" s="660">
        <v>1.9790000000000001</v>
      </c>
      <c r="P340" s="660">
        <v>0</v>
      </c>
      <c r="Q340" s="581"/>
      <c r="R340" s="581"/>
      <c r="S340" s="581"/>
      <c r="T340" s="581"/>
      <c r="U340" s="581"/>
    </row>
    <row r="341" spans="1:21">
      <c r="A341" s="581"/>
      <c r="B341" s="581"/>
      <c r="C341" s="581"/>
      <c r="D341" s="582" t="s">
        <v>715</v>
      </c>
      <c r="E341" s="660" t="s">
        <v>723</v>
      </c>
      <c r="F341" s="661">
        <v>40987</v>
      </c>
      <c r="G341" s="657">
        <f t="shared" si="10"/>
        <v>2012</v>
      </c>
      <c r="H341" s="657">
        <f t="shared" si="11"/>
        <v>3</v>
      </c>
      <c r="I341" s="660">
        <v>14</v>
      </c>
      <c r="J341" s="660">
        <v>2.6070000000000002</v>
      </c>
      <c r="K341" s="660">
        <v>0</v>
      </c>
      <c r="L341" s="662">
        <v>2.6070000000000002</v>
      </c>
      <c r="M341" s="660">
        <v>6170</v>
      </c>
      <c r="N341" s="663">
        <v>4.0000000000000002E-4</v>
      </c>
      <c r="O341" s="660">
        <v>2.6520000000000001</v>
      </c>
      <c r="P341" s="660">
        <v>0</v>
      </c>
      <c r="Q341" s="581"/>
      <c r="R341" s="581"/>
      <c r="S341" s="581"/>
      <c r="T341" s="581"/>
      <c r="U341" s="581"/>
    </row>
    <row r="342" spans="1:21">
      <c r="A342" s="581"/>
      <c r="B342" s="581"/>
      <c r="C342" s="581"/>
      <c r="D342" s="582" t="s">
        <v>715</v>
      </c>
      <c r="E342" s="660" t="s">
        <v>723</v>
      </c>
      <c r="F342" s="661">
        <v>41024</v>
      </c>
      <c r="G342" s="657">
        <f t="shared" si="10"/>
        <v>2012</v>
      </c>
      <c r="H342" s="657">
        <f t="shared" si="11"/>
        <v>4</v>
      </c>
      <c r="I342" s="660">
        <v>15</v>
      </c>
      <c r="J342" s="660">
        <v>2.419</v>
      </c>
      <c r="K342" s="660">
        <v>0</v>
      </c>
      <c r="L342" s="662">
        <v>2.419</v>
      </c>
      <c r="M342" s="660">
        <v>5813</v>
      </c>
      <c r="N342" s="663">
        <v>4.0000000000000002E-4</v>
      </c>
      <c r="O342" s="660">
        <v>2.4620000000000002</v>
      </c>
      <c r="P342" s="660">
        <v>0</v>
      </c>
      <c r="Q342" s="581"/>
      <c r="R342" s="581"/>
      <c r="S342" s="581"/>
      <c r="T342" s="581"/>
      <c r="U342" s="581"/>
    </row>
    <row r="343" spans="1:21">
      <c r="A343" s="581"/>
      <c r="B343" s="581"/>
      <c r="C343" s="581"/>
      <c r="D343" s="582" t="s">
        <v>715</v>
      </c>
      <c r="E343" s="660" t="s">
        <v>723</v>
      </c>
      <c r="F343" s="661">
        <v>41047</v>
      </c>
      <c r="G343" s="657">
        <f t="shared" si="10"/>
        <v>2012</v>
      </c>
      <c r="H343" s="657">
        <f t="shared" si="11"/>
        <v>5</v>
      </c>
      <c r="I343" s="660">
        <v>17</v>
      </c>
      <c r="J343" s="660">
        <v>2.0979999999999999</v>
      </c>
      <c r="K343" s="660">
        <v>0</v>
      </c>
      <c r="L343" s="662">
        <v>2.0979999999999999</v>
      </c>
      <c r="M343" s="660">
        <v>7203</v>
      </c>
      <c r="N343" s="663">
        <v>2.9999999999999997E-4</v>
      </c>
      <c r="O343" s="660">
        <v>2.1469999999999998</v>
      </c>
      <c r="P343" s="660">
        <v>0</v>
      </c>
      <c r="Q343" s="581"/>
      <c r="R343" s="581"/>
      <c r="S343" s="581"/>
      <c r="T343" s="581"/>
      <c r="U343" s="581"/>
    </row>
    <row r="344" spans="1:21">
      <c r="A344" s="581"/>
      <c r="B344" s="581"/>
      <c r="C344" s="581"/>
      <c r="D344" s="582" t="s">
        <v>715</v>
      </c>
      <c r="E344" s="660" t="s">
        <v>723</v>
      </c>
      <c r="F344" s="661">
        <v>41087</v>
      </c>
      <c r="G344" s="657">
        <f t="shared" si="10"/>
        <v>2012</v>
      </c>
      <c r="H344" s="657">
        <f t="shared" si="11"/>
        <v>6</v>
      </c>
      <c r="I344" s="660">
        <v>17</v>
      </c>
      <c r="J344" s="660">
        <v>3.3740000000000001</v>
      </c>
      <c r="K344" s="660">
        <v>0</v>
      </c>
      <c r="L344" s="662">
        <v>3.3740000000000001</v>
      </c>
      <c r="M344" s="660">
        <v>8833</v>
      </c>
      <c r="N344" s="663">
        <v>4.0000000000000002E-4</v>
      </c>
      <c r="O344" s="660">
        <v>3.456</v>
      </c>
      <c r="P344" s="660">
        <v>0</v>
      </c>
      <c r="Q344" s="581"/>
      <c r="R344" s="581"/>
      <c r="S344" s="581"/>
      <c r="T344" s="581"/>
      <c r="U344" s="581"/>
    </row>
    <row r="345" spans="1:21">
      <c r="A345" s="581"/>
      <c r="B345" s="581"/>
      <c r="C345" s="581"/>
      <c r="D345" s="582" t="s">
        <v>715</v>
      </c>
      <c r="E345" s="660" t="s">
        <v>723</v>
      </c>
      <c r="F345" s="661">
        <v>41092</v>
      </c>
      <c r="G345" s="657">
        <f t="shared" si="10"/>
        <v>2012</v>
      </c>
      <c r="H345" s="657">
        <f t="shared" si="11"/>
        <v>7</v>
      </c>
      <c r="I345" s="660">
        <v>17</v>
      </c>
      <c r="J345" s="660">
        <v>3.3460000000000001</v>
      </c>
      <c r="K345" s="660">
        <v>0</v>
      </c>
      <c r="L345" s="662">
        <v>3.3460000000000001</v>
      </c>
      <c r="M345" s="660">
        <v>9682</v>
      </c>
      <c r="N345" s="663">
        <v>2.9999999999999997E-4</v>
      </c>
      <c r="O345" s="660">
        <v>3.411</v>
      </c>
      <c r="P345" s="660">
        <v>0</v>
      </c>
      <c r="Q345" s="581"/>
      <c r="R345" s="581"/>
      <c r="S345" s="581"/>
      <c r="T345" s="581"/>
      <c r="U345" s="581"/>
    </row>
    <row r="346" spans="1:21">
      <c r="A346" s="581"/>
      <c r="B346" s="581"/>
      <c r="C346" s="581"/>
      <c r="D346" s="582" t="s">
        <v>715</v>
      </c>
      <c r="E346" s="660" t="s">
        <v>723</v>
      </c>
      <c r="F346" s="661">
        <v>41122</v>
      </c>
      <c r="G346" s="657">
        <f t="shared" si="10"/>
        <v>2012</v>
      </c>
      <c r="H346" s="657">
        <f t="shared" si="11"/>
        <v>8</v>
      </c>
      <c r="I346" s="660">
        <v>17</v>
      </c>
      <c r="J346" s="660">
        <v>3.4350000000000001</v>
      </c>
      <c r="K346" s="660">
        <v>0</v>
      </c>
      <c r="L346" s="662">
        <v>3.4350000000000001</v>
      </c>
      <c r="M346" s="660">
        <v>8979</v>
      </c>
      <c r="N346" s="663">
        <v>4.0000000000000002E-4</v>
      </c>
      <c r="O346" s="660">
        <v>3.5049999999999999</v>
      </c>
      <c r="P346" s="660">
        <v>0</v>
      </c>
      <c r="Q346" s="581"/>
      <c r="R346" s="581"/>
      <c r="S346" s="581"/>
      <c r="T346" s="581"/>
      <c r="U346" s="581"/>
    </row>
    <row r="347" spans="1:21">
      <c r="A347" s="581"/>
      <c r="B347" s="581"/>
      <c r="C347" s="581"/>
      <c r="D347" s="582" t="s">
        <v>715</v>
      </c>
      <c r="E347" s="660" t="s">
        <v>723</v>
      </c>
      <c r="F347" s="661">
        <v>41156</v>
      </c>
      <c r="G347" s="657">
        <f t="shared" si="10"/>
        <v>2012</v>
      </c>
      <c r="H347" s="657">
        <f t="shared" si="11"/>
        <v>9</v>
      </c>
      <c r="I347" s="660">
        <v>16</v>
      </c>
      <c r="J347" s="660">
        <v>3.5510000000000002</v>
      </c>
      <c r="K347" s="660">
        <v>0</v>
      </c>
      <c r="L347" s="662">
        <v>3.5510000000000002</v>
      </c>
      <c r="M347" s="660">
        <v>8521</v>
      </c>
      <c r="N347" s="663">
        <v>4.0000000000000002E-4</v>
      </c>
      <c r="O347" s="660">
        <v>3.625</v>
      </c>
      <c r="P347" s="660">
        <v>0</v>
      </c>
      <c r="Q347" s="581"/>
      <c r="R347" s="581"/>
      <c r="S347" s="581"/>
      <c r="T347" s="581"/>
      <c r="U347" s="581"/>
    </row>
    <row r="348" spans="1:21">
      <c r="A348" s="581"/>
      <c r="B348" s="581"/>
      <c r="C348" s="581"/>
      <c r="D348" s="582" t="s">
        <v>715</v>
      </c>
      <c r="E348" s="660" t="s">
        <v>723</v>
      </c>
      <c r="F348" s="661">
        <v>41185</v>
      </c>
      <c r="G348" s="657">
        <f t="shared" si="10"/>
        <v>2012</v>
      </c>
      <c r="H348" s="657">
        <f t="shared" si="11"/>
        <v>10</v>
      </c>
      <c r="I348" s="660">
        <v>14</v>
      </c>
      <c r="J348" s="660">
        <v>2.5920000000000001</v>
      </c>
      <c r="K348" s="660">
        <v>0</v>
      </c>
      <c r="L348" s="662">
        <v>2.5920000000000001</v>
      </c>
      <c r="M348" s="660">
        <v>6122</v>
      </c>
      <c r="N348" s="663">
        <v>4.0000000000000002E-4</v>
      </c>
      <c r="O348" s="660">
        <v>2.6419999999999999</v>
      </c>
      <c r="P348" s="660">
        <v>0</v>
      </c>
      <c r="Q348" s="581"/>
      <c r="R348" s="581"/>
      <c r="S348" s="581"/>
      <c r="T348" s="581"/>
      <c r="U348" s="581"/>
    </row>
    <row r="349" spans="1:21">
      <c r="A349" s="581"/>
      <c r="B349" s="581"/>
      <c r="C349" s="581"/>
      <c r="D349" s="582" t="s">
        <v>715</v>
      </c>
      <c r="E349" s="660" t="s">
        <v>723</v>
      </c>
      <c r="F349" s="661">
        <v>41239</v>
      </c>
      <c r="G349" s="657">
        <f t="shared" si="10"/>
        <v>2012</v>
      </c>
      <c r="H349" s="657">
        <f t="shared" si="11"/>
        <v>11</v>
      </c>
      <c r="I349" s="660">
        <v>18</v>
      </c>
      <c r="J349" s="660">
        <v>2.3940000000000001</v>
      </c>
      <c r="K349" s="660">
        <v>0</v>
      </c>
      <c r="L349" s="662">
        <v>2.3940000000000001</v>
      </c>
      <c r="M349" s="660">
        <v>6416</v>
      </c>
      <c r="N349" s="663">
        <v>4.0000000000000002E-4</v>
      </c>
      <c r="O349" s="660">
        <v>2.4529999999999998</v>
      </c>
      <c r="P349" s="660">
        <v>0</v>
      </c>
      <c r="Q349" s="581"/>
      <c r="R349" s="581"/>
      <c r="S349" s="581"/>
      <c r="T349" s="581"/>
      <c r="U349" s="581"/>
    </row>
    <row r="350" spans="1:21">
      <c r="A350" s="581"/>
      <c r="B350" s="581"/>
      <c r="C350" s="581"/>
      <c r="D350" s="582" t="s">
        <v>715</v>
      </c>
      <c r="E350" s="660" t="s">
        <v>723</v>
      </c>
      <c r="F350" s="661">
        <v>41253</v>
      </c>
      <c r="G350" s="657">
        <f t="shared" si="10"/>
        <v>2012</v>
      </c>
      <c r="H350" s="657">
        <f t="shared" si="11"/>
        <v>12</v>
      </c>
      <c r="I350" s="660">
        <v>18</v>
      </c>
      <c r="J350" s="660">
        <v>2.5859999999999999</v>
      </c>
      <c r="K350" s="660">
        <v>0</v>
      </c>
      <c r="L350" s="662">
        <v>2.5859999999999999</v>
      </c>
      <c r="M350" s="660">
        <v>6609</v>
      </c>
      <c r="N350" s="663">
        <v>4.0000000000000002E-4</v>
      </c>
      <c r="O350" s="660">
        <v>2.6320000000000001</v>
      </c>
      <c r="P350" s="660">
        <v>0</v>
      </c>
      <c r="Q350" s="581"/>
      <c r="R350" s="581"/>
      <c r="S350" s="581"/>
      <c r="T350" s="581"/>
      <c r="U350" s="581"/>
    </row>
    <row r="351" spans="1:21">
      <c r="A351" s="581"/>
      <c r="B351" s="581"/>
      <c r="C351" s="581"/>
      <c r="D351" s="582" t="s">
        <v>715</v>
      </c>
      <c r="E351" s="660" t="s">
        <v>723</v>
      </c>
      <c r="F351" s="661">
        <v>41295</v>
      </c>
      <c r="G351" s="657">
        <f t="shared" si="10"/>
        <v>2013</v>
      </c>
      <c r="H351" s="657">
        <f t="shared" si="11"/>
        <v>1</v>
      </c>
      <c r="I351" s="660">
        <v>19</v>
      </c>
      <c r="J351" s="660">
        <v>2.4609999999999999</v>
      </c>
      <c r="K351" s="660">
        <v>0</v>
      </c>
      <c r="L351" s="662">
        <v>2.4609999999999999</v>
      </c>
      <c r="M351" s="660">
        <v>6846</v>
      </c>
      <c r="N351" s="663">
        <v>4.0000000000000002E-4</v>
      </c>
      <c r="O351" s="660">
        <v>2.5089999999999999</v>
      </c>
      <c r="P351" s="660">
        <v>0</v>
      </c>
      <c r="Q351" s="581"/>
      <c r="R351" s="581"/>
      <c r="S351" s="581"/>
      <c r="T351" s="581"/>
      <c r="U351" s="581"/>
    </row>
    <row r="352" spans="1:21">
      <c r="A352" s="581"/>
      <c r="B352" s="581"/>
      <c r="C352" s="581"/>
      <c r="D352" s="582" t="s">
        <v>715</v>
      </c>
      <c r="E352" s="660" t="s">
        <v>723</v>
      </c>
      <c r="F352" s="661">
        <v>41324</v>
      </c>
      <c r="G352" s="657">
        <f t="shared" si="10"/>
        <v>2013</v>
      </c>
      <c r="H352" s="657">
        <f t="shared" si="11"/>
        <v>2</v>
      </c>
      <c r="I352" s="660">
        <v>19</v>
      </c>
      <c r="J352" s="660">
        <v>2.2149999999999999</v>
      </c>
      <c r="K352" s="660">
        <v>0</v>
      </c>
      <c r="L352" s="662">
        <v>2.2149999999999999</v>
      </c>
      <c r="M352" s="660">
        <v>6511</v>
      </c>
      <c r="N352" s="663">
        <v>2.9999999999999997E-4</v>
      </c>
      <c r="O352" s="660">
        <v>2.2650000000000001</v>
      </c>
      <c r="P352" s="660">
        <v>0</v>
      </c>
      <c r="Q352" s="581"/>
      <c r="R352" s="581"/>
      <c r="S352" s="581"/>
      <c r="T352" s="581"/>
      <c r="U352" s="581"/>
    </row>
    <row r="353" spans="1:21">
      <c r="A353" s="581"/>
      <c r="B353" s="581"/>
      <c r="C353" s="581"/>
      <c r="D353" s="582" t="s">
        <v>715</v>
      </c>
      <c r="E353" s="660" t="s">
        <v>723</v>
      </c>
      <c r="F353" s="661">
        <v>41337</v>
      </c>
      <c r="G353" s="657">
        <f t="shared" si="10"/>
        <v>2013</v>
      </c>
      <c r="H353" s="657">
        <f t="shared" si="11"/>
        <v>3</v>
      </c>
      <c r="I353" s="660">
        <v>19</v>
      </c>
      <c r="J353" s="660">
        <v>2.31</v>
      </c>
      <c r="K353" s="660">
        <v>0</v>
      </c>
      <c r="L353" s="662">
        <v>2.31</v>
      </c>
      <c r="M353" s="660">
        <v>6172</v>
      </c>
      <c r="N353" s="663">
        <v>4.0000000000000002E-4</v>
      </c>
      <c r="O353" s="660">
        <v>2.117</v>
      </c>
      <c r="P353" s="660">
        <v>0</v>
      </c>
      <c r="Q353" s="581"/>
      <c r="R353" s="581"/>
      <c r="S353" s="581"/>
      <c r="T353" s="581"/>
      <c r="U353" s="581"/>
    </row>
    <row r="354" spans="1:21">
      <c r="A354" s="581"/>
      <c r="B354" s="581"/>
      <c r="C354" s="581"/>
      <c r="D354" s="582" t="s">
        <v>715</v>
      </c>
      <c r="E354" s="660" t="s">
        <v>723</v>
      </c>
      <c r="F354" s="661">
        <v>41382</v>
      </c>
      <c r="G354" s="657">
        <f t="shared" si="10"/>
        <v>2013</v>
      </c>
      <c r="H354" s="657">
        <f t="shared" si="11"/>
        <v>4</v>
      </c>
      <c r="I354" s="660">
        <v>12</v>
      </c>
      <c r="J354" s="660">
        <v>1.1970000000000001</v>
      </c>
      <c r="K354" s="660">
        <v>2.4540000000000002</v>
      </c>
      <c r="L354" s="662">
        <v>3.6509999999999998</v>
      </c>
      <c r="M354" s="660">
        <v>5851</v>
      </c>
      <c r="N354" s="663">
        <v>5.9999999999999995E-4</v>
      </c>
      <c r="O354" s="660">
        <v>1.2230000000000001</v>
      </c>
      <c r="P354" s="660">
        <v>2.4540000000000002</v>
      </c>
      <c r="Q354" s="581"/>
      <c r="R354" s="581"/>
      <c r="S354" s="581"/>
      <c r="T354" s="581"/>
      <c r="U354" s="581"/>
    </row>
    <row r="355" spans="1:21">
      <c r="A355" s="581"/>
      <c r="B355" s="581"/>
      <c r="C355" s="581"/>
      <c r="D355" s="582" t="s">
        <v>715</v>
      </c>
      <c r="E355" s="660" t="s">
        <v>723</v>
      </c>
      <c r="F355" s="661">
        <v>41408</v>
      </c>
      <c r="G355" s="657">
        <f t="shared" si="10"/>
        <v>2013</v>
      </c>
      <c r="H355" s="657">
        <f t="shared" si="11"/>
        <v>5</v>
      </c>
      <c r="I355" s="660">
        <v>17</v>
      </c>
      <c r="J355" s="660">
        <v>2.177</v>
      </c>
      <c r="K355" s="660">
        <v>0</v>
      </c>
      <c r="L355" s="662">
        <v>2.177</v>
      </c>
      <c r="M355" s="660">
        <v>6516</v>
      </c>
      <c r="N355" s="663">
        <v>2.9999999999999997E-4</v>
      </c>
      <c r="O355" s="660">
        <v>2.2080000000000002</v>
      </c>
      <c r="P355" s="660">
        <v>0</v>
      </c>
      <c r="Q355" s="581"/>
      <c r="R355" s="581"/>
      <c r="S355" s="581"/>
      <c r="T355" s="581"/>
      <c r="U355" s="581"/>
    </row>
    <row r="356" spans="1:21">
      <c r="A356" s="581"/>
      <c r="B356" s="581"/>
      <c r="C356" s="581"/>
      <c r="D356" s="582" t="s">
        <v>715</v>
      </c>
      <c r="E356" s="660" t="s">
        <v>723</v>
      </c>
      <c r="F356" s="661">
        <v>41451</v>
      </c>
      <c r="G356" s="657">
        <f t="shared" si="10"/>
        <v>2013</v>
      </c>
      <c r="H356" s="657">
        <f t="shared" si="11"/>
        <v>6</v>
      </c>
      <c r="I356" s="660">
        <v>16</v>
      </c>
      <c r="J356" s="660">
        <v>3.3450000000000002</v>
      </c>
      <c r="K356" s="660">
        <v>0</v>
      </c>
      <c r="L356" s="662">
        <v>3.3450000000000002</v>
      </c>
      <c r="M356" s="660">
        <v>8280</v>
      </c>
      <c r="N356" s="663">
        <v>4.0000000000000002E-4</v>
      </c>
      <c r="O356" s="660">
        <v>3.375</v>
      </c>
      <c r="P356" s="660">
        <v>0</v>
      </c>
      <c r="Q356" s="581"/>
      <c r="R356" s="581"/>
      <c r="S356" s="581"/>
      <c r="T356" s="581"/>
      <c r="U356" s="581"/>
    </row>
    <row r="357" spans="1:21">
      <c r="A357" s="581"/>
      <c r="B357" s="581"/>
      <c r="C357" s="581"/>
      <c r="D357" s="582" t="s">
        <v>715</v>
      </c>
      <c r="E357" s="660" t="s">
        <v>723</v>
      </c>
      <c r="F357" s="661">
        <v>41473</v>
      </c>
      <c r="G357" s="657">
        <f t="shared" si="10"/>
        <v>2013</v>
      </c>
      <c r="H357" s="657">
        <f t="shared" si="11"/>
        <v>7</v>
      </c>
      <c r="I357" s="660">
        <v>17</v>
      </c>
      <c r="J357" s="660">
        <v>3.73</v>
      </c>
      <c r="K357" s="660">
        <v>0</v>
      </c>
      <c r="L357" s="662">
        <v>3.73</v>
      </c>
      <c r="M357" s="660">
        <v>9566</v>
      </c>
      <c r="N357" s="663">
        <v>4.0000000000000002E-4</v>
      </c>
      <c r="O357" s="660">
        <v>3.7850000000000001</v>
      </c>
      <c r="P357" s="660">
        <v>0</v>
      </c>
      <c r="Q357" s="581"/>
      <c r="R357" s="581"/>
      <c r="S357" s="581"/>
      <c r="T357" s="581"/>
      <c r="U357" s="581"/>
    </row>
    <row r="358" spans="1:21">
      <c r="A358" s="581"/>
      <c r="B358" s="581"/>
      <c r="C358" s="581"/>
      <c r="D358" s="582" t="s">
        <v>715</v>
      </c>
      <c r="E358" s="660" t="s">
        <v>723</v>
      </c>
      <c r="F358" s="661">
        <v>41512</v>
      </c>
      <c r="G358" s="657">
        <f t="shared" si="10"/>
        <v>2013</v>
      </c>
      <c r="H358" s="657">
        <f t="shared" si="11"/>
        <v>8</v>
      </c>
      <c r="I358" s="660">
        <v>17</v>
      </c>
      <c r="J358" s="660">
        <v>3.4460000000000002</v>
      </c>
      <c r="K358" s="660">
        <v>0.26100000000000001</v>
      </c>
      <c r="L358" s="662">
        <v>3.7069999999999999</v>
      </c>
      <c r="M358" s="660">
        <v>9821</v>
      </c>
      <c r="N358" s="663">
        <v>4.0000000000000002E-4</v>
      </c>
      <c r="O358" s="660">
        <v>3.2789999999999999</v>
      </c>
      <c r="P358" s="660">
        <v>0.26100000000000001</v>
      </c>
      <c r="Q358" s="581"/>
      <c r="R358" s="581"/>
      <c r="S358" s="581"/>
      <c r="T358" s="581"/>
      <c r="U358" s="581"/>
    </row>
    <row r="359" spans="1:21">
      <c r="A359" s="581"/>
      <c r="B359" s="581"/>
      <c r="C359" s="581"/>
      <c r="D359" s="582" t="s">
        <v>715</v>
      </c>
      <c r="E359" s="660" t="s">
        <v>723</v>
      </c>
      <c r="F359" s="661">
        <v>41526</v>
      </c>
      <c r="G359" s="657">
        <f t="shared" si="10"/>
        <v>2013</v>
      </c>
      <c r="H359" s="657">
        <f t="shared" si="11"/>
        <v>9</v>
      </c>
      <c r="I359" s="660">
        <v>17</v>
      </c>
      <c r="J359" s="660">
        <v>3.169</v>
      </c>
      <c r="K359" s="660">
        <v>0</v>
      </c>
      <c r="L359" s="662">
        <v>3.169</v>
      </c>
      <c r="M359" s="660">
        <v>8781</v>
      </c>
      <c r="N359" s="663">
        <v>4.0000000000000002E-4</v>
      </c>
      <c r="O359" s="660">
        <v>3.2130000000000001</v>
      </c>
      <c r="P359" s="660">
        <v>0</v>
      </c>
      <c r="Q359" s="581"/>
      <c r="R359" s="581"/>
      <c r="S359" s="581"/>
      <c r="T359" s="581"/>
      <c r="U359" s="581"/>
    </row>
    <row r="360" spans="1:21">
      <c r="A360" s="581"/>
      <c r="B360" s="581"/>
      <c r="C360" s="581"/>
      <c r="D360" s="582" t="s">
        <v>715</v>
      </c>
      <c r="E360" s="660" t="s">
        <v>723</v>
      </c>
      <c r="F360" s="661">
        <v>41548</v>
      </c>
      <c r="G360" s="657">
        <f t="shared" si="10"/>
        <v>2013</v>
      </c>
      <c r="H360" s="657">
        <f t="shared" si="11"/>
        <v>10</v>
      </c>
      <c r="I360" s="660">
        <v>14</v>
      </c>
      <c r="J360" s="660">
        <v>2.4990000000000001</v>
      </c>
      <c r="K360" s="660">
        <v>0</v>
      </c>
      <c r="L360" s="662">
        <v>2.4990000000000001</v>
      </c>
      <c r="M360" s="660">
        <v>6214</v>
      </c>
      <c r="N360" s="663">
        <v>4.0000000000000002E-4</v>
      </c>
      <c r="O360" s="660">
        <v>2.528</v>
      </c>
      <c r="P360" s="660">
        <v>0</v>
      </c>
      <c r="Q360" s="581"/>
      <c r="R360" s="581"/>
      <c r="S360" s="581"/>
      <c r="T360" s="581"/>
      <c r="U360" s="581"/>
    </row>
    <row r="361" spans="1:21">
      <c r="A361" s="581"/>
      <c r="B361" s="581"/>
      <c r="C361" s="581"/>
      <c r="D361" s="582" t="s">
        <v>715</v>
      </c>
      <c r="E361" s="660" t="s">
        <v>723</v>
      </c>
      <c r="F361" s="661">
        <v>41604</v>
      </c>
      <c r="G361" s="657">
        <f t="shared" si="10"/>
        <v>2013</v>
      </c>
      <c r="H361" s="657">
        <f t="shared" si="11"/>
        <v>11</v>
      </c>
      <c r="I361" s="660">
        <v>18</v>
      </c>
      <c r="J361" s="660">
        <v>2.6150000000000002</v>
      </c>
      <c r="K361" s="660">
        <v>0</v>
      </c>
      <c r="L361" s="662">
        <v>2.6150000000000002</v>
      </c>
      <c r="M361" s="660">
        <v>6372</v>
      </c>
      <c r="N361" s="663">
        <v>4.0000000000000002E-4</v>
      </c>
      <c r="O361" s="660">
        <v>2.6440000000000001</v>
      </c>
      <c r="P361" s="660">
        <v>0</v>
      </c>
      <c r="Q361" s="581"/>
      <c r="R361" s="581"/>
      <c r="S361" s="581"/>
      <c r="T361" s="581"/>
      <c r="U361" s="581"/>
    </row>
    <row r="362" spans="1:21">
      <c r="A362" s="581"/>
      <c r="B362" s="581"/>
      <c r="C362" s="581"/>
      <c r="D362" s="582" t="s">
        <v>715</v>
      </c>
      <c r="E362" s="660" t="s">
        <v>723</v>
      </c>
      <c r="F362" s="661">
        <v>41619</v>
      </c>
      <c r="G362" s="657">
        <f t="shared" si="10"/>
        <v>2013</v>
      </c>
      <c r="H362" s="657">
        <f t="shared" si="11"/>
        <v>12</v>
      </c>
      <c r="I362" s="660">
        <v>18</v>
      </c>
      <c r="J362" s="660">
        <v>2.4060000000000001</v>
      </c>
      <c r="K362" s="660">
        <v>0</v>
      </c>
      <c r="L362" s="662">
        <v>2.4060000000000001</v>
      </c>
      <c r="M362" s="660">
        <v>6972</v>
      </c>
      <c r="N362" s="663">
        <v>2.9999999999999997E-4</v>
      </c>
      <c r="O362" s="660">
        <v>2.4289999999999998</v>
      </c>
      <c r="P362" s="660">
        <v>0</v>
      </c>
      <c r="Q362" s="581"/>
      <c r="R362" s="581"/>
      <c r="S362" s="581"/>
      <c r="T362" s="581"/>
      <c r="U362" s="581"/>
    </row>
    <row r="363" spans="1:21">
      <c r="A363" s="581"/>
      <c r="B363" s="581"/>
      <c r="C363" s="581"/>
      <c r="D363" s="582" t="s">
        <v>715</v>
      </c>
      <c r="E363" s="582" t="s">
        <v>723</v>
      </c>
      <c r="F363" s="656">
        <v>41645</v>
      </c>
      <c r="G363" s="657">
        <f t="shared" si="10"/>
        <v>2014</v>
      </c>
      <c r="H363" s="657">
        <f t="shared" si="11"/>
        <v>1</v>
      </c>
      <c r="I363" s="582">
        <v>18</v>
      </c>
      <c r="J363" s="582">
        <v>2.4750000000000001</v>
      </c>
      <c r="K363" s="582">
        <v>0</v>
      </c>
      <c r="L363" s="658">
        <v>2.4750000000000001</v>
      </c>
      <c r="M363" s="659">
        <v>7188</v>
      </c>
      <c r="N363" s="582">
        <v>3.4000000000000002E-2</v>
      </c>
      <c r="O363" s="582">
        <v>2.4889999999999999</v>
      </c>
      <c r="P363" s="582">
        <v>0</v>
      </c>
      <c r="Q363" s="581"/>
      <c r="R363" s="581"/>
      <c r="S363" s="581"/>
      <c r="T363" s="581"/>
      <c r="U363" s="581"/>
    </row>
    <row r="364" spans="1:21">
      <c r="A364" s="581"/>
      <c r="B364" s="581"/>
      <c r="C364" s="581"/>
      <c r="D364" s="582" t="s">
        <v>715</v>
      </c>
      <c r="E364" s="582" t="s">
        <v>723</v>
      </c>
      <c r="F364" s="656">
        <v>41676</v>
      </c>
      <c r="G364" s="657">
        <f t="shared" si="10"/>
        <v>2014</v>
      </c>
      <c r="H364" s="657">
        <f t="shared" si="11"/>
        <v>2</v>
      </c>
      <c r="I364" s="582">
        <v>19</v>
      </c>
      <c r="J364" s="582">
        <v>2.3149999999999999</v>
      </c>
      <c r="K364" s="582">
        <v>0</v>
      </c>
      <c r="L364" s="658">
        <v>2.3149999999999999</v>
      </c>
      <c r="M364" s="659">
        <v>6743</v>
      </c>
      <c r="N364" s="582">
        <v>3.4000000000000002E-2</v>
      </c>
      <c r="O364" s="582">
        <v>2.3319999999999999</v>
      </c>
      <c r="P364" s="582">
        <v>0</v>
      </c>
      <c r="Q364" s="581"/>
      <c r="R364" s="581"/>
      <c r="S364" s="581"/>
      <c r="T364" s="581"/>
      <c r="U364" s="581"/>
    </row>
    <row r="365" spans="1:21">
      <c r="A365" s="581"/>
      <c r="B365" s="581"/>
      <c r="C365" s="581"/>
      <c r="D365" s="582" t="s">
        <v>715</v>
      </c>
      <c r="E365" s="582" t="s">
        <v>723</v>
      </c>
      <c r="F365" s="656">
        <v>41701</v>
      </c>
      <c r="G365" s="657">
        <f t="shared" si="10"/>
        <v>2014</v>
      </c>
      <c r="H365" s="657">
        <f t="shared" si="11"/>
        <v>3</v>
      </c>
      <c r="I365" s="582">
        <v>19</v>
      </c>
      <c r="J365" s="582">
        <v>2.2730000000000001</v>
      </c>
      <c r="K365" s="582">
        <v>0</v>
      </c>
      <c r="L365" s="658">
        <v>2.2730000000000001</v>
      </c>
      <c r="M365" s="659">
        <v>6537</v>
      </c>
      <c r="N365" s="582">
        <v>3.5000000000000003E-2</v>
      </c>
      <c r="O365" s="582">
        <v>2.282</v>
      </c>
      <c r="P365" s="582">
        <v>0</v>
      </c>
      <c r="Q365" s="581"/>
      <c r="R365" s="581"/>
      <c r="S365" s="581"/>
      <c r="T365" s="581"/>
      <c r="U365" s="581"/>
    </row>
    <row r="366" spans="1:21">
      <c r="A366" s="581"/>
      <c r="B366" s="581"/>
      <c r="C366" s="581"/>
      <c r="D366" s="582" t="s">
        <v>715</v>
      </c>
      <c r="E366" s="582" t="s">
        <v>723</v>
      </c>
      <c r="F366" s="656">
        <v>41730</v>
      </c>
      <c r="G366" s="657">
        <f t="shared" si="10"/>
        <v>2014</v>
      </c>
      <c r="H366" s="657">
        <f t="shared" si="11"/>
        <v>4</v>
      </c>
      <c r="I366" s="582">
        <v>11</v>
      </c>
      <c r="J366" s="582">
        <v>2.4510000000000001</v>
      </c>
      <c r="K366" s="582">
        <v>0</v>
      </c>
      <c r="L366" s="658">
        <v>2.4510000000000001</v>
      </c>
      <c r="M366" s="659">
        <v>5924</v>
      </c>
      <c r="N366" s="582">
        <v>4.1000000000000002E-2</v>
      </c>
      <c r="O366" s="582">
        <v>2.4710000000000001</v>
      </c>
      <c r="P366" s="582">
        <v>0</v>
      </c>
      <c r="Q366" s="581"/>
      <c r="R366" s="581"/>
      <c r="S366" s="581"/>
      <c r="T366" s="581"/>
      <c r="U366" s="581"/>
    </row>
    <row r="367" spans="1:21">
      <c r="A367" s="581"/>
      <c r="B367" s="581"/>
      <c r="C367" s="581"/>
      <c r="D367" s="582" t="s">
        <v>715</v>
      </c>
      <c r="E367" s="582" t="s">
        <v>723</v>
      </c>
      <c r="F367" s="656">
        <v>41789</v>
      </c>
      <c r="G367" s="657">
        <f t="shared" si="10"/>
        <v>2014</v>
      </c>
      <c r="H367" s="657">
        <f t="shared" si="11"/>
        <v>5</v>
      </c>
      <c r="I367" s="582">
        <v>16</v>
      </c>
      <c r="J367" s="582">
        <v>2.3450000000000002</v>
      </c>
      <c r="K367" s="582">
        <v>0</v>
      </c>
      <c r="L367" s="658">
        <v>2.3450000000000002</v>
      </c>
      <c r="M367" s="659">
        <v>7422</v>
      </c>
      <c r="N367" s="582">
        <v>3.2000000000000001E-2</v>
      </c>
      <c r="O367" s="582">
        <v>2.3679999999999999</v>
      </c>
      <c r="P367" s="582">
        <v>0</v>
      </c>
      <c r="Q367" s="581"/>
      <c r="R367" s="581"/>
      <c r="S367" s="581"/>
      <c r="T367" s="581"/>
      <c r="U367" s="581"/>
    </row>
    <row r="368" spans="1:21">
      <c r="A368" s="581"/>
      <c r="B368" s="581"/>
      <c r="C368" s="581"/>
      <c r="D368" s="582" t="s">
        <v>715</v>
      </c>
      <c r="E368" s="582" t="s">
        <v>723</v>
      </c>
      <c r="F368" s="656">
        <v>41814</v>
      </c>
      <c r="G368" s="657">
        <f t="shared" si="10"/>
        <v>2014</v>
      </c>
      <c r="H368" s="657">
        <f t="shared" si="11"/>
        <v>6</v>
      </c>
      <c r="I368" s="582">
        <v>16</v>
      </c>
      <c r="J368" s="582">
        <v>2.7770000000000001</v>
      </c>
      <c r="K368" s="582">
        <v>0</v>
      </c>
      <c r="L368" s="658">
        <v>2.7770000000000001</v>
      </c>
      <c r="M368" s="659">
        <v>7670</v>
      </c>
      <c r="N368" s="582">
        <v>3.5999999999999997E-2</v>
      </c>
      <c r="O368" s="582">
        <v>2.8050000000000002</v>
      </c>
      <c r="P368" s="582">
        <v>0</v>
      </c>
      <c r="Q368" s="581"/>
      <c r="R368" s="581"/>
      <c r="S368" s="581"/>
      <c r="T368" s="581"/>
      <c r="U368" s="581"/>
    </row>
    <row r="369" spans="1:21">
      <c r="A369" s="581"/>
      <c r="B369" s="581"/>
      <c r="C369" s="581"/>
      <c r="D369" s="582" t="s">
        <v>715</v>
      </c>
      <c r="E369" s="582" t="s">
        <v>723</v>
      </c>
      <c r="F369" s="656">
        <v>41841</v>
      </c>
      <c r="G369" s="657">
        <f t="shared" si="10"/>
        <v>2014</v>
      </c>
      <c r="H369" s="657">
        <f t="shared" si="11"/>
        <v>7</v>
      </c>
      <c r="I369" s="582">
        <v>17</v>
      </c>
      <c r="J369" s="582">
        <v>3.09</v>
      </c>
      <c r="K369" s="582">
        <v>0</v>
      </c>
      <c r="L369" s="658">
        <v>3.09</v>
      </c>
      <c r="M369" s="659">
        <v>9150</v>
      </c>
      <c r="N369" s="582">
        <v>3.4000000000000002E-2</v>
      </c>
      <c r="O369" s="582">
        <v>3.4689999999999999</v>
      </c>
      <c r="P369" s="582">
        <v>0</v>
      </c>
      <c r="Q369" s="581"/>
      <c r="R369" s="581"/>
      <c r="S369" s="581"/>
      <c r="T369" s="581"/>
      <c r="U369" s="581"/>
    </row>
    <row r="370" spans="1:21">
      <c r="A370" s="581"/>
      <c r="B370" s="581"/>
      <c r="C370" s="581"/>
      <c r="D370" s="582" t="s">
        <v>715</v>
      </c>
      <c r="E370" s="582" t="s">
        <v>723</v>
      </c>
      <c r="F370" s="656">
        <v>41869</v>
      </c>
      <c r="G370" s="657">
        <f t="shared" si="10"/>
        <v>2014</v>
      </c>
      <c r="H370" s="657">
        <f t="shared" si="11"/>
        <v>8</v>
      </c>
      <c r="I370" s="582">
        <v>16</v>
      </c>
      <c r="J370" s="582">
        <v>3.26</v>
      </c>
      <c r="K370" s="582">
        <v>0</v>
      </c>
      <c r="L370" s="658">
        <v>3.26</v>
      </c>
      <c r="M370" s="659">
        <v>8190</v>
      </c>
      <c r="N370" s="582">
        <v>0.04</v>
      </c>
      <c r="O370" s="582">
        <v>3.2930000000000001</v>
      </c>
      <c r="P370" s="582">
        <v>0</v>
      </c>
      <c r="Q370" s="581"/>
      <c r="R370" s="581"/>
      <c r="S370" s="581"/>
      <c r="T370" s="581"/>
      <c r="U370" s="581"/>
    </row>
    <row r="371" spans="1:21">
      <c r="A371" s="581"/>
      <c r="B371" s="581"/>
      <c r="C371" s="581"/>
      <c r="D371" s="582" t="s">
        <v>715</v>
      </c>
      <c r="E371" s="582" t="s">
        <v>723</v>
      </c>
      <c r="F371" s="656">
        <v>41886</v>
      </c>
      <c r="G371" s="657">
        <f t="shared" si="10"/>
        <v>2014</v>
      </c>
      <c r="H371" s="657">
        <f t="shared" si="11"/>
        <v>9</v>
      </c>
      <c r="I371" s="582">
        <v>15</v>
      </c>
      <c r="J371" s="582">
        <v>3.2639999999999998</v>
      </c>
      <c r="K371" s="582">
        <v>0</v>
      </c>
      <c r="L371" s="658">
        <v>3.2639999999999998</v>
      </c>
      <c r="M371" s="659">
        <v>7758</v>
      </c>
      <c r="N371" s="582">
        <v>4.2000000000000003E-2</v>
      </c>
      <c r="O371" s="582">
        <v>3.2919999999999998</v>
      </c>
      <c r="P371" s="582">
        <v>0</v>
      </c>
      <c r="Q371" s="581"/>
      <c r="R371" s="581"/>
      <c r="S371" s="581"/>
      <c r="T371" s="581"/>
      <c r="U371" s="581"/>
    </row>
    <row r="372" spans="1:21">
      <c r="A372" s="581"/>
      <c r="B372" s="581"/>
      <c r="C372" s="581"/>
      <c r="D372" s="582" t="s">
        <v>715</v>
      </c>
      <c r="E372" s="582" t="s">
        <v>723</v>
      </c>
      <c r="F372" s="656">
        <v>41942</v>
      </c>
      <c r="G372" s="657">
        <f t="shared" si="10"/>
        <v>2014</v>
      </c>
      <c r="H372" s="657">
        <f t="shared" si="11"/>
        <v>10</v>
      </c>
      <c r="I372" s="582">
        <v>20</v>
      </c>
      <c r="J372" s="582">
        <v>2.125</v>
      </c>
      <c r="K372" s="582">
        <v>0</v>
      </c>
      <c r="L372" s="658">
        <v>2.125</v>
      </c>
      <c r="M372" s="659">
        <v>5901</v>
      </c>
      <c r="N372" s="582">
        <v>3.5999999999999997E-2</v>
      </c>
      <c r="O372" s="582">
        <v>2.16</v>
      </c>
      <c r="P372" s="582">
        <v>0</v>
      </c>
      <c r="Q372" s="581"/>
      <c r="R372" s="581"/>
      <c r="S372" s="581"/>
      <c r="T372" s="581"/>
      <c r="U372" s="581"/>
    </row>
    <row r="373" spans="1:21">
      <c r="A373" s="581"/>
      <c r="B373" s="581"/>
      <c r="C373" s="581"/>
      <c r="D373" s="582" t="s">
        <v>715</v>
      </c>
      <c r="E373" s="582" t="s">
        <v>723</v>
      </c>
      <c r="F373" s="656">
        <v>41960</v>
      </c>
      <c r="G373" s="657">
        <f t="shared" si="10"/>
        <v>2014</v>
      </c>
      <c r="H373" s="657">
        <f t="shared" si="11"/>
        <v>11</v>
      </c>
      <c r="I373" s="582">
        <v>18</v>
      </c>
      <c r="J373" s="582">
        <v>2.46</v>
      </c>
      <c r="K373" s="582">
        <v>0</v>
      </c>
      <c r="L373" s="658">
        <v>2.46</v>
      </c>
      <c r="M373" s="659">
        <v>6677</v>
      </c>
      <c r="N373" s="582">
        <v>3.6999999999999998E-2</v>
      </c>
      <c r="O373" s="582">
        <v>2.4710000000000001</v>
      </c>
      <c r="P373" s="582">
        <v>0</v>
      </c>
      <c r="Q373" s="581"/>
      <c r="R373" s="581"/>
      <c r="S373" s="581"/>
      <c r="T373" s="581"/>
      <c r="U373" s="581"/>
    </row>
    <row r="374" spans="1:21">
      <c r="A374" s="581"/>
      <c r="B374" s="581"/>
      <c r="C374" s="581"/>
      <c r="D374" s="582" t="s">
        <v>715</v>
      </c>
      <c r="E374" s="582" t="s">
        <v>723</v>
      </c>
      <c r="F374" s="656">
        <v>41974</v>
      </c>
      <c r="G374" s="657">
        <f t="shared" si="10"/>
        <v>2014</v>
      </c>
      <c r="H374" s="657">
        <f t="shared" si="11"/>
        <v>12</v>
      </c>
      <c r="I374" s="582">
        <v>18</v>
      </c>
      <c r="J374" s="582">
        <v>2.7149999999999999</v>
      </c>
      <c r="K374" s="582">
        <v>0</v>
      </c>
      <c r="L374" s="658">
        <v>2.7149999999999999</v>
      </c>
      <c r="M374" s="659">
        <v>6850</v>
      </c>
      <c r="N374" s="582">
        <v>0.04</v>
      </c>
      <c r="O374" s="582">
        <v>2.7389999999999999</v>
      </c>
      <c r="P374" s="582">
        <v>0</v>
      </c>
      <c r="Q374" s="581"/>
      <c r="R374" s="581"/>
      <c r="S374" s="581"/>
      <c r="T374" s="581"/>
      <c r="U374" s="581"/>
    </row>
    <row r="375" spans="1:21">
      <c r="A375" s="581"/>
      <c r="B375" s="581"/>
      <c r="C375" s="581"/>
      <c r="D375" s="582" t="s">
        <v>715</v>
      </c>
      <c r="E375" s="582" t="s">
        <v>723</v>
      </c>
      <c r="F375" s="656">
        <v>42011</v>
      </c>
      <c r="G375" s="657">
        <f t="shared" si="10"/>
        <v>2015</v>
      </c>
      <c r="H375" s="657">
        <f t="shared" si="11"/>
        <v>1</v>
      </c>
      <c r="I375" s="582">
        <v>18</v>
      </c>
      <c r="J375" s="582">
        <v>2.7109999999999999</v>
      </c>
      <c r="K375" s="582">
        <v>0</v>
      </c>
      <c r="L375" s="658">
        <v>2.7109999999999999</v>
      </c>
      <c r="M375" s="659">
        <v>6978</v>
      </c>
      <c r="N375" s="582">
        <v>3.9E-2</v>
      </c>
      <c r="O375" s="582">
        <v>2.7509999999999999</v>
      </c>
      <c r="P375" s="582">
        <v>0</v>
      </c>
      <c r="Q375" s="581"/>
      <c r="R375" s="581"/>
      <c r="S375" s="581"/>
      <c r="T375" s="581"/>
      <c r="U375" s="581"/>
    </row>
    <row r="376" spans="1:21">
      <c r="A376" s="581"/>
      <c r="B376" s="581"/>
      <c r="C376" s="581"/>
      <c r="D376" s="582" t="s">
        <v>715</v>
      </c>
      <c r="E376" s="582" t="s">
        <v>723</v>
      </c>
      <c r="F376" s="656">
        <v>42053</v>
      </c>
      <c r="G376" s="657">
        <f t="shared" si="10"/>
        <v>2015</v>
      </c>
      <c r="H376" s="657">
        <f t="shared" si="11"/>
        <v>2</v>
      </c>
      <c r="I376" s="582">
        <v>19</v>
      </c>
      <c r="J376" s="582">
        <v>2.464</v>
      </c>
      <c r="K376" s="582">
        <v>0</v>
      </c>
      <c r="L376" s="658">
        <v>2.464</v>
      </c>
      <c r="M376" s="659">
        <v>6744</v>
      </c>
      <c r="N376" s="582">
        <v>3.6999999999999998E-2</v>
      </c>
      <c r="O376" s="582">
        <v>2.4670000000000001</v>
      </c>
      <c r="P376" s="582">
        <v>0</v>
      </c>
      <c r="Q376" s="581"/>
      <c r="R376" s="581"/>
      <c r="S376" s="581"/>
      <c r="T376" s="581"/>
      <c r="U376" s="581"/>
    </row>
    <row r="377" spans="1:21">
      <c r="A377" s="581"/>
      <c r="B377" s="581"/>
      <c r="C377" s="581"/>
      <c r="D377" s="582" t="s">
        <v>715</v>
      </c>
      <c r="E377" s="582" t="s">
        <v>723</v>
      </c>
      <c r="F377" s="656">
        <v>42067</v>
      </c>
      <c r="G377" s="657">
        <f t="shared" si="10"/>
        <v>2015</v>
      </c>
      <c r="H377" s="657">
        <f t="shared" si="11"/>
        <v>3</v>
      </c>
      <c r="I377" s="582">
        <v>20</v>
      </c>
      <c r="J377" s="582">
        <v>2.0990000000000002</v>
      </c>
      <c r="K377" s="582">
        <v>0</v>
      </c>
      <c r="L377" s="658">
        <v>2.0990000000000002</v>
      </c>
      <c r="M377" s="659">
        <v>6470</v>
      </c>
      <c r="N377" s="582">
        <v>3.2000000000000001E-2</v>
      </c>
      <c r="O377" s="582">
        <v>2.12</v>
      </c>
      <c r="P377" s="582">
        <v>0</v>
      </c>
      <c r="Q377" s="581"/>
      <c r="R377" s="581"/>
      <c r="S377" s="581"/>
      <c r="T377" s="581"/>
      <c r="U377" s="581"/>
    </row>
    <row r="378" spans="1:21">
      <c r="A378" s="581"/>
      <c r="B378" s="581"/>
      <c r="C378" s="581"/>
      <c r="D378" s="582" t="s">
        <v>715</v>
      </c>
      <c r="E378" s="582" t="s">
        <v>723</v>
      </c>
      <c r="F378" s="656">
        <v>42103</v>
      </c>
      <c r="G378" s="657">
        <f t="shared" si="10"/>
        <v>2015</v>
      </c>
      <c r="H378" s="657">
        <f t="shared" si="11"/>
        <v>4</v>
      </c>
      <c r="I378" s="582">
        <v>12</v>
      </c>
      <c r="J378" s="582">
        <v>2.2709999999999999</v>
      </c>
      <c r="K378" s="582">
        <v>0</v>
      </c>
      <c r="L378" s="658">
        <v>2.2709999999999999</v>
      </c>
      <c r="M378" s="659">
        <v>5914</v>
      </c>
      <c r="N378" s="582">
        <v>3.7999999999999999E-2</v>
      </c>
      <c r="O378" s="582">
        <v>2.2930000000000001</v>
      </c>
      <c r="P378" s="582">
        <v>0</v>
      </c>
      <c r="Q378" s="581"/>
      <c r="R378" s="581"/>
      <c r="S378" s="581"/>
      <c r="T378" s="581"/>
      <c r="U378" s="581"/>
    </row>
    <row r="379" spans="1:21">
      <c r="A379" s="581"/>
      <c r="B379" s="581"/>
      <c r="C379" s="581"/>
      <c r="D379" s="582" t="s">
        <v>715</v>
      </c>
      <c r="E379" s="582" t="s">
        <v>723</v>
      </c>
      <c r="F379" s="656">
        <v>42152</v>
      </c>
      <c r="G379" s="657">
        <f t="shared" si="10"/>
        <v>2015</v>
      </c>
      <c r="H379" s="657">
        <f t="shared" si="11"/>
        <v>5</v>
      </c>
      <c r="I379" s="582">
        <v>16</v>
      </c>
      <c r="J379" s="582">
        <v>2.3690000000000002</v>
      </c>
      <c r="K379" s="582">
        <v>0</v>
      </c>
      <c r="L379" s="658">
        <v>2.3690000000000002</v>
      </c>
      <c r="M379" s="659">
        <v>6837</v>
      </c>
      <c r="N379" s="582">
        <v>3.5000000000000003E-2</v>
      </c>
      <c r="O379" s="582">
        <v>2.391</v>
      </c>
      <c r="P379" s="582">
        <v>0</v>
      </c>
      <c r="Q379" s="581"/>
      <c r="R379" s="581"/>
      <c r="S379" s="581"/>
      <c r="T379" s="581"/>
      <c r="U379" s="581"/>
    </row>
    <row r="380" spans="1:21">
      <c r="A380" s="581"/>
      <c r="B380" s="581"/>
      <c r="C380" s="581"/>
      <c r="D380" s="582" t="s">
        <v>715</v>
      </c>
      <c r="E380" s="582" t="s">
        <v>723</v>
      </c>
      <c r="F380" s="656">
        <v>42164</v>
      </c>
      <c r="G380" s="657">
        <f t="shared" si="10"/>
        <v>2015</v>
      </c>
      <c r="H380" s="657">
        <f t="shared" si="11"/>
        <v>6</v>
      </c>
      <c r="I380" s="582">
        <v>17</v>
      </c>
      <c r="J380" s="582">
        <v>2.8580000000000001</v>
      </c>
      <c r="K380" s="582">
        <v>0</v>
      </c>
      <c r="L380" s="658">
        <v>2.8580000000000001</v>
      </c>
      <c r="M380" s="659">
        <v>8136</v>
      </c>
      <c r="N380" s="582">
        <v>3.5000000000000003E-2</v>
      </c>
      <c r="O380" s="582">
        <v>2.9009999999999998</v>
      </c>
      <c r="P380" s="582">
        <v>0</v>
      </c>
      <c r="Q380" s="581"/>
      <c r="R380" s="581"/>
      <c r="S380" s="581"/>
      <c r="T380" s="581"/>
      <c r="U380" s="581"/>
    </row>
    <row r="381" spans="1:21">
      <c r="A381" s="581"/>
      <c r="B381" s="581"/>
      <c r="C381" s="581"/>
      <c r="D381" s="582" t="s">
        <v>715</v>
      </c>
      <c r="E381" s="582" t="s">
        <v>723</v>
      </c>
      <c r="F381" s="656">
        <v>42212</v>
      </c>
      <c r="G381" s="657">
        <f t="shared" si="10"/>
        <v>2015</v>
      </c>
      <c r="H381" s="657">
        <f t="shared" si="11"/>
        <v>7</v>
      </c>
      <c r="I381" s="582">
        <v>17</v>
      </c>
      <c r="J381" s="582">
        <v>3.2090000000000001</v>
      </c>
      <c r="K381" s="582">
        <v>0</v>
      </c>
      <c r="L381" s="658">
        <v>3.2090000000000001</v>
      </c>
      <c r="M381" s="659">
        <v>8769</v>
      </c>
      <c r="N381" s="582">
        <v>3.6999999999999998E-2</v>
      </c>
      <c r="O381" s="582">
        <v>3.2530000000000001</v>
      </c>
      <c r="P381" s="582">
        <v>0</v>
      </c>
      <c r="Q381" s="581"/>
      <c r="R381" s="581"/>
      <c r="S381" s="581"/>
      <c r="T381" s="581"/>
      <c r="U381" s="581"/>
    </row>
    <row r="382" spans="1:21">
      <c r="A382" s="581"/>
      <c r="B382" s="581"/>
      <c r="C382" s="581"/>
      <c r="D382" s="582" t="s">
        <v>715</v>
      </c>
      <c r="E382" s="582" t="s">
        <v>723</v>
      </c>
      <c r="F382" s="656">
        <v>42230</v>
      </c>
      <c r="G382" s="657">
        <f t="shared" si="10"/>
        <v>2015</v>
      </c>
      <c r="H382" s="657">
        <f t="shared" si="11"/>
        <v>8</v>
      </c>
      <c r="I382" s="582">
        <v>16</v>
      </c>
      <c r="J382" s="582">
        <v>3.488</v>
      </c>
      <c r="K382" s="582">
        <v>0</v>
      </c>
      <c r="L382" s="658">
        <v>3.488</v>
      </c>
      <c r="M382" s="659">
        <v>8926</v>
      </c>
      <c r="N382" s="582">
        <v>3.9E-2</v>
      </c>
      <c r="O382" s="582">
        <v>3.51</v>
      </c>
      <c r="P382" s="582">
        <v>0</v>
      </c>
      <c r="Q382" s="581"/>
      <c r="R382" s="581"/>
      <c r="S382" s="581"/>
      <c r="T382" s="581"/>
      <c r="U382" s="581"/>
    </row>
    <row r="383" spans="1:21">
      <c r="A383" s="581"/>
      <c r="B383" s="581"/>
      <c r="C383" s="581"/>
      <c r="D383" s="582" t="s">
        <v>715</v>
      </c>
      <c r="E383" s="582" t="s">
        <v>723</v>
      </c>
      <c r="F383" s="656">
        <v>42250</v>
      </c>
      <c r="G383" s="657">
        <f t="shared" si="10"/>
        <v>2015</v>
      </c>
      <c r="H383" s="657">
        <f t="shared" si="11"/>
        <v>9</v>
      </c>
      <c r="I383" s="582">
        <v>17</v>
      </c>
      <c r="J383" s="582">
        <v>3.4910000000000001</v>
      </c>
      <c r="K383" s="582">
        <v>0</v>
      </c>
      <c r="L383" s="658">
        <v>3.4910000000000001</v>
      </c>
      <c r="M383" s="659">
        <v>8657</v>
      </c>
      <c r="N383" s="582">
        <v>0.04</v>
      </c>
      <c r="O383" s="582">
        <v>3.5369999999999999</v>
      </c>
      <c r="P383" s="582">
        <v>0</v>
      </c>
      <c r="Q383" s="581"/>
      <c r="R383" s="581"/>
      <c r="S383" s="581"/>
      <c r="T383" s="581"/>
      <c r="U383" s="581"/>
    </row>
    <row r="384" spans="1:21">
      <c r="A384" s="581"/>
      <c r="B384" s="581"/>
      <c r="C384" s="581"/>
      <c r="D384" s="582" t="s">
        <v>715</v>
      </c>
      <c r="E384" s="582" t="s">
        <v>723</v>
      </c>
      <c r="F384" s="656">
        <v>42285</v>
      </c>
      <c r="G384" s="657">
        <f t="shared" si="10"/>
        <v>2015</v>
      </c>
      <c r="H384" s="657">
        <f t="shared" si="11"/>
        <v>10</v>
      </c>
      <c r="I384" s="582">
        <v>12</v>
      </c>
      <c r="J384" s="582">
        <v>2.4860000000000002</v>
      </c>
      <c r="K384" s="582">
        <v>0</v>
      </c>
      <c r="L384" s="658">
        <v>2.4860000000000002</v>
      </c>
      <c r="M384" s="659">
        <v>5943</v>
      </c>
      <c r="N384" s="582">
        <v>4.2000000000000003E-2</v>
      </c>
      <c r="O384" s="582">
        <v>2.5</v>
      </c>
      <c r="P384" s="582">
        <v>0</v>
      </c>
      <c r="Q384" s="581"/>
      <c r="R384" s="581"/>
      <c r="S384" s="581"/>
      <c r="T384" s="581"/>
      <c r="U384" s="581"/>
    </row>
    <row r="385" spans="1:21">
      <c r="A385" s="581"/>
      <c r="B385" s="581"/>
      <c r="C385" s="581"/>
      <c r="D385" s="582" t="s">
        <v>715</v>
      </c>
      <c r="E385" s="582" t="s">
        <v>723</v>
      </c>
      <c r="F385" s="656">
        <v>42338</v>
      </c>
      <c r="G385" s="657">
        <f t="shared" si="10"/>
        <v>2015</v>
      </c>
      <c r="H385" s="657">
        <f t="shared" si="11"/>
        <v>11</v>
      </c>
      <c r="I385" s="582">
        <v>18</v>
      </c>
      <c r="J385" s="582">
        <v>2.327</v>
      </c>
      <c r="K385" s="582">
        <v>0</v>
      </c>
      <c r="L385" s="658">
        <v>2.327</v>
      </c>
      <c r="M385" s="659">
        <v>6574</v>
      </c>
      <c r="N385" s="582">
        <v>3.5000000000000003E-2</v>
      </c>
      <c r="O385" s="582">
        <v>2.343</v>
      </c>
      <c r="P385" s="582">
        <v>0</v>
      </c>
      <c r="Q385" s="581"/>
      <c r="R385" s="581"/>
      <c r="S385" s="581"/>
      <c r="T385" s="581"/>
      <c r="U385" s="581"/>
    </row>
    <row r="386" spans="1:21">
      <c r="A386" s="581"/>
      <c r="B386" s="581"/>
      <c r="C386" s="581"/>
      <c r="D386" s="582" t="s">
        <v>715</v>
      </c>
      <c r="E386" s="582" t="s">
        <v>723</v>
      </c>
      <c r="F386" s="656">
        <v>42355</v>
      </c>
      <c r="G386" s="657">
        <f t="shared" si="10"/>
        <v>2015</v>
      </c>
      <c r="H386" s="657">
        <f t="shared" si="11"/>
        <v>12</v>
      </c>
      <c r="I386" s="582">
        <v>18</v>
      </c>
      <c r="J386" s="582">
        <v>2.3290000000000002</v>
      </c>
      <c r="K386" s="582">
        <v>0</v>
      </c>
      <c r="L386" s="658">
        <v>2.3290000000000002</v>
      </c>
      <c r="M386" s="659">
        <v>6450</v>
      </c>
      <c r="N386" s="582">
        <v>3.5999999999999997E-2</v>
      </c>
      <c r="O386" s="582">
        <v>2.3660000000000001</v>
      </c>
      <c r="P386" s="582">
        <v>0</v>
      </c>
      <c r="Q386" s="581"/>
      <c r="R386" s="581"/>
      <c r="S386" s="581"/>
      <c r="T386" s="581"/>
      <c r="U386" s="581"/>
    </row>
    <row r="387" spans="1:21">
      <c r="A387" s="581"/>
      <c r="B387" s="581"/>
      <c r="C387" s="581"/>
      <c r="D387" s="582" t="s">
        <v>715</v>
      </c>
      <c r="E387" s="660" t="s">
        <v>726</v>
      </c>
      <c r="F387" s="661">
        <v>40927</v>
      </c>
      <c r="G387" s="657">
        <f t="shared" ref="G387:G450" si="12">YEAR(F387)</f>
        <v>2012</v>
      </c>
      <c r="H387" s="657">
        <f t="shared" ref="H387:H450" si="13">MONTH(F387)</f>
        <v>1</v>
      </c>
      <c r="I387" s="660">
        <v>19</v>
      </c>
      <c r="J387" s="660">
        <v>5.92</v>
      </c>
      <c r="K387" s="660">
        <v>0</v>
      </c>
      <c r="L387" s="662">
        <v>4.92</v>
      </c>
      <c r="M387" s="660">
        <v>6604</v>
      </c>
      <c r="N387" s="663">
        <v>8.9999999999999998E-4</v>
      </c>
      <c r="O387" s="660">
        <v>6.0410000000000004</v>
      </c>
      <c r="P387" s="660">
        <v>0</v>
      </c>
      <c r="Q387" s="581"/>
      <c r="R387" s="581"/>
      <c r="S387" s="581"/>
      <c r="T387" s="581"/>
      <c r="U387" s="581"/>
    </row>
    <row r="388" spans="1:21">
      <c r="A388" s="581"/>
      <c r="B388" s="581"/>
      <c r="C388" s="581"/>
      <c r="D388" s="582" t="s">
        <v>715</v>
      </c>
      <c r="E388" s="660" t="s">
        <v>726</v>
      </c>
      <c r="F388" s="661">
        <v>40967</v>
      </c>
      <c r="G388" s="657">
        <f t="shared" si="12"/>
        <v>2012</v>
      </c>
      <c r="H388" s="657">
        <f t="shared" si="13"/>
        <v>2</v>
      </c>
      <c r="I388" s="660">
        <v>19</v>
      </c>
      <c r="J388" s="660">
        <v>5.3449999999999998</v>
      </c>
      <c r="K388" s="660">
        <v>0</v>
      </c>
      <c r="L388" s="662">
        <v>4.3449999999999998</v>
      </c>
      <c r="M388" s="660">
        <v>6178</v>
      </c>
      <c r="N388" s="663">
        <v>8.9999999999999998E-4</v>
      </c>
      <c r="O388" s="660">
        <v>5.4409999999999998</v>
      </c>
      <c r="P388" s="660">
        <v>0</v>
      </c>
      <c r="Q388" s="581"/>
      <c r="R388" s="581"/>
      <c r="S388" s="581"/>
      <c r="T388" s="581"/>
      <c r="U388" s="581"/>
    </row>
    <row r="389" spans="1:21">
      <c r="A389" s="581"/>
      <c r="B389" s="581"/>
      <c r="C389" s="581"/>
      <c r="D389" s="582" t="s">
        <v>715</v>
      </c>
      <c r="E389" s="660" t="s">
        <v>726</v>
      </c>
      <c r="F389" s="661">
        <v>40987</v>
      </c>
      <c r="G389" s="657">
        <f t="shared" si="12"/>
        <v>2012</v>
      </c>
      <c r="H389" s="657">
        <f t="shared" si="13"/>
        <v>3</v>
      </c>
      <c r="I389" s="660">
        <v>14</v>
      </c>
      <c r="J389" s="660">
        <v>5.8819999999999997</v>
      </c>
      <c r="K389" s="660">
        <v>0</v>
      </c>
      <c r="L389" s="662">
        <v>4.8819999999999997</v>
      </c>
      <c r="M389" s="660">
        <v>6170</v>
      </c>
      <c r="N389" s="663">
        <v>1E-3</v>
      </c>
      <c r="O389" s="660">
        <v>5.9720000000000004</v>
      </c>
      <c r="P389" s="660">
        <v>0</v>
      </c>
      <c r="Q389" s="581"/>
      <c r="R389" s="581"/>
      <c r="S389" s="581"/>
      <c r="T389" s="581"/>
      <c r="U389" s="581"/>
    </row>
    <row r="390" spans="1:21">
      <c r="A390" s="581"/>
      <c r="B390" s="581"/>
      <c r="C390" s="581"/>
      <c r="D390" s="582" t="s">
        <v>715</v>
      </c>
      <c r="E390" s="660" t="s">
        <v>726</v>
      </c>
      <c r="F390" s="661">
        <v>41024</v>
      </c>
      <c r="G390" s="657">
        <f t="shared" si="12"/>
        <v>2012</v>
      </c>
      <c r="H390" s="657">
        <f t="shared" si="13"/>
        <v>4</v>
      </c>
      <c r="I390" s="660">
        <v>15</v>
      </c>
      <c r="J390" s="660">
        <v>5.468</v>
      </c>
      <c r="K390" s="660">
        <v>0</v>
      </c>
      <c r="L390" s="662">
        <v>4.468</v>
      </c>
      <c r="M390" s="660">
        <v>5813</v>
      </c>
      <c r="N390" s="663">
        <v>8.9999999999999998E-4</v>
      </c>
      <c r="O390" s="660">
        <v>5.5640000000000001</v>
      </c>
      <c r="P390" s="660">
        <v>0</v>
      </c>
      <c r="Q390" s="581"/>
      <c r="R390" s="581"/>
      <c r="S390" s="581"/>
      <c r="T390" s="581"/>
      <c r="U390" s="581"/>
    </row>
    <row r="391" spans="1:21">
      <c r="A391" s="581"/>
      <c r="B391" s="581"/>
      <c r="C391" s="581"/>
      <c r="D391" s="582" t="s">
        <v>715</v>
      </c>
      <c r="E391" s="660" t="s">
        <v>726</v>
      </c>
      <c r="F391" s="661">
        <v>41047</v>
      </c>
      <c r="G391" s="657">
        <f t="shared" si="12"/>
        <v>2012</v>
      </c>
      <c r="H391" s="657">
        <f t="shared" si="13"/>
        <v>5</v>
      </c>
      <c r="I391" s="660">
        <v>17</v>
      </c>
      <c r="J391" s="660">
        <v>6.1829999999999998</v>
      </c>
      <c r="K391" s="660">
        <v>0</v>
      </c>
      <c r="L391" s="662">
        <v>4.1829999999999998</v>
      </c>
      <c r="M391" s="660">
        <v>7203</v>
      </c>
      <c r="N391" s="663">
        <v>8.9999999999999998E-4</v>
      </c>
      <c r="O391" s="660">
        <v>6.29</v>
      </c>
      <c r="P391" s="660">
        <v>0</v>
      </c>
      <c r="Q391" s="581"/>
      <c r="R391" s="581"/>
      <c r="S391" s="581"/>
      <c r="T391" s="581"/>
      <c r="U391" s="581"/>
    </row>
    <row r="392" spans="1:21">
      <c r="A392" s="581"/>
      <c r="B392" s="581"/>
      <c r="C392" s="581"/>
      <c r="D392" s="582" t="s">
        <v>715</v>
      </c>
      <c r="E392" s="660" t="s">
        <v>726</v>
      </c>
      <c r="F392" s="661">
        <v>41087</v>
      </c>
      <c r="G392" s="657">
        <f t="shared" si="12"/>
        <v>2012</v>
      </c>
      <c r="H392" s="657">
        <f t="shared" si="13"/>
        <v>6</v>
      </c>
      <c r="I392" s="660">
        <v>17</v>
      </c>
      <c r="J392" s="660">
        <v>10.260999999999999</v>
      </c>
      <c r="K392" s="660">
        <v>0</v>
      </c>
      <c r="L392" s="662">
        <v>8.2609999999999992</v>
      </c>
      <c r="M392" s="660">
        <v>8833</v>
      </c>
      <c r="N392" s="663">
        <v>1.1999999999999999E-3</v>
      </c>
      <c r="O392" s="660">
        <v>10.444000000000001</v>
      </c>
      <c r="P392" s="660">
        <v>0</v>
      </c>
      <c r="Q392" s="581"/>
      <c r="R392" s="581"/>
      <c r="S392" s="581"/>
      <c r="T392" s="581"/>
      <c r="U392" s="581"/>
    </row>
    <row r="393" spans="1:21">
      <c r="A393" s="581"/>
      <c r="B393" s="581"/>
      <c r="C393" s="581"/>
      <c r="D393" s="582" t="s">
        <v>715</v>
      </c>
      <c r="E393" s="660" t="s">
        <v>726</v>
      </c>
      <c r="F393" s="661">
        <v>41092</v>
      </c>
      <c r="G393" s="657">
        <f t="shared" si="12"/>
        <v>2012</v>
      </c>
      <c r="H393" s="657">
        <f t="shared" si="13"/>
        <v>7</v>
      </c>
      <c r="I393" s="660">
        <v>17</v>
      </c>
      <c r="J393" s="660">
        <v>12.08</v>
      </c>
      <c r="K393" s="660">
        <v>0</v>
      </c>
      <c r="L393" s="662">
        <v>10.08</v>
      </c>
      <c r="M393" s="660">
        <v>9682</v>
      </c>
      <c r="N393" s="663">
        <v>1.1999999999999999E-3</v>
      </c>
      <c r="O393" s="660">
        <v>12.282999999999999</v>
      </c>
      <c r="P393" s="660">
        <v>0</v>
      </c>
      <c r="Q393" s="581"/>
      <c r="R393" s="581"/>
      <c r="S393" s="581"/>
      <c r="T393" s="581"/>
      <c r="U393" s="581"/>
    </row>
    <row r="394" spans="1:21">
      <c r="A394" s="581"/>
      <c r="B394" s="581"/>
      <c r="C394" s="581"/>
      <c r="D394" s="582" t="s">
        <v>715</v>
      </c>
      <c r="E394" s="660" t="s">
        <v>726</v>
      </c>
      <c r="F394" s="661">
        <v>41122</v>
      </c>
      <c r="G394" s="657">
        <f t="shared" si="12"/>
        <v>2012</v>
      </c>
      <c r="H394" s="657">
        <f t="shared" si="13"/>
        <v>8</v>
      </c>
      <c r="I394" s="660">
        <v>17</v>
      </c>
      <c r="J394" s="660">
        <v>11.404</v>
      </c>
      <c r="K394" s="660">
        <v>0</v>
      </c>
      <c r="L394" s="662">
        <v>9.4039999999999999</v>
      </c>
      <c r="M394" s="660">
        <v>8979</v>
      </c>
      <c r="N394" s="663">
        <v>1.2999999999999999E-3</v>
      </c>
      <c r="O394" s="660">
        <v>11.595000000000001</v>
      </c>
      <c r="P394" s="660">
        <v>0</v>
      </c>
      <c r="Q394" s="581"/>
      <c r="R394" s="581"/>
      <c r="S394" s="581"/>
      <c r="T394" s="581"/>
      <c r="U394" s="581"/>
    </row>
    <row r="395" spans="1:21">
      <c r="A395" s="581"/>
      <c r="B395" s="581"/>
      <c r="C395" s="581"/>
      <c r="D395" s="582" t="s">
        <v>715</v>
      </c>
      <c r="E395" s="660" t="s">
        <v>726</v>
      </c>
      <c r="F395" s="661">
        <v>41156</v>
      </c>
      <c r="G395" s="657">
        <f t="shared" si="12"/>
        <v>2012</v>
      </c>
      <c r="H395" s="657">
        <f t="shared" si="13"/>
        <v>9</v>
      </c>
      <c r="I395" s="660">
        <v>16</v>
      </c>
      <c r="J395" s="660">
        <v>10.097</v>
      </c>
      <c r="K395" s="660">
        <v>0</v>
      </c>
      <c r="L395" s="662">
        <v>8.0969999999999995</v>
      </c>
      <c r="M395" s="660">
        <v>8521</v>
      </c>
      <c r="N395" s="663">
        <v>1.1999999999999999E-3</v>
      </c>
      <c r="O395" s="660">
        <v>10.257</v>
      </c>
      <c r="P395" s="660">
        <v>0</v>
      </c>
      <c r="Q395" s="581"/>
      <c r="R395" s="581"/>
      <c r="S395" s="581"/>
      <c r="T395" s="581"/>
      <c r="U395" s="581"/>
    </row>
    <row r="396" spans="1:21">
      <c r="A396" s="581"/>
      <c r="B396" s="581"/>
      <c r="C396" s="581"/>
      <c r="D396" s="582" t="s">
        <v>715</v>
      </c>
      <c r="E396" s="660" t="s">
        <v>726</v>
      </c>
      <c r="F396" s="661">
        <v>41185</v>
      </c>
      <c r="G396" s="657">
        <f t="shared" si="12"/>
        <v>2012</v>
      </c>
      <c r="H396" s="657">
        <f t="shared" si="13"/>
        <v>10</v>
      </c>
      <c r="I396" s="660">
        <v>14</v>
      </c>
      <c r="J396" s="660">
        <v>6.48</v>
      </c>
      <c r="K396" s="660">
        <v>0</v>
      </c>
      <c r="L396" s="662">
        <v>4.4800000000000004</v>
      </c>
      <c r="M396" s="660">
        <v>6122</v>
      </c>
      <c r="N396" s="663">
        <v>1.1000000000000001E-3</v>
      </c>
      <c r="O396" s="660">
        <v>6.59</v>
      </c>
      <c r="P396" s="660">
        <v>0</v>
      </c>
      <c r="Q396" s="581"/>
      <c r="R396" s="581"/>
      <c r="S396" s="581"/>
      <c r="T396" s="581"/>
      <c r="U396" s="581"/>
    </row>
    <row r="397" spans="1:21">
      <c r="A397" s="581"/>
      <c r="B397" s="581"/>
      <c r="C397" s="581"/>
      <c r="D397" s="582" t="s">
        <v>715</v>
      </c>
      <c r="E397" s="660" t="s">
        <v>726</v>
      </c>
      <c r="F397" s="661">
        <v>41239</v>
      </c>
      <c r="G397" s="657">
        <f t="shared" si="12"/>
        <v>2012</v>
      </c>
      <c r="H397" s="657">
        <f t="shared" si="13"/>
        <v>11</v>
      </c>
      <c r="I397" s="660">
        <v>18</v>
      </c>
      <c r="J397" s="660">
        <v>6.7080000000000002</v>
      </c>
      <c r="K397" s="660">
        <v>0</v>
      </c>
      <c r="L397" s="662">
        <v>5.7080000000000002</v>
      </c>
      <c r="M397" s="660">
        <v>6416</v>
      </c>
      <c r="N397" s="663">
        <v>1E-3</v>
      </c>
      <c r="O397" s="660">
        <v>6.8319999999999999</v>
      </c>
      <c r="P397" s="660">
        <v>0</v>
      </c>
      <c r="Q397" s="581"/>
      <c r="R397" s="581"/>
      <c r="S397" s="581"/>
      <c r="T397" s="581"/>
      <c r="U397" s="581"/>
    </row>
    <row r="398" spans="1:21">
      <c r="A398" s="581"/>
      <c r="B398" s="581"/>
      <c r="C398" s="581"/>
      <c r="D398" s="582" t="s">
        <v>715</v>
      </c>
      <c r="E398" s="660" t="s">
        <v>726</v>
      </c>
      <c r="F398" s="661">
        <v>41253</v>
      </c>
      <c r="G398" s="657">
        <f t="shared" si="12"/>
        <v>2012</v>
      </c>
      <c r="H398" s="657">
        <f t="shared" si="13"/>
        <v>12</v>
      </c>
      <c r="I398" s="660">
        <v>18</v>
      </c>
      <c r="J398" s="660">
        <v>6.6139999999999999</v>
      </c>
      <c r="K398" s="660">
        <v>0</v>
      </c>
      <c r="L398" s="662">
        <v>5.6139999999999999</v>
      </c>
      <c r="M398" s="660">
        <v>6609</v>
      </c>
      <c r="N398" s="663">
        <v>1E-3</v>
      </c>
      <c r="O398" s="660">
        <v>6.7430000000000003</v>
      </c>
      <c r="P398" s="660">
        <v>0</v>
      </c>
      <c r="Q398" s="581"/>
      <c r="R398" s="581"/>
      <c r="S398" s="581"/>
      <c r="T398" s="581"/>
      <c r="U398" s="581"/>
    </row>
    <row r="399" spans="1:21">
      <c r="A399" s="581"/>
      <c r="B399" s="581"/>
      <c r="C399" s="581"/>
      <c r="D399" s="582" t="s">
        <v>715</v>
      </c>
      <c r="E399" s="660" t="s">
        <v>726</v>
      </c>
      <c r="F399" s="661">
        <v>41295</v>
      </c>
      <c r="G399" s="657">
        <f t="shared" si="12"/>
        <v>2013</v>
      </c>
      <c r="H399" s="657">
        <f t="shared" si="13"/>
        <v>1</v>
      </c>
      <c r="I399" s="660">
        <v>19</v>
      </c>
      <c r="J399" s="660">
        <v>6.4710000000000001</v>
      </c>
      <c r="K399" s="660">
        <v>0</v>
      </c>
      <c r="L399" s="662">
        <v>5.4710000000000001</v>
      </c>
      <c r="M399" s="660">
        <v>6846</v>
      </c>
      <c r="N399" s="663">
        <v>8.9999999999999998E-4</v>
      </c>
      <c r="O399" s="660">
        <v>6.6</v>
      </c>
      <c r="P399" s="660">
        <v>0</v>
      </c>
      <c r="Q399" s="581"/>
      <c r="R399" s="581"/>
      <c r="S399" s="581"/>
      <c r="T399" s="581"/>
      <c r="U399" s="581"/>
    </row>
    <row r="400" spans="1:21">
      <c r="A400" s="581"/>
      <c r="B400" s="581"/>
      <c r="C400" s="581"/>
      <c r="D400" s="582" t="s">
        <v>715</v>
      </c>
      <c r="E400" s="660" t="s">
        <v>726</v>
      </c>
      <c r="F400" s="661">
        <v>41324</v>
      </c>
      <c r="G400" s="657">
        <f t="shared" si="12"/>
        <v>2013</v>
      </c>
      <c r="H400" s="657">
        <f t="shared" si="13"/>
        <v>2</v>
      </c>
      <c r="I400" s="660">
        <v>19</v>
      </c>
      <c r="J400" s="660">
        <v>5.5220000000000002</v>
      </c>
      <c r="K400" s="660">
        <v>0</v>
      </c>
      <c r="L400" s="662">
        <v>4.5220000000000002</v>
      </c>
      <c r="M400" s="660">
        <v>6511</v>
      </c>
      <c r="N400" s="663">
        <v>8.0000000000000004E-4</v>
      </c>
      <c r="O400" s="660">
        <v>5.63</v>
      </c>
      <c r="P400" s="660">
        <v>0</v>
      </c>
      <c r="Q400" s="581"/>
      <c r="R400" s="581"/>
      <c r="S400" s="581"/>
      <c r="T400" s="581"/>
      <c r="U400" s="581"/>
    </row>
    <row r="401" spans="1:21">
      <c r="A401" s="581"/>
      <c r="B401" s="581"/>
      <c r="C401" s="581"/>
      <c r="D401" s="582" t="s">
        <v>715</v>
      </c>
      <c r="E401" s="660" t="s">
        <v>726</v>
      </c>
      <c r="F401" s="661">
        <v>41337</v>
      </c>
      <c r="G401" s="657">
        <f t="shared" si="12"/>
        <v>2013</v>
      </c>
      <c r="H401" s="657">
        <f t="shared" si="13"/>
        <v>3</v>
      </c>
      <c r="I401" s="660">
        <v>19</v>
      </c>
      <c r="J401" s="660">
        <v>5.82</v>
      </c>
      <c r="K401" s="660">
        <v>0</v>
      </c>
      <c r="L401" s="662">
        <v>4.82</v>
      </c>
      <c r="M401" s="660">
        <v>6172</v>
      </c>
      <c r="N401" s="663">
        <v>8.9999999999999998E-4</v>
      </c>
      <c r="O401" s="660">
        <v>5.899</v>
      </c>
      <c r="P401" s="660">
        <v>0</v>
      </c>
      <c r="Q401" s="581"/>
      <c r="R401" s="581"/>
      <c r="S401" s="581"/>
      <c r="T401" s="581"/>
      <c r="U401" s="581"/>
    </row>
    <row r="402" spans="1:21">
      <c r="A402" s="581"/>
      <c r="B402" s="581"/>
      <c r="C402" s="581"/>
      <c r="D402" s="582" t="s">
        <v>715</v>
      </c>
      <c r="E402" s="660" t="s">
        <v>726</v>
      </c>
      <c r="F402" s="661">
        <v>41382</v>
      </c>
      <c r="G402" s="657">
        <f t="shared" si="12"/>
        <v>2013</v>
      </c>
      <c r="H402" s="657">
        <f t="shared" si="13"/>
        <v>4</v>
      </c>
      <c r="I402" s="660">
        <v>12</v>
      </c>
      <c r="J402" s="660">
        <v>5.585</v>
      </c>
      <c r="K402" s="660">
        <v>0</v>
      </c>
      <c r="L402" s="662">
        <v>4.585</v>
      </c>
      <c r="M402" s="660">
        <v>5851</v>
      </c>
      <c r="N402" s="663">
        <v>1E-3</v>
      </c>
      <c r="O402" s="660">
        <v>5.641</v>
      </c>
      <c r="P402" s="660">
        <v>0</v>
      </c>
      <c r="Q402" s="581"/>
      <c r="R402" s="581"/>
      <c r="S402" s="581"/>
      <c r="T402" s="581"/>
      <c r="U402" s="581"/>
    </row>
    <row r="403" spans="1:21">
      <c r="A403" s="581"/>
      <c r="B403" s="581"/>
      <c r="C403" s="581"/>
      <c r="D403" s="582" t="s">
        <v>715</v>
      </c>
      <c r="E403" s="660" t="s">
        <v>726</v>
      </c>
      <c r="F403" s="661">
        <v>41408</v>
      </c>
      <c r="G403" s="657">
        <f t="shared" si="12"/>
        <v>2013</v>
      </c>
      <c r="H403" s="657">
        <f t="shared" si="13"/>
        <v>5</v>
      </c>
      <c r="I403" s="660">
        <v>17</v>
      </c>
      <c r="J403" s="660">
        <v>6.6189999999999998</v>
      </c>
      <c r="K403" s="660">
        <v>0</v>
      </c>
      <c r="L403" s="662">
        <v>4.6189999999999998</v>
      </c>
      <c r="M403" s="660">
        <v>6516</v>
      </c>
      <c r="N403" s="663">
        <v>1E-3</v>
      </c>
      <c r="O403" s="660">
        <v>6.6959999999999997</v>
      </c>
      <c r="P403" s="660">
        <v>0</v>
      </c>
      <c r="Q403" s="581"/>
      <c r="R403" s="581"/>
      <c r="S403" s="581"/>
      <c r="T403" s="581"/>
      <c r="U403" s="581"/>
    </row>
    <row r="404" spans="1:21">
      <c r="A404" s="581"/>
      <c r="B404" s="581"/>
      <c r="C404" s="581"/>
      <c r="D404" s="582" t="s">
        <v>715</v>
      </c>
      <c r="E404" s="660" t="s">
        <v>726</v>
      </c>
      <c r="F404" s="661">
        <v>41451</v>
      </c>
      <c r="G404" s="657">
        <f t="shared" si="12"/>
        <v>2013</v>
      </c>
      <c r="H404" s="657">
        <f t="shared" si="13"/>
        <v>6</v>
      </c>
      <c r="I404" s="660">
        <v>16</v>
      </c>
      <c r="J404" s="660">
        <v>9.9920000000000009</v>
      </c>
      <c r="K404" s="660">
        <v>0</v>
      </c>
      <c r="L404" s="662">
        <v>7.992</v>
      </c>
      <c r="M404" s="660">
        <v>8280</v>
      </c>
      <c r="N404" s="663">
        <v>1.1999999999999999E-3</v>
      </c>
      <c r="O404" s="660">
        <v>10.102</v>
      </c>
      <c r="P404" s="660">
        <v>0</v>
      </c>
      <c r="Q404" s="581"/>
      <c r="R404" s="581"/>
      <c r="S404" s="581"/>
      <c r="T404" s="581"/>
      <c r="U404" s="581"/>
    </row>
    <row r="405" spans="1:21">
      <c r="A405" s="581"/>
      <c r="B405" s="581"/>
      <c r="C405" s="581"/>
      <c r="D405" s="582" t="s">
        <v>715</v>
      </c>
      <c r="E405" s="660" t="s">
        <v>726</v>
      </c>
      <c r="F405" s="661">
        <v>41473</v>
      </c>
      <c r="G405" s="657">
        <f t="shared" si="12"/>
        <v>2013</v>
      </c>
      <c r="H405" s="657">
        <f t="shared" si="13"/>
        <v>7</v>
      </c>
      <c r="I405" s="660">
        <v>17</v>
      </c>
      <c r="J405" s="660">
        <v>11.231</v>
      </c>
      <c r="K405" s="660">
        <v>0</v>
      </c>
      <c r="L405" s="662">
        <v>9.2309999999999999</v>
      </c>
      <c r="M405" s="660">
        <v>9566</v>
      </c>
      <c r="N405" s="663">
        <v>1.1999999999999999E-3</v>
      </c>
      <c r="O405" s="660">
        <v>11.36</v>
      </c>
      <c r="P405" s="660">
        <v>0</v>
      </c>
      <c r="Q405" s="581"/>
      <c r="R405" s="581"/>
      <c r="S405" s="581"/>
      <c r="T405" s="581"/>
      <c r="U405" s="581"/>
    </row>
    <row r="406" spans="1:21">
      <c r="A406" s="581"/>
      <c r="B406" s="581"/>
      <c r="C406" s="581"/>
      <c r="D406" s="582" t="s">
        <v>715</v>
      </c>
      <c r="E406" s="660" t="s">
        <v>726</v>
      </c>
      <c r="F406" s="661">
        <v>41512</v>
      </c>
      <c r="G406" s="657">
        <f t="shared" si="12"/>
        <v>2013</v>
      </c>
      <c r="H406" s="657">
        <f t="shared" si="13"/>
        <v>8</v>
      </c>
      <c r="I406" s="660">
        <v>17</v>
      </c>
      <c r="J406" s="660">
        <v>11.321999999999999</v>
      </c>
      <c r="K406" s="660">
        <v>0</v>
      </c>
      <c r="L406" s="662">
        <v>9.3219999999999992</v>
      </c>
      <c r="M406" s="660">
        <v>9821</v>
      </c>
      <c r="N406" s="663">
        <v>1.1999999999999999E-3</v>
      </c>
      <c r="O406" s="660">
        <v>11.47</v>
      </c>
      <c r="P406" s="660">
        <v>0</v>
      </c>
      <c r="Q406" s="581"/>
      <c r="R406" s="581"/>
      <c r="S406" s="581"/>
      <c r="T406" s="581"/>
      <c r="U406" s="581"/>
    </row>
    <row r="407" spans="1:21">
      <c r="A407" s="581"/>
      <c r="B407" s="581"/>
      <c r="C407" s="581"/>
      <c r="D407" s="582" t="s">
        <v>715</v>
      </c>
      <c r="E407" s="660" t="s">
        <v>726</v>
      </c>
      <c r="F407" s="661">
        <v>41526</v>
      </c>
      <c r="G407" s="657">
        <f t="shared" si="12"/>
        <v>2013</v>
      </c>
      <c r="H407" s="657">
        <f t="shared" si="13"/>
        <v>9</v>
      </c>
      <c r="I407" s="660">
        <v>17</v>
      </c>
      <c r="J407" s="660">
        <v>11.481999999999999</v>
      </c>
      <c r="K407" s="660">
        <v>0</v>
      </c>
      <c r="L407" s="662">
        <v>9.4819999999999993</v>
      </c>
      <c r="M407" s="660">
        <v>8781</v>
      </c>
      <c r="N407" s="663">
        <v>1.2999999999999999E-3</v>
      </c>
      <c r="O407" s="660">
        <v>11.605</v>
      </c>
      <c r="P407" s="660">
        <v>0</v>
      </c>
      <c r="Q407" s="581"/>
      <c r="R407" s="581"/>
      <c r="S407" s="581"/>
      <c r="T407" s="581"/>
      <c r="U407" s="581"/>
    </row>
    <row r="408" spans="1:21">
      <c r="A408" s="581"/>
      <c r="B408" s="581"/>
      <c r="C408" s="581"/>
      <c r="D408" s="582" t="s">
        <v>715</v>
      </c>
      <c r="E408" s="660" t="s">
        <v>726</v>
      </c>
      <c r="F408" s="661">
        <v>41548</v>
      </c>
      <c r="G408" s="657">
        <f t="shared" si="12"/>
        <v>2013</v>
      </c>
      <c r="H408" s="657">
        <f t="shared" si="13"/>
        <v>10</v>
      </c>
      <c r="I408" s="660">
        <v>14</v>
      </c>
      <c r="J408" s="660">
        <v>7.5069999999999997</v>
      </c>
      <c r="K408" s="660">
        <v>0</v>
      </c>
      <c r="L408" s="662">
        <v>5.5069999999999997</v>
      </c>
      <c r="M408" s="660">
        <v>6214</v>
      </c>
      <c r="N408" s="663">
        <v>1.1999999999999999E-3</v>
      </c>
      <c r="O408" s="660">
        <v>7.593</v>
      </c>
      <c r="P408" s="660">
        <v>0</v>
      </c>
      <c r="Q408" s="581"/>
      <c r="R408" s="581"/>
      <c r="S408" s="581"/>
      <c r="T408" s="581"/>
      <c r="U408" s="581"/>
    </row>
    <row r="409" spans="1:21">
      <c r="A409" s="581"/>
      <c r="B409" s="581"/>
      <c r="C409" s="581"/>
      <c r="D409" s="582" t="s">
        <v>715</v>
      </c>
      <c r="E409" s="660" t="s">
        <v>726</v>
      </c>
      <c r="F409" s="661">
        <v>41604</v>
      </c>
      <c r="G409" s="657">
        <f t="shared" si="12"/>
        <v>2013</v>
      </c>
      <c r="H409" s="657">
        <f t="shared" si="13"/>
        <v>11</v>
      </c>
      <c r="I409" s="660">
        <v>18</v>
      </c>
      <c r="J409" s="660">
        <v>6.8</v>
      </c>
      <c r="K409" s="660">
        <v>0</v>
      </c>
      <c r="L409" s="662">
        <v>5.8</v>
      </c>
      <c r="M409" s="660">
        <v>6372</v>
      </c>
      <c r="N409" s="663">
        <v>1.1000000000000001E-3</v>
      </c>
      <c r="O409" s="660">
        <v>6.875</v>
      </c>
      <c r="P409" s="660">
        <v>0</v>
      </c>
      <c r="Q409" s="581"/>
      <c r="R409" s="581"/>
      <c r="S409" s="581"/>
      <c r="T409" s="581"/>
      <c r="U409" s="581"/>
    </row>
    <row r="410" spans="1:21">
      <c r="A410" s="581"/>
      <c r="B410" s="581"/>
      <c r="C410" s="581"/>
      <c r="D410" s="582" t="s">
        <v>715</v>
      </c>
      <c r="E410" s="660" t="s">
        <v>726</v>
      </c>
      <c r="F410" s="661">
        <v>41619</v>
      </c>
      <c r="G410" s="657">
        <f t="shared" si="12"/>
        <v>2013</v>
      </c>
      <c r="H410" s="657">
        <f t="shared" si="13"/>
        <v>12</v>
      </c>
      <c r="I410" s="660">
        <v>18</v>
      </c>
      <c r="J410" s="660">
        <v>7.125</v>
      </c>
      <c r="K410" s="660">
        <v>0</v>
      </c>
      <c r="L410" s="662">
        <v>6.125</v>
      </c>
      <c r="M410" s="660">
        <v>6972</v>
      </c>
      <c r="N410" s="663">
        <v>1E-3</v>
      </c>
      <c r="O410" s="660">
        <v>7.2370000000000001</v>
      </c>
      <c r="P410" s="660">
        <v>0</v>
      </c>
      <c r="Q410" s="581"/>
      <c r="R410" s="581"/>
      <c r="S410" s="581"/>
      <c r="T410" s="581"/>
      <c r="U410" s="581"/>
    </row>
    <row r="411" spans="1:21">
      <c r="A411" s="581"/>
      <c r="B411" s="581"/>
      <c r="C411" s="581"/>
      <c r="D411" s="582" t="s">
        <v>715</v>
      </c>
      <c r="E411" s="582" t="s">
        <v>726</v>
      </c>
      <c r="F411" s="656">
        <v>41645</v>
      </c>
      <c r="G411" s="657">
        <f t="shared" si="12"/>
        <v>2014</v>
      </c>
      <c r="H411" s="657">
        <f t="shared" si="13"/>
        <v>1</v>
      </c>
      <c r="I411" s="582">
        <v>18</v>
      </c>
      <c r="J411" s="582">
        <v>6.2220000000000004</v>
      </c>
      <c r="K411" s="582">
        <v>0</v>
      </c>
      <c r="L411" s="658">
        <v>6.2220000000000004</v>
      </c>
      <c r="M411" s="659">
        <v>7188</v>
      </c>
      <c r="N411" s="582">
        <v>8.6999999999999994E-2</v>
      </c>
      <c r="O411" s="582">
        <v>6.3140000000000001</v>
      </c>
      <c r="P411" s="582">
        <v>0</v>
      </c>
      <c r="Q411" s="581"/>
      <c r="R411" s="581"/>
      <c r="S411" s="581"/>
      <c r="T411" s="581"/>
      <c r="U411" s="581"/>
    </row>
    <row r="412" spans="1:21">
      <c r="A412" s="581"/>
      <c r="B412" s="581"/>
      <c r="C412" s="581"/>
      <c r="D412" s="582" t="s">
        <v>715</v>
      </c>
      <c r="E412" s="582" t="s">
        <v>726</v>
      </c>
      <c r="F412" s="656">
        <v>41676</v>
      </c>
      <c r="G412" s="657">
        <f t="shared" si="12"/>
        <v>2014</v>
      </c>
      <c r="H412" s="657">
        <f t="shared" si="13"/>
        <v>2</v>
      </c>
      <c r="I412" s="582">
        <v>19</v>
      </c>
      <c r="J412" s="582">
        <v>5.8620000000000001</v>
      </c>
      <c r="K412" s="582">
        <v>0</v>
      </c>
      <c r="L412" s="658">
        <v>5.8620000000000001</v>
      </c>
      <c r="M412" s="659">
        <v>6743</v>
      </c>
      <c r="N412" s="582">
        <v>8.6999999999999994E-2</v>
      </c>
      <c r="O412" s="582">
        <v>5.9409999999999998</v>
      </c>
      <c r="P412" s="582">
        <v>0</v>
      </c>
      <c r="Q412" s="581"/>
      <c r="R412" s="581"/>
      <c r="S412" s="581"/>
      <c r="T412" s="581"/>
      <c r="U412" s="581"/>
    </row>
    <row r="413" spans="1:21">
      <c r="A413" s="581"/>
      <c r="B413" s="581"/>
      <c r="C413" s="581"/>
      <c r="D413" s="582" t="s">
        <v>715</v>
      </c>
      <c r="E413" s="582" t="s">
        <v>726</v>
      </c>
      <c r="F413" s="656">
        <v>41701</v>
      </c>
      <c r="G413" s="657">
        <f t="shared" si="12"/>
        <v>2014</v>
      </c>
      <c r="H413" s="657">
        <f t="shared" si="13"/>
        <v>3</v>
      </c>
      <c r="I413" s="582">
        <v>19</v>
      </c>
      <c r="J413" s="582">
        <v>5.64</v>
      </c>
      <c r="K413" s="582">
        <v>0</v>
      </c>
      <c r="L413" s="658">
        <v>5.64</v>
      </c>
      <c r="M413" s="659">
        <v>6537</v>
      </c>
      <c r="N413" s="582">
        <v>8.5999999999999993E-2</v>
      </c>
      <c r="O413" s="582">
        <v>5.6859999999999999</v>
      </c>
      <c r="P413" s="582">
        <v>0</v>
      </c>
      <c r="Q413" s="581"/>
      <c r="R413" s="581"/>
      <c r="S413" s="581"/>
      <c r="T413" s="581"/>
      <c r="U413" s="581"/>
    </row>
    <row r="414" spans="1:21">
      <c r="A414" s="581"/>
      <c r="B414" s="581"/>
      <c r="C414" s="581"/>
      <c r="D414" s="582" t="s">
        <v>715</v>
      </c>
      <c r="E414" s="582" t="s">
        <v>726</v>
      </c>
      <c r="F414" s="656">
        <v>41730</v>
      </c>
      <c r="G414" s="657">
        <f t="shared" si="12"/>
        <v>2014</v>
      </c>
      <c r="H414" s="657">
        <f t="shared" si="13"/>
        <v>4</v>
      </c>
      <c r="I414" s="582">
        <v>11</v>
      </c>
      <c r="J414" s="582">
        <v>6.1459999999999999</v>
      </c>
      <c r="K414" s="582">
        <v>0</v>
      </c>
      <c r="L414" s="658">
        <v>6.1459999999999999</v>
      </c>
      <c r="M414" s="659">
        <v>5924</v>
      </c>
      <c r="N414" s="582">
        <v>0.104</v>
      </c>
      <c r="O414" s="582">
        <v>6.1719999999999997</v>
      </c>
      <c r="P414" s="582">
        <v>0</v>
      </c>
      <c r="Q414" s="581"/>
      <c r="R414" s="581"/>
      <c r="S414" s="581"/>
      <c r="T414" s="581"/>
      <c r="U414" s="581"/>
    </row>
    <row r="415" spans="1:21">
      <c r="A415" s="581"/>
      <c r="B415" s="581"/>
      <c r="C415" s="581"/>
      <c r="D415" s="582" t="s">
        <v>715</v>
      </c>
      <c r="E415" s="582" t="s">
        <v>726</v>
      </c>
      <c r="F415" s="656">
        <v>41789</v>
      </c>
      <c r="G415" s="657">
        <f t="shared" si="12"/>
        <v>2014</v>
      </c>
      <c r="H415" s="657">
        <f t="shared" si="13"/>
        <v>5</v>
      </c>
      <c r="I415" s="582">
        <v>16</v>
      </c>
      <c r="J415" s="582">
        <v>6.7779999999999996</v>
      </c>
      <c r="K415" s="582">
        <v>0</v>
      </c>
      <c r="L415" s="658">
        <v>6.7779999999999996</v>
      </c>
      <c r="M415" s="659">
        <v>7422</v>
      </c>
      <c r="N415" s="582">
        <v>9.0999999999999998E-2</v>
      </c>
      <c r="O415" s="582">
        <v>6.8579999999999997</v>
      </c>
      <c r="P415" s="582">
        <v>0</v>
      </c>
      <c r="Q415" s="581"/>
      <c r="R415" s="581"/>
      <c r="S415" s="581"/>
      <c r="T415" s="581"/>
      <c r="U415" s="581"/>
    </row>
    <row r="416" spans="1:21">
      <c r="A416" s="581"/>
      <c r="B416" s="581"/>
      <c r="C416" s="581"/>
      <c r="D416" s="582" t="s">
        <v>715</v>
      </c>
      <c r="E416" s="582" t="s">
        <v>726</v>
      </c>
      <c r="F416" s="656">
        <v>41814</v>
      </c>
      <c r="G416" s="657">
        <f t="shared" si="12"/>
        <v>2014</v>
      </c>
      <c r="H416" s="657">
        <f t="shared" si="13"/>
        <v>6</v>
      </c>
      <c r="I416" s="582">
        <v>16</v>
      </c>
      <c r="J416" s="582">
        <v>8.9339999999999993</v>
      </c>
      <c r="K416" s="582">
        <v>0</v>
      </c>
      <c r="L416" s="658">
        <v>8.9339999999999993</v>
      </c>
      <c r="M416" s="659">
        <v>7670</v>
      </c>
      <c r="N416" s="582">
        <v>0.11600000000000001</v>
      </c>
      <c r="O416" s="582">
        <v>9.0039999999999996</v>
      </c>
      <c r="P416" s="582">
        <v>0</v>
      </c>
      <c r="Q416" s="581"/>
      <c r="R416" s="581"/>
      <c r="S416" s="581"/>
      <c r="T416" s="581"/>
      <c r="U416" s="581"/>
    </row>
    <row r="417" spans="1:21">
      <c r="A417" s="581"/>
      <c r="B417" s="581"/>
      <c r="C417" s="581"/>
      <c r="D417" s="582" t="s">
        <v>715</v>
      </c>
      <c r="E417" s="582" t="s">
        <v>726</v>
      </c>
      <c r="F417" s="656">
        <v>41841</v>
      </c>
      <c r="G417" s="657">
        <f t="shared" si="12"/>
        <v>2014</v>
      </c>
      <c r="H417" s="657">
        <f t="shared" si="13"/>
        <v>7</v>
      </c>
      <c r="I417" s="582">
        <v>17</v>
      </c>
      <c r="J417" s="582">
        <v>10.343</v>
      </c>
      <c r="K417" s="582">
        <v>0</v>
      </c>
      <c r="L417" s="658">
        <v>10.343</v>
      </c>
      <c r="M417" s="659">
        <v>9150</v>
      </c>
      <c r="N417" s="582">
        <v>0.113</v>
      </c>
      <c r="O417" s="582">
        <v>10.451000000000001</v>
      </c>
      <c r="P417" s="582">
        <v>0</v>
      </c>
      <c r="Q417" s="581"/>
      <c r="R417" s="581"/>
      <c r="S417" s="581"/>
      <c r="T417" s="581"/>
      <c r="U417" s="581"/>
    </row>
    <row r="418" spans="1:21">
      <c r="A418" s="581"/>
      <c r="B418" s="581"/>
      <c r="C418" s="581"/>
      <c r="D418" s="582" t="s">
        <v>715</v>
      </c>
      <c r="E418" s="582" t="s">
        <v>726</v>
      </c>
      <c r="F418" s="656">
        <v>41869</v>
      </c>
      <c r="G418" s="657">
        <f t="shared" si="12"/>
        <v>2014</v>
      </c>
      <c r="H418" s="657">
        <f t="shared" si="13"/>
        <v>8</v>
      </c>
      <c r="I418" s="582">
        <v>16</v>
      </c>
      <c r="J418" s="582">
        <v>10.327</v>
      </c>
      <c r="K418" s="582">
        <v>0</v>
      </c>
      <c r="L418" s="658">
        <v>10.327</v>
      </c>
      <c r="M418" s="659">
        <v>8190</v>
      </c>
      <c r="N418" s="582">
        <v>0.126</v>
      </c>
      <c r="O418" s="582">
        <v>10.413</v>
      </c>
      <c r="P418" s="582">
        <v>0</v>
      </c>
      <c r="Q418" s="581"/>
      <c r="R418" s="581"/>
      <c r="S418" s="581"/>
      <c r="T418" s="581"/>
      <c r="U418" s="581"/>
    </row>
    <row r="419" spans="1:21">
      <c r="A419" s="581"/>
      <c r="B419" s="581"/>
      <c r="C419" s="581"/>
      <c r="D419" s="582" t="s">
        <v>715</v>
      </c>
      <c r="E419" s="582" t="s">
        <v>726</v>
      </c>
      <c r="F419" s="656">
        <v>41886</v>
      </c>
      <c r="G419" s="657">
        <f t="shared" si="12"/>
        <v>2014</v>
      </c>
      <c r="H419" s="657">
        <f t="shared" si="13"/>
        <v>9</v>
      </c>
      <c r="I419" s="582">
        <v>15</v>
      </c>
      <c r="J419" s="582">
        <v>10.095000000000001</v>
      </c>
      <c r="K419" s="582">
        <v>0</v>
      </c>
      <c r="L419" s="658">
        <v>10.095000000000001</v>
      </c>
      <c r="M419" s="659">
        <v>7758</v>
      </c>
      <c r="N419" s="582">
        <v>0.13</v>
      </c>
      <c r="O419" s="582">
        <v>10.257999999999999</v>
      </c>
      <c r="P419" s="582">
        <v>0</v>
      </c>
      <c r="Q419" s="581"/>
      <c r="R419" s="581"/>
      <c r="S419" s="581"/>
      <c r="T419" s="581"/>
      <c r="U419" s="581"/>
    </row>
    <row r="420" spans="1:21">
      <c r="A420" s="581"/>
      <c r="B420" s="581"/>
      <c r="C420" s="581"/>
      <c r="D420" s="582" t="s">
        <v>715</v>
      </c>
      <c r="E420" s="582" t="s">
        <v>726</v>
      </c>
      <c r="F420" s="656">
        <v>41942</v>
      </c>
      <c r="G420" s="657">
        <f t="shared" si="12"/>
        <v>2014</v>
      </c>
      <c r="H420" s="657">
        <f t="shared" si="13"/>
        <v>10</v>
      </c>
      <c r="I420" s="582">
        <v>20</v>
      </c>
      <c r="J420" s="582">
        <v>6.8259999999999996</v>
      </c>
      <c r="K420" s="582">
        <v>0</v>
      </c>
      <c r="L420" s="658">
        <v>6.8259999999999996</v>
      </c>
      <c r="M420" s="659">
        <v>5901</v>
      </c>
      <c r="N420" s="582">
        <v>0.11600000000000001</v>
      </c>
      <c r="O420" s="582">
        <v>6.8730000000000002</v>
      </c>
      <c r="P420" s="582">
        <v>0</v>
      </c>
      <c r="Q420" s="581"/>
      <c r="R420" s="581"/>
      <c r="S420" s="581"/>
      <c r="T420" s="581"/>
      <c r="U420" s="581"/>
    </row>
    <row r="421" spans="1:21">
      <c r="A421" s="581"/>
      <c r="B421" s="581"/>
      <c r="C421" s="581"/>
      <c r="D421" s="582" t="s">
        <v>715</v>
      </c>
      <c r="E421" s="582" t="s">
        <v>726</v>
      </c>
      <c r="F421" s="656">
        <v>41960</v>
      </c>
      <c r="G421" s="657">
        <f t="shared" si="12"/>
        <v>2014</v>
      </c>
      <c r="H421" s="657">
        <f t="shared" si="13"/>
        <v>11</v>
      </c>
      <c r="I421" s="582">
        <v>18</v>
      </c>
      <c r="J421" s="582">
        <v>6.1820000000000004</v>
      </c>
      <c r="K421" s="582">
        <v>0</v>
      </c>
      <c r="L421" s="658">
        <v>6.1820000000000004</v>
      </c>
      <c r="M421" s="659">
        <v>6677</v>
      </c>
      <c r="N421" s="582">
        <v>9.2999999999999999E-2</v>
      </c>
      <c r="O421" s="582">
        <v>6.2309999999999999</v>
      </c>
      <c r="P421" s="582">
        <v>0</v>
      </c>
      <c r="Q421" s="581"/>
      <c r="R421" s="581"/>
      <c r="S421" s="581"/>
      <c r="T421" s="581"/>
      <c r="U421" s="581"/>
    </row>
    <row r="422" spans="1:21">
      <c r="A422" s="581"/>
      <c r="B422" s="581"/>
      <c r="C422" s="581"/>
      <c r="D422" s="582" t="s">
        <v>715</v>
      </c>
      <c r="E422" s="582" t="s">
        <v>726</v>
      </c>
      <c r="F422" s="656">
        <v>41974</v>
      </c>
      <c r="G422" s="657">
        <f t="shared" si="12"/>
        <v>2014</v>
      </c>
      <c r="H422" s="657">
        <f t="shared" si="13"/>
        <v>12</v>
      </c>
      <c r="I422" s="582">
        <v>18</v>
      </c>
      <c r="J422" s="582">
        <v>6.5830000000000002</v>
      </c>
      <c r="K422" s="582">
        <v>0</v>
      </c>
      <c r="L422" s="658">
        <v>6.5830000000000002</v>
      </c>
      <c r="M422" s="659">
        <v>6850</v>
      </c>
      <c r="N422" s="582">
        <v>9.6000000000000002E-2</v>
      </c>
      <c r="O422" s="582">
        <v>6.63</v>
      </c>
      <c r="P422" s="582">
        <v>0</v>
      </c>
      <c r="Q422" s="581"/>
      <c r="R422" s="581"/>
      <c r="S422" s="581"/>
      <c r="T422" s="581"/>
      <c r="U422" s="581"/>
    </row>
    <row r="423" spans="1:21">
      <c r="A423" s="581"/>
      <c r="B423" s="581"/>
      <c r="C423" s="581"/>
      <c r="D423" s="582" t="s">
        <v>715</v>
      </c>
      <c r="E423" s="582" t="s">
        <v>726</v>
      </c>
      <c r="F423" s="656">
        <v>42011</v>
      </c>
      <c r="G423" s="657">
        <f t="shared" si="12"/>
        <v>2015</v>
      </c>
      <c r="H423" s="657">
        <f t="shared" si="13"/>
        <v>1</v>
      </c>
      <c r="I423" s="582">
        <v>18</v>
      </c>
      <c r="J423" s="582">
        <v>6.7270000000000003</v>
      </c>
      <c r="K423" s="582">
        <v>0</v>
      </c>
      <c r="L423" s="658">
        <v>6.7270000000000003</v>
      </c>
      <c r="M423" s="659">
        <v>6978</v>
      </c>
      <c r="N423" s="582">
        <v>9.6000000000000002E-2</v>
      </c>
      <c r="O423" s="582">
        <v>6.8890000000000002</v>
      </c>
      <c r="P423" s="582">
        <v>0</v>
      </c>
      <c r="Q423" s="581"/>
      <c r="R423" s="581"/>
      <c r="S423" s="581"/>
      <c r="T423" s="581"/>
      <c r="U423" s="581"/>
    </row>
    <row r="424" spans="1:21">
      <c r="A424" s="581"/>
      <c r="B424" s="581"/>
      <c r="C424" s="581"/>
      <c r="D424" s="582" t="s">
        <v>715</v>
      </c>
      <c r="E424" s="582" t="s">
        <v>726</v>
      </c>
      <c r="F424" s="656">
        <v>42053</v>
      </c>
      <c r="G424" s="657">
        <f t="shared" si="12"/>
        <v>2015</v>
      </c>
      <c r="H424" s="657">
        <f t="shared" si="13"/>
        <v>2</v>
      </c>
      <c r="I424" s="582">
        <v>19</v>
      </c>
      <c r="J424" s="582">
        <v>6.399</v>
      </c>
      <c r="K424" s="582">
        <v>0</v>
      </c>
      <c r="L424" s="658">
        <v>6.399</v>
      </c>
      <c r="M424" s="659">
        <v>6744</v>
      </c>
      <c r="N424" s="582">
        <v>9.5000000000000001E-2</v>
      </c>
      <c r="O424" s="582">
        <v>6.4720000000000004</v>
      </c>
      <c r="P424" s="582">
        <v>0</v>
      </c>
      <c r="Q424" s="581"/>
      <c r="R424" s="581"/>
      <c r="S424" s="581"/>
      <c r="T424" s="581"/>
      <c r="U424" s="581"/>
    </row>
    <row r="425" spans="1:21">
      <c r="A425" s="581"/>
      <c r="B425" s="581"/>
      <c r="C425" s="581"/>
      <c r="D425" s="582" t="s">
        <v>715</v>
      </c>
      <c r="E425" s="582" t="s">
        <v>726</v>
      </c>
      <c r="F425" s="656">
        <v>42067</v>
      </c>
      <c r="G425" s="657">
        <f t="shared" si="12"/>
        <v>2015</v>
      </c>
      <c r="H425" s="657">
        <f t="shared" si="13"/>
        <v>3</v>
      </c>
      <c r="I425" s="582">
        <v>20</v>
      </c>
      <c r="J425" s="582">
        <v>5.7480000000000002</v>
      </c>
      <c r="K425" s="582">
        <v>0</v>
      </c>
      <c r="L425" s="658">
        <v>5.7480000000000002</v>
      </c>
      <c r="M425" s="659">
        <v>6470</v>
      </c>
      <c r="N425" s="582">
        <v>8.8999999999999996E-2</v>
      </c>
      <c r="O425" s="582">
        <v>5.8209999999999997</v>
      </c>
      <c r="P425" s="582">
        <v>0</v>
      </c>
      <c r="Q425" s="581"/>
      <c r="R425" s="581"/>
      <c r="S425" s="581"/>
      <c r="T425" s="581"/>
      <c r="U425" s="581"/>
    </row>
    <row r="426" spans="1:21">
      <c r="A426" s="581"/>
      <c r="B426" s="581"/>
      <c r="C426" s="581"/>
      <c r="D426" s="582" t="s">
        <v>715</v>
      </c>
      <c r="E426" s="582" t="s">
        <v>726</v>
      </c>
      <c r="F426" s="656">
        <v>42103</v>
      </c>
      <c r="G426" s="657">
        <f t="shared" si="12"/>
        <v>2015</v>
      </c>
      <c r="H426" s="657">
        <f t="shared" si="13"/>
        <v>4</v>
      </c>
      <c r="I426" s="582">
        <v>12</v>
      </c>
      <c r="J426" s="582">
        <v>5.91</v>
      </c>
      <c r="K426" s="582">
        <v>0</v>
      </c>
      <c r="L426" s="658">
        <v>5.91</v>
      </c>
      <c r="M426" s="659">
        <v>5914</v>
      </c>
      <c r="N426" s="582">
        <v>0.1</v>
      </c>
      <c r="O426" s="582">
        <v>5.96</v>
      </c>
      <c r="P426" s="582">
        <v>0</v>
      </c>
      <c r="Q426" s="581"/>
      <c r="R426" s="581"/>
      <c r="S426" s="581"/>
      <c r="T426" s="581"/>
      <c r="U426" s="581"/>
    </row>
    <row r="427" spans="1:21">
      <c r="A427" s="581"/>
      <c r="B427" s="581"/>
      <c r="C427" s="581"/>
      <c r="D427" s="582" t="s">
        <v>715</v>
      </c>
      <c r="E427" s="582" t="s">
        <v>726</v>
      </c>
      <c r="F427" s="656">
        <v>42152</v>
      </c>
      <c r="G427" s="657">
        <f t="shared" si="12"/>
        <v>2015</v>
      </c>
      <c r="H427" s="657">
        <f t="shared" si="13"/>
        <v>5</v>
      </c>
      <c r="I427" s="582">
        <v>16</v>
      </c>
      <c r="J427" s="582">
        <v>6.3769999999999998</v>
      </c>
      <c r="K427" s="582">
        <v>0</v>
      </c>
      <c r="L427" s="658">
        <v>6.3769999999999998</v>
      </c>
      <c r="M427" s="659">
        <v>6837</v>
      </c>
      <c r="N427" s="582">
        <v>9.2999999999999999E-2</v>
      </c>
      <c r="O427" s="582">
        <v>6.4219999999999997</v>
      </c>
      <c r="P427" s="582">
        <v>0</v>
      </c>
      <c r="Q427" s="581"/>
      <c r="R427" s="581"/>
      <c r="S427" s="581"/>
      <c r="T427" s="581"/>
      <c r="U427" s="581"/>
    </row>
    <row r="428" spans="1:21">
      <c r="A428" s="581"/>
      <c r="B428" s="581"/>
      <c r="C428" s="581"/>
      <c r="D428" s="582" t="s">
        <v>715</v>
      </c>
      <c r="E428" s="582" t="s">
        <v>726</v>
      </c>
      <c r="F428" s="656">
        <v>42164</v>
      </c>
      <c r="G428" s="657">
        <f t="shared" si="12"/>
        <v>2015</v>
      </c>
      <c r="H428" s="657">
        <f t="shared" si="13"/>
        <v>6</v>
      </c>
      <c r="I428" s="582">
        <v>17</v>
      </c>
      <c r="J428" s="582">
        <v>8.7420000000000009</v>
      </c>
      <c r="K428" s="582">
        <v>0</v>
      </c>
      <c r="L428" s="658">
        <v>8.7420000000000009</v>
      </c>
      <c r="M428" s="659">
        <v>8136</v>
      </c>
      <c r="N428" s="582">
        <v>0.107</v>
      </c>
      <c r="O428" s="582">
        <v>8.8279999999999994</v>
      </c>
      <c r="P428" s="582">
        <v>0</v>
      </c>
      <c r="Q428" s="581"/>
      <c r="R428" s="581"/>
      <c r="S428" s="581"/>
      <c r="T428" s="581"/>
      <c r="U428" s="581"/>
    </row>
    <row r="429" spans="1:21">
      <c r="A429" s="581"/>
      <c r="B429" s="581"/>
      <c r="C429" s="581"/>
      <c r="D429" s="582" t="s">
        <v>715</v>
      </c>
      <c r="E429" s="582" t="s">
        <v>726</v>
      </c>
      <c r="F429" s="656">
        <v>42212</v>
      </c>
      <c r="G429" s="657">
        <f t="shared" si="12"/>
        <v>2015</v>
      </c>
      <c r="H429" s="657">
        <f t="shared" si="13"/>
        <v>7</v>
      </c>
      <c r="I429" s="582">
        <v>17</v>
      </c>
      <c r="J429" s="582">
        <v>10.702</v>
      </c>
      <c r="K429" s="582">
        <v>0</v>
      </c>
      <c r="L429" s="658">
        <v>10.702</v>
      </c>
      <c r="M429" s="659">
        <v>8769</v>
      </c>
      <c r="N429" s="582">
        <v>0.122</v>
      </c>
      <c r="O429" s="582">
        <v>10.808999999999999</v>
      </c>
      <c r="P429" s="582">
        <v>0</v>
      </c>
      <c r="Q429" s="581"/>
      <c r="R429" s="581"/>
      <c r="S429" s="581"/>
      <c r="T429" s="581"/>
      <c r="U429" s="581"/>
    </row>
    <row r="430" spans="1:21">
      <c r="A430" s="581"/>
      <c r="B430" s="581"/>
      <c r="C430" s="581"/>
      <c r="D430" s="582" t="s">
        <v>715</v>
      </c>
      <c r="E430" s="582" t="s">
        <v>726</v>
      </c>
      <c r="F430" s="656">
        <v>42230</v>
      </c>
      <c r="G430" s="657">
        <f t="shared" si="12"/>
        <v>2015</v>
      </c>
      <c r="H430" s="657">
        <f t="shared" si="13"/>
        <v>8</v>
      </c>
      <c r="I430" s="582">
        <v>16</v>
      </c>
      <c r="J430" s="582">
        <v>10.050000000000001</v>
      </c>
      <c r="K430" s="582">
        <v>0</v>
      </c>
      <c r="L430" s="658">
        <v>10.050000000000001</v>
      </c>
      <c r="M430" s="659">
        <v>8926</v>
      </c>
      <c r="N430" s="582">
        <v>0.113</v>
      </c>
      <c r="O430" s="582">
        <v>10.141999999999999</v>
      </c>
      <c r="P430" s="582">
        <v>0</v>
      </c>
      <c r="Q430" s="581"/>
      <c r="R430" s="581"/>
      <c r="S430" s="581"/>
      <c r="T430" s="581"/>
      <c r="U430" s="581"/>
    </row>
    <row r="431" spans="1:21">
      <c r="A431" s="581"/>
      <c r="B431" s="581"/>
      <c r="C431" s="581"/>
      <c r="D431" s="582" t="s">
        <v>715</v>
      </c>
      <c r="E431" s="582" t="s">
        <v>726</v>
      </c>
      <c r="F431" s="656">
        <v>42250</v>
      </c>
      <c r="G431" s="657">
        <f t="shared" si="12"/>
        <v>2015</v>
      </c>
      <c r="H431" s="657">
        <f t="shared" si="13"/>
        <v>9</v>
      </c>
      <c r="I431" s="582">
        <v>17</v>
      </c>
      <c r="J431" s="582">
        <v>11.39</v>
      </c>
      <c r="K431" s="582">
        <v>0</v>
      </c>
      <c r="L431" s="658">
        <v>11.39</v>
      </c>
      <c r="M431" s="659">
        <v>8657</v>
      </c>
      <c r="N431" s="582">
        <v>0.13200000000000001</v>
      </c>
      <c r="O431" s="582">
        <v>11.491</v>
      </c>
      <c r="P431" s="582">
        <v>0</v>
      </c>
      <c r="Q431" s="581"/>
      <c r="R431" s="581"/>
      <c r="S431" s="581"/>
      <c r="T431" s="581"/>
      <c r="U431" s="581"/>
    </row>
    <row r="432" spans="1:21">
      <c r="A432" s="581"/>
      <c r="B432" s="581"/>
      <c r="C432" s="581"/>
      <c r="D432" s="582" t="s">
        <v>715</v>
      </c>
      <c r="E432" s="582" t="s">
        <v>726</v>
      </c>
      <c r="F432" s="656">
        <v>42285</v>
      </c>
      <c r="G432" s="657">
        <f t="shared" si="12"/>
        <v>2015</v>
      </c>
      <c r="H432" s="657">
        <f t="shared" si="13"/>
        <v>10</v>
      </c>
      <c r="I432" s="582">
        <v>12</v>
      </c>
      <c r="J432" s="582">
        <v>7.4370000000000003</v>
      </c>
      <c r="K432" s="582">
        <v>0</v>
      </c>
      <c r="L432" s="658">
        <v>7.4370000000000003</v>
      </c>
      <c r="M432" s="659">
        <v>5943</v>
      </c>
      <c r="N432" s="582">
        <v>0.125</v>
      </c>
      <c r="O432" s="582">
        <v>7.5</v>
      </c>
      <c r="P432" s="582">
        <v>0</v>
      </c>
      <c r="Q432" s="581"/>
      <c r="R432" s="581"/>
      <c r="S432" s="581"/>
      <c r="T432" s="581"/>
      <c r="U432" s="581"/>
    </row>
    <row r="433" spans="1:21">
      <c r="A433" s="581"/>
      <c r="B433" s="581"/>
      <c r="C433" s="581"/>
      <c r="D433" s="582" t="s">
        <v>715</v>
      </c>
      <c r="E433" s="582" t="s">
        <v>726</v>
      </c>
      <c r="F433" s="656">
        <v>42338</v>
      </c>
      <c r="G433" s="657">
        <f t="shared" si="12"/>
        <v>2015</v>
      </c>
      <c r="H433" s="657">
        <f t="shared" si="13"/>
        <v>11</v>
      </c>
      <c r="I433" s="582">
        <v>18</v>
      </c>
      <c r="J433" s="582">
        <v>6.0830000000000002</v>
      </c>
      <c r="K433" s="582">
        <v>0</v>
      </c>
      <c r="L433" s="658">
        <v>6.0830000000000002</v>
      </c>
      <c r="M433" s="659">
        <v>6574</v>
      </c>
      <c r="N433" s="582">
        <v>9.2999999999999999E-2</v>
      </c>
      <c r="O433" s="582">
        <v>6.125</v>
      </c>
      <c r="P433" s="582">
        <v>0</v>
      </c>
      <c r="Q433" s="581"/>
      <c r="R433" s="581"/>
      <c r="S433" s="581"/>
      <c r="T433" s="581"/>
      <c r="U433" s="581"/>
    </row>
    <row r="434" spans="1:21">
      <c r="A434" s="581"/>
      <c r="B434" s="581"/>
      <c r="C434" s="581"/>
      <c r="D434" s="582" t="s">
        <v>715</v>
      </c>
      <c r="E434" s="582" t="s">
        <v>726</v>
      </c>
      <c r="F434" s="656">
        <v>42355</v>
      </c>
      <c r="G434" s="657">
        <f t="shared" si="12"/>
        <v>2015</v>
      </c>
      <c r="H434" s="657">
        <f t="shared" si="13"/>
        <v>12</v>
      </c>
      <c r="I434" s="582">
        <v>18</v>
      </c>
      <c r="J434" s="582">
        <v>6.4089999999999998</v>
      </c>
      <c r="K434" s="582">
        <v>0</v>
      </c>
      <c r="L434" s="658">
        <v>6.4089999999999998</v>
      </c>
      <c r="M434" s="659">
        <v>6450</v>
      </c>
      <c r="N434" s="582">
        <v>9.9000000000000005E-2</v>
      </c>
      <c r="O434" s="582">
        <v>6.4470000000000001</v>
      </c>
      <c r="P434" s="582">
        <v>0</v>
      </c>
      <c r="Q434" s="581"/>
      <c r="R434" s="581"/>
      <c r="S434" s="581"/>
      <c r="T434" s="581"/>
      <c r="U434" s="581"/>
    </row>
    <row r="435" spans="1:21">
      <c r="A435" s="581"/>
      <c r="B435" s="581"/>
      <c r="C435" s="581"/>
      <c r="D435" s="582" t="s">
        <v>724</v>
      </c>
      <c r="E435" s="660" t="s">
        <v>725</v>
      </c>
      <c r="F435" s="661">
        <v>40927</v>
      </c>
      <c r="G435" s="657">
        <f t="shared" si="12"/>
        <v>2012</v>
      </c>
      <c r="H435" s="657">
        <f t="shared" si="13"/>
        <v>1</v>
      </c>
      <c r="I435" s="660">
        <v>19</v>
      </c>
      <c r="J435" s="660">
        <v>3.6920000000000002</v>
      </c>
      <c r="K435" s="660">
        <v>0</v>
      </c>
      <c r="L435" s="662">
        <v>3.6920000000000002</v>
      </c>
      <c r="M435" s="660">
        <v>0</v>
      </c>
      <c r="N435" s="663">
        <v>0</v>
      </c>
      <c r="O435" s="660">
        <v>3.7120000000000002</v>
      </c>
      <c r="P435" s="660">
        <v>0</v>
      </c>
      <c r="Q435" s="581"/>
      <c r="R435" s="581"/>
      <c r="S435" s="581"/>
      <c r="T435" s="581"/>
      <c r="U435" s="581"/>
    </row>
    <row r="436" spans="1:21">
      <c r="A436" s="581"/>
      <c r="B436" s="581"/>
      <c r="C436" s="581"/>
      <c r="D436" s="582" t="s">
        <v>724</v>
      </c>
      <c r="E436" s="660" t="s">
        <v>725</v>
      </c>
      <c r="F436" s="661">
        <v>40952</v>
      </c>
      <c r="G436" s="657">
        <f t="shared" si="12"/>
        <v>2012</v>
      </c>
      <c r="H436" s="657">
        <f t="shared" si="13"/>
        <v>2</v>
      </c>
      <c r="I436" s="660">
        <v>19</v>
      </c>
      <c r="J436" s="660">
        <v>3.6349999999999998</v>
      </c>
      <c r="K436" s="660">
        <v>0</v>
      </c>
      <c r="L436" s="662">
        <v>3.6349999999999998</v>
      </c>
      <c r="M436" s="660">
        <v>0</v>
      </c>
      <c r="N436" s="663">
        <v>0</v>
      </c>
      <c r="O436" s="660">
        <v>3.6560000000000001</v>
      </c>
      <c r="P436" s="660">
        <v>0</v>
      </c>
      <c r="Q436" s="581"/>
      <c r="R436" s="581"/>
      <c r="S436" s="581"/>
      <c r="T436" s="581"/>
      <c r="U436" s="581"/>
    </row>
    <row r="437" spans="1:21">
      <c r="A437" s="581"/>
      <c r="B437" s="581"/>
      <c r="C437" s="581"/>
      <c r="D437" s="582" t="s">
        <v>724</v>
      </c>
      <c r="E437" s="660" t="s">
        <v>725</v>
      </c>
      <c r="F437" s="661">
        <v>40973</v>
      </c>
      <c r="G437" s="657">
        <f t="shared" si="12"/>
        <v>2012</v>
      </c>
      <c r="H437" s="657">
        <f t="shared" si="13"/>
        <v>3</v>
      </c>
      <c r="I437" s="660">
        <v>8</v>
      </c>
      <c r="J437" s="660">
        <v>3.4940000000000002</v>
      </c>
      <c r="K437" s="660">
        <v>0</v>
      </c>
      <c r="L437" s="662">
        <v>3.4940000000000002</v>
      </c>
      <c r="M437" s="660">
        <v>0</v>
      </c>
      <c r="N437" s="663">
        <v>0</v>
      </c>
      <c r="O437" s="660">
        <v>3.5209999999999999</v>
      </c>
      <c r="P437" s="660">
        <v>0</v>
      </c>
      <c r="Q437" s="581"/>
      <c r="R437" s="581"/>
      <c r="S437" s="581"/>
      <c r="T437" s="581"/>
      <c r="U437" s="581"/>
    </row>
    <row r="438" spans="1:21">
      <c r="A438" s="581"/>
      <c r="B438" s="581"/>
      <c r="C438" s="581"/>
      <c r="D438" s="582" t="s">
        <v>724</v>
      </c>
      <c r="E438" s="660" t="s">
        <v>725</v>
      </c>
      <c r="F438" s="661">
        <v>41001</v>
      </c>
      <c r="G438" s="657">
        <f t="shared" si="12"/>
        <v>2012</v>
      </c>
      <c r="H438" s="657">
        <f t="shared" si="13"/>
        <v>4</v>
      </c>
      <c r="I438" s="660">
        <v>21</v>
      </c>
      <c r="J438" s="660">
        <v>2.4409999999999998</v>
      </c>
      <c r="K438" s="660">
        <v>0</v>
      </c>
      <c r="L438" s="662">
        <v>2.4409999999999998</v>
      </c>
      <c r="M438" s="660">
        <v>0</v>
      </c>
      <c r="N438" s="663">
        <v>0</v>
      </c>
      <c r="O438" s="660">
        <v>2.46</v>
      </c>
      <c r="P438" s="660">
        <v>0</v>
      </c>
      <c r="Q438" s="581"/>
      <c r="R438" s="581"/>
      <c r="S438" s="581"/>
      <c r="T438" s="581"/>
      <c r="U438" s="581"/>
    </row>
    <row r="439" spans="1:21">
      <c r="A439" s="581"/>
      <c r="B439" s="581"/>
      <c r="C439" s="581"/>
      <c r="D439" s="582" t="s">
        <v>724</v>
      </c>
      <c r="E439" s="660" t="s">
        <v>725</v>
      </c>
      <c r="F439" s="661">
        <v>41053</v>
      </c>
      <c r="G439" s="657">
        <f t="shared" si="12"/>
        <v>2012</v>
      </c>
      <c r="H439" s="657">
        <f t="shared" si="13"/>
        <v>5</v>
      </c>
      <c r="I439" s="660">
        <v>14</v>
      </c>
      <c r="J439" s="660">
        <v>2.1840000000000002</v>
      </c>
      <c r="K439" s="660">
        <v>0</v>
      </c>
      <c r="L439" s="662">
        <v>2.1840000000000002</v>
      </c>
      <c r="M439" s="660">
        <v>0</v>
      </c>
      <c r="N439" s="663">
        <v>0</v>
      </c>
      <c r="O439" s="660">
        <v>2.2040000000000002</v>
      </c>
      <c r="P439" s="660">
        <v>0</v>
      </c>
      <c r="Q439" s="581"/>
      <c r="R439" s="581"/>
      <c r="S439" s="581"/>
      <c r="T439" s="581"/>
      <c r="U439" s="581"/>
    </row>
    <row r="440" spans="1:21">
      <c r="A440" s="581"/>
      <c r="B440" s="581"/>
      <c r="C440" s="581"/>
      <c r="D440" s="582" t="s">
        <v>724</v>
      </c>
      <c r="E440" s="660" t="s">
        <v>725</v>
      </c>
      <c r="F440" s="661">
        <v>41087</v>
      </c>
      <c r="G440" s="657">
        <f t="shared" si="12"/>
        <v>2012</v>
      </c>
      <c r="H440" s="657">
        <f t="shared" si="13"/>
        <v>6</v>
      </c>
      <c r="I440" s="660">
        <v>17</v>
      </c>
      <c r="J440" s="660">
        <v>4.0720000000000001</v>
      </c>
      <c r="K440" s="660">
        <v>0</v>
      </c>
      <c r="L440" s="662">
        <v>4.0720000000000001</v>
      </c>
      <c r="M440" s="660">
        <v>0</v>
      </c>
      <c r="N440" s="663">
        <v>0</v>
      </c>
      <c r="O440" s="660">
        <v>4.0949999999999998</v>
      </c>
      <c r="P440" s="660">
        <v>0</v>
      </c>
      <c r="Q440" s="581"/>
      <c r="R440" s="581"/>
      <c r="S440" s="581"/>
      <c r="T440" s="581"/>
      <c r="U440" s="581"/>
    </row>
    <row r="441" spans="1:21">
      <c r="A441" s="581"/>
      <c r="B441" s="581"/>
      <c r="C441" s="581"/>
      <c r="D441" s="582" t="s">
        <v>724</v>
      </c>
      <c r="E441" s="660" t="s">
        <v>725</v>
      </c>
      <c r="F441" s="661">
        <v>41115</v>
      </c>
      <c r="G441" s="657">
        <f t="shared" si="12"/>
        <v>2012</v>
      </c>
      <c r="H441" s="657">
        <f t="shared" si="13"/>
        <v>7</v>
      </c>
      <c r="I441" s="660">
        <v>17</v>
      </c>
      <c r="J441" s="660">
        <v>4.2</v>
      </c>
      <c r="K441" s="660">
        <v>0</v>
      </c>
      <c r="L441" s="662">
        <v>4.2</v>
      </c>
      <c r="M441" s="660">
        <v>0</v>
      </c>
      <c r="N441" s="663">
        <v>0</v>
      </c>
      <c r="O441" s="660">
        <v>4.2149999999999999</v>
      </c>
      <c r="P441" s="660">
        <v>0</v>
      </c>
      <c r="Q441" s="581"/>
      <c r="R441" s="581"/>
      <c r="S441" s="581"/>
      <c r="T441" s="581"/>
      <c r="U441" s="581"/>
    </row>
    <row r="442" spans="1:21">
      <c r="A442" s="581"/>
      <c r="B442" s="581"/>
      <c r="C442" s="581"/>
      <c r="D442" s="582" t="s">
        <v>724</v>
      </c>
      <c r="E442" s="660" t="s">
        <v>725</v>
      </c>
      <c r="F442" s="661">
        <v>41124</v>
      </c>
      <c r="G442" s="657">
        <f t="shared" si="12"/>
        <v>2012</v>
      </c>
      <c r="H442" s="657">
        <f t="shared" si="13"/>
        <v>8</v>
      </c>
      <c r="I442" s="660">
        <v>17</v>
      </c>
      <c r="J442" s="660">
        <v>4.0919999999999996</v>
      </c>
      <c r="K442" s="660">
        <v>0</v>
      </c>
      <c r="L442" s="662">
        <v>4.0919999999999996</v>
      </c>
      <c r="M442" s="660">
        <v>0</v>
      </c>
      <c r="N442" s="663">
        <v>0</v>
      </c>
      <c r="O442" s="660">
        <v>4.1159999999999997</v>
      </c>
      <c r="P442" s="660">
        <v>0</v>
      </c>
      <c r="Q442" s="581"/>
      <c r="R442" s="581"/>
      <c r="S442" s="581"/>
      <c r="T442" s="581"/>
      <c r="U442" s="581"/>
    </row>
    <row r="443" spans="1:21">
      <c r="A443" s="581"/>
      <c r="B443" s="581"/>
      <c r="C443" s="581"/>
      <c r="D443" s="582" t="s">
        <v>724</v>
      </c>
      <c r="E443" s="660" t="s">
        <v>725</v>
      </c>
      <c r="F443" s="661">
        <v>41156</v>
      </c>
      <c r="G443" s="657">
        <f t="shared" si="12"/>
        <v>2012</v>
      </c>
      <c r="H443" s="657">
        <f t="shared" si="13"/>
        <v>9</v>
      </c>
      <c r="I443" s="660">
        <v>17</v>
      </c>
      <c r="J443" s="660">
        <v>4.0730000000000004</v>
      </c>
      <c r="K443" s="660">
        <v>0</v>
      </c>
      <c r="L443" s="662">
        <v>4.0730000000000004</v>
      </c>
      <c r="M443" s="660">
        <v>0</v>
      </c>
      <c r="N443" s="663">
        <v>0</v>
      </c>
      <c r="O443" s="660">
        <v>4.1029999999999998</v>
      </c>
      <c r="P443" s="660">
        <v>0</v>
      </c>
      <c r="Q443" s="581"/>
      <c r="R443" s="581"/>
      <c r="S443" s="581"/>
      <c r="T443" s="581"/>
      <c r="U443" s="581"/>
    </row>
    <row r="444" spans="1:21">
      <c r="A444" s="581"/>
      <c r="B444" s="581"/>
      <c r="C444" s="581"/>
      <c r="D444" s="582" t="s">
        <v>724</v>
      </c>
      <c r="E444" s="660" t="s">
        <v>725</v>
      </c>
      <c r="F444" s="661">
        <v>41211</v>
      </c>
      <c r="G444" s="657">
        <f t="shared" si="12"/>
        <v>2012</v>
      </c>
      <c r="H444" s="657">
        <f t="shared" si="13"/>
        <v>10</v>
      </c>
      <c r="I444" s="660">
        <v>8</v>
      </c>
      <c r="J444" s="660">
        <v>2.4820000000000002</v>
      </c>
      <c r="K444" s="660">
        <v>0</v>
      </c>
      <c r="L444" s="662">
        <v>2.4820000000000002</v>
      </c>
      <c r="M444" s="660">
        <v>0</v>
      </c>
      <c r="N444" s="663">
        <v>0</v>
      </c>
      <c r="O444" s="660">
        <v>2.4980000000000002</v>
      </c>
      <c r="P444" s="660">
        <v>0</v>
      </c>
      <c r="Q444" s="581"/>
      <c r="R444" s="581"/>
      <c r="S444" s="581"/>
      <c r="T444" s="581"/>
      <c r="U444" s="581"/>
    </row>
    <row r="445" spans="1:21">
      <c r="A445" s="581"/>
      <c r="B445" s="581"/>
      <c r="C445" s="581"/>
      <c r="D445" s="582" t="s">
        <v>724</v>
      </c>
      <c r="E445" s="660" t="s">
        <v>725</v>
      </c>
      <c r="F445" s="661">
        <v>41225</v>
      </c>
      <c r="G445" s="657">
        <f t="shared" si="12"/>
        <v>2012</v>
      </c>
      <c r="H445" s="657">
        <f t="shared" si="13"/>
        <v>11</v>
      </c>
      <c r="I445" s="660">
        <v>18</v>
      </c>
      <c r="J445" s="660">
        <v>3.12</v>
      </c>
      <c r="K445" s="660">
        <v>0</v>
      </c>
      <c r="L445" s="662">
        <v>3.12</v>
      </c>
      <c r="M445" s="660">
        <v>0</v>
      </c>
      <c r="N445" s="663">
        <v>0</v>
      </c>
      <c r="O445" s="660">
        <v>3.137</v>
      </c>
      <c r="P445" s="660">
        <v>0</v>
      </c>
      <c r="Q445" s="581"/>
      <c r="R445" s="581"/>
      <c r="S445" s="581"/>
      <c r="T445" s="581"/>
      <c r="U445" s="581"/>
    </row>
    <row r="446" spans="1:21">
      <c r="A446" s="581"/>
      <c r="B446" s="581"/>
      <c r="C446" s="581"/>
      <c r="D446" s="582" t="s">
        <v>724</v>
      </c>
      <c r="E446" s="660" t="s">
        <v>725</v>
      </c>
      <c r="F446" s="661">
        <v>41263</v>
      </c>
      <c r="G446" s="657">
        <f t="shared" si="12"/>
        <v>2012</v>
      </c>
      <c r="H446" s="657">
        <f t="shared" si="13"/>
        <v>12</v>
      </c>
      <c r="I446" s="660">
        <v>18</v>
      </c>
      <c r="J446" s="660">
        <v>2.5990000000000002</v>
      </c>
      <c r="K446" s="660">
        <v>0</v>
      </c>
      <c r="L446" s="662">
        <v>2.5990000000000002</v>
      </c>
      <c r="M446" s="660">
        <v>0</v>
      </c>
      <c r="N446" s="663">
        <v>0</v>
      </c>
      <c r="O446" s="660">
        <v>2.6190000000000002</v>
      </c>
      <c r="P446" s="660">
        <v>0</v>
      </c>
      <c r="Q446" s="581"/>
      <c r="R446" s="581"/>
      <c r="S446" s="581"/>
      <c r="T446" s="581"/>
      <c r="U446" s="581"/>
    </row>
    <row r="447" spans="1:21">
      <c r="A447" s="581"/>
      <c r="B447" s="581"/>
      <c r="C447" s="581"/>
      <c r="D447" s="582" t="s">
        <v>724</v>
      </c>
      <c r="E447" s="660" t="s">
        <v>725</v>
      </c>
      <c r="F447" s="661">
        <v>41305</v>
      </c>
      <c r="G447" s="657">
        <f t="shared" si="12"/>
        <v>2013</v>
      </c>
      <c r="H447" s="657">
        <f t="shared" si="13"/>
        <v>1</v>
      </c>
      <c r="I447" s="660">
        <v>19</v>
      </c>
      <c r="J447" s="660">
        <v>3.3</v>
      </c>
      <c r="K447" s="660">
        <v>0</v>
      </c>
      <c r="L447" s="662">
        <v>3.3</v>
      </c>
      <c r="M447" s="660">
        <v>0</v>
      </c>
      <c r="N447" s="663">
        <v>0</v>
      </c>
      <c r="O447" s="660">
        <v>3.3029999999999999</v>
      </c>
      <c r="P447" s="660">
        <v>0</v>
      </c>
      <c r="Q447" s="581"/>
      <c r="R447" s="581"/>
      <c r="S447" s="581"/>
      <c r="T447" s="581"/>
      <c r="U447" s="581"/>
    </row>
    <row r="448" spans="1:21">
      <c r="A448" s="581"/>
      <c r="B448" s="581"/>
      <c r="C448" s="581"/>
      <c r="D448" s="582" t="s">
        <v>724</v>
      </c>
      <c r="E448" s="660" t="s">
        <v>725</v>
      </c>
      <c r="F448" s="661">
        <v>41306</v>
      </c>
      <c r="G448" s="657">
        <f t="shared" si="12"/>
        <v>2013</v>
      </c>
      <c r="H448" s="657">
        <f t="shared" si="13"/>
        <v>2</v>
      </c>
      <c r="I448" s="660">
        <v>8</v>
      </c>
      <c r="J448" s="660">
        <v>3.8039999999999998</v>
      </c>
      <c r="K448" s="660">
        <v>0</v>
      </c>
      <c r="L448" s="662">
        <v>3.8039999999999998</v>
      </c>
      <c r="M448" s="660">
        <v>0</v>
      </c>
      <c r="N448" s="663">
        <v>0</v>
      </c>
      <c r="O448" s="660">
        <v>3.8239999999999998</v>
      </c>
      <c r="P448" s="660">
        <v>0</v>
      </c>
      <c r="Q448" s="581"/>
      <c r="R448" s="581"/>
      <c r="S448" s="581"/>
      <c r="T448" s="581"/>
      <c r="U448" s="581"/>
    </row>
    <row r="449" spans="1:21">
      <c r="A449" s="581"/>
      <c r="B449" s="581"/>
      <c r="C449" s="581"/>
      <c r="D449" s="582" t="s">
        <v>724</v>
      </c>
      <c r="E449" s="660" t="s">
        <v>725</v>
      </c>
      <c r="F449" s="661">
        <v>41354</v>
      </c>
      <c r="G449" s="657">
        <f t="shared" si="12"/>
        <v>2013</v>
      </c>
      <c r="H449" s="657">
        <f t="shared" si="13"/>
        <v>3</v>
      </c>
      <c r="I449" s="660">
        <v>8</v>
      </c>
      <c r="J449" s="660">
        <v>3.3069999999999999</v>
      </c>
      <c r="K449" s="660">
        <v>0</v>
      </c>
      <c r="L449" s="662">
        <v>3.3069999999999999</v>
      </c>
      <c r="M449" s="660">
        <v>0</v>
      </c>
      <c r="N449" s="663">
        <v>0</v>
      </c>
      <c r="O449" s="660">
        <v>3.34</v>
      </c>
      <c r="P449" s="660">
        <v>0</v>
      </c>
      <c r="Q449" s="581"/>
      <c r="R449" s="581"/>
      <c r="S449" s="581"/>
      <c r="T449" s="581"/>
      <c r="U449" s="581"/>
    </row>
    <row r="450" spans="1:21">
      <c r="A450" s="581"/>
      <c r="B450" s="581"/>
      <c r="C450" s="581"/>
      <c r="D450" s="582" t="s">
        <v>724</v>
      </c>
      <c r="E450" s="660" t="s">
        <v>725</v>
      </c>
      <c r="F450" s="661">
        <v>41366</v>
      </c>
      <c r="G450" s="657">
        <f t="shared" si="12"/>
        <v>2013</v>
      </c>
      <c r="H450" s="657">
        <f t="shared" si="13"/>
        <v>4</v>
      </c>
      <c r="I450" s="660">
        <v>8</v>
      </c>
      <c r="J450" s="660">
        <v>3.2160000000000002</v>
      </c>
      <c r="K450" s="660">
        <v>0</v>
      </c>
      <c r="L450" s="662">
        <v>3.2160000000000002</v>
      </c>
      <c r="M450" s="660">
        <v>0</v>
      </c>
      <c r="N450" s="663">
        <v>0</v>
      </c>
      <c r="O450" s="660">
        <v>3.2480000000000002</v>
      </c>
      <c r="P450" s="660">
        <v>0</v>
      </c>
      <c r="Q450" s="581"/>
      <c r="R450" s="581"/>
      <c r="S450" s="581"/>
      <c r="T450" s="581"/>
      <c r="U450" s="581"/>
    </row>
    <row r="451" spans="1:21">
      <c r="A451" s="581"/>
      <c r="B451" s="581"/>
      <c r="C451" s="581"/>
      <c r="D451" s="582" t="s">
        <v>724</v>
      </c>
      <c r="E451" s="660" t="s">
        <v>725</v>
      </c>
      <c r="F451" s="661">
        <v>41424</v>
      </c>
      <c r="G451" s="657">
        <f t="shared" ref="G451:G514" si="14">YEAR(F451)</f>
        <v>2013</v>
      </c>
      <c r="H451" s="657">
        <f t="shared" ref="H451:H514" si="15">MONTH(F451)</f>
        <v>5</v>
      </c>
      <c r="I451" s="660">
        <v>12</v>
      </c>
      <c r="J451" s="660">
        <v>2.0579999999999998</v>
      </c>
      <c r="K451" s="660">
        <v>0</v>
      </c>
      <c r="L451" s="662">
        <v>2.0579999999999998</v>
      </c>
      <c r="M451" s="660">
        <v>0</v>
      </c>
      <c r="N451" s="663">
        <v>0</v>
      </c>
      <c r="O451" s="660">
        <v>2.0550000000000002</v>
      </c>
      <c r="P451" s="660">
        <v>0</v>
      </c>
      <c r="Q451" s="581"/>
      <c r="R451" s="581"/>
      <c r="S451" s="581"/>
      <c r="T451" s="581"/>
      <c r="U451" s="581"/>
    </row>
    <row r="452" spans="1:21">
      <c r="A452" s="581"/>
      <c r="B452" s="581"/>
      <c r="C452" s="581"/>
      <c r="D452" s="582" t="s">
        <v>724</v>
      </c>
      <c r="E452" s="660" t="s">
        <v>725</v>
      </c>
      <c r="F452" s="661">
        <v>41451</v>
      </c>
      <c r="G452" s="657">
        <f t="shared" si="14"/>
        <v>2013</v>
      </c>
      <c r="H452" s="657">
        <f t="shared" si="15"/>
        <v>6</v>
      </c>
      <c r="I452" s="660">
        <v>17</v>
      </c>
      <c r="J452" s="660">
        <v>3.53</v>
      </c>
      <c r="K452" s="660">
        <v>0</v>
      </c>
      <c r="L452" s="662">
        <v>3.53</v>
      </c>
      <c r="M452" s="660">
        <v>0</v>
      </c>
      <c r="N452" s="663">
        <v>0</v>
      </c>
      <c r="O452" s="660">
        <v>3.5289999999999999</v>
      </c>
      <c r="P452" s="660">
        <v>0</v>
      </c>
      <c r="Q452" s="581"/>
      <c r="R452" s="581"/>
      <c r="S452" s="581"/>
      <c r="T452" s="581"/>
      <c r="U452" s="581"/>
    </row>
    <row r="453" spans="1:21">
      <c r="A453" s="581"/>
      <c r="B453" s="581"/>
      <c r="C453" s="581"/>
      <c r="D453" s="582" t="s">
        <v>724</v>
      </c>
      <c r="E453" s="660" t="s">
        <v>725</v>
      </c>
      <c r="F453" s="661">
        <v>41472</v>
      </c>
      <c r="G453" s="657">
        <f t="shared" si="14"/>
        <v>2013</v>
      </c>
      <c r="H453" s="657">
        <f t="shared" si="15"/>
        <v>7</v>
      </c>
      <c r="I453" s="660">
        <v>17</v>
      </c>
      <c r="J453" s="660">
        <v>4.91</v>
      </c>
      <c r="K453" s="660">
        <v>0</v>
      </c>
      <c r="L453" s="662">
        <v>4.91</v>
      </c>
      <c r="M453" s="660">
        <v>0</v>
      </c>
      <c r="N453" s="663">
        <v>0</v>
      </c>
      <c r="O453" s="660">
        <v>4.92</v>
      </c>
      <c r="P453" s="660">
        <v>0</v>
      </c>
      <c r="Q453" s="581"/>
      <c r="R453" s="581"/>
      <c r="S453" s="581"/>
      <c r="T453" s="581"/>
      <c r="U453" s="581"/>
    </row>
    <row r="454" spans="1:21">
      <c r="A454" s="581"/>
      <c r="B454" s="581"/>
      <c r="C454" s="581"/>
      <c r="D454" s="582" t="s">
        <v>724</v>
      </c>
      <c r="E454" s="660" t="s">
        <v>725</v>
      </c>
      <c r="F454" s="661">
        <v>41516</v>
      </c>
      <c r="G454" s="657">
        <f t="shared" si="14"/>
        <v>2013</v>
      </c>
      <c r="H454" s="657">
        <f t="shared" si="15"/>
        <v>8</v>
      </c>
      <c r="I454" s="660">
        <v>16</v>
      </c>
      <c r="J454" s="660">
        <v>4.1420000000000003</v>
      </c>
      <c r="K454" s="660">
        <v>0</v>
      </c>
      <c r="L454" s="662">
        <v>4.1420000000000003</v>
      </c>
      <c r="M454" s="660">
        <v>0</v>
      </c>
      <c r="N454" s="663">
        <v>0</v>
      </c>
      <c r="O454" s="660">
        <v>4.1440000000000001</v>
      </c>
      <c r="P454" s="660">
        <v>0</v>
      </c>
      <c r="Q454" s="581"/>
      <c r="R454" s="581"/>
      <c r="S454" s="581"/>
      <c r="T454" s="581"/>
      <c r="U454" s="581"/>
    </row>
    <row r="455" spans="1:21">
      <c r="A455" s="581"/>
      <c r="B455" s="581"/>
      <c r="C455" s="581"/>
      <c r="D455" s="582" t="s">
        <v>724</v>
      </c>
      <c r="E455" s="660" t="s">
        <v>725</v>
      </c>
      <c r="F455" s="661">
        <v>41526</v>
      </c>
      <c r="G455" s="657">
        <f t="shared" si="14"/>
        <v>2013</v>
      </c>
      <c r="H455" s="657">
        <f t="shared" si="15"/>
        <v>9</v>
      </c>
      <c r="I455" s="660">
        <v>17</v>
      </c>
      <c r="J455" s="660">
        <v>3.7069999999999999</v>
      </c>
      <c r="K455" s="660">
        <v>0</v>
      </c>
      <c r="L455" s="662">
        <v>3.7069999999999999</v>
      </c>
      <c r="M455" s="660">
        <v>0</v>
      </c>
      <c r="N455" s="663">
        <v>0</v>
      </c>
      <c r="O455" s="660">
        <v>3.6960000000000002</v>
      </c>
      <c r="P455" s="660">
        <v>0</v>
      </c>
      <c r="Q455" s="581"/>
      <c r="R455" s="581"/>
      <c r="S455" s="581"/>
      <c r="T455" s="581"/>
      <c r="U455" s="581"/>
    </row>
    <row r="456" spans="1:21">
      <c r="A456" s="581"/>
      <c r="B456" s="581"/>
      <c r="C456" s="581"/>
      <c r="D456" s="582" t="s">
        <v>724</v>
      </c>
      <c r="E456" s="660" t="s">
        <v>725</v>
      </c>
      <c r="F456" s="661">
        <v>41571</v>
      </c>
      <c r="G456" s="657">
        <f t="shared" si="14"/>
        <v>2013</v>
      </c>
      <c r="H456" s="657">
        <f t="shared" si="15"/>
        <v>10</v>
      </c>
      <c r="I456" s="660">
        <v>20</v>
      </c>
      <c r="J456" s="660">
        <v>3.2669999999999999</v>
      </c>
      <c r="K456" s="660">
        <v>0</v>
      </c>
      <c r="L456" s="662">
        <v>3.2669999999999999</v>
      </c>
      <c r="M456" s="660">
        <v>0</v>
      </c>
      <c r="N456" s="663">
        <v>0</v>
      </c>
      <c r="O456" s="660">
        <v>3.2360000000000002</v>
      </c>
      <c r="P456" s="660">
        <v>0</v>
      </c>
      <c r="Q456" s="581"/>
      <c r="R456" s="581"/>
      <c r="S456" s="581"/>
      <c r="T456" s="581"/>
      <c r="U456" s="581"/>
    </row>
    <row r="457" spans="1:21">
      <c r="A457" s="581"/>
      <c r="B457" s="581"/>
      <c r="C457" s="581"/>
      <c r="D457" s="582" t="s">
        <v>724</v>
      </c>
      <c r="E457" s="660" t="s">
        <v>725</v>
      </c>
      <c r="F457" s="661">
        <v>41590</v>
      </c>
      <c r="G457" s="657">
        <f t="shared" si="14"/>
        <v>2013</v>
      </c>
      <c r="H457" s="657">
        <f t="shared" si="15"/>
        <v>11</v>
      </c>
      <c r="I457" s="660">
        <v>19</v>
      </c>
      <c r="J457" s="660">
        <v>3.4470000000000001</v>
      </c>
      <c r="K457" s="660">
        <v>0</v>
      </c>
      <c r="L457" s="662">
        <v>3.4470000000000001</v>
      </c>
      <c r="M457" s="660">
        <v>0</v>
      </c>
      <c r="N457" s="663">
        <v>0</v>
      </c>
      <c r="O457" s="660">
        <v>3.3849999999999998</v>
      </c>
      <c r="P457" s="660">
        <v>0</v>
      </c>
      <c r="Q457" s="581"/>
      <c r="R457" s="581"/>
      <c r="S457" s="581"/>
      <c r="T457" s="581"/>
      <c r="U457" s="581"/>
    </row>
    <row r="458" spans="1:21">
      <c r="A458" s="581"/>
      <c r="B458" s="581"/>
      <c r="C458" s="581"/>
      <c r="D458" s="582" t="s">
        <v>724</v>
      </c>
      <c r="E458" s="660" t="s">
        <v>725</v>
      </c>
      <c r="F458" s="661">
        <v>41619</v>
      </c>
      <c r="G458" s="657">
        <f t="shared" si="14"/>
        <v>2013</v>
      </c>
      <c r="H458" s="657">
        <f t="shared" si="15"/>
        <v>12</v>
      </c>
      <c r="I458" s="660">
        <v>18</v>
      </c>
      <c r="J458" s="660">
        <v>3.452</v>
      </c>
      <c r="K458" s="660">
        <v>0</v>
      </c>
      <c r="L458" s="662">
        <v>3.452</v>
      </c>
      <c r="M458" s="660">
        <v>0</v>
      </c>
      <c r="N458" s="663">
        <v>0</v>
      </c>
      <c r="O458" s="660">
        <v>3.3839999999999999</v>
      </c>
      <c r="P458" s="660">
        <v>0</v>
      </c>
      <c r="Q458" s="581"/>
      <c r="R458" s="581"/>
      <c r="S458" s="581"/>
      <c r="T458" s="581"/>
      <c r="U458" s="581"/>
    </row>
    <row r="459" spans="1:21">
      <c r="A459" s="581"/>
      <c r="B459" s="581"/>
      <c r="C459" s="581"/>
      <c r="D459" s="582" t="s">
        <v>724</v>
      </c>
      <c r="E459" s="582" t="s">
        <v>725</v>
      </c>
      <c r="F459" s="656">
        <v>41645</v>
      </c>
      <c r="G459" s="657">
        <f t="shared" si="14"/>
        <v>2014</v>
      </c>
      <c r="H459" s="657">
        <f t="shared" si="15"/>
        <v>1</v>
      </c>
      <c r="I459" s="582">
        <v>18</v>
      </c>
      <c r="J459" s="582">
        <v>3.4729999999999999</v>
      </c>
      <c r="K459" s="582">
        <v>0</v>
      </c>
      <c r="L459" s="658">
        <v>3.4729999999999999</v>
      </c>
      <c r="M459" s="582">
        <v>0</v>
      </c>
      <c r="N459" s="582">
        <v>0</v>
      </c>
      <c r="O459" s="582">
        <v>3.4159999999999999</v>
      </c>
      <c r="P459" s="582">
        <v>0</v>
      </c>
      <c r="Q459" s="581"/>
      <c r="R459" s="581"/>
      <c r="S459" s="581"/>
      <c r="T459" s="581"/>
      <c r="U459" s="581"/>
    </row>
    <row r="460" spans="1:21">
      <c r="A460" s="581"/>
      <c r="B460" s="581"/>
      <c r="C460" s="581"/>
      <c r="D460" s="582" t="s">
        <v>724</v>
      </c>
      <c r="E460" s="582" t="s">
        <v>725</v>
      </c>
      <c r="F460" s="656">
        <v>41681</v>
      </c>
      <c r="G460" s="657">
        <f t="shared" si="14"/>
        <v>2014</v>
      </c>
      <c r="H460" s="657">
        <f t="shared" si="15"/>
        <v>2</v>
      </c>
      <c r="I460" s="582">
        <v>8</v>
      </c>
      <c r="J460" s="582">
        <v>3.0830000000000002</v>
      </c>
      <c r="K460" s="582">
        <v>0</v>
      </c>
      <c r="L460" s="658">
        <v>3.0830000000000002</v>
      </c>
      <c r="M460" s="582">
        <v>0</v>
      </c>
      <c r="N460" s="582">
        <v>0</v>
      </c>
      <c r="O460" s="582">
        <v>3.0259999999999998</v>
      </c>
      <c r="P460" s="582">
        <v>0</v>
      </c>
      <c r="Q460" s="581"/>
      <c r="R460" s="581"/>
      <c r="S460" s="581"/>
      <c r="T460" s="581"/>
      <c r="U460" s="581"/>
    </row>
    <row r="461" spans="1:21">
      <c r="A461" s="581"/>
      <c r="B461" s="581"/>
      <c r="C461" s="581"/>
      <c r="D461" s="582" t="s">
        <v>724</v>
      </c>
      <c r="E461" s="582" t="s">
        <v>725</v>
      </c>
      <c r="F461" s="656">
        <v>41701</v>
      </c>
      <c r="G461" s="657">
        <f t="shared" si="14"/>
        <v>2014</v>
      </c>
      <c r="H461" s="657">
        <f t="shared" si="15"/>
        <v>3</v>
      </c>
      <c r="I461" s="582">
        <v>8</v>
      </c>
      <c r="J461" s="582">
        <v>4.2930000000000001</v>
      </c>
      <c r="K461" s="582">
        <v>0</v>
      </c>
      <c r="L461" s="658">
        <v>4.2930000000000001</v>
      </c>
      <c r="M461" s="582">
        <v>0</v>
      </c>
      <c r="N461" s="582">
        <v>0</v>
      </c>
      <c r="O461" s="582">
        <v>4.165</v>
      </c>
      <c r="P461" s="582">
        <v>0</v>
      </c>
      <c r="Q461" s="581"/>
      <c r="R461" s="581"/>
      <c r="S461" s="581"/>
      <c r="T461" s="581"/>
      <c r="U461" s="581"/>
    </row>
    <row r="462" spans="1:21">
      <c r="A462" s="581"/>
      <c r="B462" s="581"/>
      <c r="C462" s="581"/>
      <c r="D462" s="582" t="s">
        <v>724</v>
      </c>
      <c r="E462" s="582" t="s">
        <v>725</v>
      </c>
      <c r="F462" s="656">
        <v>41730</v>
      </c>
      <c r="G462" s="657">
        <f t="shared" si="14"/>
        <v>2014</v>
      </c>
      <c r="H462" s="657">
        <f t="shared" si="15"/>
        <v>4</v>
      </c>
      <c r="I462" s="582">
        <v>9</v>
      </c>
      <c r="J462" s="582">
        <v>2.516</v>
      </c>
      <c r="K462" s="582">
        <v>0</v>
      </c>
      <c r="L462" s="658">
        <v>2.516</v>
      </c>
      <c r="M462" s="582">
        <v>0</v>
      </c>
      <c r="N462" s="582">
        <v>0</v>
      </c>
      <c r="O462" s="582">
        <v>2.4420000000000002</v>
      </c>
      <c r="P462" s="582">
        <v>0</v>
      </c>
      <c r="Q462" s="581"/>
      <c r="R462" s="581"/>
      <c r="S462" s="581"/>
      <c r="T462" s="581"/>
      <c r="U462" s="581"/>
    </row>
    <row r="463" spans="1:21">
      <c r="A463" s="581"/>
      <c r="B463" s="581"/>
      <c r="C463" s="581"/>
      <c r="D463" s="582" t="s">
        <v>724</v>
      </c>
      <c r="E463" s="582" t="s">
        <v>725</v>
      </c>
      <c r="F463" s="656">
        <v>41789</v>
      </c>
      <c r="G463" s="657">
        <f t="shared" si="14"/>
        <v>2014</v>
      </c>
      <c r="H463" s="657">
        <f t="shared" si="15"/>
        <v>5</v>
      </c>
      <c r="I463" s="582">
        <v>17</v>
      </c>
      <c r="J463" s="582">
        <v>2.8050000000000002</v>
      </c>
      <c r="K463" s="582">
        <v>0</v>
      </c>
      <c r="L463" s="658">
        <v>2.8050000000000002</v>
      </c>
      <c r="M463" s="582">
        <v>0</v>
      </c>
      <c r="N463" s="582">
        <v>0</v>
      </c>
      <c r="O463" s="582">
        <v>2.7080000000000002</v>
      </c>
      <c r="P463" s="582">
        <v>0</v>
      </c>
      <c r="Q463" s="581"/>
      <c r="R463" s="581"/>
      <c r="S463" s="581"/>
      <c r="T463" s="581"/>
      <c r="U463" s="581"/>
    </row>
    <row r="464" spans="1:21">
      <c r="A464" s="581"/>
      <c r="B464" s="581"/>
      <c r="C464" s="581"/>
      <c r="D464" s="582" t="s">
        <v>724</v>
      </c>
      <c r="E464" s="582" t="s">
        <v>725</v>
      </c>
      <c r="F464" s="656">
        <v>41808</v>
      </c>
      <c r="G464" s="657">
        <f t="shared" si="14"/>
        <v>2014</v>
      </c>
      <c r="H464" s="657">
        <f t="shared" si="15"/>
        <v>6</v>
      </c>
      <c r="I464" s="582">
        <v>18</v>
      </c>
      <c r="J464" s="582">
        <v>3.181</v>
      </c>
      <c r="K464" s="582">
        <v>0</v>
      </c>
      <c r="L464" s="658">
        <v>3.181</v>
      </c>
      <c r="M464" s="582">
        <v>0</v>
      </c>
      <c r="N464" s="582">
        <v>0</v>
      </c>
      <c r="O464" s="582">
        <v>3.0790000000000002</v>
      </c>
      <c r="P464" s="582">
        <v>0</v>
      </c>
      <c r="Q464" s="581"/>
      <c r="R464" s="581"/>
      <c r="S464" s="581"/>
      <c r="T464" s="581"/>
      <c r="U464" s="581"/>
    </row>
    <row r="465" spans="1:21">
      <c r="A465" s="581"/>
      <c r="B465" s="581"/>
      <c r="C465" s="581"/>
      <c r="D465" s="582" t="s">
        <v>724</v>
      </c>
      <c r="E465" s="582" t="s">
        <v>725</v>
      </c>
      <c r="F465" s="656">
        <v>41842</v>
      </c>
      <c r="G465" s="657">
        <f t="shared" si="14"/>
        <v>2014</v>
      </c>
      <c r="H465" s="657">
        <f t="shared" si="15"/>
        <v>7</v>
      </c>
      <c r="I465" s="582">
        <v>17</v>
      </c>
      <c r="J465" s="582">
        <v>3.5920000000000001</v>
      </c>
      <c r="K465" s="582">
        <v>0</v>
      </c>
      <c r="L465" s="658">
        <v>3.5920000000000001</v>
      </c>
      <c r="M465" s="582">
        <v>0</v>
      </c>
      <c r="N465" s="582">
        <v>0</v>
      </c>
      <c r="O465" s="582">
        <v>3.51</v>
      </c>
      <c r="P465" s="582">
        <v>0</v>
      </c>
      <c r="Q465" s="581"/>
      <c r="R465" s="581"/>
      <c r="S465" s="581"/>
      <c r="T465" s="581"/>
      <c r="U465" s="581"/>
    </row>
    <row r="466" spans="1:21">
      <c r="A466" s="581"/>
      <c r="B466" s="581"/>
      <c r="C466" s="581"/>
      <c r="D466" s="582" t="s">
        <v>724</v>
      </c>
      <c r="E466" s="582" t="s">
        <v>725</v>
      </c>
      <c r="F466" s="656">
        <v>41876</v>
      </c>
      <c r="G466" s="657">
        <f t="shared" si="14"/>
        <v>2014</v>
      </c>
      <c r="H466" s="657">
        <f t="shared" si="15"/>
        <v>8</v>
      </c>
      <c r="I466" s="582">
        <v>17</v>
      </c>
      <c r="J466" s="582">
        <v>3.379</v>
      </c>
      <c r="K466" s="582">
        <v>0</v>
      </c>
      <c r="L466" s="658">
        <v>3.379</v>
      </c>
      <c r="M466" s="582">
        <v>0</v>
      </c>
      <c r="N466" s="582">
        <v>0</v>
      </c>
      <c r="O466" s="582">
        <v>3.3919999999999999</v>
      </c>
      <c r="P466" s="582">
        <v>0</v>
      </c>
      <c r="Q466" s="581"/>
      <c r="R466" s="581"/>
      <c r="S466" s="581"/>
      <c r="T466" s="581"/>
      <c r="U466" s="581"/>
    </row>
    <row r="467" spans="1:21">
      <c r="A467" s="581"/>
      <c r="B467" s="581"/>
      <c r="C467" s="581"/>
      <c r="D467" s="582" t="s">
        <v>724</v>
      </c>
      <c r="E467" s="582" t="s">
        <v>725</v>
      </c>
      <c r="F467" s="656">
        <v>41886</v>
      </c>
      <c r="G467" s="657">
        <f t="shared" si="14"/>
        <v>2014</v>
      </c>
      <c r="H467" s="657">
        <f t="shared" si="15"/>
        <v>9</v>
      </c>
      <c r="I467" s="582">
        <v>17</v>
      </c>
      <c r="J467" s="582">
        <v>3.8220000000000001</v>
      </c>
      <c r="K467" s="582">
        <v>0</v>
      </c>
      <c r="L467" s="658">
        <v>3.8220000000000001</v>
      </c>
      <c r="M467" s="582">
        <v>0</v>
      </c>
      <c r="N467" s="582">
        <v>0</v>
      </c>
      <c r="O467" s="582">
        <v>3.8719999999999999</v>
      </c>
      <c r="P467" s="582">
        <v>0</v>
      </c>
      <c r="Q467" s="581"/>
      <c r="R467" s="581"/>
      <c r="S467" s="581"/>
      <c r="T467" s="581"/>
      <c r="U467" s="581"/>
    </row>
    <row r="468" spans="1:21">
      <c r="A468" s="581"/>
      <c r="B468" s="581"/>
      <c r="C468" s="581"/>
      <c r="D468" s="582" t="s">
        <v>724</v>
      </c>
      <c r="E468" s="582" t="s">
        <v>725</v>
      </c>
      <c r="F468" s="656">
        <v>41939</v>
      </c>
      <c r="G468" s="657">
        <f t="shared" si="14"/>
        <v>2014</v>
      </c>
      <c r="H468" s="657">
        <f t="shared" si="15"/>
        <v>10</v>
      </c>
      <c r="I468" s="582">
        <v>19</v>
      </c>
      <c r="J468" s="582">
        <v>2.9649999999999999</v>
      </c>
      <c r="K468" s="582">
        <v>0</v>
      </c>
      <c r="L468" s="658">
        <v>2.9649999999999999</v>
      </c>
      <c r="M468" s="659">
        <v>2906</v>
      </c>
      <c r="N468" s="582">
        <v>0.10199999999999999</v>
      </c>
      <c r="O468" s="582">
        <v>2.9609999999999999</v>
      </c>
      <c r="P468" s="582">
        <v>0</v>
      </c>
      <c r="Q468" s="581"/>
      <c r="R468" s="581"/>
      <c r="S468" s="581"/>
      <c r="T468" s="581"/>
      <c r="U468" s="581"/>
    </row>
    <row r="469" spans="1:21">
      <c r="A469" s="581"/>
      <c r="B469" s="581"/>
      <c r="C469" s="581"/>
      <c r="D469" s="582" t="s">
        <v>724</v>
      </c>
      <c r="E469" s="582" t="s">
        <v>725</v>
      </c>
      <c r="F469" s="656">
        <v>41960</v>
      </c>
      <c r="G469" s="657">
        <f t="shared" si="14"/>
        <v>2014</v>
      </c>
      <c r="H469" s="657">
        <f t="shared" si="15"/>
        <v>11</v>
      </c>
      <c r="I469" s="582">
        <v>18</v>
      </c>
      <c r="J469" s="582">
        <v>2.6760000000000002</v>
      </c>
      <c r="K469" s="582">
        <v>0</v>
      </c>
      <c r="L469" s="658">
        <v>2.6760000000000002</v>
      </c>
      <c r="M469" s="582">
        <v>0</v>
      </c>
      <c r="N469" s="582">
        <v>0</v>
      </c>
      <c r="O469" s="582">
        <v>2.6709999999999998</v>
      </c>
      <c r="P469" s="582">
        <v>0</v>
      </c>
      <c r="Q469" s="581"/>
      <c r="R469" s="581"/>
      <c r="S469" s="581"/>
      <c r="T469" s="581"/>
      <c r="U469" s="581"/>
    </row>
    <row r="470" spans="1:21">
      <c r="A470" s="581"/>
      <c r="B470" s="581"/>
      <c r="C470" s="581"/>
      <c r="D470" s="582" t="s">
        <v>724</v>
      </c>
      <c r="E470" s="582" t="s">
        <v>725</v>
      </c>
      <c r="F470" s="656">
        <v>41974</v>
      </c>
      <c r="G470" s="657">
        <f t="shared" si="14"/>
        <v>2014</v>
      </c>
      <c r="H470" s="657">
        <f t="shared" si="15"/>
        <v>12</v>
      </c>
      <c r="I470" s="582">
        <v>19</v>
      </c>
      <c r="J470" s="582">
        <v>3.14</v>
      </c>
      <c r="K470" s="582">
        <v>0</v>
      </c>
      <c r="L470" s="658">
        <v>3.14</v>
      </c>
      <c r="M470" s="582">
        <v>0</v>
      </c>
      <c r="N470" s="582">
        <v>0</v>
      </c>
      <c r="O470" s="582">
        <v>3.1480000000000001</v>
      </c>
      <c r="P470" s="582">
        <v>0</v>
      </c>
      <c r="Q470" s="581"/>
      <c r="R470" s="581"/>
      <c r="S470" s="581"/>
      <c r="T470" s="581"/>
      <c r="U470" s="581"/>
    </row>
    <row r="471" spans="1:21">
      <c r="A471" s="581"/>
      <c r="B471" s="581"/>
      <c r="C471" s="581"/>
      <c r="D471" s="582" t="s">
        <v>724</v>
      </c>
      <c r="E471" s="582" t="s">
        <v>725</v>
      </c>
      <c r="F471" s="656">
        <v>42011</v>
      </c>
      <c r="G471" s="657">
        <f t="shared" si="14"/>
        <v>2015</v>
      </c>
      <c r="H471" s="657">
        <f t="shared" si="15"/>
        <v>1</v>
      </c>
      <c r="I471" s="582">
        <v>19</v>
      </c>
      <c r="J471" s="582">
        <v>3.02</v>
      </c>
      <c r="K471" s="582">
        <v>0</v>
      </c>
      <c r="L471" s="658">
        <v>3.02</v>
      </c>
      <c r="M471" s="659">
        <v>3438</v>
      </c>
      <c r="N471" s="582">
        <v>8.7999999999999995E-2</v>
      </c>
      <c r="O471" s="582">
        <v>3.0289999999999999</v>
      </c>
      <c r="P471" s="582">
        <v>0</v>
      </c>
      <c r="Q471" s="581"/>
      <c r="R471" s="581"/>
      <c r="S471" s="581"/>
      <c r="T471" s="581"/>
      <c r="U471" s="581"/>
    </row>
    <row r="472" spans="1:21">
      <c r="A472" s="581"/>
      <c r="B472" s="581"/>
      <c r="C472" s="581"/>
      <c r="D472" s="582" t="s">
        <v>724</v>
      </c>
      <c r="E472" s="582" t="s">
        <v>725</v>
      </c>
      <c r="F472" s="656">
        <v>42053</v>
      </c>
      <c r="G472" s="657">
        <f t="shared" si="14"/>
        <v>2015</v>
      </c>
      <c r="H472" s="657">
        <f t="shared" si="15"/>
        <v>2</v>
      </c>
      <c r="I472" s="582">
        <v>19</v>
      </c>
      <c r="J472" s="582">
        <v>3.3170000000000002</v>
      </c>
      <c r="K472" s="582">
        <v>0</v>
      </c>
      <c r="L472" s="658">
        <v>3.3170000000000002</v>
      </c>
      <c r="M472" s="659">
        <v>3305</v>
      </c>
      <c r="N472" s="582">
        <v>0.1</v>
      </c>
      <c r="O472" s="582">
        <v>3.2869999999999999</v>
      </c>
      <c r="P472" s="582">
        <v>0</v>
      </c>
      <c r="Q472" s="581"/>
      <c r="R472" s="581"/>
      <c r="S472" s="581"/>
      <c r="T472" s="581"/>
      <c r="U472" s="581"/>
    </row>
    <row r="473" spans="1:21">
      <c r="A473" s="581"/>
      <c r="B473" s="581"/>
      <c r="C473" s="581"/>
      <c r="D473" s="582" t="s">
        <v>724</v>
      </c>
      <c r="E473" s="582" t="s">
        <v>725</v>
      </c>
      <c r="F473" s="656">
        <v>42067</v>
      </c>
      <c r="G473" s="657">
        <f t="shared" si="14"/>
        <v>2015</v>
      </c>
      <c r="H473" s="657">
        <f t="shared" si="15"/>
        <v>3</v>
      </c>
      <c r="I473" s="582">
        <v>9</v>
      </c>
      <c r="J473" s="582">
        <v>3.3220000000000001</v>
      </c>
      <c r="K473" s="582">
        <v>0</v>
      </c>
      <c r="L473" s="658">
        <v>3.3220000000000001</v>
      </c>
      <c r="M473" s="582">
        <v>0</v>
      </c>
      <c r="N473" s="582">
        <v>0</v>
      </c>
      <c r="O473" s="582">
        <v>3.2749999999999999</v>
      </c>
      <c r="P473" s="582">
        <v>0</v>
      </c>
      <c r="Q473" s="581"/>
      <c r="R473" s="581"/>
      <c r="S473" s="581"/>
      <c r="T473" s="581"/>
      <c r="U473" s="581"/>
    </row>
    <row r="474" spans="1:21">
      <c r="A474" s="581"/>
      <c r="B474" s="581"/>
      <c r="C474" s="581"/>
      <c r="D474" s="582" t="s">
        <v>724</v>
      </c>
      <c r="E474" s="582" t="s">
        <v>725</v>
      </c>
      <c r="F474" s="656">
        <v>42103</v>
      </c>
      <c r="G474" s="657">
        <f t="shared" si="14"/>
        <v>2015</v>
      </c>
      <c r="H474" s="657">
        <f t="shared" si="15"/>
        <v>4</v>
      </c>
      <c r="I474" s="582">
        <v>11</v>
      </c>
      <c r="J474" s="582">
        <v>2.3029999999999999</v>
      </c>
      <c r="K474" s="582">
        <v>0</v>
      </c>
      <c r="L474" s="658">
        <v>2.3029999999999999</v>
      </c>
      <c r="M474" s="582">
        <v>0</v>
      </c>
      <c r="N474" s="582">
        <v>0</v>
      </c>
      <c r="O474" s="582">
        <v>2.2959999999999998</v>
      </c>
      <c r="P474" s="582">
        <v>0</v>
      </c>
      <c r="Q474" s="581"/>
      <c r="R474" s="581"/>
      <c r="S474" s="581"/>
      <c r="T474" s="581"/>
      <c r="U474" s="581"/>
    </row>
    <row r="475" spans="1:21">
      <c r="A475" s="581"/>
      <c r="B475" s="581"/>
      <c r="C475" s="581"/>
      <c r="D475" s="582" t="s">
        <v>724</v>
      </c>
      <c r="E475" s="582" t="s">
        <v>725</v>
      </c>
      <c r="F475" s="656">
        <v>42152</v>
      </c>
      <c r="G475" s="657">
        <f t="shared" si="14"/>
        <v>2015</v>
      </c>
      <c r="H475" s="657">
        <f t="shared" si="15"/>
        <v>5</v>
      </c>
      <c r="I475" s="582">
        <v>15</v>
      </c>
      <c r="J475" s="582">
        <v>2.4489999999999998</v>
      </c>
      <c r="K475" s="582">
        <v>0</v>
      </c>
      <c r="L475" s="658">
        <v>2.4489999999999998</v>
      </c>
      <c r="M475" s="582">
        <v>0</v>
      </c>
      <c r="N475" s="582">
        <v>0</v>
      </c>
      <c r="O475" s="582">
        <v>2.4249999999999998</v>
      </c>
      <c r="P475" s="582">
        <v>0</v>
      </c>
      <c r="Q475" s="581"/>
      <c r="R475" s="581"/>
      <c r="S475" s="581"/>
      <c r="T475" s="581"/>
      <c r="U475" s="581"/>
    </row>
    <row r="476" spans="1:21">
      <c r="A476" s="581"/>
      <c r="B476" s="581"/>
      <c r="C476" s="581"/>
      <c r="D476" s="582" t="s">
        <v>724</v>
      </c>
      <c r="E476" s="582" t="s">
        <v>725</v>
      </c>
      <c r="F476" s="656">
        <v>42165</v>
      </c>
      <c r="G476" s="657">
        <f t="shared" si="14"/>
        <v>2015</v>
      </c>
      <c r="H476" s="657">
        <f t="shared" si="15"/>
        <v>6</v>
      </c>
      <c r="I476" s="582">
        <v>18</v>
      </c>
      <c r="J476" s="582">
        <v>3.395</v>
      </c>
      <c r="K476" s="582">
        <v>0</v>
      </c>
      <c r="L476" s="658">
        <v>3.395</v>
      </c>
      <c r="M476" s="582">
        <v>0</v>
      </c>
      <c r="N476" s="582">
        <v>0</v>
      </c>
      <c r="O476" s="582">
        <v>3.38</v>
      </c>
      <c r="P476" s="582">
        <v>0</v>
      </c>
      <c r="Q476" s="581"/>
      <c r="R476" s="581"/>
      <c r="S476" s="581"/>
      <c r="T476" s="581"/>
      <c r="U476" s="581"/>
    </row>
    <row r="477" spans="1:21">
      <c r="A477" s="581"/>
      <c r="B477" s="581"/>
      <c r="C477" s="581"/>
      <c r="D477" s="582" t="s">
        <v>724</v>
      </c>
      <c r="E477" s="582" t="s">
        <v>725</v>
      </c>
      <c r="F477" s="656">
        <v>42198</v>
      </c>
      <c r="G477" s="657">
        <f t="shared" si="14"/>
        <v>2015</v>
      </c>
      <c r="H477" s="657">
        <f t="shared" si="15"/>
        <v>7</v>
      </c>
      <c r="I477" s="582">
        <v>16</v>
      </c>
      <c r="J477" s="582">
        <v>4.1020000000000003</v>
      </c>
      <c r="K477" s="582">
        <v>0</v>
      </c>
      <c r="L477" s="658">
        <v>4.1020000000000003</v>
      </c>
      <c r="M477" s="582">
        <v>0</v>
      </c>
      <c r="N477" s="582">
        <v>0</v>
      </c>
      <c r="O477" s="582">
        <v>4.0490000000000004</v>
      </c>
      <c r="P477" s="582">
        <v>0</v>
      </c>
      <c r="Q477" s="581"/>
      <c r="R477" s="581"/>
      <c r="S477" s="581"/>
      <c r="T477" s="581"/>
      <c r="U477" s="581"/>
    </row>
    <row r="478" spans="1:21">
      <c r="A478" s="581"/>
      <c r="B478" s="581"/>
      <c r="C478" s="581"/>
      <c r="D478" s="582" t="s">
        <v>724</v>
      </c>
      <c r="E478" s="582" t="s">
        <v>725</v>
      </c>
      <c r="F478" s="656">
        <v>42230</v>
      </c>
      <c r="G478" s="657">
        <f t="shared" si="14"/>
        <v>2015</v>
      </c>
      <c r="H478" s="657">
        <f t="shared" si="15"/>
        <v>8</v>
      </c>
      <c r="I478" s="582">
        <v>17</v>
      </c>
      <c r="J478" s="582">
        <v>4.2859999999999996</v>
      </c>
      <c r="K478" s="582">
        <v>0</v>
      </c>
      <c r="L478" s="658">
        <v>4.2859999999999996</v>
      </c>
      <c r="M478" s="582">
        <v>0</v>
      </c>
      <c r="N478" s="582">
        <v>0</v>
      </c>
      <c r="O478" s="582">
        <v>4.2350000000000003</v>
      </c>
      <c r="P478" s="582">
        <v>0</v>
      </c>
      <c r="Q478" s="581"/>
      <c r="R478" s="581"/>
      <c r="S478" s="581"/>
      <c r="T478" s="581"/>
      <c r="U478" s="581"/>
    </row>
    <row r="479" spans="1:21">
      <c r="A479" s="581"/>
      <c r="B479" s="581"/>
      <c r="C479" s="581"/>
      <c r="D479" s="582" t="s">
        <v>724</v>
      </c>
      <c r="E479" s="582" t="s">
        <v>725</v>
      </c>
      <c r="F479" s="656">
        <v>42250</v>
      </c>
      <c r="G479" s="657">
        <f t="shared" si="14"/>
        <v>2015</v>
      </c>
      <c r="H479" s="657">
        <f t="shared" si="15"/>
        <v>9</v>
      </c>
      <c r="I479" s="582">
        <v>17</v>
      </c>
      <c r="J479" s="582">
        <v>4.21</v>
      </c>
      <c r="K479" s="582">
        <v>0</v>
      </c>
      <c r="L479" s="658">
        <v>4.21</v>
      </c>
      <c r="M479" s="582">
        <v>0</v>
      </c>
      <c r="N479" s="582">
        <v>0</v>
      </c>
      <c r="O479" s="582">
        <v>4.1559999999999997</v>
      </c>
      <c r="P479" s="582">
        <v>0</v>
      </c>
      <c r="Q479" s="581"/>
      <c r="R479" s="581"/>
      <c r="S479" s="581"/>
      <c r="T479" s="581"/>
      <c r="U479" s="581"/>
    </row>
    <row r="480" spans="1:21">
      <c r="A480" s="581"/>
      <c r="B480" s="581"/>
      <c r="C480" s="581"/>
      <c r="D480" s="582" t="s">
        <v>724</v>
      </c>
      <c r="E480" s="582" t="s">
        <v>725</v>
      </c>
      <c r="F480" s="656">
        <v>42284</v>
      </c>
      <c r="G480" s="657">
        <f t="shared" si="14"/>
        <v>2015</v>
      </c>
      <c r="H480" s="657">
        <f t="shared" si="15"/>
        <v>10</v>
      </c>
      <c r="I480" s="582">
        <v>15</v>
      </c>
      <c r="J480" s="582">
        <v>3.347</v>
      </c>
      <c r="K480" s="582">
        <v>0</v>
      </c>
      <c r="L480" s="658">
        <v>3.347</v>
      </c>
      <c r="M480" s="582">
        <v>0</v>
      </c>
      <c r="N480" s="582">
        <v>0</v>
      </c>
      <c r="O480" s="582">
        <v>3.3050000000000002</v>
      </c>
      <c r="P480" s="582">
        <v>0</v>
      </c>
      <c r="Q480" s="581"/>
      <c r="R480" s="581"/>
      <c r="S480" s="581"/>
      <c r="T480" s="581"/>
      <c r="U480" s="581"/>
    </row>
    <row r="481" spans="1:21">
      <c r="A481" s="581"/>
      <c r="B481" s="581"/>
      <c r="C481" s="581"/>
      <c r="D481" s="582" t="s">
        <v>724</v>
      </c>
      <c r="E481" s="582" t="s">
        <v>725</v>
      </c>
      <c r="F481" s="656">
        <v>42338</v>
      </c>
      <c r="G481" s="657">
        <f t="shared" si="14"/>
        <v>2015</v>
      </c>
      <c r="H481" s="657">
        <f t="shared" si="15"/>
        <v>11</v>
      </c>
      <c r="I481" s="582">
        <v>18</v>
      </c>
      <c r="J481" s="582">
        <v>3.4689999999999999</v>
      </c>
      <c r="K481" s="582">
        <v>0</v>
      </c>
      <c r="L481" s="658">
        <v>3.4689999999999999</v>
      </c>
      <c r="M481" s="582">
        <v>0</v>
      </c>
      <c r="N481" s="582">
        <v>0</v>
      </c>
      <c r="O481" s="582">
        <v>3.4129999999999998</v>
      </c>
      <c r="P481" s="582">
        <v>0</v>
      </c>
      <c r="Q481" s="581"/>
      <c r="R481" s="581"/>
      <c r="S481" s="581"/>
      <c r="T481" s="581"/>
      <c r="U481" s="581"/>
    </row>
    <row r="482" spans="1:21">
      <c r="A482" s="581"/>
      <c r="B482" s="581"/>
      <c r="C482" s="581"/>
      <c r="D482" s="582" t="s">
        <v>724</v>
      </c>
      <c r="E482" s="582" t="s">
        <v>725</v>
      </c>
      <c r="F482" s="656">
        <v>42355</v>
      </c>
      <c r="G482" s="657">
        <f t="shared" si="14"/>
        <v>2015</v>
      </c>
      <c r="H482" s="657">
        <f t="shared" si="15"/>
        <v>12</v>
      </c>
      <c r="I482" s="582">
        <v>19</v>
      </c>
      <c r="J482" s="582">
        <v>2.617</v>
      </c>
      <c r="K482" s="582">
        <v>0</v>
      </c>
      <c r="L482" s="658">
        <v>2.617</v>
      </c>
      <c r="M482" s="582">
        <v>0</v>
      </c>
      <c r="N482" s="582">
        <v>0</v>
      </c>
      <c r="O482" s="582">
        <v>2.5910000000000002</v>
      </c>
      <c r="P482" s="582">
        <v>0</v>
      </c>
      <c r="Q482" s="581"/>
      <c r="R482" s="581"/>
      <c r="S482" s="581"/>
      <c r="T482" s="581"/>
      <c r="U482" s="581"/>
    </row>
    <row r="483" spans="1:21">
      <c r="A483" s="581"/>
      <c r="B483" s="581"/>
      <c r="C483" s="581"/>
      <c r="D483" s="582" t="s">
        <v>724</v>
      </c>
      <c r="E483" s="660" t="s">
        <v>727</v>
      </c>
      <c r="F483" s="661">
        <v>40927</v>
      </c>
      <c r="G483" s="657">
        <f t="shared" si="14"/>
        <v>2012</v>
      </c>
      <c r="H483" s="657">
        <f t="shared" si="15"/>
        <v>1</v>
      </c>
      <c r="I483" s="660">
        <v>19</v>
      </c>
      <c r="J483" s="660">
        <v>3.302</v>
      </c>
      <c r="K483" s="660">
        <v>0</v>
      </c>
      <c r="L483" s="662">
        <v>3.302</v>
      </c>
      <c r="M483" s="660">
        <v>0</v>
      </c>
      <c r="N483" s="663">
        <v>0</v>
      </c>
      <c r="O483" s="660">
        <v>3.3839999999999999</v>
      </c>
      <c r="P483" s="660">
        <v>0</v>
      </c>
      <c r="Q483" s="581"/>
      <c r="R483" s="581"/>
      <c r="S483" s="581"/>
      <c r="T483" s="581"/>
      <c r="U483" s="581"/>
    </row>
    <row r="484" spans="1:21">
      <c r="A484" s="581"/>
      <c r="B484" s="581"/>
      <c r="C484" s="581"/>
      <c r="D484" s="582" t="s">
        <v>724</v>
      </c>
      <c r="E484" s="660" t="s">
        <v>727</v>
      </c>
      <c r="F484" s="661">
        <v>40952</v>
      </c>
      <c r="G484" s="657">
        <f t="shared" si="14"/>
        <v>2012</v>
      </c>
      <c r="H484" s="657">
        <f t="shared" si="15"/>
        <v>2</v>
      </c>
      <c r="I484" s="660">
        <v>19</v>
      </c>
      <c r="J484" s="660">
        <v>3.0169999999999999</v>
      </c>
      <c r="K484" s="660">
        <v>0</v>
      </c>
      <c r="L484" s="662">
        <v>3.0169999999999999</v>
      </c>
      <c r="M484" s="660">
        <v>0</v>
      </c>
      <c r="N484" s="663">
        <v>0</v>
      </c>
      <c r="O484" s="660">
        <v>3.069</v>
      </c>
      <c r="P484" s="660">
        <v>0</v>
      </c>
      <c r="Q484" s="581"/>
      <c r="R484" s="581"/>
      <c r="S484" s="581"/>
      <c r="T484" s="581"/>
      <c r="U484" s="581"/>
    </row>
    <row r="485" spans="1:21">
      <c r="A485" s="581"/>
      <c r="B485" s="581"/>
      <c r="C485" s="581"/>
      <c r="D485" s="582" t="s">
        <v>724</v>
      </c>
      <c r="E485" s="660" t="s">
        <v>727</v>
      </c>
      <c r="F485" s="661">
        <v>40973</v>
      </c>
      <c r="G485" s="657">
        <f t="shared" si="14"/>
        <v>2012</v>
      </c>
      <c r="H485" s="657">
        <f t="shared" si="15"/>
        <v>3</v>
      </c>
      <c r="I485" s="660">
        <v>8</v>
      </c>
      <c r="J485" s="660">
        <v>3.4849999999999999</v>
      </c>
      <c r="K485" s="660">
        <v>0</v>
      </c>
      <c r="L485" s="662">
        <v>3.4849999999999999</v>
      </c>
      <c r="M485" s="660">
        <v>0</v>
      </c>
      <c r="N485" s="663">
        <v>0</v>
      </c>
      <c r="O485" s="660">
        <v>3.6269999999999998</v>
      </c>
      <c r="P485" s="660">
        <v>0</v>
      </c>
      <c r="Q485" s="581"/>
      <c r="R485" s="581"/>
      <c r="S485" s="581"/>
      <c r="T485" s="581"/>
      <c r="U485" s="581"/>
    </row>
    <row r="486" spans="1:21">
      <c r="A486" s="581"/>
      <c r="B486" s="581"/>
      <c r="C486" s="581"/>
      <c r="D486" s="582" t="s">
        <v>724</v>
      </c>
      <c r="E486" s="660" t="s">
        <v>727</v>
      </c>
      <c r="F486" s="661">
        <v>41001</v>
      </c>
      <c r="G486" s="657">
        <f t="shared" si="14"/>
        <v>2012</v>
      </c>
      <c r="H486" s="657">
        <f t="shared" si="15"/>
        <v>4</v>
      </c>
      <c r="I486" s="660">
        <v>21</v>
      </c>
      <c r="J486" s="660">
        <v>2.5219999999999998</v>
      </c>
      <c r="K486" s="660">
        <v>0</v>
      </c>
      <c r="L486" s="662">
        <v>2.5219999999999998</v>
      </c>
      <c r="M486" s="660">
        <v>0</v>
      </c>
      <c r="N486" s="663">
        <v>0</v>
      </c>
      <c r="O486" s="660">
        <v>2.62</v>
      </c>
      <c r="P486" s="660">
        <v>0</v>
      </c>
      <c r="Q486" s="581"/>
      <c r="R486" s="581"/>
      <c r="S486" s="581"/>
      <c r="T486" s="581"/>
      <c r="U486" s="581"/>
    </row>
    <row r="487" spans="1:21">
      <c r="A487" s="581"/>
      <c r="B487" s="581"/>
      <c r="C487" s="581"/>
      <c r="D487" s="582" t="s">
        <v>724</v>
      </c>
      <c r="E487" s="660" t="s">
        <v>727</v>
      </c>
      <c r="F487" s="661">
        <v>41053</v>
      </c>
      <c r="G487" s="657">
        <f t="shared" si="14"/>
        <v>2012</v>
      </c>
      <c r="H487" s="657">
        <f t="shared" si="15"/>
        <v>5</v>
      </c>
      <c r="I487" s="660">
        <v>14</v>
      </c>
      <c r="J487" s="660">
        <v>4.0469999999999997</v>
      </c>
      <c r="K487" s="660">
        <v>0</v>
      </c>
      <c r="L487" s="662">
        <v>4.0469999999999997</v>
      </c>
      <c r="M487" s="660">
        <v>0</v>
      </c>
      <c r="N487" s="663">
        <v>0</v>
      </c>
      <c r="O487" s="660">
        <v>4.149</v>
      </c>
      <c r="P487" s="660">
        <v>0</v>
      </c>
      <c r="Q487" s="581"/>
      <c r="R487" s="581"/>
      <c r="S487" s="581"/>
      <c r="T487" s="581"/>
      <c r="U487" s="581"/>
    </row>
    <row r="488" spans="1:21">
      <c r="A488" s="581"/>
      <c r="B488" s="581"/>
      <c r="C488" s="581"/>
      <c r="D488" s="582" t="s">
        <v>724</v>
      </c>
      <c r="E488" s="660" t="s">
        <v>727</v>
      </c>
      <c r="F488" s="661">
        <v>41087</v>
      </c>
      <c r="G488" s="657">
        <f t="shared" si="14"/>
        <v>2012</v>
      </c>
      <c r="H488" s="657">
        <f t="shared" si="15"/>
        <v>6</v>
      </c>
      <c r="I488" s="660">
        <v>17</v>
      </c>
      <c r="J488" s="660">
        <v>5.2149999999999999</v>
      </c>
      <c r="K488" s="660">
        <v>0</v>
      </c>
      <c r="L488" s="662">
        <v>5.2149999999999999</v>
      </c>
      <c r="M488" s="660">
        <v>0</v>
      </c>
      <c r="N488" s="663">
        <v>0</v>
      </c>
      <c r="O488" s="660">
        <v>5.3109999999999999</v>
      </c>
      <c r="P488" s="660">
        <v>0</v>
      </c>
      <c r="Q488" s="581"/>
      <c r="R488" s="581"/>
      <c r="S488" s="581"/>
      <c r="T488" s="581"/>
      <c r="U488" s="581"/>
    </row>
    <row r="489" spans="1:21">
      <c r="A489" s="581"/>
      <c r="B489" s="581"/>
      <c r="C489" s="581"/>
      <c r="D489" s="582" t="s">
        <v>724</v>
      </c>
      <c r="E489" s="660" t="s">
        <v>727</v>
      </c>
      <c r="F489" s="661">
        <v>41115</v>
      </c>
      <c r="G489" s="657">
        <f t="shared" si="14"/>
        <v>2012</v>
      </c>
      <c r="H489" s="657">
        <f t="shared" si="15"/>
        <v>7</v>
      </c>
      <c r="I489" s="660">
        <v>17</v>
      </c>
      <c r="J489" s="660">
        <v>2.4E-2</v>
      </c>
      <c r="K489" s="660">
        <v>4.9800000000000004</v>
      </c>
      <c r="L489" s="662">
        <v>5.0039999999999996</v>
      </c>
      <c r="M489" s="660">
        <v>0</v>
      </c>
      <c r="N489" s="663">
        <v>0</v>
      </c>
      <c r="O489" s="660">
        <v>1E-3</v>
      </c>
      <c r="P489" s="660">
        <v>4.9800000000000004</v>
      </c>
      <c r="Q489" s="581"/>
      <c r="R489" s="581"/>
      <c r="S489" s="581"/>
      <c r="T489" s="581"/>
      <c r="U489" s="581"/>
    </row>
    <row r="490" spans="1:21">
      <c r="A490" s="581"/>
      <c r="B490" s="581"/>
      <c r="C490" s="581"/>
      <c r="D490" s="582" t="s">
        <v>724</v>
      </c>
      <c r="E490" s="660" t="s">
        <v>727</v>
      </c>
      <c r="F490" s="661">
        <v>41124</v>
      </c>
      <c r="G490" s="657">
        <f t="shared" si="14"/>
        <v>2012</v>
      </c>
      <c r="H490" s="657">
        <f t="shared" si="15"/>
        <v>8</v>
      </c>
      <c r="I490" s="660">
        <v>17</v>
      </c>
      <c r="J490" s="660">
        <v>4.5960000000000001</v>
      </c>
      <c r="K490" s="660">
        <v>0</v>
      </c>
      <c r="L490" s="662">
        <v>4.5960000000000001</v>
      </c>
      <c r="M490" s="660">
        <v>0</v>
      </c>
      <c r="N490" s="663">
        <v>0</v>
      </c>
      <c r="O490" s="660">
        <v>4.6989999999999998</v>
      </c>
      <c r="P490" s="660">
        <v>0</v>
      </c>
      <c r="Q490" s="581"/>
      <c r="R490" s="581"/>
      <c r="S490" s="581"/>
      <c r="T490" s="581"/>
      <c r="U490" s="581"/>
    </row>
    <row r="491" spans="1:21">
      <c r="A491" s="581"/>
      <c r="B491" s="581"/>
      <c r="C491" s="581"/>
      <c r="D491" s="582" t="s">
        <v>724</v>
      </c>
      <c r="E491" s="660" t="s">
        <v>727</v>
      </c>
      <c r="F491" s="661">
        <v>41156</v>
      </c>
      <c r="G491" s="657">
        <f t="shared" si="14"/>
        <v>2012</v>
      </c>
      <c r="H491" s="657">
        <f t="shared" si="15"/>
        <v>9</v>
      </c>
      <c r="I491" s="660">
        <v>17</v>
      </c>
      <c r="J491" s="660">
        <v>4.9569999999999999</v>
      </c>
      <c r="K491" s="660">
        <v>0</v>
      </c>
      <c r="L491" s="662">
        <v>4.9569999999999999</v>
      </c>
      <c r="M491" s="660">
        <v>0</v>
      </c>
      <c r="N491" s="663">
        <v>0</v>
      </c>
      <c r="O491" s="660">
        <v>5.0350000000000001</v>
      </c>
      <c r="P491" s="660">
        <v>0</v>
      </c>
      <c r="Q491" s="581"/>
      <c r="R491" s="581"/>
      <c r="S491" s="581"/>
      <c r="T491" s="581"/>
      <c r="U491" s="581"/>
    </row>
    <row r="492" spans="1:21">
      <c r="A492" s="581"/>
      <c r="B492" s="581"/>
      <c r="C492" s="581"/>
      <c r="D492" s="582" t="s">
        <v>724</v>
      </c>
      <c r="E492" s="660" t="s">
        <v>727</v>
      </c>
      <c r="F492" s="661">
        <v>41211</v>
      </c>
      <c r="G492" s="657">
        <f t="shared" si="14"/>
        <v>2012</v>
      </c>
      <c r="H492" s="657">
        <f t="shared" si="15"/>
        <v>10</v>
      </c>
      <c r="I492" s="660">
        <v>8</v>
      </c>
      <c r="J492" s="660">
        <v>3.5449999999999999</v>
      </c>
      <c r="K492" s="660">
        <v>0</v>
      </c>
      <c r="L492" s="662">
        <v>3.5449999999999999</v>
      </c>
      <c r="M492" s="660">
        <v>0</v>
      </c>
      <c r="N492" s="663">
        <v>0</v>
      </c>
      <c r="O492" s="660">
        <v>3.601</v>
      </c>
      <c r="P492" s="660">
        <v>0</v>
      </c>
      <c r="Q492" s="581"/>
      <c r="R492" s="581"/>
      <c r="S492" s="581"/>
      <c r="T492" s="581"/>
      <c r="U492" s="581"/>
    </row>
    <row r="493" spans="1:21">
      <c r="A493" s="581"/>
      <c r="B493" s="581"/>
      <c r="C493" s="581"/>
      <c r="D493" s="582" t="s">
        <v>724</v>
      </c>
      <c r="E493" s="660" t="s">
        <v>727</v>
      </c>
      <c r="F493" s="661">
        <v>41225</v>
      </c>
      <c r="G493" s="657">
        <f t="shared" si="14"/>
        <v>2012</v>
      </c>
      <c r="H493" s="657">
        <f t="shared" si="15"/>
        <v>11</v>
      </c>
      <c r="I493" s="660">
        <v>18</v>
      </c>
      <c r="J493" s="660">
        <v>3.274</v>
      </c>
      <c r="K493" s="660">
        <v>0</v>
      </c>
      <c r="L493" s="662">
        <v>3.274</v>
      </c>
      <c r="M493" s="660">
        <v>0</v>
      </c>
      <c r="N493" s="663">
        <v>0</v>
      </c>
      <c r="O493" s="660">
        <v>3.3039999999999998</v>
      </c>
      <c r="P493" s="660">
        <v>0</v>
      </c>
      <c r="Q493" s="581"/>
      <c r="R493" s="581"/>
      <c r="S493" s="581"/>
      <c r="T493" s="581"/>
      <c r="U493" s="581"/>
    </row>
    <row r="494" spans="1:21">
      <c r="A494" s="581"/>
      <c r="B494" s="581"/>
      <c r="C494" s="581"/>
      <c r="D494" s="582" t="s">
        <v>724</v>
      </c>
      <c r="E494" s="660" t="s">
        <v>727</v>
      </c>
      <c r="F494" s="661">
        <v>41263</v>
      </c>
      <c r="G494" s="657">
        <f t="shared" si="14"/>
        <v>2012</v>
      </c>
      <c r="H494" s="657">
        <f t="shared" si="15"/>
        <v>12</v>
      </c>
      <c r="I494" s="660">
        <v>18</v>
      </c>
      <c r="J494" s="660">
        <v>3.4569999999999999</v>
      </c>
      <c r="K494" s="660">
        <v>0</v>
      </c>
      <c r="L494" s="662">
        <v>3.4569999999999999</v>
      </c>
      <c r="M494" s="660">
        <v>0</v>
      </c>
      <c r="N494" s="663">
        <v>0</v>
      </c>
      <c r="O494" s="660">
        <v>3.4940000000000002</v>
      </c>
      <c r="P494" s="660">
        <v>0</v>
      </c>
      <c r="Q494" s="581"/>
      <c r="R494" s="581"/>
      <c r="S494" s="581"/>
      <c r="T494" s="581"/>
      <c r="U494" s="581"/>
    </row>
    <row r="495" spans="1:21">
      <c r="A495" s="581"/>
      <c r="B495" s="581"/>
      <c r="C495" s="581"/>
      <c r="D495" s="582" t="s">
        <v>724</v>
      </c>
      <c r="E495" s="660" t="s">
        <v>727</v>
      </c>
      <c r="F495" s="661">
        <v>41305</v>
      </c>
      <c r="G495" s="657">
        <f t="shared" si="14"/>
        <v>2013</v>
      </c>
      <c r="H495" s="657">
        <f t="shared" si="15"/>
        <v>1</v>
      </c>
      <c r="I495" s="660">
        <v>19</v>
      </c>
      <c r="J495" s="660">
        <v>3.5169999999999999</v>
      </c>
      <c r="K495" s="660">
        <v>0</v>
      </c>
      <c r="L495" s="662">
        <v>3.5169999999999999</v>
      </c>
      <c r="M495" s="660">
        <v>0</v>
      </c>
      <c r="N495" s="663">
        <v>0</v>
      </c>
      <c r="O495" s="660">
        <v>3.5510000000000002</v>
      </c>
      <c r="P495" s="660">
        <v>0</v>
      </c>
      <c r="Q495" s="581"/>
      <c r="R495" s="581"/>
      <c r="S495" s="581"/>
      <c r="T495" s="581"/>
      <c r="U495" s="581"/>
    </row>
    <row r="496" spans="1:21">
      <c r="A496" s="581"/>
      <c r="B496" s="581"/>
      <c r="C496" s="581"/>
      <c r="D496" s="582" t="s">
        <v>724</v>
      </c>
      <c r="E496" s="660" t="s">
        <v>727</v>
      </c>
      <c r="F496" s="661">
        <v>41306</v>
      </c>
      <c r="G496" s="657">
        <f t="shared" si="14"/>
        <v>2013</v>
      </c>
      <c r="H496" s="657">
        <f t="shared" si="15"/>
        <v>2</v>
      </c>
      <c r="I496" s="660">
        <v>8</v>
      </c>
      <c r="J496" s="660">
        <v>4.1139999999999999</v>
      </c>
      <c r="K496" s="660">
        <v>0</v>
      </c>
      <c r="L496" s="662">
        <v>4.1139999999999999</v>
      </c>
      <c r="M496" s="660">
        <v>0</v>
      </c>
      <c r="N496" s="663">
        <v>0</v>
      </c>
      <c r="O496" s="660">
        <v>4.16</v>
      </c>
      <c r="P496" s="660">
        <v>0</v>
      </c>
      <c r="Q496" s="581"/>
      <c r="R496" s="581"/>
      <c r="S496" s="581"/>
      <c r="T496" s="581"/>
      <c r="U496" s="581"/>
    </row>
    <row r="497" spans="1:21">
      <c r="A497" s="581"/>
      <c r="B497" s="581"/>
      <c r="C497" s="581"/>
      <c r="D497" s="582" t="s">
        <v>724</v>
      </c>
      <c r="E497" s="660" t="s">
        <v>727</v>
      </c>
      <c r="F497" s="661">
        <v>41354</v>
      </c>
      <c r="G497" s="657">
        <f t="shared" si="14"/>
        <v>2013</v>
      </c>
      <c r="H497" s="657">
        <f t="shared" si="15"/>
        <v>3</v>
      </c>
      <c r="I497" s="660">
        <v>8</v>
      </c>
      <c r="J497" s="660">
        <v>3.7</v>
      </c>
      <c r="K497" s="660">
        <v>0</v>
      </c>
      <c r="L497" s="662">
        <v>3.7</v>
      </c>
      <c r="M497" s="660">
        <v>0</v>
      </c>
      <c r="N497" s="663">
        <v>0</v>
      </c>
      <c r="O497" s="660">
        <v>3.7469999999999999</v>
      </c>
      <c r="P497" s="660">
        <v>0</v>
      </c>
      <c r="Q497" s="581"/>
      <c r="R497" s="581"/>
      <c r="S497" s="581"/>
      <c r="T497" s="581"/>
      <c r="U497" s="581"/>
    </row>
    <row r="498" spans="1:21">
      <c r="A498" s="581"/>
      <c r="B498" s="581"/>
      <c r="C498" s="581"/>
      <c r="D498" s="582" t="s">
        <v>724</v>
      </c>
      <c r="E498" s="660" t="s">
        <v>727</v>
      </c>
      <c r="F498" s="661">
        <v>41366</v>
      </c>
      <c r="G498" s="657">
        <f t="shared" si="14"/>
        <v>2013</v>
      </c>
      <c r="H498" s="657">
        <f t="shared" si="15"/>
        <v>4</v>
      </c>
      <c r="I498" s="660">
        <v>8</v>
      </c>
      <c r="J498" s="660">
        <v>3.504</v>
      </c>
      <c r="K498" s="660">
        <v>0</v>
      </c>
      <c r="L498" s="662">
        <v>3.504</v>
      </c>
      <c r="M498" s="660">
        <v>0</v>
      </c>
      <c r="N498" s="663">
        <v>0</v>
      </c>
      <c r="O498" s="660">
        <v>3.55</v>
      </c>
      <c r="P498" s="660">
        <v>0</v>
      </c>
      <c r="Q498" s="581"/>
      <c r="R498" s="581"/>
      <c r="S498" s="581"/>
      <c r="T498" s="581"/>
      <c r="U498" s="581"/>
    </row>
    <row r="499" spans="1:21">
      <c r="A499" s="581"/>
      <c r="B499" s="581"/>
      <c r="C499" s="581"/>
      <c r="D499" s="582" t="s">
        <v>724</v>
      </c>
      <c r="E499" s="660" t="s">
        <v>727</v>
      </c>
      <c r="F499" s="661">
        <v>41424</v>
      </c>
      <c r="G499" s="657">
        <f t="shared" si="14"/>
        <v>2013</v>
      </c>
      <c r="H499" s="657">
        <f t="shared" si="15"/>
        <v>5</v>
      </c>
      <c r="I499" s="660">
        <v>12</v>
      </c>
      <c r="J499" s="660">
        <v>3.915</v>
      </c>
      <c r="K499" s="660">
        <v>0</v>
      </c>
      <c r="L499" s="662">
        <v>3.915</v>
      </c>
      <c r="M499" s="660">
        <v>0</v>
      </c>
      <c r="N499" s="663">
        <v>0</v>
      </c>
      <c r="O499" s="660">
        <v>3.8769999999999998</v>
      </c>
      <c r="P499" s="660">
        <v>0</v>
      </c>
      <c r="Q499" s="581"/>
      <c r="R499" s="581"/>
      <c r="S499" s="581"/>
      <c r="T499" s="581"/>
      <c r="U499" s="581"/>
    </row>
    <row r="500" spans="1:21">
      <c r="A500" s="581"/>
      <c r="B500" s="581"/>
      <c r="C500" s="581"/>
      <c r="D500" s="582" t="s">
        <v>724</v>
      </c>
      <c r="E500" s="660" t="s">
        <v>727</v>
      </c>
      <c r="F500" s="661">
        <v>41451</v>
      </c>
      <c r="G500" s="657">
        <f t="shared" si="14"/>
        <v>2013</v>
      </c>
      <c r="H500" s="657">
        <f t="shared" si="15"/>
        <v>6</v>
      </c>
      <c r="I500" s="660">
        <v>17</v>
      </c>
      <c r="J500" s="660">
        <v>4.47</v>
      </c>
      <c r="K500" s="660">
        <v>0</v>
      </c>
      <c r="L500" s="662">
        <v>4.47</v>
      </c>
      <c r="M500" s="660">
        <v>0</v>
      </c>
      <c r="N500" s="663">
        <v>0</v>
      </c>
      <c r="O500" s="660">
        <v>4.4390000000000001</v>
      </c>
      <c r="P500" s="660">
        <v>0</v>
      </c>
      <c r="Q500" s="581"/>
      <c r="R500" s="581"/>
      <c r="S500" s="581"/>
      <c r="T500" s="581"/>
      <c r="U500" s="581"/>
    </row>
    <row r="501" spans="1:21">
      <c r="A501" s="581"/>
      <c r="B501" s="581"/>
      <c r="C501" s="581"/>
      <c r="D501" s="582" t="s">
        <v>724</v>
      </c>
      <c r="E501" s="660" t="s">
        <v>727</v>
      </c>
      <c r="F501" s="661">
        <v>41472</v>
      </c>
      <c r="G501" s="657">
        <f t="shared" si="14"/>
        <v>2013</v>
      </c>
      <c r="H501" s="657">
        <f t="shared" si="15"/>
        <v>7</v>
      </c>
      <c r="I501" s="660">
        <v>17</v>
      </c>
      <c r="J501" s="660">
        <v>4.9809999999999999</v>
      </c>
      <c r="K501" s="660">
        <v>0</v>
      </c>
      <c r="L501" s="662">
        <v>4.9809999999999999</v>
      </c>
      <c r="M501" s="660">
        <v>0</v>
      </c>
      <c r="N501" s="663">
        <v>0</v>
      </c>
      <c r="O501" s="660">
        <v>4.9420000000000002</v>
      </c>
      <c r="P501" s="660">
        <v>0</v>
      </c>
      <c r="Q501" s="581"/>
      <c r="R501" s="581"/>
      <c r="S501" s="581"/>
      <c r="T501" s="581"/>
      <c r="U501" s="581"/>
    </row>
    <row r="502" spans="1:21">
      <c r="A502" s="581"/>
      <c r="B502" s="581"/>
      <c r="C502" s="581"/>
      <c r="D502" s="582" t="s">
        <v>724</v>
      </c>
      <c r="E502" s="660" t="s">
        <v>727</v>
      </c>
      <c r="F502" s="661">
        <v>41516</v>
      </c>
      <c r="G502" s="657">
        <f t="shared" si="14"/>
        <v>2013</v>
      </c>
      <c r="H502" s="657">
        <f t="shared" si="15"/>
        <v>8</v>
      </c>
      <c r="I502" s="660">
        <v>16</v>
      </c>
      <c r="J502" s="660">
        <v>4.3719999999999999</v>
      </c>
      <c r="K502" s="660">
        <v>0</v>
      </c>
      <c r="L502" s="662">
        <v>4.3719999999999999</v>
      </c>
      <c r="M502" s="660">
        <v>0</v>
      </c>
      <c r="N502" s="663">
        <v>0</v>
      </c>
      <c r="O502" s="660">
        <v>4.34</v>
      </c>
      <c r="P502" s="660">
        <v>0</v>
      </c>
      <c r="Q502" s="581"/>
      <c r="R502" s="581"/>
      <c r="S502" s="581"/>
      <c r="T502" s="581"/>
      <c r="U502" s="581"/>
    </row>
    <row r="503" spans="1:21">
      <c r="A503" s="581"/>
      <c r="B503" s="581"/>
      <c r="C503" s="581"/>
      <c r="D503" s="582" t="s">
        <v>724</v>
      </c>
      <c r="E503" s="660" t="s">
        <v>727</v>
      </c>
      <c r="F503" s="661">
        <v>41526</v>
      </c>
      <c r="G503" s="657">
        <f t="shared" si="14"/>
        <v>2013</v>
      </c>
      <c r="H503" s="657">
        <f t="shared" si="15"/>
        <v>9</v>
      </c>
      <c r="I503" s="660">
        <v>17</v>
      </c>
      <c r="J503" s="660">
        <v>4.8490000000000002</v>
      </c>
      <c r="K503" s="660">
        <v>0</v>
      </c>
      <c r="L503" s="662">
        <v>4.8490000000000002</v>
      </c>
      <c r="M503" s="660">
        <v>0</v>
      </c>
      <c r="N503" s="663">
        <v>0</v>
      </c>
      <c r="O503" s="660">
        <v>4.8159999999999998</v>
      </c>
      <c r="P503" s="660">
        <v>0</v>
      </c>
      <c r="Q503" s="581"/>
      <c r="R503" s="581"/>
      <c r="S503" s="581"/>
      <c r="T503" s="581"/>
      <c r="U503" s="581"/>
    </row>
    <row r="504" spans="1:21">
      <c r="A504" s="581"/>
      <c r="B504" s="581"/>
      <c r="C504" s="581"/>
      <c r="D504" s="582" t="s">
        <v>724</v>
      </c>
      <c r="E504" s="660" t="s">
        <v>727</v>
      </c>
      <c r="F504" s="661">
        <v>41571</v>
      </c>
      <c r="G504" s="657">
        <f t="shared" si="14"/>
        <v>2013</v>
      </c>
      <c r="H504" s="657">
        <f t="shared" si="15"/>
        <v>10</v>
      </c>
      <c r="I504" s="660">
        <v>20</v>
      </c>
      <c r="J504" s="660">
        <v>2.6360000000000001</v>
      </c>
      <c r="K504" s="660">
        <v>0</v>
      </c>
      <c r="L504" s="662">
        <v>2.6360000000000001</v>
      </c>
      <c r="M504" s="660">
        <v>0</v>
      </c>
      <c r="N504" s="663">
        <v>0</v>
      </c>
      <c r="O504" s="660">
        <v>2.6179999999999999</v>
      </c>
      <c r="P504" s="660">
        <v>0</v>
      </c>
      <c r="Q504" s="581"/>
      <c r="R504" s="581"/>
      <c r="S504" s="581"/>
      <c r="T504" s="581"/>
      <c r="U504" s="581"/>
    </row>
    <row r="505" spans="1:21">
      <c r="A505" s="581"/>
      <c r="B505" s="581"/>
      <c r="C505" s="581"/>
      <c r="D505" s="582" t="s">
        <v>724</v>
      </c>
      <c r="E505" s="660" t="s">
        <v>727</v>
      </c>
      <c r="F505" s="661">
        <v>41590</v>
      </c>
      <c r="G505" s="657">
        <f t="shared" si="14"/>
        <v>2013</v>
      </c>
      <c r="H505" s="657">
        <f t="shared" si="15"/>
        <v>11</v>
      </c>
      <c r="I505" s="660">
        <v>19</v>
      </c>
      <c r="J505" s="660">
        <v>2.9790000000000001</v>
      </c>
      <c r="K505" s="660">
        <v>0</v>
      </c>
      <c r="L505" s="662">
        <v>2.9790000000000001</v>
      </c>
      <c r="M505" s="660">
        <v>0</v>
      </c>
      <c r="N505" s="663">
        <v>0</v>
      </c>
      <c r="O505" s="660">
        <v>2.9550000000000001</v>
      </c>
      <c r="P505" s="660">
        <v>0</v>
      </c>
      <c r="Q505" s="581"/>
      <c r="R505" s="581"/>
      <c r="S505" s="581"/>
      <c r="T505" s="581"/>
      <c r="U505" s="581"/>
    </row>
    <row r="506" spans="1:21">
      <c r="A506" s="581"/>
      <c r="B506" s="581"/>
      <c r="C506" s="581"/>
      <c r="D506" s="582" t="s">
        <v>724</v>
      </c>
      <c r="E506" s="660" t="s">
        <v>727</v>
      </c>
      <c r="F506" s="661">
        <v>41619</v>
      </c>
      <c r="G506" s="657">
        <f t="shared" si="14"/>
        <v>2013</v>
      </c>
      <c r="H506" s="657">
        <f t="shared" si="15"/>
        <v>12</v>
      </c>
      <c r="I506" s="660">
        <v>18</v>
      </c>
      <c r="J506" s="660">
        <v>3.5939999999999999</v>
      </c>
      <c r="K506" s="660">
        <v>0</v>
      </c>
      <c r="L506" s="662">
        <v>3.5939999999999999</v>
      </c>
      <c r="M506" s="660">
        <v>0</v>
      </c>
      <c r="N506" s="663">
        <v>0</v>
      </c>
      <c r="O506" s="660">
        <v>3.5640000000000001</v>
      </c>
      <c r="P506" s="660">
        <v>0</v>
      </c>
      <c r="Q506" s="581"/>
      <c r="R506" s="581"/>
      <c r="S506" s="581"/>
      <c r="T506" s="581"/>
      <c r="U506" s="581"/>
    </row>
    <row r="507" spans="1:21">
      <c r="A507" s="581"/>
      <c r="B507" s="581"/>
      <c r="C507" s="581"/>
      <c r="D507" s="582" t="s">
        <v>724</v>
      </c>
      <c r="E507" s="582" t="s">
        <v>727</v>
      </c>
      <c r="F507" s="656">
        <v>41645</v>
      </c>
      <c r="G507" s="657">
        <f t="shared" si="14"/>
        <v>2014</v>
      </c>
      <c r="H507" s="657">
        <f t="shared" si="15"/>
        <v>1</v>
      </c>
      <c r="I507" s="582">
        <v>18</v>
      </c>
      <c r="J507" s="582">
        <v>3.649</v>
      </c>
      <c r="K507" s="582">
        <v>0</v>
      </c>
      <c r="L507" s="658">
        <v>3.649</v>
      </c>
      <c r="M507" s="582">
        <v>0</v>
      </c>
      <c r="N507" s="582">
        <v>0</v>
      </c>
      <c r="O507" s="582">
        <v>3.6190000000000002</v>
      </c>
      <c r="P507" s="582">
        <v>0</v>
      </c>
      <c r="Q507" s="581"/>
      <c r="R507" s="581"/>
      <c r="S507" s="581"/>
      <c r="T507" s="581"/>
      <c r="U507" s="581"/>
    </row>
    <row r="508" spans="1:21">
      <c r="A508" s="581"/>
      <c r="B508" s="581"/>
      <c r="C508" s="581"/>
      <c r="D508" s="582" t="s">
        <v>724</v>
      </c>
      <c r="E508" s="582" t="s">
        <v>727</v>
      </c>
      <c r="F508" s="656">
        <v>41681</v>
      </c>
      <c r="G508" s="657">
        <f t="shared" si="14"/>
        <v>2014</v>
      </c>
      <c r="H508" s="657">
        <f t="shared" si="15"/>
        <v>2</v>
      </c>
      <c r="I508" s="582">
        <v>8</v>
      </c>
      <c r="J508" s="582">
        <v>3.96</v>
      </c>
      <c r="K508" s="582">
        <v>0</v>
      </c>
      <c r="L508" s="658">
        <v>3.96</v>
      </c>
      <c r="M508" s="582">
        <v>0</v>
      </c>
      <c r="N508" s="582">
        <v>0</v>
      </c>
      <c r="O508" s="582">
        <v>3.9319999999999999</v>
      </c>
      <c r="P508" s="582">
        <v>0</v>
      </c>
      <c r="Q508" s="581"/>
      <c r="R508" s="581"/>
      <c r="S508" s="581"/>
      <c r="T508" s="581"/>
      <c r="U508" s="581"/>
    </row>
    <row r="509" spans="1:21">
      <c r="A509" s="581"/>
      <c r="B509" s="581"/>
      <c r="C509" s="581"/>
      <c r="D509" s="582" t="s">
        <v>724</v>
      </c>
      <c r="E509" s="582" t="s">
        <v>727</v>
      </c>
      <c r="F509" s="656">
        <v>41701</v>
      </c>
      <c r="G509" s="657">
        <f t="shared" si="14"/>
        <v>2014</v>
      </c>
      <c r="H509" s="657">
        <f t="shared" si="15"/>
        <v>3</v>
      </c>
      <c r="I509" s="582">
        <v>8</v>
      </c>
      <c r="J509" s="582">
        <v>3.855</v>
      </c>
      <c r="K509" s="582">
        <v>0</v>
      </c>
      <c r="L509" s="658">
        <v>3.855</v>
      </c>
      <c r="M509" s="582">
        <v>0</v>
      </c>
      <c r="N509" s="582">
        <v>0</v>
      </c>
      <c r="O509" s="582">
        <v>3.8260000000000001</v>
      </c>
      <c r="P509" s="582">
        <v>0</v>
      </c>
      <c r="Q509" s="581"/>
      <c r="R509" s="581"/>
      <c r="S509" s="581"/>
      <c r="T509" s="581"/>
      <c r="U509" s="581"/>
    </row>
    <row r="510" spans="1:21">
      <c r="A510" s="581"/>
      <c r="B510" s="581"/>
      <c r="C510" s="581"/>
      <c r="D510" s="582" t="s">
        <v>724</v>
      </c>
      <c r="E510" s="582" t="s">
        <v>727</v>
      </c>
      <c r="F510" s="656">
        <v>41730</v>
      </c>
      <c r="G510" s="657">
        <f t="shared" si="14"/>
        <v>2014</v>
      </c>
      <c r="H510" s="657">
        <f t="shared" si="15"/>
        <v>4</v>
      </c>
      <c r="I510" s="582">
        <v>9</v>
      </c>
      <c r="J510" s="582">
        <v>3.7989999999999999</v>
      </c>
      <c r="K510" s="582">
        <v>0</v>
      </c>
      <c r="L510" s="658">
        <v>3.7989999999999999</v>
      </c>
      <c r="M510" s="582">
        <v>0</v>
      </c>
      <c r="N510" s="582">
        <v>0</v>
      </c>
      <c r="O510" s="582">
        <v>3.7690000000000001</v>
      </c>
      <c r="P510" s="582">
        <v>0</v>
      </c>
      <c r="Q510" s="581"/>
      <c r="R510" s="581"/>
      <c r="S510" s="581"/>
      <c r="T510" s="581"/>
      <c r="U510" s="581"/>
    </row>
    <row r="511" spans="1:21">
      <c r="A511" s="581"/>
      <c r="B511" s="581"/>
      <c r="C511" s="581"/>
      <c r="D511" s="582" t="s">
        <v>724</v>
      </c>
      <c r="E511" s="582" t="s">
        <v>727</v>
      </c>
      <c r="F511" s="656">
        <v>41789</v>
      </c>
      <c r="G511" s="657">
        <f t="shared" si="14"/>
        <v>2014</v>
      </c>
      <c r="H511" s="657">
        <f t="shared" si="15"/>
        <v>5</v>
      </c>
      <c r="I511" s="582">
        <v>17</v>
      </c>
      <c r="J511" s="582">
        <v>3.8380000000000001</v>
      </c>
      <c r="K511" s="582">
        <v>0</v>
      </c>
      <c r="L511" s="658">
        <v>3.8380000000000001</v>
      </c>
      <c r="M511" s="582">
        <v>0</v>
      </c>
      <c r="N511" s="582">
        <v>0</v>
      </c>
      <c r="O511" s="582">
        <v>3.8119999999999998</v>
      </c>
      <c r="P511" s="582">
        <v>0</v>
      </c>
      <c r="Q511" s="581"/>
      <c r="R511" s="581"/>
      <c r="S511" s="581"/>
      <c r="T511" s="581"/>
      <c r="U511" s="581"/>
    </row>
    <row r="512" spans="1:21">
      <c r="A512" s="581"/>
      <c r="B512" s="581"/>
      <c r="C512" s="581"/>
      <c r="D512" s="582" t="s">
        <v>724</v>
      </c>
      <c r="E512" s="582" t="s">
        <v>727</v>
      </c>
      <c r="F512" s="656">
        <v>41808</v>
      </c>
      <c r="G512" s="657">
        <f t="shared" si="14"/>
        <v>2014</v>
      </c>
      <c r="H512" s="657">
        <f t="shared" si="15"/>
        <v>6</v>
      </c>
      <c r="I512" s="582">
        <v>18</v>
      </c>
      <c r="J512" s="582">
        <v>3.992</v>
      </c>
      <c r="K512" s="582">
        <v>0</v>
      </c>
      <c r="L512" s="658">
        <v>3.992</v>
      </c>
      <c r="M512" s="582">
        <v>0</v>
      </c>
      <c r="N512" s="582">
        <v>0</v>
      </c>
      <c r="O512" s="582">
        <v>3.9590000000000001</v>
      </c>
      <c r="P512" s="582">
        <v>0</v>
      </c>
      <c r="Q512" s="581"/>
      <c r="R512" s="581"/>
      <c r="S512" s="581"/>
      <c r="T512" s="581"/>
      <c r="U512" s="581"/>
    </row>
    <row r="513" spans="1:21">
      <c r="A513" s="581"/>
      <c r="B513" s="581"/>
      <c r="C513" s="581"/>
      <c r="D513" s="582" t="s">
        <v>724</v>
      </c>
      <c r="E513" s="582" t="s">
        <v>727</v>
      </c>
      <c r="F513" s="656">
        <v>41842</v>
      </c>
      <c r="G513" s="657">
        <f t="shared" si="14"/>
        <v>2014</v>
      </c>
      <c r="H513" s="657">
        <f t="shared" si="15"/>
        <v>7</v>
      </c>
      <c r="I513" s="582">
        <v>17</v>
      </c>
      <c r="J513" s="582">
        <v>4.5970000000000004</v>
      </c>
      <c r="K513" s="582">
        <v>0</v>
      </c>
      <c r="L513" s="658">
        <v>4.5970000000000004</v>
      </c>
      <c r="M513" s="582">
        <v>0</v>
      </c>
      <c r="N513" s="582">
        <v>0</v>
      </c>
      <c r="O513" s="582">
        <v>4.5549999999999997</v>
      </c>
      <c r="P513" s="582">
        <v>0</v>
      </c>
      <c r="Q513" s="581"/>
      <c r="R513" s="581"/>
      <c r="S513" s="581"/>
      <c r="T513" s="581"/>
      <c r="U513" s="581"/>
    </row>
    <row r="514" spans="1:21">
      <c r="A514" s="581"/>
      <c r="B514" s="581"/>
      <c r="C514" s="581"/>
      <c r="D514" s="582" t="s">
        <v>724</v>
      </c>
      <c r="E514" s="582" t="s">
        <v>727</v>
      </c>
      <c r="F514" s="656">
        <v>41876</v>
      </c>
      <c r="G514" s="657">
        <f t="shared" si="14"/>
        <v>2014</v>
      </c>
      <c r="H514" s="657">
        <f t="shared" si="15"/>
        <v>8</v>
      </c>
      <c r="I514" s="582">
        <v>17</v>
      </c>
      <c r="J514" s="582">
        <v>3.7450000000000001</v>
      </c>
      <c r="K514" s="582">
        <v>0</v>
      </c>
      <c r="L514" s="658">
        <v>3.7450000000000001</v>
      </c>
      <c r="M514" s="582">
        <v>0</v>
      </c>
      <c r="N514" s="582">
        <v>0</v>
      </c>
      <c r="O514" s="582">
        <v>3.7130000000000001</v>
      </c>
      <c r="P514" s="582">
        <v>0</v>
      </c>
      <c r="Q514" s="581"/>
      <c r="R514" s="581"/>
      <c r="S514" s="581"/>
      <c r="T514" s="581"/>
      <c r="U514" s="581"/>
    </row>
    <row r="515" spans="1:21">
      <c r="A515" s="581"/>
      <c r="B515" s="581"/>
      <c r="C515" s="581"/>
      <c r="D515" s="582" t="s">
        <v>724</v>
      </c>
      <c r="E515" s="582" t="s">
        <v>727</v>
      </c>
      <c r="F515" s="656">
        <v>41886</v>
      </c>
      <c r="G515" s="657">
        <f t="shared" ref="G515:G578" si="16">YEAR(F515)</f>
        <v>2014</v>
      </c>
      <c r="H515" s="657">
        <f t="shared" ref="H515:H578" si="17">MONTH(F515)</f>
        <v>9</v>
      </c>
      <c r="I515" s="582">
        <v>17</v>
      </c>
      <c r="J515" s="582">
        <v>4.2949999999999999</v>
      </c>
      <c r="K515" s="582">
        <v>0</v>
      </c>
      <c r="L515" s="658">
        <v>4.2949999999999999</v>
      </c>
      <c r="M515" s="582">
        <v>0</v>
      </c>
      <c r="N515" s="582">
        <v>0</v>
      </c>
      <c r="O515" s="582">
        <v>4.2610000000000001</v>
      </c>
      <c r="P515" s="582">
        <v>0</v>
      </c>
      <c r="Q515" s="581"/>
      <c r="R515" s="581"/>
      <c r="S515" s="581"/>
      <c r="T515" s="581"/>
      <c r="U515" s="581"/>
    </row>
    <row r="516" spans="1:21">
      <c r="A516" s="581"/>
      <c r="B516" s="581"/>
      <c r="C516" s="581"/>
      <c r="D516" s="582" t="s">
        <v>724</v>
      </c>
      <c r="E516" s="582" t="s">
        <v>727</v>
      </c>
      <c r="F516" s="656">
        <v>41939</v>
      </c>
      <c r="G516" s="657">
        <f t="shared" si="16"/>
        <v>2014</v>
      </c>
      <c r="H516" s="657">
        <f t="shared" si="17"/>
        <v>10</v>
      </c>
      <c r="I516" s="582">
        <v>19</v>
      </c>
      <c r="J516" s="582">
        <v>2.7989999999999999</v>
      </c>
      <c r="K516" s="582">
        <v>0</v>
      </c>
      <c r="L516" s="658">
        <v>2.7989999999999999</v>
      </c>
      <c r="M516" s="659">
        <v>2906</v>
      </c>
      <c r="N516" s="582">
        <v>9.6000000000000002E-2</v>
      </c>
      <c r="O516" s="582">
        <v>2.778</v>
      </c>
      <c r="P516" s="582">
        <v>0</v>
      </c>
      <c r="Q516" s="581"/>
      <c r="R516" s="581"/>
      <c r="S516" s="581"/>
      <c r="T516" s="581"/>
      <c r="U516" s="581"/>
    </row>
    <row r="517" spans="1:21">
      <c r="A517" s="581"/>
      <c r="B517" s="581"/>
      <c r="C517" s="581"/>
      <c r="D517" s="582" t="s">
        <v>724</v>
      </c>
      <c r="E517" s="582" t="s">
        <v>727</v>
      </c>
      <c r="F517" s="656">
        <v>41960</v>
      </c>
      <c r="G517" s="657">
        <f t="shared" si="16"/>
        <v>2014</v>
      </c>
      <c r="H517" s="657">
        <f t="shared" si="17"/>
        <v>11</v>
      </c>
      <c r="I517" s="582">
        <v>18</v>
      </c>
      <c r="J517" s="582">
        <v>3.347</v>
      </c>
      <c r="K517" s="582">
        <v>0</v>
      </c>
      <c r="L517" s="658">
        <v>3.347</v>
      </c>
      <c r="M517" s="582">
        <v>0</v>
      </c>
      <c r="N517" s="582">
        <v>0</v>
      </c>
      <c r="O517" s="582">
        <v>3.3330000000000002</v>
      </c>
      <c r="P517" s="582">
        <v>0</v>
      </c>
      <c r="Q517" s="581"/>
      <c r="R517" s="581"/>
      <c r="S517" s="581"/>
      <c r="T517" s="581"/>
      <c r="U517" s="581"/>
    </row>
    <row r="518" spans="1:21">
      <c r="A518" s="581"/>
      <c r="B518" s="581"/>
      <c r="C518" s="581"/>
      <c r="D518" s="582" t="s">
        <v>724</v>
      </c>
      <c r="E518" s="582" t="s">
        <v>727</v>
      </c>
      <c r="F518" s="656">
        <v>41974</v>
      </c>
      <c r="G518" s="657">
        <f t="shared" si="16"/>
        <v>2014</v>
      </c>
      <c r="H518" s="657">
        <f t="shared" si="17"/>
        <v>12</v>
      </c>
      <c r="I518" s="582">
        <v>19</v>
      </c>
      <c r="J518" s="582">
        <v>3.3490000000000002</v>
      </c>
      <c r="K518" s="582">
        <v>0</v>
      </c>
      <c r="L518" s="658">
        <v>3.3490000000000002</v>
      </c>
      <c r="M518" s="582">
        <v>0</v>
      </c>
      <c r="N518" s="582">
        <v>0</v>
      </c>
      <c r="O518" s="582">
        <v>3.3359999999999999</v>
      </c>
      <c r="P518" s="582">
        <v>0</v>
      </c>
      <c r="Q518" s="581"/>
      <c r="R518" s="581"/>
      <c r="S518" s="581"/>
      <c r="T518" s="581"/>
      <c r="U518" s="581"/>
    </row>
    <row r="519" spans="1:21">
      <c r="A519" s="581"/>
      <c r="B519" s="581"/>
      <c r="C519" s="581"/>
      <c r="D519" s="582" t="s">
        <v>724</v>
      </c>
      <c r="E519" s="582" t="s">
        <v>727</v>
      </c>
      <c r="F519" s="656">
        <v>42011</v>
      </c>
      <c r="G519" s="657">
        <f t="shared" si="16"/>
        <v>2015</v>
      </c>
      <c r="H519" s="657">
        <f t="shared" si="17"/>
        <v>1</v>
      </c>
      <c r="I519" s="582">
        <v>19</v>
      </c>
      <c r="J519" s="582">
        <v>3.472</v>
      </c>
      <c r="K519" s="582">
        <v>0</v>
      </c>
      <c r="L519" s="658">
        <v>3.472</v>
      </c>
      <c r="M519" s="659">
        <v>3438</v>
      </c>
      <c r="N519" s="582">
        <v>0.10100000000000001</v>
      </c>
      <c r="O519" s="582">
        <v>3.456</v>
      </c>
      <c r="P519" s="582">
        <v>0</v>
      </c>
      <c r="Q519" s="581"/>
      <c r="R519" s="581"/>
      <c r="S519" s="581"/>
      <c r="T519" s="581"/>
      <c r="U519" s="581"/>
    </row>
    <row r="520" spans="1:21">
      <c r="A520" s="581"/>
      <c r="B520" s="581"/>
      <c r="C520" s="581"/>
      <c r="D520" s="582" t="s">
        <v>724</v>
      </c>
      <c r="E520" s="582" t="s">
        <v>727</v>
      </c>
      <c r="F520" s="656">
        <v>42053</v>
      </c>
      <c r="G520" s="657">
        <f t="shared" si="16"/>
        <v>2015</v>
      </c>
      <c r="H520" s="657">
        <f t="shared" si="17"/>
        <v>2</v>
      </c>
      <c r="I520" s="582">
        <v>19</v>
      </c>
      <c r="J520" s="582">
        <v>3.3439999999999999</v>
      </c>
      <c r="K520" s="582">
        <v>0</v>
      </c>
      <c r="L520" s="658">
        <v>3.3439999999999999</v>
      </c>
      <c r="M520" s="659">
        <v>3305</v>
      </c>
      <c r="N520" s="582">
        <v>0.10100000000000001</v>
      </c>
      <c r="O520" s="582">
        <v>3.32</v>
      </c>
      <c r="P520" s="582">
        <v>0</v>
      </c>
      <c r="Q520" s="581"/>
      <c r="R520" s="581"/>
      <c r="S520" s="581"/>
      <c r="T520" s="581"/>
      <c r="U520" s="581"/>
    </row>
    <row r="521" spans="1:21">
      <c r="A521" s="581"/>
      <c r="B521" s="581"/>
      <c r="C521" s="581"/>
      <c r="D521" s="582" t="s">
        <v>724</v>
      </c>
      <c r="E521" s="582" t="s">
        <v>727</v>
      </c>
      <c r="F521" s="656">
        <v>42067</v>
      </c>
      <c r="G521" s="657">
        <f t="shared" si="16"/>
        <v>2015</v>
      </c>
      <c r="H521" s="657">
        <f t="shared" si="17"/>
        <v>3</v>
      </c>
      <c r="I521" s="582">
        <v>9</v>
      </c>
      <c r="J521" s="582">
        <v>3.9350000000000001</v>
      </c>
      <c r="K521" s="582">
        <v>0</v>
      </c>
      <c r="L521" s="658">
        <v>3.9350000000000001</v>
      </c>
      <c r="M521" s="582">
        <v>0</v>
      </c>
      <c r="N521" s="582">
        <v>0</v>
      </c>
      <c r="O521" s="582">
        <v>3.9039999999999999</v>
      </c>
      <c r="P521" s="582">
        <v>0</v>
      </c>
      <c r="Q521" s="581"/>
      <c r="R521" s="581"/>
      <c r="S521" s="581"/>
      <c r="T521" s="581"/>
      <c r="U521" s="581"/>
    </row>
    <row r="522" spans="1:21">
      <c r="A522" s="581"/>
      <c r="B522" s="581"/>
      <c r="C522" s="581"/>
      <c r="D522" s="582" t="s">
        <v>724</v>
      </c>
      <c r="E522" s="582" t="s">
        <v>727</v>
      </c>
      <c r="F522" s="656">
        <v>42103</v>
      </c>
      <c r="G522" s="657">
        <f t="shared" si="16"/>
        <v>2015</v>
      </c>
      <c r="H522" s="657">
        <f t="shared" si="17"/>
        <v>4</v>
      </c>
      <c r="I522" s="582">
        <v>11</v>
      </c>
      <c r="J522" s="582">
        <v>3.7690000000000001</v>
      </c>
      <c r="K522" s="582">
        <v>0</v>
      </c>
      <c r="L522" s="658">
        <v>3.7690000000000001</v>
      </c>
      <c r="M522" s="582">
        <v>0</v>
      </c>
      <c r="N522" s="582">
        <v>0</v>
      </c>
      <c r="O522" s="582">
        <v>3.7440000000000002</v>
      </c>
      <c r="P522" s="582">
        <v>0</v>
      </c>
      <c r="Q522" s="581"/>
      <c r="R522" s="581"/>
      <c r="S522" s="581"/>
      <c r="T522" s="581"/>
      <c r="U522" s="581"/>
    </row>
    <row r="523" spans="1:21">
      <c r="A523" s="581"/>
      <c r="B523" s="581"/>
      <c r="C523" s="581"/>
      <c r="D523" s="582" t="s">
        <v>724</v>
      </c>
      <c r="E523" s="582" t="s">
        <v>727</v>
      </c>
      <c r="F523" s="656">
        <v>42152</v>
      </c>
      <c r="G523" s="657">
        <f t="shared" si="16"/>
        <v>2015</v>
      </c>
      <c r="H523" s="657">
        <f t="shared" si="17"/>
        <v>5</v>
      </c>
      <c r="I523" s="582">
        <v>15</v>
      </c>
      <c r="J523" s="582">
        <v>3.9449999999999998</v>
      </c>
      <c r="K523" s="582">
        <v>0</v>
      </c>
      <c r="L523" s="658">
        <v>3.9449999999999998</v>
      </c>
      <c r="M523" s="582">
        <v>0</v>
      </c>
      <c r="N523" s="582">
        <v>0</v>
      </c>
      <c r="O523" s="582">
        <v>3.911</v>
      </c>
      <c r="P523" s="582">
        <v>0</v>
      </c>
      <c r="Q523" s="581"/>
      <c r="R523" s="581"/>
      <c r="S523" s="581"/>
      <c r="T523" s="581"/>
      <c r="U523" s="581"/>
    </row>
    <row r="524" spans="1:21">
      <c r="A524" s="581"/>
      <c r="B524" s="581"/>
      <c r="C524" s="581"/>
      <c r="D524" s="582" t="s">
        <v>724</v>
      </c>
      <c r="E524" s="582" t="s">
        <v>727</v>
      </c>
      <c r="F524" s="656">
        <v>42165</v>
      </c>
      <c r="G524" s="657">
        <f t="shared" si="16"/>
        <v>2015</v>
      </c>
      <c r="H524" s="657">
        <f t="shared" si="17"/>
        <v>6</v>
      </c>
      <c r="I524" s="582">
        <v>18</v>
      </c>
      <c r="J524" s="582">
        <v>3.496</v>
      </c>
      <c r="K524" s="582">
        <v>0</v>
      </c>
      <c r="L524" s="658">
        <v>3.496</v>
      </c>
      <c r="M524" s="582">
        <v>0</v>
      </c>
      <c r="N524" s="582">
        <v>0</v>
      </c>
      <c r="O524" s="582">
        <v>3.4580000000000002</v>
      </c>
      <c r="P524" s="582">
        <v>0</v>
      </c>
      <c r="Q524" s="581"/>
      <c r="R524" s="581"/>
      <c r="S524" s="581"/>
      <c r="T524" s="581"/>
      <c r="U524" s="581"/>
    </row>
    <row r="525" spans="1:21">
      <c r="A525" s="581"/>
      <c r="B525" s="581"/>
      <c r="C525" s="581"/>
      <c r="D525" s="582" t="s">
        <v>724</v>
      </c>
      <c r="E525" s="582" t="s">
        <v>727</v>
      </c>
      <c r="F525" s="656">
        <v>42198</v>
      </c>
      <c r="G525" s="657">
        <f t="shared" si="16"/>
        <v>2015</v>
      </c>
      <c r="H525" s="657">
        <f t="shared" si="17"/>
        <v>7</v>
      </c>
      <c r="I525" s="582">
        <v>16</v>
      </c>
      <c r="J525" s="582">
        <v>5.069</v>
      </c>
      <c r="K525" s="582">
        <v>0</v>
      </c>
      <c r="L525" s="658">
        <v>5.069</v>
      </c>
      <c r="M525" s="582">
        <v>0</v>
      </c>
      <c r="N525" s="582">
        <v>0</v>
      </c>
      <c r="O525" s="582">
        <v>5.0229999999999997</v>
      </c>
      <c r="P525" s="582">
        <v>0</v>
      </c>
      <c r="Q525" s="581"/>
      <c r="R525" s="581"/>
      <c r="S525" s="581"/>
      <c r="T525" s="581"/>
      <c r="U525" s="581"/>
    </row>
    <row r="526" spans="1:21">
      <c r="A526" s="581"/>
      <c r="B526" s="581"/>
      <c r="C526" s="581"/>
      <c r="D526" s="582" t="s">
        <v>724</v>
      </c>
      <c r="E526" s="582" t="s">
        <v>727</v>
      </c>
      <c r="F526" s="656">
        <v>42230</v>
      </c>
      <c r="G526" s="657">
        <f t="shared" si="16"/>
        <v>2015</v>
      </c>
      <c r="H526" s="657">
        <f t="shared" si="17"/>
        <v>8</v>
      </c>
      <c r="I526" s="582">
        <v>17</v>
      </c>
      <c r="J526" s="582">
        <v>4.6959999999999997</v>
      </c>
      <c r="K526" s="582">
        <v>0</v>
      </c>
      <c r="L526" s="658">
        <v>4.6959999999999997</v>
      </c>
      <c r="M526" s="582">
        <v>0</v>
      </c>
      <c r="N526" s="582">
        <v>0</v>
      </c>
      <c r="O526" s="582">
        <v>4.6630000000000003</v>
      </c>
      <c r="P526" s="582">
        <v>0</v>
      </c>
      <c r="Q526" s="581"/>
      <c r="R526" s="581"/>
      <c r="S526" s="581"/>
      <c r="T526" s="581"/>
      <c r="U526" s="581"/>
    </row>
    <row r="527" spans="1:21">
      <c r="A527" s="581"/>
      <c r="B527" s="581"/>
      <c r="C527" s="581"/>
      <c r="D527" s="582" t="s">
        <v>724</v>
      </c>
      <c r="E527" s="582" t="s">
        <v>727</v>
      </c>
      <c r="F527" s="656">
        <v>42250</v>
      </c>
      <c r="G527" s="657">
        <f t="shared" si="16"/>
        <v>2015</v>
      </c>
      <c r="H527" s="657">
        <f t="shared" si="17"/>
        <v>9</v>
      </c>
      <c r="I527" s="582">
        <v>17</v>
      </c>
      <c r="J527" s="582">
        <v>5.0250000000000004</v>
      </c>
      <c r="K527" s="582">
        <v>0</v>
      </c>
      <c r="L527" s="658">
        <v>5.0250000000000004</v>
      </c>
      <c r="M527" s="582">
        <v>0</v>
      </c>
      <c r="N527" s="582">
        <v>0</v>
      </c>
      <c r="O527" s="582">
        <v>4.9870000000000001</v>
      </c>
      <c r="P527" s="582">
        <v>0</v>
      </c>
      <c r="Q527" s="581"/>
      <c r="R527" s="581"/>
      <c r="S527" s="581"/>
      <c r="T527" s="581"/>
      <c r="U527" s="581"/>
    </row>
    <row r="528" spans="1:21">
      <c r="A528" s="581"/>
      <c r="B528" s="581"/>
      <c r="C528" s="581"/>
      <c r="D528" s="582" t="s">
        <v>724</v>
      </c>
      <c r="E528" s="582" t="s">
        <v>727</v>
      </c>
      <c r="F528" s="656">
        <v>42284</v>
      </c>
      <c r="G528" s="657">
        <f t="shared" si="16"/>
        <v>2015</v>
      </c>
      <c r="H528" s="657">
        <f t="shared" si="17"/>
        <v>10</v>
      </c>
      <c r="I528" s="582">
        <v>15</v>
      </c>
      <c r="J528" s="582">
        <v>3.3690000000000002</v>
      </c>
      <c r="K528" s="582">
        <v>0</v>
      </c>
      <c r="L528" s="658">
        <v>3.3690000000000002</v>
      </c>
      <c r="M528" s="582">
        <v>0</v>
      </c>
      <c r="N528" s="582">
        <v>0</v>
      </c>
      <c r="O528" s="582">
        <v>3.34</v>
      </c>
      <c r="P528" s="582">
        <v>0</v>
      </c>
      <c r="Q528" s="581"/>
      <c r="R528" s="581"/>
      <c r="S528" s="581"/>
      <c r="T528" s="581"/>
      <c r="U528" s="581"/>
    </row>
    <row r="529" spans="1:21">
      <c r="A529" s="581"/>
      <c r="B529" s="581"/>
      <c r="C529" s="581"/>
      <c r="D529" s="582" t="s">
        <v>724</v>
      </c>
      <c r="E529" s="582" t="s">
        <v>727</v>
      </c>
      <c r="F529" s="656">
        <v>42338</v>
      </c>
      <c r="G529" s="657">
        <f t="shared" si="16"/>
        <v>2015</v>
      </c>
      <c r="H529" s="657">
        <f t="shared" si="17"/>
        <v>11</v>
      </c>
      <c r="I529" s="582">
        <v>18</v>
      </c>
      <c r="J529" s="582">
        <v>3.218</v>
      </c>
      <c r="K529" s="582">
        <v>0</v>
      </c>
      <c r="L529" s="658">
        <v>3.218</v>
      </c>
      <c r="M529" s="582">
        <v>0</v>
      </c>
      <c r="N529" s="582">
        <v>0</v>
      </c>
      <c r="O529" s="582">
        <v>3.198</v>
      </c>
      <c r="P529" s="582">
        <v>0</v>
      </c>
      <c r="Q529" s="581"/>
      <c r="R529" s="581"/>
      <c r="S529" s="581"/>
      <c r="T529" s="581"/>
      <c r="U529" s="581"/>
    </row>
    <row r="530" spans="1:21">
      <c r="A530" s="581"/>
      <c r="B530" s="581"/>
      <c r="C530" s="581"/>
      <c r="D530" s="582" t="s">
        <v>724</v>
      </c>
      <c r="E530" s="582" t="s">
        <v>727</v>
      </c>
      <c r="F530" s="656">
        <v>42355</v>
      </c>
      <c r="G530" s="657">
        <f t="shared" si="16"/>
        <v>2015</v>
      </c>
      <c r="H530" s="657">
        <f t="shared" si="17"/>
        <v>12</v>
      </c>
      <c r="I530" s="582">
        <v>19</v>
      </c>
      <c r="J530" s="582">
        <v>3.1549999999999998</v>
      </c>
      <c r="K530" s="582">
        <v>0</v>
      </c>
      <c r="L530" s="658">
        <v>3.1549999999999998</v>
      </c>
      <c r="M530" s="582">
        <v>0</v>
      </c>
      <c r="N530" s="582">
        <v>0</v>
      </c>
      <c r="O530" s="582">
        <v>3.13</v>
      </c>
      <c r="P530" s="582">
        <v>0</v>
      </c>
      <c r="Q530" s="581"/>
      <c r="R530" s="581"/>
      <c r="S530" s="581"/>
      <c r="T530" s="581"/>
      <c r="U530" s="581"/>
    </row>
    <row r="531" spans="1:21">
      <c r="A531" s="581"/>
      <c r="B531" s="581"/>
      <c r="C531" s="581"/>
      <c r="D531" s="582" t="s">
        <v>724</v>
      </c>
      <c r="E531" s="660" t="s">
        <v>728</v>
      </c>
      <c r="F531" s="661">
        <v>40927</v>
      </c>
      <c r="G531" s="657">
        <f t="shared" si="16"/>
        <v>2012</v>
      </c>
      <c r="H531" s="657">
        <f t="shared" si="17"/>
        <v>1</v>
      </c>
      <c r="I531" s="660">
        <v>19</v>
      </c>
      <c r="J531" s="660">
        <v>10.085000000000001</v>
      </c>
      <c r="K531" s="660">
        <v>0</v>
      </c>
      <c r="L531" s="662">
        <v>10.085000000000001</v>
      </c>
      <c r="M531" s="660">
        <v>0</v>
      </c>
      <c r="N531" s="663">
        <v>0</v>
      </c>
      <c r="O531" s="660">
        <v>10.166</v>
      </c>
      <c r="P531" s="660">
        <v>0</v>
      </c>
      <c r="Q531" s="581"/>
      <c r="R531" s="581"/>
      <c r="S531" s="581"/>
      <c r="T531" s="581"/>
      <c r="U531" s="581"/>
    </row>
    <row r="532" spans="1:21">
      <c r="A532" s="581"/>
      <c r="B532" s="581"/>
      <c r="C532" s="581"/>
      <c r="D532" s="582" t="s">
        <v>724</v>
      </c>
      <c r="E532" s="660" t="s">
        <v>728</v>
      </c>
      <c r="F532" s="661">
        <v>40952</v>
      </c>
      <c r="G532" s="657">
        <f t="shared" si="16"/>
        <v>2012</v>
      </c>
      <c r="H532" s="657">
        <f t="shared" si="17"/>
        <v>2</v>
      </c>
      <c r="I532" s="660">
        <v>19</v>
      </c>
      <c r="J532" s="660">
        <v>9.2759999999999998</v>
      </c>
      <c r="K532" s="660">
        <v>0</v>
      </c>
      <c r="L532" s="662">
        <v>9.2759999999999998</v>
      </c>
      <c r="M532" s="660">
        <v>0</v>
      </c>
      <c r="N532" s="663">
        <v>0</v>
      </c>
      <c r="O532" s="660">
        <v>9.3670000000000009</v>
      </c>
      <c r="P532" s="660">
        <v>0</v>
      </c>
      <c r="Q532" s="581"/>
      <c r="R532" s="581"/>
      <c r="S532" s="581"/>
      <c r="T532" s="581"/>
      <c r="U532" s="581"/>
    </row>
    <row r="533" spans="1:21">
      <c r="A533" s="581"/>
      <c r="B533" s="581"/>
      <c r="C533" s="581"/>
      <c r="D533" s="582" t="s">
        <v>724</v>
      </c>
      <c r="E533" s="660" t="s">
        <v>728</v>
      </c>
      <c r="F533" s="661">
        <v>40973</v>
      </c>
      <c r="G533" s="657">
        <f t="shared" si="16"/>
        <v>2012</v>
      </c>
      <c r="H533" s="657">
        <f t="shared" si="17"/>
        <v>3</v>
      </c>
      <c r="I533" s="660">
        <v>8</v>
      </c>
      <c r="J533" s="660">
        <v>9.8460000000000001</v>
      </c>
      <c r="K533" s="660">
        <v>0</v>
      </c>
      <c r="L533" s="662">
        <v>9.8460000000000001</v>
      </c>
      <c r="M533" s="660">
        <v>0</v>
      </c>
      <c r="N533" s="663">
        <v>0</v>
      </c>
      <c r="O533" s="660">
        <v>9.9920000000000009</v>
      </c>
      <c r="P533" s="660">
        <v>0</v>
      </c>
      <c r="Q533" s="581"/>
      <c r="R533" s="581"/>
      <c r="S533" s="581"/>
      <c r="T533" s="581"/>
      <c r="U533" s="581"/>
    </row>
    <row r="534" spans="1:21">
      <c r="A534" s="581"/>
      <c r="B534" s="581"/>
      <c r="C534" s="581"/>
      <c r="D534" s="582" t="s">
        <v>724</v>
      </c>
      <c r="E534" s="660" t="s">
        <v>728</v>
      </c>
      <c r="F534" s="661">
        <v>41001</v>
      </c>
      <c r="G534" s="657">
        <f t="shared" si="16"/>
        <v>2012</v>
      </c>
      <c r="H534" s="657">
        <f t="shared" si="17"/>
        <v>4</v>
      </c>
      <c r="I534" s="660">
        <v>21</v>
      </c>
      <c r="J534" s="660">
        <v>8.3089999999999993</v>
      </c>
      <c r="K534" s="660">
        <v>0</v>
      </c>
      <c r="L534" s="662">
        <v>8.3089999999999993</v>
      </c>
      <c r="M534" s="660">
        <v>0</v>
      </c>
      <c r="N534" s="663">
        <v>0</v>
      </c>
      <c r="O534" s="660">
        <v>8.41</v>
      </c>
      <c r="P534" s="660">
        <v>0</v>
      </c>
      <c r="Q534" s="581"/>
      <c r="R534" s="581"/>
      <c r="S534" s="581"/>
      <c r="T534" s="581"/>
      <c r="U534" s="581"/>
    </row>
    <row r="535" spans="1:21">
      <c r="A535" s="581"/>
      <c r="B535" s="581"/>
      <c r="C535" s="581"/>
      <c r="D535" s="582" t="s">
        <v>724</v>
      </c>
      <c r="E535" s="660" t="s">
        <v>728</v>
      </c>
      <c r="F535" s="661">
        <v>41053</v>
      </c>
      <c r="G535" s="657">
        <f t="shared" si="16"/>
        <v>2012</v>
      </c>
      <c r="H535" s="657">
        <f t="shared" si="17"/>
        <v>5</v>
      </c>
      <c r="I535" s="660">
        <v>14</v>
      </c>
      <c r="J535" s="660">
        <v>10.004</v>
      </c>
      <c r="K535" s="660">
        <v>0</v>
      </c>
      <c r="L535" s="662">
        <v>10.004</v>
      </c>
      <c r="M535" s="660">
        <v>0</v>
      </c>
      <c r="N535" s="663">
        <v>0</v>
      </c>
      <c r="O535" s="660">
        <v>10.085000000000001</v>
      </c>
      <c r="P535" s="660">
        <v>0</v>
      </c>
      <c r="Q535" s="581"/>
      <c r="R535" s="581"/>
      <c r="S535" s="581"/>
      <c r="T535" s="581"/>
      <c r="U535" s="581"/>
    </row>
    <row r="536" spans="1:21">
      <c r="A536" s="581"/>
      <c r="B536" s="581"/>
      <c r="C536" s="581"/>
      <c r="D536" s="582" t="s">
        <v>724</v>
      </c>
      <c r="E536" s="660" t="s">
        <v>728</v>
      </c>
      <c r="F536" s="661">
        <v>41087</v>
      </c>
      <c r="G536" s="657">
        <f t="shared" si="16"/>
        <v>2012</v>
      </c>
      <c r="H536" s="657">
        <f t="shared" si="17"/>
        <v>6</v>
      </c>
      <c r="I536" s="660">
        <v>17</v>
      </c>
      <c r="J536" s="660">
        <v>12.907</v>
      </c>
      <c r="K536" s="660">
        <v>0</v>
      </c>
      <c r="L536" s="662">
        <v>12.907</v>
      </c>
      <c r="M536" s="660">
        <v>0</v>
      </c>
      <c r="N536" s="663">
        <v>0</v>
      </c>
      <c r="O536" s="660">
        <v>13.022</v>
      </c>
      <c r="P536" s="660">
        <v>0</v>
      </c>
      <c r="Q536" s="581"/>
      <c r="R536" s="581"/>
      <c r="S536" s="581"/>
      <c r="T536" s="581"/>
      <c r="U536" s="581"/>
    </row>
    <row r="537" spans="1:21">
      <c r="A537" s="581"/>
      <c r="B537" s="581"/>
      <c r="C537" s="581"/>
      <c r="D537" s="582" t="s">
        <v>724</v>
      </c>
      <c r="E537" s="660" t="s">
        <v>728</v>
      </c>
      <c r="F537" s="661">
        <v>41115</v>
      </c>
      <c r="G537" s="657">
        <f t="shared" si="16"/>
        <v>2012</v>
      </c>
      <c r="H537" s="657">
        <f t="shared" si="17"/>
        <v>7</v>
      </c>
      <c r="I537" s="660">
        <v>17</v>
      </c>
      <c r="J537" s="660">
        <v>14.327</v>
      </c>
      <c r="K537" s="660">
        <v>0</v>
      </c>
      <c r="L537" s="662">
        <v>14.327</v>
      </c>
      <c r="M537" s="660">
        <v>0</v>
      </c>
      <c r="N537" s="663">
        <v>0</v>
      </c>
      <c r="O537" s="660">
        <v>14.372</v>
      </c>
      <c r="P537" s="660">
        <v>0</v>
      </c>
      <c r="Q537" s="581"/>
      <c r="R537" s="581"/>
      <c r="S537" s="581"/>
      <c r="T537" s="581"/>
      <c r="U537" s="581"/>
    </row>
    <row r="538" spans="1:21">
      <c r="A538" s="581"/>
      <c r="B538" s="581"/>
      <c r="C538" s="581"/>
      <c r="D538" s="582" t="s">
        <v>724</v>
      </c>
      <c r="E538" s="660" t="s">
        <v>728</v>
      </c>
      <c r="F538" s="661">
        <v>41124</v>
      </c>
      <c r="G538" s="657">
        <f t="shared" si="16"/>
        <v>2012</v>
      </c>
      <c r="H538" s="657">
        <f t="shared" si="17"/>
        <v>8</v>
      </c>
      <c r="I538" s="660">
        <v>17</v>
      </c>
      <c r="J538" s="660">
        <v>12.675000000000001</v>
      </c>
      <c r="K538" s="660">
        <v>0</v>
      </c>
      <c r="L538" s="662">
        <v>12.675000000000001</v>
      </c>
      <c r="M538" s="660">
        <v>0</v>
      </c>
      <c r="N538" s="663">
        <v>0</v>
      </c>
      <c r="O538" s="660">
        <v>12.808999999999999</v>
      </c>
      <c r="P538" s="660">
        <v>0</v>
      </c>
      <c r="Q538" s="581"/>
      <c r="R538" s="581"/>
      <c r="S538" s="581"/>
      <c r="T538" s="581"/>
      <c r="U538" s="581"/>
    </row>
    <row r="539" spans="1:21">
      <c r="A539" s="581"/>
      <c r="B539" s="581"/>
      <c r="C539" s="581"/>
      <c r="D539" s="582" t="s">
        <v>724</v>
      </c>
      <c r="E539" s="660" t="s">
        <v>728</v>
      </c>
      <c r="F539" s="661">
        <v>41156</v>
      </c>
      <c r="G539" s="657">
        <f t="shared" si="16"/>
        <v>2012</v>
      </c>
      <c r="H539" s="657">
        <f t="shared" si="17"/>
        <v>9</v>
      </c>
      <c r="I539" s="660">
        <v>17</v>
      </c>
      <c r="J539" s="660">
        <v>12.493</v>
      </c>
      <c r="K539" s="660">
        <v>0</v>
      </c>
      <c r="L539" s="662">
        <v>12.493</v>
      </c>
      <c r="M539" s="660">
        <v>0</v>
      </c>
      <c r="N539" s="663">
        <v>0</v>
      </c>
      <c r="O539" s="660">
        <v>12.502000000000001</v>
      </c>
      <c r="P539" s="660">
        <v>0</v>
      </c>
      <c r="Q539" s="581"/>
      <c r="R539" s="581"/>
      <c r="S539" s="581"/>
      <c r="T539" s="581"/>
      <c r="U539" s="581"/>
    </row>
    <row r="540" spans="1:21">
      <c r="A540" s="581"/>
      <c r="B540" s="581"/>
      <c r="C540" s="581"/>
      <c r="D540" s="582" t="s">
        <v>724</v>
      </c>
      <c r="E540" s="660" t="s">
        <v>728</v>
      </c>
      <c r="F540" s="661">
        <v>41211</v>
      </c>
      <c r="G540" s="657">
        <f t="shared" si="16"/>
        <v>2012</v>
      </c>
      <c r="H540" s="657">
        <f t="shared" si="17"/>
        <v>10</v>
      </c>
      <c r="I540" s="660">
        <v>8</v>
      </c>
      <c r="J540" s="660">
        <v>8.7110000000000003</v>
      </c>
      <c r="K540" s="660">
        <v>0</v>
      </c>
      <c r="L540" s="662">
        <v>8.7110000000000003</v>
      </c>
      <c r="M540" s="660">
        <v>0</v>
      </c>
      <c r="N540" s="663">
        <v>0</v>
      </c>
      <c r="O540" s="660">
        <v>8.8629999999999995</v>
      </c>
      <c r="P540" s="660">
        <v>0</v>
      </c>
      <c r="Q540" s="581"/>
      <c r="R540" s="581"/>
      <c r="S540" s="581"/>
      <c r="T540" s="581"/>
      <c r="U540" s="581"/>
    </row>
    <row r="541" spans="1:21">
      <c r="A541" s="581"/>
      <c r="B541" s="581"/>
      <c r="C541" s="581"/>
      <c r="D541" s="582" t="s">
        <v>724</v>
      </c>
      <c r="E541" s="660" t="s">
        <v>728</v>
      </c>
      <c r="F541" s="661">
        <v>41225</v>
      </c>
      <c r="G541" s="657">
        <f t="shared" si="16"/>
        <v>2012</v>
      </c>
      <c r="H541" s="657">
        <f t="shared" si="17"/>
        <v>11</v>
      </c>
      <c r="I541" s="660">
        <v>18</v>
      </c>
      <c r="J541" s="660">
        <v>9.4320000000000004</v>
      </c>
      <c r="K541" s="660">
        <v>0</v>
      </c>
      <c r="L541" s="662">
        <v>9.4320000000000004</v>
      </c>
      <c r="M541" s="660">
        <v>0</v>
      </c>
      <c r="N541" s="663">
        <v>0</v>
      </c>
      <c r="O541" s="660">
        <v>9.5559999999999992</v>
      </c>
      <c r="P541" s="660">
        <v>0</v>
      </c>
      <c r="Q541" s="581"/>
      <c r="R541" s="581"/>
      <c r="S541" s="581"/>
      <c r="T541" s="581"/>
      <c r="U541" s="581"/>
    </row>
    <row r="542" spans="1:21">
      <c r="A542" s="581"/>
      <c r="B542" s="581"/>
      <c r="C542" s="581"/>
      <c r="D542" s="582" t="s">
        <v>724</v>
      </c>
      <c r="E542" s="660" t="s">
        <v>728</v>
      </c>
      <c r="F542" s="661">
        <v>41263</v>
      </c>
      <c r="G542" s="657">
        <f t="shared" si="16"/>
        <v>2012</v>
      </c>
      <c r="H542" s="657">
        <f t="shared" si="17"/>
        <v>12</v>
      </c>
      <c r="I542" s="660">
        <v>18</v>
      </c>
      <c r="J542" s="660">
        <v>10.574</v>
      </c>
      <c r="K542" s="660">
        <v>0</v>
      </c>
      <c r="L542" s="662">
        <v>10.574</v>
      </c>
      <c r="M542" s="660">
        <v>0</v>
      </c>
      <c r="N542" s="663">
        <v>0</v>
      </c>
      <c r="O542" s="660">
        <v>10.717000000000001</v>
      </c>
      <c r="P542" s="660">
        <v>0</v>
      </c>
      <c r="Q542" s="581"/>
      <c r="R542" s="581"/>
      <c r="S542" s="581"/>
      <c r="T542" s="581"/>
      <c r="U542" s="581"/>
    </row>
    <row r="543" spans="1:21">
      <c r="A543" s="581"/>
      <c r="B543" s="581"/>
      <c r="C543" s="581"/>
      <c r="D543" s="582" t="s">
        <v>724</v>
      </c>
      <c r="E543" s="660" t="s">
        <v>728</v>
      </c>
      <c r="F543" s="661">
        <v>41305</v>
      </c>
      <c r="G543" s="657">
        <f t="shared" si="16"/>
        <v>2013</v>
      </c>
      <c r="H543" s="657">
        <f t="shared" si="17"/>
        <v>1</v>
      </c>
      <c r="I543" s="660">
        <v>19</v>
      </c>
      <c r="J543" s="660">
        <v>10.327</v>
      </c>
      <c r="K543" s="660">
        <v>0</v>
      </c>
      <c r="L543" s="662">
        <v>10.327</v>
      </c>
      <c r="M543" s="660">
        <v>0</v>
      </c>
      <c r="N543" s="663">
        <v>0</v>
      </c>
      <c r="O543" s="660">
        <v>10.455</v>
      </c>
      <c r="P543" s="660">
        <v>0</v>
      </c>
      <c r="Q543" s="581"/>
      <c r="R543" s="581"/>
      <c r="S543" s="581"/>
      <c r="T543" s="581"/>
      <c r="U543" s="581"/>
    </row>
    <row r="544" spans="1:21">
      <c r="A544" s="581"/>
      <c r="B544" s="581"/>
      <c r="C544" s="581"/>
      <c r="D544" s="582" t="s">
        <v>724</v>
      </c>
      <c r="E544" s="660" t="s">
        <v>728</v>
      </c>
      <c r="F544" s="661">
        <v>41306</v>
      </c>
      <c r="G544" s="657">
        <f t="shared" si="16"/>
        <v>2013</v>
      </c>
      <c r="H544" s="657">
        <f t="shared" si="17"/>
        <v>2</v>
      </c>
      <c r="I544" s="660">
        <v>8</v>
      </c>
      <c r="J544" s="660">
        <v>9.9719999999999995</v>
      </c>
      <c r="K544" s="660">
        <v>0</v>
      </c>
      <c r="L544" s="662">
        <v>9.9719999999999995</v>
      </c>
      <c r="M544" s="660">
        <v>0</v>
      </c>
      <c r="N544" s="663">
        <v>0</v>
      </c>
      <c r="O544" s="660">
        <v>10.1</v>
      </c>
      <c r="P544" s="660">
        <v>0</v>
      </c>
      <c r="Q544" s="581"/>
      <c r="R544" s="581"/>
      <c r="S544" s="581"/>
      <c r="T544" s="581"/>
      <c r="U544" s="581"/>
    </row>
    <row r="545" spans="1:21">
      <c r="A545" s="581"/>
      <c r="B545" s="581"/>
      <c r="C545" s="581"/>
      <c r="D545" s="582" t="s">
        <v>724</v>
      </c>
      <c r="E545" s="660" t="s">
        <v>728</v>
      </c>
      <c r="F545" s="661">
        <v>41354</v>
      </c>
      <c r="G545" s="657">
        <f t="shared" si="16"/>
        <v>2013</v>
      </c>
      <c r="H545" s="657">
        <f t="shared" si="17"/>
        <v>3</v>
      </c>
      <c r="I545" s="660">
        <v>8</v>
      </c>
      <c r="J545" s="660">
        <v>10.018000000000001</v>
      </c>
      <c r="K545" s="660">
        <v>0</v>
      </c>
      <c r="L545" s="662">
        <v>10.018000000000001</v>
      </c>
      <c r="M545" s="660">
        <v>0</v>
      </c>
      <c r="N545" s="663">
        <v>0</v>
      </c>
      <c r="O545" s="660">
        <v>10.14</v>
      </c>
      <c r="P545" s="660">
        <v>0</v>
      </c>
      <c r="Q545" s="581"/>
      <c r="R545" s="581"/>
      <c r="S545" s="581"/>
      <c r="T545" s="581"/>
      <c r="U545" s="581"/>
    </row>
    <row r="546" spans="1:21">
      <c r="A546" s="581"/>
      <c r="B546" s="581"/>
      <c r="C546" s="581"/>
      <c r="D546" s="582" t="s">
        <v>724</v>
      </c>
      <c r="E546" s="660" t="s">
        <v>728</v>
      </c>
      <c r="F546" s="661">
        <v>41366</v>
      </c>
      <c r="G546" s="657">
        <f t="shared" si="16"/>
        <v>2013</v>
      </c>
      <c r="H546" s="657">
        <f t="shared" si="17"/>
        <v>4</v>
      </c>
      <c r="I546" s="660">
        <v>8</v>
      </c>
      <c r="J546" s="660">
        <v>9.65</v>
      </c>
      <c r="K546" s="660">
        <v>0</v>
      </c>
      <c r="L546" s="662">
        <v>9.65</v>
      </c>
      <c r="M546" s="660">
        <v>0</v>
      </c>
      <c r="N546" s="663">
        <v>0</v>
      </c>
      <c r="O546" s="660">
        <v>9.798</v>
      </c>
      <c r="P546" s="660">
        <v>0</v>
      </c>
      <c r="Q546" s="581"/>
      <c r="R546" s="581"/>
      <c r="S546" s="581"/>
      <c r="T546" s="581"/>
      <c r="U546" s="581"/>
    </row>
    <row r="547" spans="1:21">
      <c r="A547" s="581"/>
      <c r="B547" s="581"/>
      <c r="C547" s="581"/>
      <c r="D547" s="582" t="s">
        <v>724</v>
      </c>
      <c r="E547" s="660" t="s">
        <v>728</v>
      </c>
      <c r="F547" s="661">
        <v>41424</v>
      </c>
      <c r="G547" s="657">
        <f t="shared" si="16"/>
        <v>2013</v>
      </c>
      <c r="H547" s="657">
        <f t="shared" si="17"/>
        <v>5</v>
      </c>
      <c r="I547" s="660">
        <v>12</v>
      </c>
      <c r="J547" s="660">
        <v>10.188000000000001</v>
      </c>
      <c r="K547" s="660">
        <v>0</v>
      </c>
      <c r="L547" s="662">
        <v>10.188000000000001</v>
      </c>
      <c r="M547" s="660">
        <v>0</v>
      </c>
      <c r="N547" s="663">
        <v>0</v>
      </c>
      <c r="O547" s="660">
        <v>10.273999999999999</v>
      </c>
      <c r="P547" s="660">
        <v>0</v>
      </c>
      <c r="Q547" s="581"/>
      <c r="R547" s="581"/>
      <c r="S547" s="581"/>
      <c r="T547" s="581"/>
      <c r="U547" s="581"/>
    </row>
    <row r="548" spans="1:21">
      <c r="A548" s="581"/>
      <c r="B548" s="581"/>
      <c r="C548" s="581"/>
      <c r="D548" s="582" t="s">
        <v>724</v>
      </c>
      <c r="E548" s="660" t="s">
        <v>728</v>
      </c>
      <c r="F548" s="661">
        <v>41451</v>
      </c>
      <c r="G548" s="657">
        <f t="shared" si="16"/>
        <v>2013</v>
      </c>
      <c r="H548" s="657">
        <f t="shared" si="17"/>
        <v>6</v>
      </c>
      <c r="I548" s="660">
        <v>17</v>
      </c>
      <c r="J548" s="660">
        <v>11.348000000000001</v>
      </c>
      <c r="K548" s="660">
        <v>0</v>
      </c>
      <c r="L548" s="662">
        <v>11.348000000000001</v>
      </c>
      <c r="M548" s="660">
        <v>0</v>
      </c>
      <c r="N548" s="663">
        <v>0</v>
      </c>
      <c r="O548" s="660">
        <v>11.449</v>
      </c>
      <c r="P548" s="660">
        <v>0</v>
      </c>
      <c r="Q548" s="581"/>
      <c r="R548" s="581"/>
      <c r="S548" s="581"/>
      <c r="T548" s="581"/>
      <c r="U548" s="581"/>
    </row>
    <row r="549" spans="1:21">
      <c r="A549" s="581"/>
      <c r="B549" s="581"/>
      <c r="C549" s="581"/>
      <c r="D549" s="582" t="s">
        <v>724</v>
      </c>
      <c r="E549" s="660" t="s">
        <v>728</v>
      </c>
      <c r="F549" s="661">
        <v>41472</v>
      </c>
      <c r="G549" s="657">
        <f t="shared" si="16"/>
        <v>2013</v>
      </c>
      <c r="H549" s="657">
        <f t="shared" si="17"/>
        <v>7</v>
      </c>
      <c r="I549" s="660">
        <v>17</v>
      </c>
      <c r="J549" s="660">
        <v>12.637</v>
      </c>
      <c r="K549" s="660">
        <v>0</v>
      </c>
      <c r="L549" s="662">
        <v>12.637</v>
      </c>
      <c r="M549" s="660">
        <v>0</v>
      </c>
      <c r="N549" s="663">
        <v>0</v>
      </c>
      <c r="O549" s="660">
        <v>12.773</v>
      </c>
      <c r="P549" s="660">
        <v>0</v>
      </c>
      <c r="Q549" s="581"/>
      <c r="R549" s="581"/>
      <c r="S549" s="581"/>
      <c r="T549" s="581"/>
      <c r="U549" s="581"/>
    </row>
    <row r="550" spans="1:21">
      <c r="A550" s="581"/>
      <c r="B550" s="581"/>
      <c r="C550" s="581"/>
      <c r="D550" s="582" t="s">
        <v>724</v>
      </c>
      <c r="E550" s="660" t="s">
        <v>728</v>
      </c>
      <c r="F550" s="661">
        <v>41516</v>
      </c>
      <c r="G550" s="657">
        <f t="shared" si="16"/>
        <v>2013</v>
      </c>
      <c r="H550" s="657">
        <f t="shared" si="17"/>
        <v>8</v>
      </c>
      <c r="I550" s="660">
        <v>16</v>
      </c>
      <c r="J550" s="660">
        <v>12.329000000000001</v>
      </c>
      <c r="K550" s="660">
        <v>0</v>
      </c>
      <c r="L550" s="662">
        <v>12.329000000000001</v>
      </c>
      <c r="M550" s="660">
        <v>0</v>
      </c>
      <c r="N550" s="663">
        <v>0</v>
      </c>
      <c r="O550" s="660">
        <v>12.435</v>
      </c>
      <c r="P550" s="660">
        <v>0</v>
      </c>
      <c r="Q550" s="581"/>
      <c r="R550" s="581"/>
      <c r="S550" s="581"/>
      <c r="T550" s="581"/>
      <c r="U550" s="581"/>
    </row>
    <row r="551" spans="1:21">
      <c r="A551" s="581"/>
      <c r="B551" s="581"/>
      <c r="C551" s="581"/>
      <c r="D551" s="582" t="s">
        <v>724</v>
      </c>
      <c r="E551" s="660" t="s">
        <v>728</v>
      </c>
      <c r="F551" s="661">
        <v>41526</v>
      </c>
      <c r="G551" s="657">
        <f t="shared" si="16"/>
        <v>2013</v>
      </c>
      <c r="H551" s="657">
        <f t="shared" si="17"/>
        <v>9</v>
      </c>
      <c r="I551" s="660">
        <v>17</v>
      </c>
      <c r="J551" s="660">
        <v>13.331</v>
      </c>
      <c r="K551" s="660">
        <v>0</v>
      </c>
      <c r="L551" s="662">
        <v>13.331</v>
      </c>
      <c r="M551" s="660">
        <v>0</v>
      </c>
      <c r="N551" s="663">
        <v>0</v>
      </c>
      <c r="O551" s="660">
        <v>13.451000000000001</v>
      </c>
      <c r="P551" s="660">
        <v>0</v>
      </c>
      <c r="Q551" s="581"/>
      <c r="R551" s="581"/>
      <c r="S551" s="581"/>
      <c r="T551" s="581"/>
      <c r="U551" s="581"/>
    </row>
    <row r="552" spans="1:21">
      <c r="A552" s="581"/>
      <c r="B552" s="581"/>
      <c r="C552" s="581"/>
      <c r="D552" s="582" t="s">
        <v>724</v>
      </c>
      <c r="E552" s="660" t="s">
        <v>728</v>
      </c>
      <c r="F552" s="661">
        <v>41571</v>
      </c>
      <c r="G552" s="657">
        <f t="shared" si="16"/>
        <v>2013</v>
      </c>
      <c r="H552" s="657">
        <f t="shared" si="17"/>
        <v>10</v>
      </c>
      <c r="I552" s="660">
        <v>20</v>
      </c>
      <c r="J552" s="660">
        <v>8.6639999999999997</v>
      </c>
      <c r="K552" s="660">
        <v>0</v>
      </c>
      <c r="L552" s="662">
        <v>8.6639999999999997</v>
      </c>
      <c r="M552" s="660">
        <v>0</v>
      </c>
      <c r="N552" s="663">
        <v>0</v>
      </c>
      <c r="O552" s="660">
        <v>8.734</v>
      </c>
      <c r="P552" s="660">
        <v>0</v>
      </c>
      <c r="Q552" s="581"/>
      <c r="R552" s="581"/>
      <c r="S552" s="581"/>
      <c r="T552" s="581"/>
      <c r="U552" s="581"/>
    </row>
    <row r="553" spans="1:21">
      <c r="A553" s="581"/>
      <c r="B553" s="581"/>
      <c r="C553" s="581"/>
      <c r="D553" s="582" t="s">
        <v>724</v>
      </c>
      <c r="E553" s="660" t="s">
        <v>728</v>
      </c>
      <c r="F553" s="661">
        <v>41590</v>
      </c>
      <c r="G553" s="657">
        <f t="shared" si="16"/>
        <v>2013</v>
      </c>
      <c r="H553" s="657">
        <f t="shared" si="17"/>
        <v>11</v>
      </c>
      <c r="I553" s="660">
        <v>19</v>
      </c>
      <c r="J553" s="660">
        <v>9.3160000000000007</v>
      </c>
      <c r="K553" s="660">
        <v>0</v>
      </c>
      <c r="L553" s="662">
        <v>9.3160000000000007</v>
      </c>
      <c r="M553" s="660">
        <v>0</v>
      </c>
      <c r="N553" s="663">
        <v>0</v>
      </c>
      <c r="O553" s="660">
        <v>9.41</v>
      </c>
      <c r="P553" s="660">
        <v>0</v>
      </c>
      <c r="Q553" s="581"/>
      <c r="R553" s="581"/>
      <c r="S553" s="581"/>
      <c r="T553" s="581"/>
      <c r="U553" s="581"/>
    </row>
    <row r="554" spans="1:21">
      <c r="A554" s="581"/>
      <c r="B554" s="581"/>
      <c r="C554" s="581"/>
      <c r="D554" s="582" t="s">
        <v>724</v>
      </c>
      <c r="E554" s="660" t="s">
        <v>728</v>
      </c>
      <c r="F554" s="661">
        <v>41619</v>
      </c>
      <c r="G554" s="657">
        <f t="shared" si="16"/>
        <v>2013</v>
      </c>
      <c r="H554" s="657">
        <f t="shared" si="17"/>
        <v>12</v>
      </c>
      <c r="I554" s="660">
        <v>18</v>
      </c>
      <c r="J554" s="660">
        <v>10.396000000000001</v>
      </c>
      <c r="K554" s="660">
        <v>0</v>
      </c>
      <c r="L554" s="662">
        <v>10.396000000000001</v>
      </c>
      <c r="M554" s="660">
        <v>0</v>
      </c>
      <c r="N554" s="663">
        <v>0</v>
      </c>
      <c r="O554" s="660">
        <v>10.507999999999999</v>
      </c>
      <c r="P554" s="660">
        <v>0</v>
      </c>
      <c r="Q554" s="581"/>
      <c r="R554" s="581"/>
      <c r="S554" s="581"/>
      <c r="T554" s="581"/>
      <c r="U554" s="581"/>
    </row>
    <row r="555" spans="1:21">
      <c r="A555" s="581"/>
      <c r="B555" s="581"/>
      <c r="C555" s="581"/>
      <c r="D555" s="582" t="s">
        <v>724</v>
      </c>
      <c r="E555" s="582" t="s">
        <v>728</v>
      </c>
      <c r="F555" s="656">
        <v>41645</v>
      </c>
      <c r="G555" s="657">
        <f t="shared" si="16"/>
        <v>2014</v>
      </c>
      <c r="H555" s="657">
        <f t="shared" si="17"/>
        <v>1</v>
      </c>
      <c r="I555" s="582">
        <v>18</v>
      </c>
      <c r="J555" s="582">
        <v>7.0789999999999997</v>
      </c>
      <c r="K555" s="582">
        <v>1.694</v>
      </c>
      <c r="L555" s="658">
        <v>8.7729999999999997</v>
      </c>
      <c r="M555" s="582">
        <v>0</v>
      </c>
      <c r="N555" s="582">
        <v>0</v>
      </c>
      <c r="O555" s="582">
        <v>7.1859999999999999</v>
      </c>
      <c r="P555" s="582">
        <v>1.694</v>
      </c>
      <c r="Q555" s="581"/>
      <c r="R555" s="581"/>
      <c r="S555" s="581"/>
      <c r="T555" s="581"/>
      <c r="U555" s="581"/>
    </row>
    <row r="556" spans="1:21">
      <c r="A556" s="581"/>
      <c r="B556" s="581"/>
      <c r="C556" s="581"/>
      <c r="D556" s="582" t="s">
        <v>724</v>
      </c>
      <c r="E556" s="582" t="s">
        <v>728</v>
      </c>
      <c r="F556" s="656">
        <v>41681</v>
      </c>
      <c r="G556" s="657">
        <f t="shared" si="16"/>
        <v>2014</v>
      </c>
      <c r="H556" s="657">
        <f t="shared" si="17"/>
        <v>2</v>
      </c>
      <c r="I556" s="582">
        <v>8</v>
      </c>
      <c r="J556" s="582">
        <v>10.786</v>
      </c>
      <c r="K556" s="582">
        <v>0</v>
      </c>
      <c r="L556" s="658">
        <v>10.786</v>
      </c>
      <c r="M556" s="582">
        <v>0</v>
      </c>
      <c r="N556" s="582">
        <v>0</v>
      </c>
      <c r="O556" s="582">
        <v>10.919</v>
      </c>
      <c r="P556" s="582">
        <v>0</v>
      </c>
      <c r="Q556" s="581"/>
      <c r="R556" s="581"/>
      <c r="S556" s="581"/>
      <c r="T556" s="581"/>
      <c r="U556" s="581"/>
    </row>
    <row r="557" spans="1:21">
      <c r="A557" s="581"/>
      <c r="B557" s="581"/>
      <c r="C557" s="581"/>
      <c r="D557" s="582" t="s">
        <v>724</v>
      </c>
      <c r="E557" s="582" t="s">
        <v>728</v>
      </c>
      <c r="F557" s="656">
        <v>41701</v>
      </c>
      <c r="G557" s="657">
        <f t="shared" si="16"/>
        <v>2014</v>
      </c>
      <c r="H557" s="657">
        <f t="shared" si="17"/>
        <v>3</v>
      </c>
      <c r="I557" s="582">
        <v>8</v>
      </c>
      <c r="J557" s="582">
        <v>10.236000000000001</v>
      </c>
      <c r="K557" s="582">
        <v>0</v>
      </c>
      <c r="L557" s="658">
        <v>10.236000000000001</v>
      </c>
      <c r="M557" s="582">
        <v>0</v>
      </c>
      <c r="N557" s="582">
        <v>0</v>
      </c>
      <c r="O557" s="582">
        <v>10.372999999999999</v>
      </c>
      <c r="P557" s="582">
        <v>0</v>
      </c>
      <c r="Q557" s="581"/>
      <c r="R557" s="581"/>
      <c r="S557" s="581"/>
      <c r="T557" s="581"/>
      <c r="U557" s="581"/>
    </row>
    <row r="558" spans="1:21">
      <c r="A558" s="581"/>
      <c r="B558" s="581"/>
      <c r="C558" s="581"/>
      <c r="D558" s="582" t="s">
        <v>724</v>
      </c>
      <c r="E558" s="582" t="s">
        <v>728</v>
      </c>
      <c r="F558" s="656">
        <v>41730</v>
      </c>
      <c r="G558" s="657">
        <f t="shared" si="16"/>
        <v>2014</v>
      </c>
      <c r="H558" s="657">
        <f t="shared" si="17"/>
        <v>4</v>
      </c>
      <c r="I558" s="582">
        <v>9</v>
      </c>
      <c r="J558" s="582">
        <v>10.026</v>
      </c>
      <c r="K558" s="582">
        <v>0</v>
      </c>
      <c r="L558" s="658">
        <v>10.026</v>
      </c>
      <c r="M558" s="582">
        <v>0</v>
      </c>
      <c r="N558" s="582">
        <v>0</v>
      </c>
      <c r="O558" s="582">
        <v>10.124000000000001</v>
      </c>
      <c r="P558" s="582">
        <v>0</v>
      </c>
      <c r="Q558" s="581"/>
      <c r="R558" s="581"/>
      <c r="S558" s="581"/>
      <c r="T558" s="581"/>
      <c r="U558" s="581"/>
    </row>
    <row r="559" spans="1:21">
      <c r="A559" s="581"/>
      <c r="B559" s="581"/>
      <c r="C559" s="581"/>
      <c r="D559" s="582" t="s">
        <v>724</v>
      </c>
      <c r="E559" s="582" t="s">
        <v>728</v>
      </c>
      <c r="F559" s="656">
        <v>41789</v>
      </c>
      <c r="G559" s="657">
        <f t="shared" si="16"/>
        <v>2014</v>
      </c>
      <c r="H559" s="657">
        <f t="shared" si="17"/>
        <v>5</v>
      </c>
      <c r="I559" s="582">
        <v>17</v>
      </c>
      <c r="J559" s="582">
        <v>11.21</v>
      </c>
      <c r="K559" s="582">
        <v>0</v>
      </c>
      <c r="L559" s="658">
        <v>11.21</v>
      </c>
      <c r="M559" s="582">
        <v>0</v>
      </c>
      <c r="N559" s="582">
        <v>0</v>
      </c>
      <c r="O559" s="582">
        <v>11.292999999999999</v>
      </c>
      <c r="P559" s="582">
        <v>0</v>
      </c>
      <c r="Q559" s="581"/>
      <c r="R559" s="581"/>
      <c r="S559" s="581"/>
      <c r="T559" s="581"/>
      <c r="U559" s="581"/>
    </row>
    <row r="560" spans="1:21">
      <c r="A560" s="581"/>
      <c r="B560" s="581"/>
      <c r="C560" s="581"/>
      <c r="D560" s="582" t="s">
        <v>724</v>
      </c>
      <c r="E560" s="582" t="s">
        <v>728</v>
      </c>
      <c r="F560" s="656">
        <v>41808</v>
      </c>
      <c r="G560" s="657">
        <f t="shared" si="16"/>
        <v>2014</v>
      </c>
      <c r="H560" s="657">
        <f t="shared" si="17"/>
        <v>6</v>
      </c>
      <c r="I560" s="582">
        <v>18</v>
      </c>
      <c r="J560" s="582">
        <v>10.576000000000001</v>
      </c>
      <c r="K560" s="582">
        <v>0</v>
      </c>
      <c r="L560" s="658">
        <v>10.576000000000001</v>
      </c>
      <c r="M560" s="582">
        <v>0</v>
      </c>
      <c r="N560" s="582">
        <v>0</v>
      </c>
      <c r="O560" s="582">
        <v>10.675000000000001</v>
      </c>
      <c r="P560" s="582">
        <v>0</v>
      </c>
      <c r="Q560" s="581"/>
      <c r="R560" s="581"/>
      <c r="S560" s="581"/>
      <c r="T560" s="581"/>
      <c r="U560" s="581"/>
    </row>
    <row r="561" spans="1:21">
      <c r="A561" s="581"/>
      <c r="B561" s="581"/>
      <c r="C561" s="581"/>
      <c r="D561" s="582" t="s">
        <v>724</v>
      </c>
      <c r="E561" s="582" t="s">
        <v>728</v>
      </c>
      <c r="F561" s="656">
        <v>41842</v>
      </c>
      <c r="G561" s="657">
        <f t="shared" si="16"/>
        <v>2014</v>
      </c>
      <c r="H561" s="657">
        <f t="shared" si="17"/>
        <v>7</v>
      </c>
      <c r="I561" s="582">
        <v>17</v>
      </c>
      <c r="J561" s="582">
        <v>12.515000000000001</v>
      </c>
      <c r="K561" s="582">
        <v>0</v>
      </c>
      <c r="L561" s="658">
        <v>12.515000000000001</v>
      </c>
      <c r="M561" s="582">
        <v>0</v>
      </c>
      <c r="N561" s="582">
        <v>0</v>
      </c>
      <c r="O561" s="582">
        <v>12.631</v>
      </c>
      <c r="P561" s="582">
        <v>0</v>
      </c>
      <c r="Q561" s="581"/>
      <c r="R561" s="581"/>
      <c r="S561" s="581"/>
      <c r="T561" s="581"/>
      <c r="U561" s="581"/>
    </row>
    <row r="562" spans="1:21">
      <c r="A562" s="581"/>
      <c r="B562" s="581"/>
      <c r="C562" s="581"/>
      <c r="D562" s="582" t="s">
        <v>724</v>
      </c>
      <c r="E562" s="582" t="s">
        <v>728</v>
      </c>
      <c r="F562" s="656">
        <v>41876</v>
      </c>
      <c r="G562" s="657">
        <f t="shared" si="16"/>
        <v>2014</v>
      </c>
      <c r="H562" s="657">
        <f t="shared" si="17"/>
        <v>8</v>
      </c>
      <c r="I562" s="582">
        <v>17</v>
      </c>
      <c r="J562" s="582">
        <v>10.762</v>
      </c>
      <c r="K562" s="582">
        <v>0</v>
      </c>
      <c r="L562" s="658">
        <v>10.762</v>
      </c>
      <c r="M562" s="582">
        <v>0</v>
      </c>
      <c r="N562" s="582">
        <v>0</v>
      </c>
      <c r="O562" s="582">
        <v>10.875</v>
      </c>
      <c r="P562" s="582">
        <v>0</v>
      </c>
      <c r="Q562" s="581"/>
      <c r="R562" s="581"/>
      <c r="S562" s="581"/>
      <c r="T562" s="581"/>
      <c r="U562" s="581"/>
    </row>
    <row r="563" spans="1:21">
      <c r="A563" s="581"/>
      <c r="B563" s="581"/>
      <c r="C563" s="581"/>
      <c r="D563" s="582" t="s">
        <v>724</v>
      </c>
      <c r="E563" s="582" t="s">
        <v>728</v>
      </c>
      <c r="F563" s="656">
        <v>41886</v>
      </c>
      <c r="G563" s="657">
        <f t="shared" si="16"/>
        <v>2014</v>
      </c>
      <c r="H563" s="657">
        <f t="shared" si="17"/>
        <v>9</v>
      </c>
      <c r="I563" s="582">
        <v>17</v>
      </c>
      <c r="J563" s="582">
        <v>10.996</v>
      </c>
      <c r="K563" s="582">
        <v>0</v>
      </c>
      <c r="L563" s="658">
        <v>10.996</v>
      </c>
      <c r="M563" s="582">
        <v>0</v>
      </c>
      <c r="N563" s="582">
        <v>0</v>
      </c>
      <c r="O563" s="582">
        <v>11.095000000000001</v>
      </c>
      <c r="P563" s="582">
        <v>0</v>
      </c>
      <c r="Q563" s="581"/>
      <c r="R563" s="581"/>
      <c r="S563" s="581"/>
      <c r="T563" s="581"/>
      <c r="U563" s="581"/>
    </row>
    <row r="564" spans="1:21">
      <c r="A564" s="581"/>
      <c r="B564" s="581"/>
      <c r="C564" s="581"/>
      <c r="D564" s="582" t="s">
        <v>724</v>
      </c>
      <c r="E564" s="582" t="s">
        <v>728</v>
      </c>
      <c r="F564" s="656">
        <v>41939</v>
      </c>
      <c r="G564" s="657">
        <f t="shared" si="16"/>
        <v>2014</v>
      </c>
      <c r="H564" s="657">
        <f t="shared" si="17"/>
        <v>10</v>
      </c>
      <c r="I564" s="582">
        <v>19</v>
      </c>
      <c r="J564" s="582">
        <v>7.4539999999999997</v>
      </c>
      <c r="K564" s="582">
        <v>0</v>
      </c>
      <c r="L564" s="658">
        <v>7.4539999999999997</v>
      </c>
      <c r="M564" s="659">
        <v>2906</v>
      </c>
      <c r="N564" s="582">
        <v>0.25700000000000001</v>
      </c>
      <c r="O564" s="582">
        <v>7.5330000000000004</v>
      </c>
      <c r="P564" s="582">
        <v>0</v>
      </c>
      <c r="Q564" s="581"/>
      <c r="R564" s="581"/>
      <c r="S564" s="581"/>
      <c r="T564" s="581"/>
      <c r="U564" s="581"/>
    </row>
    <row r="565" spans="1:21">
      <c r="A565" s="581"/>
      <c r="B565" s="581"/>
      <c r="C565" s="581"/>
      <c r="D565" s="582" t="s">
        <v>724</v>
      </c>
      <c r="E565" s="582" t="s">
        <v>728</v>
      </c>
      <c r="F565" s="656">
        <v>41960</v>
      </c>
      <c r="G565" s="657">
        <f t="shared" si="16"/>
        <v>2014</v>
      </c>
      <c r="H565" s="657">
        <f t="shared" si="17"/>
        <v>11</v>
      </c>
      <c r="I565" s="582">
        <v>18</v>
      </c>
      <c r="J565" s="582">
        <v>10.384</v>
      </c>
      <c r="K565" s="582">
        <v>0</v>
      </c>
      <c r="L565" s="658">
        <v>10.384</v>
      </c>
      <c r="M565" s="582">
        <v>0</v>
      </c>
      <c r="N565" s="582">
        <v>0</v>
      </c>
      <c r="O565" s="582">
        <v>10.49</v>
      </c>
      <c r="P565" s="582">
        <v>0</v>
      </c>
      <c r="Q565" s="581"/>
      <c r="R565" s="581"/>
      <c r="S565" s="581"/>
      <c r="T565" s="581"/>
      <c r="U565" s="581"/>
    </row>
    <row r="566" spans="1:21">
      <c r="A566" s="581"/>
      <c r="B566" s="581"/>
      <c r="C566" s="581"/>
      <c r="D566" s="582" t="s">
        <v>724</v>
      </c>
      <c r="E566" s="582" t="s">
        <v>728</v>
      </c>
      <c r="F566" s="656">
        <v>41974</v>
      </c>
      <c r="G566" s="657">
        <f t="shared" si="16"/>
        <v>2014</v>
      </c>
      <c r="H566" s="657">
        <f t="shared" si="17"/>
        <v>12</v>
      </c>
      <c r="I566" s="582">
        <v>19</v>
      </c>
      <c r="J566" s="582">
        <v>10.105</v>
      </c>
      <c r="K566" s="582">
        <v>0</v>
      </c>
      <c r="L566" s="658">
        <v>10.105</v>
      </c>
      <c r="M566" s="582">
        <v>0</v>
      </c>
      <c r="N566" s="582">
        <v>0</v>
      </c>
      <c r="O566" s="582">
        <v>10.212</v>
      </c>
      <c r="P566" s="582">
        <v>0</v>
      </c>
      <c r="Q566" s="581"/>
      <c r="R566" s="581"/>
      <c r="S566" s="581"/>
      <c r="T566" s="581"/>
      <c r="U566" s="581"/>
    </row>
    <row r="567" spans="1:21">
      <c r="A567" s="581"/>
      <c r="B567" s="581"/>
      <c r="C567" s="581"/>
      <c r="D567" s="582" t="s">
        <v>724</v>
      </c>
      <c r="E567" s="582" t="s">
        <v>728</v>
      </c>
      <c r="F567" s="656">
        <v>42011</v>
      </c>
      <c r="G567" s="657">
        <f t="shared" si="16"/>
        <v>2015</v>
      </c>
      <c r="H567" s="657">
        <f t="shared" si="17"/>
        <v>1</v>
      </c>
      <c r="I567" s="582">
        <v>19</v>
      </c>
      <c r="J567" s="582">
        <v>10.785</v>
      </c>
      <c r="K567" s="582">
        <v>0</v>
      </c>
      <c r="L567" s="658">
        <v>10.785</v>
      </c>
      <c r="M567" s="659">
        <v>3438</v>
      </c>
      <c r="N567" s="582">
        <v>0.314</v>
      </c>
      <c r="O567" s="582">
        <v>10.901999999999999</v>
      </c>
      <c r="P567" s="582">
        <v>0</v>
      </c>
      <c r="Q567" s="581"/>
      <c r="R567" s="581"/>
      <c r="S567" s="581"/>
      <c r="T567" s="581"/>
      <c r="U567" s="581"/>
    </row>
    <row r="568" spans="1:21">
      <c r="A568" s="581"/>
      <c r="B568" s="581"/>
      <c r="C568" s="581"/>
      <c r="D568" s="582" t="s">
        <v>724</v>
      </c>
      <c r="E568" s="582" t="s">
        <v>728</v>
      </c>
      <c r="F568" s="656">
        <v>42053</v>
      </c>
      <c r="G568" s="657">
        <f t="shared" si="16"/>
        <v>2015</v>
      </c>
      <c r="H568" s="657">
        <f t="shared" si="17"/>
        <v>2</v>
      </c>
      <c r="I568" s="582">
        <v>19</v>
      </c>
      <c r="J568" s="582">
        <v>10.705</v>
      </c>
      <c r="K568" s="582">
        <v>0</v>
      </c>
      <c r="L568" s="658">
        <v>10.705</v>
      </c>
      <c r="M568" s="659">
        <v>3305</v>
      </c>
      <c r="N568" s="582">
        <v>0.32400000000000001</v>
      </c>
      <c r="O568" s="582">
        <v>10.804</v>
      </c>
      <c r="P568" s="582">
        <v>0</v>
      </c>
      <c r="Q568" s="581"/>
      <c r="R568" s="581"/>
      <c r="S568" s="581"/>
      <c r="T568" s="581"/>
      <c r="U568" s="581"/>
    </row>
    <row r="569" spans="1:21">
      <c r="A569" s="581"/>
      <c r="B569" s="581"/>
      <c r="C569" s="581"/>
      <c r="D569" s="582" t="s">
        <v>724</v>
      </c>
      <c r="E569" s="582" t="s">
        <v>728</v>
      </c>
      <c r="F569" s="656">
        <v>42067</v>
      </c>
      <c r="G569" s="657">
        <f t="shared" si="16"/>
        <v>2015</v>
      </c>
      <c r="H569" s="657">
        <f t="shared" si="17"/>
        <v>3</v>
      </c>
      <c r="I569" s="582">
        <v>9</v>
      </c>
      <c r="J569" s="582">
        <v>10.286</v>
      </c>
      <c r="K569" s="582">
        <v>0</v>
      </c>
      <c r="L569" s="658">
        <v>10.286</v>
      </c>
      <c r="M569" s="582">
        <v>0</v>
      </c>
      <c r="N569" s="582">
        <v>0</v>
      </c>
      <c r="O569" s="582">
        <v>10.391999999999999</v>
      </c>
      <c r="P569" s="582">
        <v>0</v>
      </c>
      <c r="Q569" s="581"/>
      <c r="R569" s="581"/>
      <c r="S569" s="581"/>
      <c r="T569" s="581"/>
      <c r="U569" s="581"/>
    </row>
    <row r="570" spans="1:21">
      <c r="A570" s="581"/>
      <c r="B570" s="581"/>
      <c r="C570" s="581"/>
      <c r="D570" s="582" t="s">
        <v>724</v>
      </c>
      <c r="E570" s="582" t="s">
        <v>728</v>
      </c>
      <c r="F570" s="656">
        <v>42103</v>
      </c>
      <c r="G570" s="657">
        <f t="shared" si="16"/>
        <v>2015</v>
      </c>
      <c r="H570" s="657">
        <f t="shared" si="17"/>
        <v>4</v>
      </c>
      <c r="I570" s="582">
        <v>11</v>
      </c>
      <c r="J570" s="582">
        <v>9.8019999999999996</v>
      </c>
      <c r="K570" s="582">
        <v>0</v>
      </c>
      <c r="L570" s="658">
        <v>9.8019999999999996</v>
      </c>
      <c r="M570" s="582">
        <v>0</v>
      </c>
      <c r="N570" s="582">
        <v>0</v>
      </c>
      <c r="O570" s="582">
        <v>9.8960000000000008</v>
      </c>
      <c r="P570" s="582">
        <v>0</v>
      </c>
      <c r="Q570" s="581"/>
      <c r="R570" s="581"/>
      <c r="S570" s="581"/>
      <c r="T570" s="581"/>
      <c r="U570" s="581"/>
    </row>
    <row r="571" spans="1:21">
      <c r="A571" s="581"/>
      <c r="B571" s="581"/>
      <c r="C571" s="581"/>
      <c r="D571" s="582" t="s">
        <v>724</v>
      </c>
      <c r="E571" s="582" t="s">
        <v>728</v>
      </c>
      <c r="F571" s="656">
        <v>42152</v>
      </c>
      <c r="G571" s="657">
        <f t="shared" si="16"/>
        <v>2015</v>
      </c>
      <c r="H571" s="657">
        <f t="shared" si="17"/>
        <v>5</v>
      </c>
      <c r="I571" s="582">
        <v>15</v>
      </c>
      <c r="J571" s="582">
        <v>10.784000000000001</v>
      </c>
      <c r="K571" s="582">
        <v>0</v>
      </c>
      <c r="L571" s="658">
        <v>10.784000000000001</v>
      </c>
      <c r="M571" s="582">
        <v>0</v>
      </c>
      <c r="N571" s="582">
        <v>0</v>
      </c>
      <c r="O571" s="582">
        <v>10.898</v>
      </c>
      <c r="P571" s="582">
        <v>0</v>
      </c>
      <c r="Q571" s="581"/>
      <c r="R571" s="581"/>
      <c r="S571" s="581"/>
      <c r="T571" s="581"/>
      <c r="U571" s="581"/>
    </row>
    <row r="572" spans="1:21">
      <c r="A572" s="581"/>
      <c r="B572" s="581"/>
      <c r="C572" s="581"/>
      <c r="D572" s="582" t="s">
        <v>724</v>
      </c>
      <c r="E572" s="582" t="s">
        <v>728</v>
      </c>
      <c r="F572" s="656">
        <v>42165</v>
      </c>
      <c r="G572" s="657">
        <f t="shared" si="16"/>
        <v>2015</v>
      </c>
      <c r="H572" s="657">
        <f t="shared" si="17"/>
        <v>6</v>
      </c>
      <c r="I572" s="582">
        <v>18</v>
      </c>
      <c r="J572" s="582">
        <v>11.148</v>
      </c>
      <c r="K572" s="582">
        <v>0</v>
      </c>
      <c r="L572" s="658">
        <v>11.148</v>
      </c>
      <c r="M572" s="582">
        <v>0</v>
      </c>
      <c r="N572" s="582">
        <v>0</v>
      </c>
      <c r="O572" s="582">
        <v>11.252000000000001</v>
      </c>
      <c r="P572" s="582">
        <v>0</v>
      </c>
      <c r="Q572" s="581"/>
      <c r="R572" s="581"/>
      <c r="S572" s="581"/>
      <c r="T572" s="581"/>
      <c r="U572" s="581"/>
    </row>
    <row r="573" spans="1:21">
      <c r="A573" s="581"/>
      <c r="B573" s="581"/>
      <c r="C573" s="581"/>
      <c r="D573" s="582" t="s">
        <v>724</v>
      </c>
      <c r="E573" s="582" t="s">
        <v>728</v>
      </c>
      <c r="F573" s="656">
        <v>42198</v>
      </c>
      <c r="G573" s="657">
        <f t="shared" si="16"/>
        <v>2015</v>
      </c>
      <c r="H573" s="657">
        <f t="shared" si="17"/>
        <v>7</v>
      </c>
      <c r="I573" s="582">
        <v>16</v>
      </c>
      <c r="J573" s="582">
        <v>13.098000000000001</v>
      </c>
      <c r="K573" s="582">
        <v>0</v>
      </c>
      <c r="L573" s="658">
        <v>13.098000000000001</v>
      </c>
      <c r="M573" s="582">
        <v>0</v>
      </c>
      <c r="N573" s="582">
        <v>0</v>
      </c>
      <c r="O573" s="582">
        <v>13.259</v>
      </c>
      <c r="P573" s="582">
        <v>0</v>
      </c>
      <c r="Q573" s="581"/>
      <c r="R573" s="581"/>
      <c r="S573" s="581"/>
      <c r="T573" s="581"/>
      <c r="U573" s="581"/>
    </row>
    <row r="574" spans="1:21">
      <c r="A574" s="581"/>
      <c r="B574" s="581"/>
      <c r="C574" s="581"/>
      <c r="D574" s="582" t="s">
        <v>724</v>
      </c>
      <c r="E574" s="582" t="s">
        <v>728</v>
      </c>
      <c r="F574" s="656">
        <v>42230</v>
      </c>
      <c r="G574" s="657">
        <f t="shared" si="16"/>
        <v>2015</v>
      </c>
      <c r="H574" s="657">
        <f t="shared" si="17"/>
        <v>8</v>
      </c>
      <c r="I574" s="582">
        <v>17</v>
      </c>
      <c r="J574" s="582">
        <v>12.111000000000001</v>
      </c>
      <c r="K574" s="582">
        <v>0</v>
      </c>
      <c r="L574" s="658">
        <v>12.111000000000001</v>
      </c>
      <c r="M574" s="582">
        <v>0</v>
      </c>
      <c r="N574" s="582">
        <v>0</v>
      </c>
      <c r="O574" s="582">
        <v>12.206</v>
      </c>
      <c r="P574" s="582">
        <v>0</v>
      </c>
      <c r="Q574" s="581"/>
      <c r="R574" s="581"/>
      <c r="S574" s="581"/>
      <c r="T574" s="581"/>
      <c r="U574" s="581"/>
    </row>
    <row r="575" spans="1:21">
      <c r="A575" s="581"/>
      <c r="B575" s="581"/>
      <c r="C575" s="581"/>
      <c r="D575" s="582" t="s">
        <v>724</v>
      </c>
      <c r="E575" s="582" t="s">
        <v>728</v>
      </c>
      <c r="F575" s="656">
        <v>42250</v>
      </c>
      <c r="G575" s="657">
        <f t="shared" si="16"/>
        <v>2015</v>
      </c>
      <c r="H575" s="657">
        <f t="shared" si="17"/>
        <v>9</v>
      </c>
      <c r="I575" s="582">
        <v>17</v>
      </c>
      <c r="J575" s="582">
        <v>13.505000000000001</v>
      </c>
      <c r="K575" s="582">
        <v>0</v>
      </c>
      <c r="L575" s="658">
        <v>13.505000000000001</v>
      </c>
      <c r="M575" s="582">
        <v>0</v>
      </c>
      <c r="N575" s="582">
        <v>0</v>
      </c>
      <c r="O575" s="582">
        <v>13.63</v>
      </c>
      <c r="P575" s="582">
        <v>0</v>
      </c>
      <c r="Q575" s="581"/>
      <c r="R575" s="581"/>
      <c r="S575" s="581"/>
      <c r="T575" s="581"/>
      <c r="U575" s="581"/>
    </row>
    <row r="576" spans="1:21">
      <c r="A576" s="581"/>
      <c r="B576" s="581"/>
      <c r="C576" s="581"/>
      <c r="D576" s="582" t="s">
        <v>724</v>
      </c>
      <c r="E576" s="582" t="s">
        <v>728</v>
      </c>
      <c r="F576" s="656">
        <v>42284</v>
      </c>
      <c r="G576" s="657">
        <f t="shared" si="16"/>
        <v>2015</v>
      </c>
      <c r="H576" s="657">
        <f t="shared" si="17"/>
        <v>10</v>
      </c>
      <c r="I576" s="582">
        <v>15</v>
      </c>
      <c r="J576" s="582">
        <v>7.1289999999999996</v>
      </c>
      <c r="K576" s="582">
        <v>0</v>
      </c>
      <c r="L576" s="658">
        <v>7.1289999999999996</v>
      </c>
      <c r="M576" s="582">
        <v>0</v>
      </c>
      <c r="N576" s="582">
        <v>0</v>
      </c>
      <c r="O576" s="582">
        <v>7.1989999999999998</v>
      </c>
      <c r="P576" s="582">
        <v>0</v>
      </c>
      <c r="Q576" s="581"/>
      <c r="R576" s="581"/>
      <c r="S576" s="581"/>
      <c r="T576" s="581"/>
      <c r="U576" s="581"/>
    </row>
    <row r="577" spans="1:21">
      <c r="A577" s="581"/>
      <c r="B577" s="581"/>
      <c r="C577" s="581"/>
      <c r="D577" s="582" t="s">
        <v>724</v>
      </c>
      <c r="E577" s="582" t="s">
        <v>728</v>
      </c>
      <c r="F577" s="656">
        <v>42338</v>
      </c>
      <c r="G577" s="657">
        <f t="shared" si="16"/>
        <v>2015</v>
      </c>
      <c r="H577" s="657">
        <f t="shared" si="17"/>
        <v>11</v>
      </c>
      <c r="I577" s="582">
        <v>18</v>
      </c>
      <c r="J577" s="582">
        <v>8.2409999999999997</v>
      </c>
      <c r="K577" s="582">
        <v>0</v>
      </c>
      <c r="L577" s="658">
        <v>8.2409999999999997</v>
      </c>
      <c r="M577" s="582">
        <v>0</v>
      </c>
      <c r="N577" s="582">
        <v>0</v>
      </c>
      <c r="O577" s="582">
        <v>8.3529999999999998</v>
      </c>
      <c r="P577" s="582">
        <v>0</v>
      </c>
      <c r="Q577" s="581"/>
      <c r="R577" s="581"/>
      <c r="S577" s="581"/>
      <c r="T577" s="581"/>
      <c r="U577" s="581"/>
    </row>
    <row r="578" spans="1:21">
      <c r="A578" s="581"/>
      <c r="B578" s="581"/>
      <c r="C578" s="581"/>
      <c r="D578" s="582" t="s">
        <v>724</v>
      </c>
      <c r="E578" s="582" t="s">
        <v>728</v>
      </c>
      <c r="F578" s="656">
        <v>42355</v>
      </c>
      <c r="G578" s="657">
        <f t="shared" si="16"/>
        <v>2015</v>
      </c>
      <c r="H578" s="657">
        <f t="shared" si="17"/>
        <v>12</v>
      </c>
      <c r="I578" s="582">
        <v>19</v>
      </c>
      <c r="J578" s="582">
        <v>8.3870000000000005</v>
      </c>
      <c r="K578" s="582">
        <v>0</v>
      </c>
      <c r="L578" s="658">
        <v>8.3870000000000005</v>
      </c>
      <c r="M578" s="582">
        <v>0</v>
      </c>
      <c r="N578" s="582">
        <v>0</v>
      </c>
      <c r="O578" s="582">
        <v>8.48</v>
      </c>
      <c r="P578" s="582">
        <v>0</v>
      </c>
      <c r="Q578" s="581"/>
      <c r="R578" s="581"/>
      <c r="S578" s="581"/>
      <c r="T578" s="581"/>
      <c r="U578" s="581"/>
    </row>
    <row r="579" spans="1:21">
      <c r="A579" s="581"/>
      <c r="B579" s="581"/>
      <c r="C579" s="581"/>
      <c r="D579" s="581"/>
      <c r="E579" s="581"/>
      <c r="F579" s="581"/>
      <c r="G579" s="581"/>
      <c r="H579" s="581"/>
      <c r="I579" s="581"/>
      <c r="J579" s="581"/>
      <c r="K579" s="581"/>
      <c r="L579" s="581"/>
      <c r="M579" s="581"/>
      <c r="N579" s="581"/>
      <c r="O579" s="581"/>
      <c r="P579" s="581"/>
      <c r="Q579" s="581"/>
      <c r="R579" s="581"/>
      <c r="S579" s="581"/>
      <c r="T579" s="581"/>
      <c r="U579" s="581"/>
    </row>
    <row r="580" spans="1:21">
      <c r="A580" s="581"/>
      <c r="B580" s="581"/>
      <c r="C580" s="581"/>
      <c r="D580" s="581"/>
      <c r="E580" s="581"/>
      <c r="F580" s="581"/>
      <c r="G580" s="581"/>
      <c r="H580" s="581"/>
      <c r="I580" s="581"/>
      <c r="J580" s="581"/>
      <c r="K580" s="581"/>
      <c r="L580" s="581"/>
      <c r="M580" s="581"/>
      <c r="N580" s="581"/>
      <c r="O580" s="581"/>
      <c r="P580" s="581"/>
      <c r="Q580" s="581"/>
      <c r="R580" s="581"/>
      <c r="S580" s="581"/>
      <c r="T580" s="581"/>
      <c r="U580" s="581"/>
    </row>
    <row r="581" spans="1:21">
      <c r="A581" s="581"/>
      <c r="B581" s="581"/>
      <c r="C581" s="581"/>
      <c r="D581" s="581"/>
      <c r="E581" s="581"/>
      <c r="F581" s="581"/>
      <c r="G581" s="581"/>
      <c r="H581" s="581"/>
      <c r="I581" s="581"/>
      <c r="J581" s="581"/>
      <c r="K581" s="581"/>
      <c r="L581" s="581"/>
      <c r="M581" s="581"/>
      <c r="N581" s="581"/>
      <c r="O581" s="581"/>
      <c r="P581" s="581"/>
      <c r="Q581" s="581"/>
      <c r="R581" s="581"/>
      <c r="S581" s="581"/>
      <c r="T581" s="581"/>
      <c r="U581" s="581"/>
    </row>
    <row r="582" spans="1:21">
      <c r="A582" s="581"/>
      <c r="B582" s="581"/>
      <c r="C582" s="581"/>
      <c r="D582" s="581"/>
      <c r="E582" s="581"/>
      <c r="F582" s="581"/>
      <c r="G582" s="581"/>
      <c r="H582" s="581"/>
      <c r="I582" s="581"/>
      <c r="J582" s="581"/>
      <c r="K582" s="581"/>
      <c r="L582" s="581"/>
      <c r="M582" s="581"/>
      <c r="N582" s="581"/>
      <c r="O582" s="581"/>
      <c r="P582" s="581"/>
      <c r="Q582" s="581"/>
      <c r="R582" s="581"/>
      <c r="S582" s="581"/>
      <c r="T582" s="581"/>
      <c r="U582" s="581"/>
    </row>
  </sheetData>
  <phoneticPr fontId="2" type="noConversion"/>
  <pageMargins left="0.75" right="0.75" top="1" bottom="1" header="0.5" footer="0.5"/>
  <pageSetup scale="8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I10"/>
  <sheetViews>
    <sheetView workbookViewId="0">
      <selection activeCell="I10" sqref="I10"/>
    </sheetView>
  </sheetViews>
  <sheetFormatPr defaultRowHeight="12.75"/>
  <sheetData>
    <row r="4" spans="4:9" ht="15.75">
      <c r="D4" s="78" t="s">
        <v>161</v>
      </c>
    </row>
    <row r="7" spans="4:9">
      <c r="D7" s="79" t="s">
        <v>160</v>
      </c>
      <c r="I7" s="80" t="s">
        <v>837</v>
      </c>
    </row>
    <row r="8" spans="4:9">
      <c r="I8" s="80" t="s">
        <v>763</v>
      </c>
    </row>
    <row r="10" spans="4:9">
      <c r="I10" s="80" t="s">
        <v>898</v>
      </c>
    </row>
  </sheetData>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4"/>
  <sheetViews>
    <sheetView workbookViewId="0">
      <selection sqref="A1:AK64"/>
    </sheetView>
  </sheetViews>
  <sheetFormatPr defaultRowHeight="12.75"/>
  <cols>
    <col min="1" max="16384" width="9.140625" style="580"/>
  </cols>
  <sheetData>
    <row r="1" spans="1:37">
      <c r="A1" s="709"/>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row>
    <row r="2" spans="1:37">
      <c r="A2" s="709"/>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row>
    <row r="3" spans="1:37">
      <c r="A3" s="709"/>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row>
    <row r="4" spans="1:37">
      <c r="A4" s="709"/>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row>
    <row r="5" spans="1:37">
      <c r="A5" s="709"/>
      <c r="B5" s="709"/>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709"/>
      <c r="AJ5" s="709"/>
      <c r="AK5" s="709"/>
    </row>
    <row r="6" spans="1:37">
      <c r="A6" s="709"/>
      <c r="B6" s="709"/>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row>
    <row r="7" spans="1:37">
      <c r="A7" s="709"/>
      <c r="B7" s="709"/>
      <c r="C7" s="709"/>
      <c r="D7" s="709"/>
      <c r="E7" s="709"/>
      <c r="F7" s="709"/>
      <c r="G7" s="709"/>
      <c r="H7" s="709"/>
      <c r="I7" s="709"/>
      <c r="J7" s="709"/>
      <c r="K7" s="709"/>
      <c r="L7" s="709"/>
      <c r="M7" s="709"/>
      <c r="N7" s="709"/>
      <c r="O7" s="709"/>
      <c r="P7" s="709"/>
      <c r="Q7" s="709"/>
      <c r="R7" s="709"/>
      <c r="S7" s="709"/>
      <c r="T7" s="709"/>
      <c r="U7" s="709"/>
      <c r="V7" s="709"/>
      <c r="W7" s="709"/>
      <c r="X7" s="709"/>
      <c r="Y7" s="709"/>
      <c r="Z7" s="709"/>
      <c r="AA7" s="709"/>
      <c r="AB7" s="709"/>
      <c r="AC7" s="709"/>
      <c r="AD7" s="709"/>
      <c r="AE7" s="709"/>
      <c r="AF7" s="709"/>
      <c r="AG7" s="709"/>
      <c r="AH7" s="709"/>
      <c r="AI7" s="709"/>
      <c r="AJ7" s="709"/>
      <c r="AK7" s="709"/>
    </row>
    <row r="8" spans="1:37">
      <c r="A8" s="709"/>
      <c r="B8" s="709"/>
      <c r="C8" s="709"/>
      <c r="D8" s="709"/>
      <c r="E8" s="709"/>
      <c r="F8" s="709"/>
      <c r="G8" s="709"/>
      <c r="H8" s="709"/>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09"/>
      <c r="AH8" s="709"/>
      <c r="AI8" s="709"/>
      <c r="AJ8" s="709"/>
      <c r="AK8" s="709"/>
    </row>
    <row r="9" spans="1:37">
      <c r="A9" s="709"/>
      <c r="B9" s="709"/>
      <c r="C9" s="709"/>
      <c r="D9" s="709"/>
      <c r="E9" s="709"/>
      <c r="F9" s="709"/>
      <c r="G9" s="709"/>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row>
    <row r="10" spans="1:37">
      <c r="A10" s="709"/>
      <c r="B10" s="709"/>
      <c r="C10" s="709"/>
      <c r="D10" s="709"/>
      <c r="E10" s="709"/>
      <c r="F10" s="709"/>
      <c r="G10" s="709"/>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row>
    <row r="11" spans="1:37">
      <c r="A11" s="709"/>
      <c r="B11" s="709"/>
      <c r="C11" s="709"/>
      <c r="D11" s="709"/>
      <c r="E11" s="709"/>
      <c r="F11" s="709"/>
      <c r="G11" s="709"/>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row>
    <row r="12" spans="1:37">
      <c r="A12" s="709"/>
      <c r="B12" s="709"/>
      <c r="C12" s="709"/>
      <c r="D12" s="709"/>
      <c r="E12" s="709"/>
      <c r="F12" s="709"/>
      <c r="G12" s="709"/>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709"/>
      <c r="AJ12" s="709"/>
      <c r="AK12" s="709"/>
    </row>
    <row r="13" spans="1:37">
      <c r="A13" s="709"/>
      <c r="B13" s="709"/>
      <c r="C13" s="709"/>
      <c r="D13" s="709"/>
      <c r="E13" s="709"/>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09"/>
      <c r="AD13" s="709"/>
      <c r="AE13" s="709"/>
      <c r="AF13" s="709"/>
      <c r="AG13" s="709"/>
      <c r="AH13" s="709"/>
      <c r="AI13" s="709"/>
      <c r="AJ13" s="709"/>
      <c r="AK13" s="709"/>
    </row>
    <row r="14" spans="1:37">
      <c r="A14" s="709"/>
      <c r="B14" s="709"/>
      <c r="C14" s="709"/>
      <c r="D14" s="709"/>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row>
    <row r="15" spans="1:37">
      <c r="A15" s="709"/>
      <c r="B15" s="709"/>
      <c r="C15" s="709"/>
      <c r="D15" s="709"/>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09"/>
      <c r="AK15" s="709"/>
    </row>
    <row r="16" spans="1:37">
      <c r="A16" s="709"/>
      <c r="B16" s="709"/>
      <c r="C16" s="709"/>
      <c r="D16" s="709"/>
      <c r="E16" s="709"/>
      <c r="F16" s="709"/>
      <c r="G16" s="709"/>
      <c r="H16" s="709"/>
      <c r="I16" s="709"/>
      <c r="J16" s="709"/>
      <c r="K16" s="709"/>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row>
    <row r="17" spans="1:37">
      <c r="A17" s="709"/>
      <c r="B17" s="709"/>
      <c r="C17" s="709"/>
      <c r="D17" s="709"/>
      <c r="E17" s="709"/>
      <c r="F17" s="709"/>
      <c r="G17" s="709"/>
      <c r="H17" s="709"/>
      <c r="I17" s="709"/>
      <c r="J17" s="709"/>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09"/>
    </row>
    <row r="18" spans="1:37">
      <c r="A18" s="709"/>
      <c r="B18" s="709"/>
      <c r="C18" s="709"/>
      <c r="D18" s="709"/>
      <c r="E18" s="709"/>
      <c r="F18" s="709"/>
      <c r="G18" s="709"/>
      <c r="H18" s="709"/>
      <c r="I18" s="709"/>
      <c r="J18" s="709"/>
      <c r="K18" s="709"/>
      <c r="L18" s="709"/>
      <c r="M18" s="709"/>
      <c r="N18" s="709"/>
      <c r="O18" s="709"/>
      <c r="P18" s="709"/>
      <c r="Q18" s="709"/>
      <c r="R18" s="709"/>
      <c r="S18" s="709"/>
      <c r="T18" s="709"/>
      <c r="U18" s="709"/>
      <c r="V18" s="709"/>
      <c r="W18" s="709"/>
      <c r="X18" s="709"/>
      <c r="Y18" s="709"/>
      <c r="Z18" s="709"/>
      <c r="AA18" s="709"/>
      <c r="AB18" s="709"/>
      <c r="AC18" s="709"/>
      <c r="AD18" s="709"/>
      <c r="AE18" s="709"/>
      <c r="AF18" s="709"/>
      <c r="AG18" s="709"/>
      <c r="AH18" s="709"/>
      <c r="AI18" s="709"/>
      <c r="AJ18" s="709"/>
      <c r="AK18" s="709"/>
    </row>
    <row r="19" spans="1:37">
      <c r="A19" s="709"/>
      <c r="B19" s="709"/>
      <c r="C19" s="709"/>
      <c r="D19" s="709"/>
      <c r="E19" s="709"/>
      <c r="F19" s="709"/>
      <c r="G19" s="709"/>
      <c r="H19" s="709"/>
      <c r="I19" s="709"/>
      <c r="J19" s="709"/>
      <c r="K19" s="709"/>
      <c r="L19" s="709"/>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09"/>
    </row>
    <row r="20" spans="1:37">
      <c r="A20" s="709"/>
      <c r="B20" s="709"/>
      <c r="C20" s="709"/>
      <c r="D20" s="709"/>
      <c r="E20" s="709"/>
      <c r="F20" s="709"/>
      <c r="G20" s="709"/>
      <c r="H20" s="709"/>
      <c r="I20" s="709"/>
      <c r="J20" s="709"/>
      <c r="K20" s="709"/>
      <c r="L20" s="709"/>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09"/>
    </row>
    <row r="21" spans="1:37">
      <c r="A21" s="709"/>
      <c r="B21" s="709"/>
      <c r="C21" s="709"/>
      <c r="D21" s="709"/>
      <c r="E21" s="709"/>
      <c r="F21" s="709"/>
      <c r="G21" s="709"/>
      <c r="H21" s="709"/>
      <c r="I21" s="709"/>
      <c r="J21" s="709"/>
      <c r="K21" s="709"/>
      <c r="L21" s="709"/>
      <c r="M21" s="709"/>
      <c r="N21" s="709"/>
      <c r="O21" s="709"/>
      <c r="P21" s="709"/>
      <c r="Q21" s="709"/>
      <c r="R21" s="709"/>
      <c r="S21" s="709"/>
      <c r="T21" s="709"/>
      <c r="U21" s="709"/>
      <c r="V21" s="709"/>
      <c r="W21" s="709"/>
      <c r="X21" s="709"/>
      <c r="Y21" s="709"/>
      <c r="Z21" s="709"/>
      <c r="AA21" s="709"/>
      <c r="AB21" s="709"/>
      <c r="AC21" s="709"/>
      <c r="AD21" s="709"/>
      <c r="AE21" s="709"/>
      <c r="AF21" s="709"/>
      <c r="AG21" s="709"/>
      <c r="AH21" s="709"/>
      <c r="AI21" s="709"/>
      <c r="AJ21" s="709"/>
      <c r="AK21" s="709"/>
    </row>
    <row r="22" spans="1:37">
      <c r="A22" s="709"/>
      <c r="B22" s="709"/>
      <c r="C22" s="709"/>
      <c r="D22" s="709"/>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row>
    <row r="23" spans="1:37">
      <c r="A23" s="709"/>
      <c r="B23" s="709"/>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09"/>
    </row>
    <row r="24" spans="1:37">
      <c r="A24" s="709"/>
      <c r="B24" s="709"/>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row>
    <row r="25" spans="1:37">
      <c r="A25" s="709"/>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row>
    <row r="26" spans="1:37">
      <c r="A26" s="709"/>
      <c r="B26" s="709"/>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row>
    <row r="27" spans="1:37">
      <c r="A27" s="709"/>
      <c r="B27" s="709"/>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09"/>
    </row>
    <row r="28" spans="1:37">
      <c r="A28" s="709"/>
      <c r="B28" s="709"/>
      <c r="C28" s="709"/>
      <c r="D28" s="709"/>
      <c r="E28" s="709"/>
      <c r="F28" s="709"/>
      <c r="G28" s="709"/>
      <c r="H28" s="709"/>
      <c r="I28" s="709"/>
      <c r="J28" s="709"/>
      <c r="K28" s="709"/>
      <c r="L28" s="709"/>
      <c r="M28" s="709"/>
      <c r="N28" s="709"/>
      <c r="O28" s="709"/>
      <c r="P28" s="709"/>
      <c r="Q28" s="709"/>
      <c r="R28" s="709"/>
      <c r="S28" s="709"/>
      <c r="T28" s="709"/>
      <c r="U28" s="709"/>
      <c r="V28" s="709"/>
      <c r="W28" s="709"/>
      <c r="X28" s="709"/>
      <c r="Y28" s="709"/>
      <c r="Z28" s="709"/>
      <c r="AA28" s="709"/>
      <c r="AB28" s="709"/>
      <c r="AC28" s="709"/>
      <c r="AD28" s="709"/>
      <c r="AE28" s="709"/>
      <c r="AF28" s="709"/>
      <c r="AG28" s="709"/>
      <c r="AH28" s="709"/>
      <c r="AI28" s="709"/>
      <c r="AJ28" s="709"/>
      <c r="AK28" s="709"/>
    </row>
    <row r="29" spans="1:37">
      <c r="A29" s="709"/>
      <c r="B29" s="709"/>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09"/>
    </row>
    <row r="30" spans="1:37">
      <c r="A30" s="709"/>
      <c r="B30" s="709"/>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row>
    <row r="31" spans="1:37">
      <c r="A31" s="709"/>
      <c r="B31" s="709"/>
      <c r="C31" s="709"/>
      <c r="D31" s="709"/>
      <c r="E31" s="709"/>
      <c r="F31" s="709"/>
      <c r="G31" s="709"/>
      <c r="H31" s="709"/>
      <c r="I31" s="709"/>
      <c r="J31" s="709"/>
      <c r="K31" s="709"/>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09"/>
    </row>
    <row r="32" spans="1:37">
      <c r="A32" s="709"/>
      <c r="B32" s="709"/>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row>
    <row r="33" spans="1:37">
      <c r="A33" s="709"/>
      <c r="B33" s="709"/>
      <c r="C33" s="709"/>
      <c r="D33" s="709"/>
      <c r="E33" s="709"/>
      <c r="F33" s="709"/>
      <c r="G33" s="709"/>
      <c r="H33" s="709"/>
      <c r="I33" s="709"/>
      <c r="J33" s="709"/>
      <c r="K33" s="709"/>
      <c r="L33" s="709"/>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c r="AJ33" s="709"/>
      <c r="AK33" s="709"/>
    </row>
    <row r="34" spans="1:37">
      <c r="A34" s="709"/>
      <c r="B34" s="709"/>
      <c r="C34" s="709"/>
      <c r="D34" s="709"/>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row>
    <row r="35" spans="1:37">
      <c r="A35" s="709"/>
      <c r="B35" s="709"/>
      <c r="C35" s="709"/>
      <c r="D35" s="709"/>
      <c r="E35" s="709"/>
      <c r="F35" s="709"/>
      <c r="G35" s="709"/>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row>
    <row r="36" spans="1:37">
      <c r="A36" s="709"/>
      <c r="B36" s="709"/>
      <c r="C36" s="709"/>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row>
    <row r="37" spans="1:37">
      <c r="A37" s="709"/>
      <c r="B37" s="709"/>
      <c r="C37" s="709"/>
      <c r="D37" s="709"/>
      <c r="E37" s="709"/>
      <c r="F37" s="709"/>
      <c r="G37" s="709"/>
      <c r="H37" s="709"/>
      <c r="I37" s="709"/>
      <c r="J37" s="709"/>
      <c r="K37" s="709"/>
      <c r="L37" s="709"/>
      <c r="M37" s="709"/>
      <c r="N37" s="709"/>
      <c r="O37" s="709"/>
      <c r="P37" s="709"/>
      <c r="Q37" s="709"/>
      <c r="R37" s="709"/>
      <c r="S37" s="709"/>
      <c r="T37" s="709"/>
      <c r="U37" s="709"/>
      <c r="V37" s="709"/>
      <c r="W37" s="709"/>
      <c r="X37" s="709"/>
      <c r="Y37" s="709"/>
      <c r="Z37" s="709"/>
      <c r="AA37" s="709"/>
      <c r="AB37" s="709"/>
      <c r="AC37" s="709"/>
      <c r="AD37" s="709"/>
      <c r="AE37" s="709"/>
      <c r="AF37" s="709"/>
      <c r="AG37" s="709"/>
      <c r="AH37" s="709"/>
      <c r="AI37" s="709"/>
      <c r="AJ37" s="709"/>
      <c r="AK37" s="709"/>
    </row>
    <row r="38" spans="1:37">
      <c r="A38" s="709"/>
      <c r="B38" s="709"/>
      <c r="C38" s="709"/>
      <c r="D38" s="709"/>
      <c r="E38" s="709"/>
      <c r="F38" s="709"/>
      <c r="G38" s="709"/>
      <c r="H38" s="709"/>
      <c r="I38" s="709"/>
      <c r="J38" s="709"/>
      <c r="K38" s="709"/>
      <c r="L38" s="709"/>
      <c r="M38" s="709"/>
      <c r="N38" s="709"/>
      <c r="O38" s="709"/>
      <c r="P38" s="709"/>
      <c r="Q38" s="709"/>
      <c r="R38" s="709"/>
      <c r="S38" s="709"/>
      <c r="T38" s="709"/>
      <c r="U38" s="709"/>
      <c r="V38" s="709"/>
      <c r="W38" s="709"/>
      <c r="X38" s="709"/>
      <c r="Y38" s="709"/>
      <c r="Z38" s="709"/>
      <c r="AA38" s="709"/>
      <c r="AB38" s="709"/>
      <c r="AC38" s="709"/>
      <c r="AD38" s="709"/>
      <c r="AE38" s="709"/>
      <c r="AF38" s="709"/>
      <c r="AG38" s="709"/>
      <c r="AH38" s="709"/>
      <c r="AI38" s="709"/>
      <c r="AJ38" s="709"/>
      <c r="AK38" s="709"/>
    </row>
    <row r="39" spans="1:37">
      <c r="A39" s="709"/>
      <c r="B39" s="709"/>
      <c r="C39" s="709"/>
      <c r="D39" s="709"/>
      <c r="E39" s="709"/>
      <c r="F39" s="709"/>
      <c r="G39" s="709"/>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09"/>
    </row>
    <row r="40" spans="1:37">
      <c r="A40" s="709"/>
      <c r="B40" s="709"/>
      <c r="C40" s="709"/>
      <c r="D40" s="709"/>
      <c r="E40" s="709"/>
      <c r="F40" s="709"/>
      <c r="G40" s="709"/>
      <c r="H40" s="709"/>
      <c r="I40" s="709"/>
      <c r="J40" s="709"/>
      <c r="K40" s="709"/>
      <c r="L40" s="709"/>
      <c r="M40" s="709"/>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c r="AK40" s="709"/>
    </row>
    <row r="41" spans="1:37">
      <c r="A41" s="709"/>
      <c r="B41" s="709"/>
      <c r="C41" s="709"/>
      <c r="D41" s="709"/>
      <c r="E41" s="709"/>
      <c r="F41" s="709"/>
      <c r="G41" s="709"/>
      <c r="H41" s="709"/>
      <c r="I41" s="709"/>
      <c r="J41" s="709"/>
      <c r="K41" s="709"/>
      <c r="L41" s="709"/>
      <c r="M41" s="709"/>
      <c r="N41" s="709"/>
      <c r="O41" s="709"/>
      <c r="P41" s="709"/>
      <c r="Q41" s="709"/>
      <c r="R41" s="709"/>
      <c r="S41" s="709"/>
      <c r="T41" s="709"/>
      <c r="U41" s="709"/>
      <c r="V41" s="709"/>
      <c r="W41" s="709"/>
      <c r="X41" s="709"/>
      <c r="Y41" s="709"/>
      <c r="Z41" s="709"/>
      <c r="AA41" s="709"/>
      <c r="AB41" s="709"/>
      <c r="AC41" s="709"/>
      <c r="AD41" s="709"/>
      <c r="AE41" s="709"/>
      <c r="AF41" s="709"/>
      <c r="AG41" s="709"/>
      <c r="AH41" s="709"/>
      <c r="AI41" s="709"/>
      <c r="AJ41" s="709"/>
      <c r="AK41" s="709"/>
    </row>
    <row r="42" spans="1:37">
      <c r="A42" s="709"/>
      <c r="B42" s="709"/>
      <c r="C42" s="709"/>
      <c r="D42" s="709"/>
      <c r="E42" s="709"/>
      <c r="F42" s="709"/>
      <c r="G42" s="709"/>
      <c r="H42" s="709"/>
      <c r="I42" s="709"/>
      <c r="J42" s="709"/>
      <c r="K42" s="709"/>
      <c r="L42" s="709"/>
      <c r="M42" s="709"/>
      <c r="N42" s="709"/>
      <c r="O42" s="709"/>
      <c r="P42" s="709"/>
      <c r="Q42" s="709"/>
      <c r="R42" s="709"/>
      <c r="S42" s="709"/>
      <c r="T42" s="709"/>
      <c r="U42" s="709"/>
      <c r="V42" s="709"/>
      <c r="W42" s="709"/>
      <c r="X42" s="709"/>
      <c r="Y42" s="709"/>
      <c r="Z42" s="709"/>
      <c r="AA42" s="709"/>
      <c r="AB42" s="709"/>
      <c r="AC42" s="709"/>
      <c r="AD42" s="709"/>
      <c r="AE42" s="709"/>
      <c r="AF42" s="709"/>
      <c r="AG42" s="709"/>
      <c r="AH42" s="709"/>
      <c r="AI42" s="709"/>
      <c r="AJ42" s="709"/>
      <c r="AK42" s="709"/>
    </row>
    <row r="43" spans="1:37">
      <c r="A43" s="709"/>
      <c r="B43" s="709"/>
      <c r="C43" s="709"/>
      <c r="D43" s="709"/>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row>
    <row r="44" spans="1:37">
      <c r="A44" s="709"/>
      <c r="B44" s="709"/>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row>
    <row r="45" spans="1:37">
      <c r="A45" s="709"/>
      <c r="B45" s="709"/>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row>
    <row r="46" spans="1:37">
      <c r="A46" s="709"/>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row>
    <row r="47" spans="1:37">
      <c r="A47" s="709"/>
      <c r="B47" s="709"/>
      <c r="C47" s="709"/>
      <c r="D47" s="709"/>
      <c r="E47" s="709"/>
      <c r="F47" s="709"/>
      <c r="G47" s="709"/>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c r="AK47" s="709"/>
    </row>
    <row r="48" spans="1:37">
      <c r="A48" s="709"/>
      <c r="B48" s="709"/>
      <c r="C48" s="709"/>
      <c r="D48" s="709"/>
      <c r="E48" s="709"/>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c r="AE48" s="709"/>
      <c r="AF48" s="709"/>
      <c r="AG48" s="709"/>
      <c r="AH48" s="709"/>
      <c r="AI48" s="709"/>
      <c r="AJ48" s="709"/>
      <c r="AK48" s="709"/>
    </row>
    <row r="49" spans="1:37">
      <c r="A49" s="709"/>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37">
      <c r="A50" s="709"/>
      <c r="B50" s="709"/>
      <c r="C50" s="709"/>
      <c r="D50" s="709"/>
      <c r="E50" s="709"/>
      <c r="F50" s="709"/>
      <c r="G50" s="709"/>
      <c r="H50" s="709"/>
      <c r="I50" s="709"/>
      <c r="J50" s="709"/>
      <c r="K50" s="709"/>
      <c r="L50" s="709"/>
      <c r="M50" s="709"/>
      <c r="N50" s="709"/>
      <c r="O50" s="709"/>
      <c r="P50" s="709"/>
      <c r="Q50" s="709"/>
      <c r="R50" s="709"/>
      <c r="S50" s="709"/>
      <c r="T50" s="709"/>
      <c r="U50" s="709"/>
      <c r="V50" s="709"/>
      <c r="W50" s="709"/>
      <c r="X50" s="709"/>
      <c r="Y50" s="709"/>
      <c r="Z50" s="709"/>
      <c r="AA50" s="709"/>
      <c r="AB50" s="709"/>
      <c r="AC50" s="709"/>
      <c r="AD50" s="709"/>
      <c r="AE50" s="709"/>
      <c r="AF50" s="709"/>
      <c r="AG50" s="709"/>
      <c r="AH50" s="709"/>
      <c r="AI50" s="709"/>
      <c r="AJ50" s="709"/>
      <c r="AK50" s="709"/>
    </row>
    <row r="51" spans="1:37">
      <c r="A51" s="709"/>
      <c r="B51" s="709"/>
      <c r="C51" s="709"/>
      <c r="D51" s="709"/>
      <c r="E51" s="709"/>
      <c r="F51" s="709"/>
      <c r="G51" s="709"/>
      <c r="H51" s="709"/>
      <c r="I51" s="709"/>
      <c r="J51" s="709"/>
      <c r="K51" s="709"/>
      <c r="L51" s="709"/>
      <c r="M51" s="709"/>
      <c r="N51" s="709"/>
      <c r="O51" s="709"/>
      <c r="P51" s="709"/>
      <c r="Q51" s="709"/>
      <c r="R51" s="709"/>
      <c r="S51" s="709"/>
      <c r="T51" s="709"/>
      <c r="U51" s="709"/>
      <c r="V51" s="709"/>
      <c r="W51" s="709"/>
      <c r="X51" s="709"/>
      <c r="Y51" s="709"/>
      <c r="Z51" s="709"/>
      <c r="AA51" s="709"/>
      <c r="AB51" s="709"/>
      <c r="AC51" s="709"/>
      <c r="AD51" s="709"/>
      <c r="AE51" s="709"/>
      <c r="AF51" s="709"/>
      <c r="AG51" s="709"/>
      <c r="AH51" s="709"/>
      <c r="AI51" s="709"/>
      <c r="AJ51" s="709"/>
      <c r="AK51" s="709"/>
    </row>
    <row r="52" spans="1:37">
      <c r="A52" s="709"/>
      <c r="B52" s="709"/>
      <c r="C52" s="709"/>
      <c r="D52" s="709"/>
      <c r="E52" s="709"/>
      <c r="F52" s="709"/>
      <c r="G52" s="709"/>
      <c r="H52" s="709"/>
      <c r="I52" s="709"/>
      <c r="J52" s="709"/>
      <c r="K52" s="709"/>
      <c r="L52" s="709"/>
      <c r="M52" s="709"/>
      <c r="N52" s="709"/>
      <c r="O52" s="709"/>
      <c r="P52" s="709"/>
      <c r="Q52" s="709"/>
      <c r="R52" s="709"/>
      <c r="S52" s="709"/>
      <c r="T52" s="709"/>
      <c r="U52" s="709"/>
      <c r="V52" s="709"/>
      <c r="W52" s="709"/>
      <c r="X52" s="709"/>
      <c r="Y52" s="709"/>
      <c r="Z52" s="709"/>
      <c r="AA52" s="709"/>
      <c r="AB52" s="709"/>
      <c r="AC52" s="709"/>
      <c r="AD52" s="709"/>
      <c r="AE52" s="709"/>
      <c r="AF52" s="709"/>
      <c r="AG52" s="709"/>
      <c r="AH52" s="709"/>
      <c r="AI52" s="709"/>
      <c r="AJ52" s="709"/>
      <c r="AK52" s="709"/>
    </row>
    <row r="53" spans="1:37">
      <c r="A53" s="709"/>
      <c r="B53" s="709"/>
      <c r="C53" s="709"/>
      <c r="D53" s="709"/>
      <c r="E53" s="709"/>
      <c r="F53" s="709"/>
      <c r="G53" s="709"/>
      <c r="H53" s="709"/>
      <c r="I53" s="709"/>
      <c r="J53" s="709"/>
      <c r="K53" s="709"/>
      <c r="L53" s="709"/>
      <c r="M53" s="709"/>
      <c r="N53" s="709"/>
      <c r="O53" s="709"/>
      <c r="P53" s="709"/>
      <c r="Q53" s="709"/>
      <c r="R53" s="709"/>
      <c r="S53" s="709"/>
      <c r="T53" s="709"/>
      <c r="U53" s="709"/>
      <c r="V53" s="709"/>
      <c r="W53" s="709"/>
      <c r="X53" s="709"/>
      <c r="Y53" s="709"/>
      <c r="Z53" s="709"/>
      <c r="AA53" s="709"/>
      <c r="AB53" s="709"/>
      <c r="AC53" s="709"/>
      <c r="AD53" s="709"/>
      <c r="AE53" s="709"/>
      <c r="AF53" s="709"/>
      <c r="AG53" s="709"/>
      <c r="AH53" s="709"/>
      <c r="AI53" s="709"/>
      <c r="AJ53" s="709"/>
      <c r="AK53" s="709"/>
    </row>
    <row r="54" spans="1:37">
      <c r="A54" s="709"/>
      <c r="B54" s="709"/>
      <c r="C54" s="709"/>
      <c r="D54" s="709"/>
      <c r="E54" s="709"/>
      <c r="F54" s="709"/>
      <c r="G54" s="709"/>
      <c r="H54" s="709"/>
      <c r="I54" s="709"/>
      <c r="J54" s="709"/>
      <c r="K54" s="709"/>
      <c r="L54" s="709"/>
      <c r="M54" s="709"/>
      <c r="N54" s="709"/>
      <c r="O54" s="709"/>
      <c r="P54" s="709"/>
      <c r="Q54" s="709"/>
      <c r="R54" s="709"/>
      <c r="S54" s="709"/>
      <c r="T54" s="709"/>
      <c r="U54" s="709"/>
      <c r="V54" s="709"/>
      <c r="W54" s="709"/>
      <c r="X54" s="709"/>
      <c r="Y54" s="709"/>
      <c r="Z54" s="709"/>
      <c r="AA54" s="709"/>
      <c r="AB54" s="709"/>
      <c r="AC54" s="709"/>
      <c r="AD54" s="709"/>
      <c r="AE54" s="709"/>
      <c r="AF54" s="709"/>
      <c r="AG54" s="709"/>
      <c r="AH54" s="709"/>
      <c r="AI54" s="709"/>
      <c r="AJ54" s="709"/>
      <c r="AK54" s="709"/>
    </row>
    <row r="55" spans="1:37">
      <c r="A55" s="709"/>
      <c r="B55" s="709"/>
      <c r="C55" s="709"/>
      <c r="D55" s="709"/>
      <c r="E55" s="709"/>
      <c r="F55" s="709"/>
      <c r="G55" s="709"/>
      <c r="H55" s="709"/>
      <c r="I55" s="709"/>
      <c r="J55" s="709"/>
      <c r="K55" s="709"/>
      <c r="L55" s="709"/>
      <c r="M55" s="709"/>
      <c r="N55" s="709"/>
      <c r="O55" s="709"/>
      <c r="P55" s="709"/>
      <c r="Q55" s="709"/>
      <c r="R55" s="709"/>
      <c r="S55" s="709"/>
      <c r="T55" s="709"/>
      <c r="U55" s="709"/>
      <c r="V55" s="709"/>
      <c r="W55" s="709"/>
      <c r="X55" s="709"/>
      <c r="Y55" s="709"/>
      <c r="Z55" s="709"/>
      <c r="AA55" s="709"/>
      <c r="AB55" s="709"/>
      <c r="AC55" s="709"/>
      <c r="AD55" s="709"/>
      <c r="AE55" s="709"/>
      <c r="AF55" s="709"/>
      <c r="AG55" s="709"/>
      <c r="AH55" s="709"/>
      <c r="AI55" s="709"/>
      <c r="AJ55" s="709"/>
      <c r="AK55" s="709"/>
    </row>
    <row r="56" spans="1:37">
      <c r="A56" s="709"/>
      <c r="B56" s="709"/>
      <c r="C56" s="709"/>
      <c r="D56" s="709"/>
      <c r="E56" s="709"/>
      <c r="F56" s="709"/>
      <c r="G56" s="709"/>
      <c r="H56" s="709"/>
      <c r="I56" s="709"/>
      <c r="J56" s="709"/>
      <c r="K56" s="709"/>
      <c r="L56" s="709"/>
      <c r="M56" s="709"/>
      <c r="N56" s="709"/>
      <c r="O56" s="709"/>
      <c r="P56" s="709"/>
      <c r="Q56" s="709"/>
      <c r="R56" s="709"/>
      <c r="S56" s="709"/>
      <c r="T56" s="709"/>
      <c r="U56" s="709"/>
      <c r="V56" s="709"/>
      <c r="W56" s="709"/>
      <c r="X56" s="709"/>
      <c r="Y56" s="709"/>
      <c r="Z56" s="709"/>
      <c r="AA56" s="709"/>
      <c r="AB56" s="709"/>
      <c r="AC56" s="709"/>
      <c r="AD56" s="709"/>
      <c r="AE56" s="709"/>
      <c r="AF56" s="709"/>
      <c r="AG56" s="709"/>
      <c r="AH56" s="709"/>
      <c r="AI56" s="709"/>
      <c r="AJ56" s="709"/>
      <c r="AK56" s="709"/>
    </row>
    <row r="57" spans="1:37">
      <c r="A57" s="709"/>
      <c r="B57" s="709"/>
      <c r="C57" s="709"/>
      <c r="D57" s="709"/>
      <c r="E57" s="709"/>
      <c r="F57" s="709"/>
      <c r="G57" s="709"/>
      <c r="H57" s="709"/>
      <c r="I57" s="709"/>
      <c r="J57" s="709"/>
      <c r="K57" s="709"/>
      <c r="L57" s="709"/>
      <c r="M57" s="709"/>
      <c r="N57" s="709"/>
      <c r="O57" s="709"/>
      <c r="P57" s="709"/>
      <c r="Q57" s="709"/>
      <c r="R57" s="709"/>
      <c r="S57" s="709"/>
      <c r="T57" s="709"/>
      <c r="U57" s="709"/>
      <c r="V57" s="709"/>
      <c r="W57" s="709"/>
      <c r="X57" s="709"/>
      <c r="Y57" s="709"/>
      <c r="Z57" s="709"/>
      <c r="AA57" s="709"/>
      <c r="AB57" s="709"/>
      <c r="AC57" s="709"/>
      <c r="AD57" s="709"/>
      <c r="AE57" s="709"/>
      <c r="AF57" s="709"/>
      <c r="AG57" s="709"/>
      <c r="AH57" s="709"/>
      <c r="AI57" s="709"/>
      <c r="AJ57" s="709"/>
      <c r="AK57" s="709"/>
    </row>
    <row r="58" spans="1:37">
      <c r="A58" s="709"/>
      <c r="B58" s="709"/>
      <c r="C58" s="709"/>
      <c r="D58" s="709"/>
      <c r="E58" s="709"/>
      <c r="F58" s="709"/>
      <c r="G58" s="709"/>
      <c r="H58" s="709"/>
      <c r="I58" s="709"/>
      <c r="J58" s="709"/>
      <c r="K58" s="709"/>
      <c r="L58" s="709"/>
      <c r="M58" s="709"/>
      <c r="N58" s="709"/>
      <c r="O58" s="709"/>
      <c r="P58" s="709"/>
      <c r="Q58" s="709"/>
      <c r="R58" s="709"/>
      <c r="S58" s="709"/>
      <c r="T58" s="709"/>
      <c r="U58" s="709"/>
      <c r="V58" s="709"/>
      <c r="W58" s="709"/>
      <c r="X58" s="709"/>
      <c r="Y58" s="709"/>
      <c r="Z58" s="709"/>
      <c r="AA58" s="709"/>
      <c r="AB58" s="709"/>
      <c r="AC58" s="709"/>
      <c r="AD58" s="709"/>
      <c r="AE58" s="709"/>
      <c r="AF58" s="709"/>
      <c r="AG58" s="709"/>
      <c r="AH58" s="709"/>
      <c r="AI58" s="709"/>
      <c r="AJ58" s="709"/>
      <c r="AK58" s="709"/>
    </row>
    <row r="59" spans="1:37">
      <c r="A59" s="709"/>
      <c r="B59" s="709"/>
      <c r="C59" s="709"/>
      <c r="D59" s="709"/>
      <c r="E59" s="709"/>
      <c r="F59" s="709"/>
      <c r="G59" s="709"/>
      <c r="H59" s="709"/>
      <c r="I59" s="709"/>
      <c r="J59" s="709"/>
      <c r="K59" s="709"/>
      <c r="L59" s="709"/>
      <c r="M59" s="709"/>
      <c r="N59" s="709"/>
      <c r="O59" s="709"/>
      <c r="P59" s="709"/>
      <c r="Q59" s="709"/>
      <c r="R59" s="709"/>
      <c r="S59" s="709"/>
      <c r="T59" s="709"/>
      <c r="U59" s="709"/>
      <c r="V59" s="709"/>
      <c r="W59" s="709"/>
      <c r="X59" s="709"/>
      <c r="Y59" s="709"/>
      <c r="Z59" s="709"/>
      <c r="AA59" s="709"/>
      <c r="AB59" s="709"/>
      <c r="AC59" s="709"/>
      <c r="AD59" s="709"/>
      <c r="AE59" s="709"/>
      <c r="AF59" s="709"/>
      <c r="AG59" s="709"/>
      <c r="AH59" s="709"/>
      <c r="AI59" s="709"/>
      <c r="AJ59" s="709"/>
      <c r="AK59" s="709"/>
    </row>
    <row r="60" spans="1:37">
      <c r="A60" s="709"/>
      <c r="B60" s="709"/>
      <c r="C60" s="709"/>
      <c r="D60" s="709"/>
      <c r="E60" s="709"/>
      <c r="F60" s="709"/>
      <c r="G60" s="709"/>
      <c r="H60" s="709"/>
      <c r="I60" s="709"/>
      <c r="J60" s="709"/>
      <c r="K60" s="709"/>
      <c r="L60" s="709"/>
      <c r="M60" s="709"/>
      <c r="N60" s="709"/>
      <c r="O60" s="709"/>
      <c r="P60" s="709"/>
      <c r="Q60" s="709"/>
      <c r="R60" s="709"/>
      <c r="S60" s="709"/>
      <c r="T60" s="709"/>
      <c r="U60" s="709"/>
      <c r="V60" s="709"/>
      <c r="W60" s="709"/>
      <c r="X60" s="709"/>
      <c r="Y60" s="709"/>
      <c r="Z60" s="709"/>
      <c r="AA60" s="709"/>
      <c r="AB60" s="709"/>
      <c r="AC60" s="709"/>
      <c r="AD60" s="709"/>
      <c r="AE60" s="709"/>
      <c r="AF60" s="709"/>
      <c r="AG60" s="709"/>
      <c r="AH60" s="709"/>
      <c r="AI60" s="709"/>
      <c r="AJ60" s="709"/>
      <c r="AK60" s="709"/>
    </row>
    <row r="61" spans="1:37">
      <c r="A61" s="709"/>
      <c r="B61" s="709"/>
      <c r="C61" s="709"/>
      <c r="D61" s="709"/>
      <c r="E61" s="709"/>
      <c r="F61" s="709"/>
      <c r="G61" s="709"/>
      <c r="H61" s="709"/>
      <c r="I61" s="709"/>
      <c r="J61" s="709"/>
      <c r="K61" s="709"/>
      <c r="L61" s="709"/>
      <c r="M61" s="709"/>
      <c r="N61" s="709"/>
      <c r="O61" s="709"/>
      <c r="P61" s="709"/>
      <c r="Q61" s="709"/>
      <c r="R61" s="709"/>
      <c r="S61" s="709"/>
      <c r="T61" s="709"/>
      <c r="U61" s="709"/>
      <c r="V61" s="709"/>
      <c r="W61" s="709"/>
      <c r="X61" s="709"/>
      <c r="Y61" s="709"/>
      <c r="Z61" s="709"/>
      <c r="AA61" s="709"/>
      <c r="AB61" s="709"/>
      <c r="AC61" s="709"/>
      <c r="AD61" s="709"/>
      <c r="AE61" s="709"/>
      <c r="AF61" s="709"/>
      <c r="AG61" s="709"/>
      <c r="AH61" s="709"/>
      <c r="AI61" s="709"/>
      <c r="AJ61" s="709"/>
      <c r="AK61" s="709"/>
    </row>
    <row r="62" spans="1:37">
      <c r="A62" s="709"/>
      <c r="B62" s="709"/>
      <c r="C62" s="709"/>
      <c r="D62" s="709"/>
      <c r="E62" s="709"/>
      <c r="F62" s="709"/>
      <c r="G62" s="709"/>
      <c r="H62" s="709"/>
      <c r="I62" s="709"/>
      <c r="J62" s="709"/>
      <c r="K62" s="709"/>
      <c r="L62" s="709"/>
      <c r="M62" s="709"/>
      <c r="N62" s="709"/>
      <c r="O62" s="709"/>
      <c r="P62" s="709"/>
      <c r="Q62" s="709"/>
      <c r="R62" s="709"/>
      <c r="S62" s="709"/>
      <c r="T62" s="709"/>
      <c r="U62" s="709"/>
      <c r="V62" s="709"/>
      <c r="W62" s="709"/>
      <c r="X62" s="709"/>
      <c r="Y62" s="709"/>
      <c r="Z62" s="709"/>
      <c r="AA62" s="709"/>
      <c r="AB62" s="709"/>
      <c r="AC62" s="709"/>
      <c r="AD62" s="709"/>
      <c r="AE62" s="709"/>
      <c r="AF62" s="709"/>
      <c r="AG62" s="709"/>
      <c r="AH62" s="709"/>
      <c r="AI62" s="709"/>
      <c r="AJ62" s="709"/>
      <c r="AK62" s="709"/>
    </row>
    <row r="63" spans="1:37">
      <c r="A63" s="709"/>
      <c r="B63" s="709"/>
      <c r="C63" s="709"/>
      <c r="D63" s="709"/>
      <c r="E63" s="709"/>
      <c r="F63" s="709"/>
      <c r="G63" s="709"/>
      <c r="H63" s="709"/>
      <c r="I63" s="709"/>
      <c r="J63" s="709"/>
      <c r="K63" s="709"/>
      <c r="L63" s="709"/>
      <c r="M63" s="709"/>
      <c r="N63" s="709"/>
      <c r="O63" s="709"/>
      <c r="P63" s="709"/>
      <c r="Q63" s="709"/>
      <c r="R63" s="709"/>
      <c r="S63" s="709"/>
      <c r="T63" s="709"/>
      <c r="U63" s="709"/>
      <c r="V63" s="709"/>
      <c r="W63" s="709"/>
      <c r="X63" s="709"/>
      <c r="Y63" s="709"/>
      <c r="Z63" s="709"/>
      <c r="AA63" s="709"/>
      <c r="AB63" s="709"/>
      <c r="AC63" s="709"/>
      <c r="AD63" s="709"/>
      <c r="AE63" s="709"/>
      <c r="AF63" s="709"/>
      <c r="AG63" s="709"/>
      <c r="AH63" s="709"/>
      <c r="AI63" s="709"/>
      <c r="AJ63" s="709"/>
      <c r="AK63" s="709"/>
    </row>
    <row r="64" spans="1:37">
      <c r="A64" s="709"/>
      <c r="B64" s="709"/>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c r="AE64" s="709"/>
      <c r="AF64" s="709"/>
      <c r="AG64" s="709"/>
      <c r="AH64" s="709"/>
      <c r="AI64" s="709"/>
      <c r="AJ64" s="709"/>
      <c r="AK64" s="709"/>
    </row>
  </sheetData>
  <mergeCells count="1">
    <mergeCell ref="A1:AK64"/>
  </mergeCells>
  <pageMargins left="0.75" right="0.75" top="1" bottom="1"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71"/>
  <sheetViews>
    <sheetView workbookViewId="0">
      <pane xSplit="6" ySplit="1" topLeftCell="P50" activePane="bottomRight" state="frozenSplit"/>
      <selection pane="topRight" activeCell="G1" sqref="G1"/>
      <selection pane="bottomLeft" activeCell="A2" sqref="A2"/>
      <selection pane="bottomRight" activeCell="AB72" sqref="AB72"/>
    </sheetView>
  </sheetViews>
  <sheetFormatPr defaultRowHeight="12.75"/>
  <cols>
    <col min="1" max="5" width="3" style="417" customWidth="1"/>
    <col min="6" max="6" width="32.7109375" style="417" customWidth="1"/>
    <col min="7" max="8" width="2.28515625" style="417" customWidth="1"/>
    <col min="9" max="9" width="9.42578125" style="417" bestFit="1" customWidth="1"/>
    <col min="10" max="10" width="2.28515625" style="417" customWidth="1"/>
    <col min="11" max="11" width="8.7109375" style="417" bestFit="1" customWidth="1"/>
    <col min="12" max="12" width="2.28515625" style="417" customWidth="1"/>
    <col min="13" max="13" width="4.5703125" style="417" bestFit="1" customWidth="1"/>
    <col min="14" max="14" width="2.28515625" style="417" customWidth="1"/>
    <col min="15" max="15" width="19.85546875" style="417" bestFit="1" customWidth="1"/>
    <col min="16" max="16" width="2.28515625" style="417" customWidth="1"/>
    <col min="17" max="17" width="30.7109375" style="417" customWidth="1"/>
    <col min="18" max="18" width="2.28515625" style="417" customWidth="1"/>
    <col min="19" max="19" width="28.85546875" style="417" bestFit="1" customWidth="1"/>
    <col min="20" max="20" width="2.28515625" style="417" customWidth="1"/>
    <col min="21" max="21" width="7.85546875" style="417" bestFit="1" customWidth="1"/>
    <col min="22" max="22" width="2.28515625" style="417" customWidth="1"/>
    <col min="23" max="23" width="3.28515625" style="417" bestFit="1" customWidth="1"/>
    <col min="24" max="24" width="2.28515625" style="417" customWidth="1"/>
    <col min="25" max="25" width="22" style="417" bestFit="1" customWidth="1"/>
    <col min="26" max="26" width="2.28515625" style="417" customWidth="1"/>
    <col min="27" max="27" width="7.85546875" style="417" bestFit="1" customWidth="1"/>
    <col min="28" max="28" width="2.28515625" style="417" customWidth="1"/>
    <col min="29" max="29" width="5.85546875" style="417" bestFit="1" customWidth="1"/>
    <col min="30" max="30" width="2.28515625" style="417" customWidth="1"/>
    <col min="31" max="31" width="8.42578125" style="417" bestFit="1" customWidth="1"/>
  </cols>
  <sheetData>
    <row r="1" spans="1:31" s="46" customFormat="1" ht="13.5" thickBot="1">
      <c r="A1" s="610"/>
      <c r="B1" s="610"/>
      <c r="C1" s="610"/>
      <c r="D1" s="610"/>
      <c r="E1" s="610"/>
      <c r="F1" s="610"/>
      <c r="G1" s="610"/>
      <c r="H1" s="610"/>
      <c r="I1" s="611" t="s">
        <v>617</v>
      </c>
      <c r="J1" s="610"/>
      <c r="K1" s="611" t="s">
        <v>158</v>
      </c>
      <c r="L1" s="610"/>
      <c r="M1" s="611" t="s">
        <v>793</v>
      </c>
      <c r="N1" s="610"/>
      <c r="O1" s="611" t="s">
        <v>794</v>
      </c>
      <c r="P1" s="610"/>
      <c r="Q1" s="611" t="s">
        <v>795</v>
      </c>
      <c r="R1" s="610"/>
      <c r="S1" s="611" t="s">
        <v>796</v>
      </c>
      <c r="T1" s="610"/>
      <c r="U1" s="611" t="s">
        <v>797</v>
      </c>
      <c r="V1" s="610"/>
      <c r="W1" s="611" t="s">
        <v>798</v>
      </c>
      <c r="X1" s="610"/>
      <c r="Y1" s="611" t="s">
        <v>799</v>
      </c>
      <c r="Z1" s="610"/>
      <c r="AA1" s="611" t="s">
        <v>800</v>
      </c>
      <c r="AB1" s="610"/>
      <c r="AC1" s="611" t="s">
        <v>801</v>
      </c>
      <c r="AD1" s="610"/>
      <c r="AE1" s="611" t="s">
        <v>536</v>
      </c>
    </row>
    <row r="2" spans="1:31" ht="13.5" thickTop="1">
      <c r="A2" s="597"/>
      <c r="B2" s="597" t="s">
        <v>802</v>
      </c>
      <c r="C2" s="597"/>
      <c r="D2" s="597"/>
      <c r="E2" s="597"/>
      <c r="F2" s="597"/>
      <c r="G2" s="597"/>
      <c r="H2" s="597"/>
      <c r="I2" s="597"/>
      <c r="J2" s="597"/>
      <c r="K2" s="598"/>
      <c r="L2" s="597"/>
      <c r="M2" s="597"/>
      <c r="N2" s="597"/>
      <c r="O2" s="597"/>
      <c r="P2" s="597"/>
      <c r="Q2" s="597"/>
      <c r="R2" s="597"/>
      <c r="S2" s="597"/>
      <c r="T2" s="597"/>
      <c r="U2" s="597"/>
      <c r="V2" s="597"/>
      <c r="W2" s="597"/>
      <c r="X2" s="597"/>
      <c r="Y2" s="597"/>
      <c r="Z2" s="597"/>
      <c r="AA2" s="599"/>
      <c r="AB2" s="597"/>
      <c r="AC2" s="599"/>
      <c r="AD2" s="597"/>
      <c r="AE2" s="599"/>
    </row>
    <row r="3" spans="1:31">
      <c r="A3" s="597"/>
      <c r="B3" s="597"/>
      <c r="C3" s="597" t="s">
        <v>803</v>
      </c>
      <c r="D3" s="597"/>
      <c r="E3" s="597"/>
      <c r="F3" s="597"/>
      <c r="G3" s="597"/>
      <c r="H3" s="597"/>
      <c r="I3" s="597"/>
      <c r="J3" s="597"/>
      <c r="K3" s="598"/>
      <c r="L3" s="597"/>
      <c r="M3" s="597"/>
      <c r="N3" s="597"/>
      <c r="O3" s="597"/>
      <c r="P3" s="597"/>
      <c r="Q3" s="597"/>
      <c r="R3" s="597"/>
      <c r="S3" s="597"/>
      <c r="T3" s="597"/>
      <c r="U3" s="597"/>
      <c r="V3" s="597"/>
      <c r="W3" s="597"/>
      <c r="X3" s="597"/>
      <c r="Y3" s="597"/>
      <c r="Z3" s="597"/>
      <c r="AA3" s="599"/>
      <c r="AB3" s="597"/>
      <c r="AC3" s="599"/>
      <c r="AD3" s="597"/>
      <c r="AE3" s="599"/>
    </row>
    <row r="4" spans="1:31">
      <c r="A4" s="597"/>
      <c r="B4" s="597"/>
      <c r="C4" s="597"/>
      <c r="D4" s="597" t="s">
        <v>804</v>
      </c>
      <c r="E4" s="597"/>
      <c r="F4" s="597"/>
      <c r="G4" s="597"/>
      <c r="H4" s="597"/>
      <c r="I4" s="597"/>
      <c r="J4" s="597"/>
      <c r="K4" s="598"/>
      <c r="L4" s="597"/>
      <c r="M4" s="597"/>
      <c r="N4" s="597"/>
      <c r="O4" s="597"/>
      <c r="P4" s="597"/>
      <c r="Q4" s="597"/>
      <c r="R4" s="597"/>
      <c r="S4" s="597"/>
      <c r="T4" s="597"/>
      <c r="U4" s="597"/>
      <c r="V4" s="597"/>
      <c r="W4" s="597"/>
      <c r="X4" s="597"/>
      <c r="Y4" s="597"/>
      <c r="Z4" s="597"/>
      <c r="AA4" s="599"/>
      <c r="AB4" s="597"/>
      <c r="AC4" s="599"/>
      <c r="AD4" s="597"/>
      <c r="AE4" s="599"/>
    </row>
    <row r="5" spans="1:31">
      <c r="A5" s="600"/>
      <c r="B5" s="600"/>
      <c r="C5" s="600"/>
      <c r="D5" s="600"/>
      <c r="E5" s="600"/>
      <c r="F5" s="600"/>
      <c r="G5" s="600"/>
      <c r="H5" s="600"/>
      <c r="I5" s="600" t="s">
        <v>822</v>
      </c>
      <c r="J5" s="600"/>
      <c r="K5" s="601">
        <v>41666</v>
      </c>
      <c r="L5" s="600"/>
      <c r="M5" s="600" t="s">
        <v>840</v>
      </c>
      <c r="N5" s="600"/>
      <c r="O5" s="600" t="s">
        <v>823</v>
      </c>
      <c r="P5" s="600"/>
      <c r="Q5" s="600" t="s">
        <v>824</v>
      </c>
      <c r="R5" s="600"/>
      <c r="S5" s="600" t="s">
        <v>804</v>
      </c>
      <c r="T5" s="600"/>
      <c r="U5" s="600" t="s">
        <v>828</v>
      </c>
      <c r="V5" s="600"/>
      <c r="W5" s="602"/>
      <c r="X5" s="600"/>
      <c r="Y5" s="600" t="s">
        <v>829</v>
      </c>
      <c r="Z5" s="600"/>
      <c r="AA5" s="603">
        <v>39.24</v>
      </c>
      <c r="AB5" s="600"/>
      <c r="AC5" s="603"/>
      <c r="AD5" s="600"/>
      <c r="AE5" s="603">
        <v>-39.24</v>
      </c>
    </row>
    <row r="6" spans="1:31">
      <c r="A6" s="600"/>
      <c r="B6" s="600"/>
      <c r="C6" s="600"/>
      <c r="D6" s="600"/>
      <c r="E6" s="600"/>
      <c r="F6" s="600"/>
      <c r="G6" s="600"/>
      <c r="H6" s="600"/>
      <c r="I6" s="600" t="s">
        <v>822</v>
      </c>
      <c r="J6" s="600"/>
      <c r="K6" s="601">
        <v>41697</v>
      </c>
      <c r="L6" s="600"/>
      <c r="M6" s="600" t="s">
        <v>841</v>
      </c>
      <c r="N6" s="600"/>
      <c r="O6" s="600" t="s">
        <v>823</v>
      </c>
      <c r="P6" s="600"/>
      <c r="Q6" s="600" t="s">
        <v>824</v>
      </c>
      <c r="R6" s="600"/>
      <c r="S6" s="600" t="s">
        <v>804</v>
      </c>
      <c r="T6" s="600"/>
      <c r="U6" s="600" t="s">
        <v>828</v>
      </c>
      <c r="V6" s="600"/>
      <c r="W6" s="602"/>
      <c r="X6" s="600"/>
      <c r="Y6" s="600" t="s">
        <v>829</v>
      </c>
      <c r="Z6" s="600"/>
      <c r="AA6" s="603">
        <v>35</v>
      </c>
      <c r="AB6" s="600"/>
      <c r="AC6" s="603"/>
      <c r="AD6" s="600"/>
      <c r="AE6" s="603">
        <v>-74.239999999999995</v>
      </c>
    </row>
    <row r="7" spans="1:31">
      <c r="A7" s="600"/>
      <c r="B7" s="600"/>
      <c r="C7" s="600"/>
      <c r="D7" s="600"/>
      <c r="E7" s="600"/>
      <c r="F7" s="600"/>
      <c r="G7" s="600"/>
      <c r="H7" s="600"/>
      <c r="I7" s="600" t="s">
        <v>822</v>
      </c>
      <c r="J7" s="600"/>
      <c r="K7" s="601">
        <v>41723</v>
      </c>
      <c r="L7" s="600"/>
      <c r="M7" s="600" t="s">
        <v>842</v>
      </c>
      <c r="N7" s="600"/>
      <c r="O7" s="600" t="s">
        <v>823</v>
      </c>
      <c r="P7" s="600"/>
      <c r="Q7" s="600" t="s">
        <v>824</v>
      </c>
      <c r="R7" s="600"/>
      <c r="S7" s="600" t="s">
        <v>804</v>
      </c>
      <c r="T7" s="600"/>
      <c r="U7" s="600" t="s">
        <v>828</v>
      </c>
      <c r="V7" s="600"/>
      <c r="W7" s="602"/>
      <c r="X7" s="600"/>
      <c r="Y7" s="600" t="s">
        <v>829</v>
      </c>
      <c r="Z7" s="600"/>
      <c r="AA7" s="603">
        <v>30.82</v>
      </c>
      <c r="AB7" s="600"/>
      <c r="AC7" s="603"/>
      <c r="AD7" s="600"/>
      <c r="AE7" s="603">
        <v>-105.06</v>
      </c>
    </row>
    <row r="8" spans="1:31">
      <c r="A8" s="600"/>
      <c r="B8" s="600"/>
      <c r="C8" s="600"/>
      <c r="D8" s="600"/>
      <c r="E8" s="600"/>
      <c r="F8" s="600"/>
      <c r="G8" s="600"/>
      <c r="H8" s="600"/>
      <c r="I8" s="600" t="s">
        <v>822</v>
      </c>
      <c r="J8" s="600"/>
      <c r="K8" s="601">
        <v>41757</v>
      </c>
      <c r="L8" s="600"/>
      <c r="M8" s="600" t="s">
        <v>843</v>
      </c>
      <c r="N8" s="600"/>
      <c r="O8" s="600" t="s">
        <v>823</v>
      </c>
      <c r="P8" s="600"/>
      <c r="Q8" s="600" t="s">
        <v>824</v>
      </c>
      <c r="R8" s="600"/>
      <c r="S8" s="600" t="s">
        <v>804</v>
      </c>
      <c r="T8" s="600"/>
      <c r="U8" s="600" t="s">
        <v>828</v>
      </c>
      <c r="V8" s="600"/>
      <c r="W8" s="602"/>
      <c r="X8" s="600"/>
      <c r="Y8" s="600" t="s">
        <v>829</v>
      </c>
      <c r="Z8" s="600"/>
      <c r="AA8" s="603">
        <v>34.14</v>
      </c>
      <c r="AB8" s="600"/>
      <c r="AC8" s="603"/>
      <c r="AD8" s="600"/>
      <c r="AE8" s="603">
        <v>-139.19999999999999</v>
      </c>
    </row>
    <row r="9" spans="1:31">
      <c r="A9" s="600"/>
      <c r="B9" s="600"/>
      <c r="C9" s="600"/>
      <c r="D9" s="600"/>
      <c r="E9" s="600"/>
      <c r="F9" s="600"/>
      <c r="G9" s="600"/>
      <c r="H9" s="600"/>
      <c r="I9" s="600" t="s">
        <v>822</v>
      </c>
      <c r="J9" s="600"/>
      <c r="K9" s="601">
        <v>41787</v>
      </c>
      <c r="L9" s="600"/>
      <c r="M9" s="600" t="s">
        <v>844</v>
      </c>
      <c r="N9" s="600"/>
      <c r="O9" s="600" t="s">
        <v>823</v>
      </c>
      <c r="P9" s="600"/>
      <c r="Q9" s="600" t="s">
        <v>824</v>
      </c>
      <c r="R9" s="600"/>
      <c r="S9" s="600" t="s">
        <v>804</v>
      </c>
      <c r="T9" s="600"/>
      <c r="U9" s="600" t="s">
        <v>828</v>
      </c>
      <c r="V9" s="600"/>
      <c r="W9" s="602"/>
      <c r="X9" s="600"/>
      <c r="Y9" s="600" t="s">
        <v>829</v>
      </c>
      <c r="Z9" s="600"/>
      <c r="AA9" s="603">
        <v>33.22</v>
      </c>
      <c r="AB9" s="600"/>
      <c r="AC9" s="603"/>
      <c r="AD9" s="600"/>
      <c r="AE9" s="603">
        <v>-172.42</v>
      </c>
    </row>
    <row r="10" spans="1:31">
      <c r="A10" s="600"/>
      <c r="B10" s="600"/>
      <c r="C10" s="600"/>
      <c r="D10" s="600"/>
      <c r="E10" s="600"/>
      <c r="F10" s="600"/>
      <c r="G10" s="600"/>
      <c r="H10" s="600"/>
      <c r="I10" s="600" t="s">
        <v>822</v>
      </c>
      <c r="J10" s="600"/>
      <c r="K10" s="601">
        <v>41815</v>
      </c>
      <c r="L10" s="600"/>
      <c r="M10" s="600" t="s">
        <v>845</v>
      </c>
      <c r="N10" s="600"/>
      <c r="O10" s="600" t="s">
        <v>823</v>
      </c>
      <c r="P10" s="600"/>
      <c r="Q10" s="600" t="s">
        <v>824</v>
      </c>
      <c r="R10" s="600"/>
      <c r="S10" s="600" t="s">
        <v>804</v>
      </c>
      <c r="T10" s="600"/>
      <c r="U10" s="600" t="s">
        <v>828</v>
      </c>
      <c r="V10" s="600"/>
      <c r="W10" s="602"/>
      <c r="X10" s="600"/>
      <c r="Y10" s="600" t="s">
        <v>829</v>
      </c>
      <c r="Z10" s="600"/>
      <c r="AA10" s="603">
        <v>37.369999999999997</v>
      </c>
      <c r="AB10" s="600"/>
      <c r="AC10" s="603"/>
      <c r="AD10" s="600"/>
      <c r="AE10" s="603">
        <v>-209.79</v>
      </c>
    </row>
    <row r="11" spans="1:31">
      <c r="A11" s="600"/>
      <c r="B11" s="600"/>
      <c r="C11" s="600"/>
      <c r="D11" s="600"/>
      <c r="E11" s="600"/>
      <c r="F11" s="600"/>
      <c r="G11" s="600"/>
      <c r="H11" s="600"/>
      <c r="I11" s="600" t="s">
        <v>822</v>
      </c>
      <c r="J11" s="600"/>
      <c r="K11" s="601">
        <v>41849</v>
      </c>
      <c r="L11" s="600"/>
      <c r="M11" s="600" t="s">
        <v>846</v>
      </c>
      <c r="N11" s="600"/>
      <c r="O11" s="600" t="s">
        <v>823</v>
      </c>
      <c r="P11" s="600"/>
      <c r="Q11" s="600" t="s">
        <v>824</v>
      </c>
      <c r="R11" s="600"/>
      <c r="S11" s="600" t="s">
        <v>804</v>
      </c>
      <c r="T11" s="600"/>
      <c r="U11" s="600" t="s">
        <v>828</v>
      </c>
      <c r="V11" s="600"/>
      <c r="W11" s="602"/>
      <c r="X11" s="600"/>
      <c r="Y11" s="600" t="s">
        <v>829</v>
      </c>
      <c r="Z11" s="600"/>
      <c r="AA11" s="603">
        <v>36.369999999999997</v>
      </c>
      <c r="AB11" s="600"/>
      <c r="AC11" s="603"/>
      <c r="AD11" s="600"/>
      <c r="AE11" s="603">
        <v>-246.16</v>
      </c>
    </row>
    <row r="12" spans="1:31">
      <c r="A12" s="600"/>
      <c r="B12" s="600"/>
      <c r="C12" s="600"/>
      <c r="D12" s="600"/>
      <c r="E12" s="600"/>
      <c r="F12" s="600"/>
      <c r="G12" s="600"/>
      <c r="H12" s="600"/>
      <c r="I12" s="600" t="s">
        <v>822</v>
      </c>
      <c r="J12" s="600"/>
      <c r="K12" s="601">
        <v>41873</v>
      </c>
      <c r="L12" s="600"/>
      <c r="M12" s="600" t="s">
        <v>847</v>
      </c>
      <c r="N12" s="600"/>
      <c r="O12" s="600" t="s">
        <v>823</v>
      </c>
      <c r="P12" s="600"/>
      <c r="Q12" s="600" t="s">
        <v>824</v>
      </c>
      <c r="R12" s="600"/>
      <c r="S12" s="600" t="s">
        <v>804</v>
      </c>
      <c r="T12" s="600"/>
      <c r="U12" s="600" t="s">
        <v>828</v>
      </c>
      <c r="V12" s="600"/>
      <c r="W12" s="602"/>
      <c r="X12" s="600"/>
      <c r="Y12" s="600" t="s">
        <v>829</v>
      </c>
      <c r="Z12" s="600"/>
      <c r="AA12" s="603">
        <v>37.15</v>
      </c>
      <c r="AB12" s="600"/>
      <c r="AC12" s="603"/>
      <c r="AD12" s="600"/>
      <c r="AE12" s="603">
        <v>-283.31</v>
      </c>
    </row>
    <row r="13" spans="1:31">
      <c r="A13" s="600"/>
      <c r="B13" s="600"/>
      <c r="C13" s="600"/>
      <c r="D13" s="600"/>
      <c r="E13" s="600"/>
      <c r="F13" s="600"/>
      <c r="G13" s="600"/>
      <c r="H13" s="600"/>
      <c r="I13" s="600" t="s">
        <v>822</v>
      </c>
      <c r="J13" s="600"/>
      <c r="K13" s="601">
        <v>41907</v>
      </c>
      <c r="L13" s="600"/>
      <c r="M13" s="600" t="s">
        <v>848</v>
      </c>
      <c r="N13" s="600"/>
      <c r="O13" s="600" t="s">
        <v>823</v>
      </c>
      <c r="P13" s="600"/>
      <c r="Q13" s="600" t="s">
        <v>824</v>
      </c>
      <c r="R13" s="600"/>
      <c r="S13" s="600" t="s">
        <v>804</v>
      </c>
      <c r="T13" s="600"/>
      <c r="U13" s="600" t="s">
        <v>828</v>
      </c>
      <c r="V13" s="600"/>
      <c r="W13" s="602"/>
      <c r="X13" s="600"/>
      <c r="Y13" s="600" t="s">
        <v>829</v>
      </c>
      <c r="Z13" s="600"/>
      <c r="AA13" s="603">
        <v>37.9</v>
      </c>
      <c r="AB13" s="600"/>
      <c r="AC13" s="603"/>
      <c r="AD13" s="600"/>
      <c r="AE13" s="603">
        <v>-321.20999999999998</v>
      </c>
    </row>
    <row r="14" spans="1:31">
      <c r="A14" s="600"/>
      <c r="B14" s="600"/>
      <c r="C14" s="600"/>
      <c r="D14" s="600"/>
      <c r="E14" s="600"/>
      <c r="F14" s="600"/>
      <c r="G14" s="600"/>
      <c r="H14" s="600"/>
      <c r="I14" s="600" t="s">
        <v>822</v>
      </c>
      <c r="J14" s="600"/>
      <c r="K14" s="601">
        <v>41936</v>
      </c>
      <c r="L14" s="600"/>
      <c r="M14" s="600" t="s">
        <v>849</v>
      </c>
      <c r="N14" s="600"/>
      <c r="O14" s="600" t="s">
        <v>823</v>
      </c>
      <c r="P14" s="600"/>
      <c r="Q14" s="600" t="s">
        <v>824</v>
      </c>
      <c r="R14" s="600"/>
      <c r="S14" s="600" t="s">
        <v>804</v>
      </c>
      <c r="T14" s="600"/>
      <c r="U14" s="600" t="s">
        <v>828</v>
      </c>
      <c r="V14" s="600"/>
      <c r="W14" s="602"/>
      <c r="X14" s="600"/>
      <c r="Y14" s="600" t="s">
        <v>829</v>
      </c>
      <c r="Z14" s="600"/>
      <c r="AA14" s="603">
        <v>34.909999999999997</v>
      </c>
      <c r="AB14" s="600"/>
      <c r="AC14" s="603"/>
      <c r="AD14" s="600"/>
      <c r="AE14" s="603">
        <v>-356.12</v>
      </c>
    </row>
    <row r="15" spans="1:31">
      <c r="A15" s="600"/>
      <c r="B15" s="600"/>
      <c r="C15" s="600"/>
      <c r="D15" s="600"/>
      <c r="E15" s="600"/>
      <c r="F15" s="600"/>
      <c r="G15" s="600"/>
      <c r="H15" s="600"/>
      <c r="I15" s="600" t="s">
        <v>822</v>
      </c>
      <c r="J15" s="600"/>
      <c r="K15" s="601">
        <v>41969</v>
      </c>
      <c r="L15" s="600"/>
      <c r="M15" s="600" t="s">
        <v>850</v>
      </c>
      <c r="N15" s="600"/>
      <c r="O15" s="600" t="s">
        <v>823</v>
      </c>
      <c r="P15" s="600"/>
      <c r="Q15" s="600" t="s">
        <v>824</v>
      </c>
      <c r="R15" s="600"/>
      <c r="S15" s="600" t="s">
        <v>804</v>
      </c>
      <c r="T15" s="600"/>
      <c r="U15" s="600" t="s">
        <v>828</v>
      </c>
      <c r="V15" s="600"/>
      <c r="W15" s="602"/>
      <c r="X15" s="600"/>
      <c r="Y15" s="600" t="s">
        <v>829</v>
      </c>
      <c r="Z15" s="600"/>
      <c r="AA15" s="603">
        <v>35.74</v>
      </c>
      <c r="AB15" s="600"/>
      <c r="AC15" s="603"/>
      <c r="AD15" s="600"/>
      <c r="AE15" s="603">
        <v>-391.86</v>
      </c>
    </row>
    <row r="16" spans="1:31" ht="13.5" thickBot="1">
      <c r="A16" s="600"/>
      <c r="B16" s="600"/>
      <c r="C16" s="600"/>
      <c r="D16" s="600"/>
      <c r="E16" s="600"/>
      <c r="F16" s="600"/>
      <c r="G16" s="600"/>
      <c r="H16" s="600"/>
      <c r="I16" s="600" t="s">
        <v>822</v>
      </c>
      <c r="J16" s="600"/>
      <c r="K16" s="601">
        <v>41995</v>
      </c>
      <c r="L16" s="600"/>
      <c r="M16" s="600" t="s">
        <v>851</v>
      </c>
      <c r="N16" s="600"/>
      <c r="O16" s="600" t="s">
        <v>823</v>
      </c>
      <c r="P16" s="600"/>
      <c r="Q16" s="600" t="s">
        <v>824</v>
      </c>
      <c r="R16" s="600"/>
      <c r="S16" s="600" t="s">
        <v>804</v>
      </c>
      <c r="T16" s="600"/>
      <c r="U16" s="600" t="s">
        <v>828</v>
      </c>
      <c r="V16" s="600"/>
      <c r="W16" s="602"/>
      <c r="X16" s="600"/>
      <c r="Y16" s="600" t="s">
        <v>829</v>
      </c>
      <c r="Z16" s="600"/>
      <c r="AA16" s="604">
        <v>33.04</v>
      </c>
      <c r="AB16" s="600"/>
      <c r="AC16" s="604"/>
      <c r="AD16" s="600"/>
      <c r="AE16" s="604">
        <v>-424.9</v>
      </c>
    </row>
    <row r="17" spans="1:31">
      <c r="A17" s="600"/>
      <c r="B17" s="600"/>
      <c r="C17" s="600"/>
      <c r="D17" s="600" t="s">
        <v>805</v>
      </c>
      <c r="E17" s="600"/>
      <c r="F17" s="600"/>
      <c r="G17" s="600"/>
      <c r="H17" s="600"/>
      <c r="I17" s="600"/>
      <c r="J17" s="600"/>
      <c r="K17" s="601"/>
      <c r="L17" s="600"/>
      <c r="M17" s="600"/>
      <c r="N17" s="600"/>
      <c r="O17" s="600"/>
      <c r="P17" s="600"/>
      <c r="Q17" s="600"/>
      <c r="R17" s="600"/>
      <c r="S17" s="600"/>
      <c r="T17" s="600"/>
      <c r="U17" s="600"/>
      <c r="V17" s="600"/>
      <c r="W17" s="600"/>
      <c r="X17" s="600"/>
      <c r="Y17" s="600"/>
      <c r="Z17" s="600"/>
      <c r="AA17" s="603">
        <f>ROUND(SUM(AA4:AA16),5)</f>
        <v>424.9</v>
      </c>
      <c r="AB17" s="600"/>
      <c r="AC17" s="603">
        <f>ROUND(SUM(AC4:AC16),5)</f>
        <v>0</v>
      </c>
      <c r="AD17" s="600"/>
      <c r="AE17" s="603">
        <f>AE16</f>
        <v>-424.9</v>
      </c>
    </row>
    <row r="18" spans="1:31">
      <c r="A18" s="597"/>
      <c r="B18" s="597"/>
      <c r="C18" s="597"/>
      <c r="D18" s="597" t="s">
        <v>806</v>
      </c>
      <c r="E18" s="597"/>
      <c r="F18" s="597"/>
      <c r="G18" s="597"/>
      <c r="H18" s="597"/>
      <c r="I18" s="597"/>
      <c r="J18" s="597"/>
      <c r="K18" s="598"/>
      <c r="L18" s="597"/>
      <c r="M18" s="597"/>
      <c r="N18" s="597"/>
      <c r="O18" s="597"/>
      <c r="P18" s="597"/>
      <c r="Q18" s="597"/>
      <c r="R18" s="597"/>
      <c r="S18" s="597"/>
      <c r="T18" s="597"/>
      <c r="U18" s="597"/>
      <c r="V18" s="597"/>
      <c r="W18" s="597"/>
      <c r="X18" s="597"/>
      <c r="Y18" s="597"/>
      <c r="Z18" s="597"/>
      <c r="AA18" s="599"/>
      <c r="AB18" s="597"/>
      <c r="AC18" s="599"/>
      <c r="AD18" s="597"/>
      <c r="AE18" s="599"/>
    </row>
    <row r="19" spans="1:31">
      <c r="A19" s="600"/>
      <c r="B19" s="600"/>
      <c r="C19" s="600"/>
      <c r="D19" s="600"/>
      <c r="E19" s="600"/>
      <c r="F19" s="600"/>
      <c r="G19" s="600"/>
      <c r="H19" s="600"/>
      <c r="I19" s="600" t="s">
        <v>822</v>
      </c>
      <c r="J19" s="600"/>
      <c r="K19" s="601">
        <v>41666</v>
      </c>
      <c r="L19" s="600"/>
      <c r="M19" s="600" t="s">
        <v>840</v>
      </c>
      <c r="N19" s="600"/>
      <c r="O19" s="600" t="s">
        <v>823</v>
      </c>
      <c r="P19" s="600"/>
      <c r="Q19" s="600" t="s">
        <v>825</v>
      </c>
      <c r="R19" s="600"/>
      <c r="S19" s="600" t="s">
        <v>806</v>
      </c>
      <c r="T19" s="600"/>
      <c r="U19" s="600" t="s">
        <v>828</v>
      </c>
      <c r="V19" s="600"/>
      <c r="W19" s="602"/>
      <c r="X19" s="600"/>
      <c r="Y19" s="600" t="s">
        <v>829</v>
      </c>
      <c r="Z19" s="600"/>
      <c r="AA19" s="603">
        <v>7.67</v>
      </c>
      <c r="AB19" s="600"/>
      <c r="AC19" s="603"/>
      <c r="AD19" s="600"/>
      <c r="AE19" s="603">
        <v>-7.67</v>
      </c>
    </row>
    <row r="20" spans="1:31">
      <c r="A20" s="600"/>
      <c r="B20" s="600"/>
      <c r="C20" s="600"/>
      <c r="D20" s="600"/>
      <c r="E20" s="600"/>
      <c r="F20" s="600"/>
      <c r="G20" s="600"/>
      <c r="H20" s="600"/>
      <c r="I20" s="600" t="s">
        <v>822</v>
      </c>
      <c r="J20" s="600"/>
      <c r="K20" s="601">
        <v>41697</v>
      </c>
      <c r="L20" s="600"/>
      <c r="M20" s="600" t="s">
        <v>841</v>
      </c>
      <c r="N20" s="600"/>
      <c r="O20" s="600" t="s">
        <v>823</v>
      </c>
      <c r="P20" s="600"/>
      <c r="Q20" s="600" t="s">
        <v>825</v>
      </c>
      <c r="R20" s="600"/>
      <c r="S20" s="600" t="s">
        <v>806</v>
      </c>
      <c r="T20" s="600"/>
      <c r="U20" s="600" t="s">
        <v>828</v>
      </c>
      <c r="V20" s="600"/>
      <c r="W20" s="602"/>
      <c r="X20" s="600"/>
      <c r="Y20" s="600" t="s">
        <v>829</v>
      </c>
      <c r="Z20" s="600"/>
      <c r="AA20" s="603">
        <v>6.53</v>
      </c>
      <c r="AB20" s="600"/>
      <c r="AC20" s="603"/>
      <c r="AD20" s="600"/>
      <c r="AE20" s="603">
        <v>-14.2</v>
      </c>
    </row>
    <row r="21" spans="1:31">
      <c r="A21" s="600"/>
      <c r="B21" s="600"/>
      <c r="C21" s="600"/>
      <c r="D21" s="600"/>
      <c r="E21" s="600"/>
      <c r="F21" s="600"/>
      <c r="G21" s="600"/>
      <c r="H21" s="600"/>
      <c r="I21" s="600" t="s">
        <v>822</v>
      </c>
      <c r="J21" s="600"/>
      <c r="K21" s="601">
        <v>41723</v>
      </c>
      <c r="L21" s="600"/>
      <c r="M21" s="600" t="s">
        <v>842</v>
      </c>
      <c r="N21" s="600"/>
      <c r="O21" s="600" t="s">
        <v>823</v>
      </c>
      <c r="P21" s="600"/>
      <c r="Q21" s="600" t="s">
        <v>825</v>
      </c>
      <c r="R21" s="600"/>
      <c r="S21" s="600" t="s">
        <v>806</v>
      </c>
      <c r="T21" s="600"/>
      <c r="U21" s="600" t="s">
        <v>828</v>
      </c>
      <c r="V21" s="600"/>
      <c r="W21" s="602"/>
      <c r="X21" s="600"/>
      <c r="Y21" s="600" t="s">
        <v>829</v>
      </c>
      <c r="Z21" s="600"/>
      <c r="AA21" s="603">
        <v>6.72</v>
      </c>
      <c r="AB21" s="600"/>
      <c r="AC21" s="603"/>
      <c r="AD21" s="600"/>
      <c r="AE21" s="603">
        <v>-20.92</v>
      </c>
    </row>
    <row r="22" spans="1:31">
      <c r="A22" s="600"/>
      <c r="B22" s="600"/>
      <c r="C22" s="600"/>
      <c r="D22" s="600"/>
      <c r="E22" s="600"/>
      <c r="F22" s="600"/>
      <c r="G22" s="600"/>
      <c r="H22" s="600"/>
      <c r="I22" s="600" t="s">
        <v>822</v>
      </c>
      <c r="J22" s="600"/>
      <c r="K22" s="601">
        <v>41757</v>
      </c>
      <c r="L22" s="600"/>
      <c r="M22" s="600" t="s">
        <v>843</v>
      </c>
      <c r="N22" s="600"/>
      <c r="O22" s="600" t="s">
        <v>823</v>
      </c>
      <c r="P22" s="600"/>
      <c r="Q22" s="600" t="s">
        <v>825</v>
      </c>
      <c r="R22" s="600"/>
      <c r="S22" s="600" t="s">
        <v>806</v>
      </c>
      <c r="T22" s="600"/>
      <c r="U22" s="600" t="s">
        <v>828</v>
      </c>
      <c r="V22" s="600"/>
      <c r="W22" s="602"/>
      <c r="X22" s="600"/>
      <c r="Y22" s="600" t="s">
        <v>829</v>
      </c>
      <c r="Z22" s="600"/>
      <c r="AA22" s="603">
        <v>7.06</v>
      </c>
      <c r="AB22" s="600"/>
      <c r="AC22" s="603"/>
      <c r="AD22" s="600"/>
      <c r="AE22" s="603">
        <v>-27.98</v>
      </c>
    </row>
    <row r="23" spans="1:31">
      <c r="A23" s="600"/>
      <c r="B23" s="600"/>
      <c r="C23" s="600"/>
      <c r="D23" s="600"/>
      <c r="E23" s="600"/>
      <c r="F23" s="600"/>
      <c r="G23" s="600"/>
      <c r="H23" s="600"/>
      <c r="I23" s="600" t="s">
        <v>822</v>
      </c>
      <c r="J23" s="600"/>
      <c r="K23" s="601">
        <v>41787</v>
      </c>
      <c r="L23" s="600"/>
      <c r="M23" s="600" t="s">
        <v>844</v>
      </c>
      <c r="N23" s="600"/>
      <c r="O23" s="600" t="s">
        <v>823</v>
      </c>
      <c r="P23" s="600"/>
      <c r="Q23" s="600" t="s">
        <v>825</v>
      </c>
      <c r="R23" s="600"/>
      <c r="S23" s="600" t="s">
        <v>806</v>
      </c>
      <c r="T23" s="600"/>
      <c r="U23" s="600" t="s">
        <v>828</v>
      </c>
      <c r="V23" s="600"/>
      <c r="W23" s="602"/>
      <c r="X23" s="600"/>
      <c r="Y23" s="600" t="s">
        <v>829</v>
      </c>
      <c r="Z23" s="600"/>
      <c r="AA23" s="603">
        <v>2.33</v>
      </c>
      <c r="AB23" s="600"/>
      <c r="AC23" s="603"/>
      <c r="AD23" s="600"/>
      <c r="AE23" s="603">
        <v>-30.31</v>
      </c>
    </row>
    <row r="24" spans="1:31">
      <c r="A24" s="600"/>
      <c r="B24" s="600"/>
      <c r="C24" s="600"/>
      <c r="D24" s="600"/>
      <c r="E24" s="600"/>
      <c r="F24" s="600"/>
      <c r="G24" s="600"/>
      <c r="H24" s="600"/>
      <c r="I24" s="600" t="s">
        <v>822</v>
      </c>
      <c r="J24" s="600"/>
      <c r="K24" s="601">
        <v>41815</v>
      </c>
      <c r="L24" s="600"/>
      <c r="M24" s="600" t="s">
        <v>845</v>
      </c>
      <c r="N24" s="600"/>
      <c r="O24" s="600" t="s">
        <v>823</v>
      </c>
      <c r="P24" s="600"/>
      <c r="Q24" s="600" t="s">
        <v>825</v>
      </c>
      <c r="R24" s="600"/>
      <c r="S24" s="600" t="s">
        <v>806</v>
      </c>
      <c r="T24" s="600"/>
      <c r="U24" s="600" t="s">
        <v>828</v>
      </c>
      <c r="V24" s="600"/>
      <c r="W24" s="602"/>
      <c r="X24" s="600"/>
      <c r="Y24" s="600" t="s">
        <v>829</v>
      </c>
      <c r="Z24" s="600"/>
      <c r="AA24" s="603">
        <v>2.31</v>
      </c>
      <c r="AB24" s="600"/>
      <c r="AC24" s="603"/>
      <c r="AD24" s="600"/>
      <c r="AE24" s="603">
        <v>-32.619999999999997</v>
      </c>
    </row>
    <row r="25" spans="1:31">
      <c r="A25" s="600"/>
      <c r="B25" s="600"/>
      <c r="C25" s="600"/>
      <c r="D25" s="600"/>
      <c r="E25" s="600"/>
      <c r="F25" s="600"/>
      <c r="G25" s="600"/>
      <c r="H25" s="600"/>
      <c r="I25" s="600" t="s">
        <v>822</v>
      </c>
      <c r="J25" s="600"/>
      <c r="K25" s="601">
        <v>41849</v>
      </c>
      <c r="L25" s="600"/>
      <c r="M25" s="600" t="s">
        <v>846</v>
      </c>
      <c r="N25" s="600"/>
      <c r="O25" s="600" t="s">
        <v>823</v>
      </c>
      <c r="P25" s="600"/>
      <c r="Q25" s="600" t="s">
        <v>825</v>
      </c>
      <c r="R25" s="600"/>
      <c r="S25" s="600" t="s">
        <v>806</v>
      </c>
      <c r="T25" s="600"/>
      <c r="U25" s="600" t="s">
        <v>828</v>
      </c>
      <c r="V25" s="600"/>
      <c r="W25" s="602"/>
      <c r="X25" s="600"/>
      <c r="Y25" s="600" t="s">
        <v>829</v>
      </c>
      <c r="Z25" s="600"/>
      <c r="AA25" s="603">
        <v>1.18</v>
      </c>
      <c r="AB25" s="600"/>
      <c r="AC25" s="603"/>
      <c r="AD25" s="600"/>
      <c r="AE25" s="603">
        <v>-33.799999999999997</v>
      </c>
    </row>
    <row r="26" spans="1:31">
      <c r="A26" s="600"/>
      <c r="B26" s="600"/>
      <c r="C26" s="600"/>
      <c r="D26" s="600"/>
      <c r="E26" s="600"/>
      <c r="F26" s="600"/>
      <c r="G26" s="600"/>
      <c r="H26" s="600"/>
      <c r="I26" s="600" t="s">
        <v>822</v>
      </c>
      <c r="J26" s="600"/>
      <c r="K26" s="601">
        <v>41873</v>
      </c>
      <c r="L26" s="600"/>
      <c r="M26" s="600" t="s">
        <v>847</v>
      </c>
      <c r="N26" s="600"/>
      <c r="O26" s="600" t="s">
        <v>823</v>
      </c>
      <c r="P26" s="600"/>
      <c r="Q26" s="600" t="s">
        <v>825</v>
      </c>
      <c r="R26" s="600"/>
      <c r="S26" s="600" t="s">
        <v>806</v>
      </c>
      <c r="T26" s="600"/>
      <c r="U26" s="600" t="s">
        <v>828</v>
      </c>
      <c r="V26" s="600"/>
      <c r="W26" s="602"/>
      <c r="X26" s="600"/>
      <c r="Y26" s="600" t="s">
        <v>829</v>
      </c>
      <c r="Z26" s="600"/>
      <c r="AA26" s="603">
        <v>1.78</v>
      </c>
      <c r="AB26" s="600"/>
      <c r="AC26" s="603"/>
      <c r="AD26" s="600"/>
      <c r="AE26" s="603">
        <v>-35.58</v>
      </c>
    </row>
    <row r="27" spans="1:31">
      <c r="A27" s="600"/>
      <c r="B27" s="600"/>
      <c r="C27" s="600"/>
      <c r="D27" s="600"/>
      <c r="E27" s="600"/>
      <c r="F27" s="600"/>
      <c r="G27" s="600"/>
      <c r="H27" s="600"/>
      <c r="I27" s="600" t="s">
        <v>822</v>
      </c>
      <c r="J27" s="600"/>
      <c r="K27" s="601">
        <v>41907</v>
      </c>
      <c r="L27" s="600"/>
      <c r="M27" s="600" t="s">
        <v>848</v>
      </c>
      <c r="N27" s="600"/>
      <c r="O27" s="600" t="s">
        <v>823</v>
      </c>
      <c r="P27" s="600"/>
      <c r="Q27" s="600" t="s">
        <v>825</v>
      </c>
      <c r="R27" s="600"/>
      <c r="S27" s="600" t="s">
        <v>806</v>
      </c>
      <c r="T27" s="600"/>
      <c r="U27" s="600" t="s">
        <v>828</v>
      </c>
      <c r="V27" s="600"/>
      <c r="W27" s="602"/>
      <c r="X27" s="600"/>
      <c r="Y27" s="600" t="s">
        <v>829</v>
      </c>
      <c r="Z27" s="600"/>
      <c r="AA27" s="603">
        <v>2.2200000000000002</v>
      </c>
      <c r="AB27" s="600"/>
      <c r="AC27" s="603"/>
      <c r="AD27" s="600"/>
      <c r="AE27" s="603">
        <v>-37.799999999999997</v>
      </c>
    </row>
    <row r="28" spans="1:31">
      <c r="A28" s="600"/>
      <c r="B28" s="600"/>
      <c r="C28" s="600"/>
      <c r="D28" s="600"/>
      <c r="E28" s="600"/>
      <c r="F28" s="600"/>
      <c r="G28" s="600"/>
      <c r="H28" s="600"/>
      <c r="I28" s="600" t="s">
        <v>822</v>
      </c>
      <c r="J28" s="600"/>
      <c r="K28" s="601">
        <v>41936</v>
      </c>
      <c r="L28" s="600"/>
      <c r="M28" s="600" t="s">
        <v>849</v>
      </c>
      <c r="N28" s="600"/>
      <c r="O28" s="600" t="s">
        <v>823</v>
      </c>
      <c r="P28" s="600"/>
      <c r="Q28" s="600" t="s">
        <v>825</v>
      </c>
      <c r="R28" s="600"/>
      <c r="S28" s="600" t="s">
        <v>806</v>
      </c>
      <c r="T28" s="600"/>
      <c r="U28" s="600" t="s">
        <v>828</v>
      </c>
      <c r="V28" s="600"/>
      <c r="W28" s="602"/>
      <c r="X28" s="600"/>
      <c r="Y28" s="600" t="s">
        <v>829</v>
      </c>
      <c r="Z28" s="600"/>
      <c r="AA28" s="603">
        <v>1.73</v>
      </c>
      <c r="AB28" s="600"/>
      <c r="AC28" s="603"/>
      <c r="AD28" s="600"/>
      <c r="AE28" s="603">
        <v>-39.53</v>
      </c>
    </row>
    <row r="29" spans="1:31">
      <c r="A29" s="600"/>
      <c r="B29" s="600"/>
      <c r="C29" s="600"/>
      <c r="D29" s="600"/>
      <c r="E29" s="600"/>
      <c r="F29" s="600"/>
      <c r="G29" s="600"/>
      <c r="H29" s="600"/>
      <c r="I29" s="600" t="s">
        <v>822</v>
      </c>
      <c r="J29" s="600"/>
      <c r="K29" s="601">
        <v>41969</v>
      </c>
      <c r="L29" s="600"/>
      <c r="M29" s="600" t="s">
        <v>850</v>
      </c>
      <c r="N29" s="600"/>
      <c r="O29" s="600" t="s">
        <v>823</v>
      </c>
      <c r="P29" s="600"/>
      <c r="Q29" s="600" t="s">
        <v>825</v>
      </c>
      <c r="R29" s="600"/>
      <c r="S29" s="600" t="s">
        <v>806</v>
      </c>
      <c r="T29" s="600"/>
      <c r="U29" s="600" t="s">
        <v>828</v>
      </c>
      <c r="V29" s="600"/>
      <c r="W29" s="602"/>
      <c r="X29" s="600"/>
      <c r="Y29" s="600" t="s">
        <v>829</v>
      </c>
      <c r="Z29" s="600"/>
      <c r="AA29" s="603">
        <v>1.97</v>
      </c>
      <c r="AB29" s="600"/>
      <c r="AC29" s="603"/>
      <c r="AD29" s="600"/>
      <c r="AE29" s="603">
        <v>-41.5</v>
      </c>
    </row>
    <row r="30" spans="1:31" ht="13.5" thickBot="1">
      <c r="A30" s="600"/>
      <c r="B30" s="600"/>
      <c r="C30" s="600"/>
      <c r="D30" s="600"/>
      <c r="E30" s="600"/>
      <c r="F30" s="600"/>
      <c r="G30" s="600"/>
      <c r="H30" s="600"/>
      <c r="I30" s="600" t="s">
        <v>822</v>
      </c>
      <c r="J30" s="600"/>
      <c r="K30" s="601">
        <v>41995</v>
      </c>
      <c r="L30" s="600"/>
      <c r="M30" s="600" t="s">
        <v>851</v>
      </c>
      <c r="N30" s="600"/>
      <c r="O30" s="600" t="s">
        <v>823</v>
      </c>
      <c r="P30" s="600"/>
      <c r="Q30" s="600" t="s">
        <v>825</v>
      </c>
      <c r="R30" s="600"/>
      <c r="S30" s="600" t="s">
        <v>806</v>
      </c>
      <c r="T30" s="600"/>
      <c r="U30" s="600" t="s">
        <v>828</v>
      </c>
      <c r="V30" s="600"/>
      <c r="W30" s="602"/>
      <c r="X30" s="600"/>
      <c r="Y30" s="600" t="s">
        <v>829</v>
      </c>
      <c r="Z30" s="600"/>
      <c r="AA30" s="604">
        <v>5.1100000000000003</v>
      </c>
      <c r="AB30" s="600"/>
      <c r="AC30" s="604"/>
      <c r="AD30" s="600"/>
      <c r="AE30" s="604">
        <v>-46.61</v>
      </c>
    </row>
    <row r="31" spans="1:31">
      <c r="A31" s="600"/>
      <c r="B31" s="600"/>
      <c r="C31" s="600"/>
      <c r="D31" s="600" t="s">
        <v>807</v>
      </c>
      <c r="E31" s="600"/>
      <c r="F31" s="600"/>
      <c r="G31" s="600"/>
      <c r="H31" s="600"/>
      <c r="I31" s="600"/>
      <c r="J31" s="600"/>
      <c r="K31" s="601"/>
      <c r="L31" s="600"/>
      <c r="M31" s="600"/>
      <c r="N31" s="600"/>
      <c r="O31" s="600"/>
      <c r="P31" s="600"/>
      <c r="Q31" s="600"/>
      <c r="R31" s="600"/>
      <c r="S31" s="600"/>
      <c r="T31" s="600"/>
      <c r="U31" s="600"/>
      <c r="V31" s="600"/>
      <c r="W31" s="600"/>
      <c r="X31" s="600"/>
      <c r="Y31" s="600"/>
      <c r="Z31" s="600"/>
      <c r="AA31" s="603">
        <f>ROUND(SUM(AA18:AA30),5)</f>
        <v>46.61</v>
      </c>
      <c r="AB31" s="600"/>
      <c r="AC31" s="603">
        <f>ROUND(SUM(AC18:AC30),5)</f>
        <v>0</v>
      </c>
      <c r="AD31" s="600"/>
      <c r="AE31" s="603">
        <f>AE30</f>
        <v>-46.61</v>
      </c>
    </row>
    <row r="32" spans="1:31">
      <c r="A32" s="597"/>
      <c r="B32" s="597"/>
      <c r="C32" s="597"/>
      <c r="D32" s="597" t="s">
        <v>808</v>
      </c>
      <c r="E32" s="597"/>
      <c r="F32" s="597"/>
      <c r="G32" s="597"/>
      <c r="H32" s="597"/>
      <c r="I32" s="597"/>
      <c r="J32" s="597"/>
      <c r="K32" s="598"/>
      <c r="L32" s="597"/>
      <c r="M32" s="597"/>
      <c r="N32" s="597"/>
      <c r="O32" s="597"/>
      <c r="P32" s="597"/>
      <c r="Q32" s="597"/>
      <c r="R32" s="597"/>
      <c r="S32" s="597"/>
      <c r="T32" s="597"/>
      <c r="U32" s="597"/>
      <c r="V32" s="597"/>
      <c r="W32" s="597"/>
      <c r="X32" s="597"/>
      <c r="Y32" s="597"/>
      <c r="Z32" s="597"/>
      <c r="AA32" s="599"/>
      <c r="AB32" s="597"/>
      <c r="AC32" s="599"/>
      <c r="AD32" s="597"/>
      <c r="AE32" s="599"/>
    </row>
    <row r="33" spans="1:31">
      <c r="A33" s="600"/>
      <c r="B33" s="600"/>
      <c r="C33" s="600"/>
      <c r="D33" s="600"/>
      <c r="E33" s="600"/>
      <c r="F33" s="600"/>
      <c r="G33" s="600"/>
      <c r="H33" s="600"/>
      <c r="I33" s="600" t="s">
        <v>822</v>
      </c>
      <c r="J33" s="600"/>
      <c r="K33" s="601">
        <v>41666</v>
      </c>
      <c r="L33" s="600"/>
      <c r="M33" s="600" t="s">
        <v>840</v>
      </c>
      <c r="N33" s="600"/>
      <c r="O33" s="600" t="s">
        <v>823</v>
      </c>
      <c r="P33" s="600"/>
      <c r="Q33" s="600" t="s">
        <v>826</v>
      </c>
      <c r="R33" s="600"/>
      <c r="S33" s="600" t="s">
        <v>808</v>
      </c>
      <c r="T33" s="600"/>
      <c r="U33" s="600" t="s">
        <v>828</v>
      </c>
      <c r="V33" s="600"/>
      <c r="W33" s="602"/>
      <c r="X33" s="600"/>
      <c r="Y33" s="600" t="s">
        <v>829</v>
      </c>
      <c r="Z33" s="600"/>
      <c r="AA33" s="603">
        <v>2137.12</v>
      </c>
      <c r="AB33" s="600"/>
      <c r="AC33" s="603"/>
      <c r="AD33" s="600"/>
      <c r="AE33" s="603">
        <v>-2137.12</v>
      </c>
    </row>
    <row r="34" spans="1:31">
      <c r="A34" s="600"/>
      <c r="B34" s="600"/>
      <c r="C34" s="600"/>
      <c r="D34" s="600"/>
      <c r="E34" s="600"/>
      <c r="F34" s="600"/>
      <c r="G34" s="600"/>
      <c r="H34" s="600"/>
      <c r="I34" s="600" t="s">
        <v>822</v>
      </c>
      <c r="J34" s="600"/>
      <c r="K34" s="601">
        <v>41697</v>
      </c>
      <c r="L34" s="600"/>
      <c r="M34" s="600" t="s">
        <v>841</v>
      </c>
      <c r="N34" s="600"/>
      <c r="O34" s="600" t="s">
        <v>823</v>
      </c>
      <c r="P34" s="600"/>
      <c r="Q34" s="600" t="s">
        <v>826</v>
      </c>
      <c r="R34" s="600"/>
      <c r="S34" s="600" t="s">
        <v>808</v>
      </c>
      <c r="T34" s="600"/>
      <c r="U34" s="600" t="s">
        <v>828</v>
      </c>
      <c r="V34" s="600"/>
      <c r="W34" s="602"/>
      <c r="X34" s="600"/>
      <c r="Y34" s="600" t="s">
        <v>829</v>
      </c>
      <c r="Z34" s="600"/>
      <c r="AA34" s="603">
        <v>2210.04</v>
      </c>
      <c r="AB34" s="600"/>
      <c r="AC34" s="603"/>
      <c r="AD34" s="600"/>
      <c r="AE34" s="603">
        <v>-4347.16</v>
      </c>
    </row>
    <row r="35" spans="1:31">
      <c r="A35" s="600"/>
      <c r="B35" s="600"/>
      <c r="C35" s="600"/>
      <c r="D35" s="600"/>
      <c r="E35" s="600"/>
      <c r="F35" s="600"/>
      <c r="G35" s="600"/>
      <c r="H35" s="600"/>
      <c r="I35" s="600" t="s">
        <v>822</v>
      </c>
      <c r="J35" s="600"/>
      <c r="K35" s="601">
        <v>41723</v>
      </c>
      <c r="L35" s="600"/>
      <c r="M35" s="600" t="s">
        <v>842</v>
      </c>
      <c r="N35" s="600"/>
      <c r="O35" s="600" t="s">
        <v>823</v>
      </c>
      <c r="P35" s="600"/>
      <c r="Q35" s="600" t="s">
        <v>826</v>
      </c>
      <c r="R35" s="600"/>
      <c r="S35" s="600" t="s">
        <v>808</v>
      </c>
      <c r="T35" s="600"/>
      <c r="U35" s="600" t="s">
        <v>828</v>
      </c>
      <c r="V35" s="600"/>
      <c r="W35" s="602"/>
      <c r="X35" s="600"/>
      <c r="Y35" s="600" t="s">
        <v>829</v>
      </c>
      <c r="Z35" s="600"/>
      <c r="AA35" s="603">
        <v>1871.88</v>
      </c>
      <c r="AB35" s="600"/>
      <c r="AC35" s="603"/>
      <c r="AD35" s="600"/>
      <c r="AE35" s="603">
        <v>-6219.04</v>
      </c>
    </row>
    <row r="36" spans="1:31">
      <c r="A36" s="600"/>
      <c r="B36" s="600"/>
      <c r="C36" s="600"/>
      <c r="D36" s="600"/>
      <c r="E36" s="600"/>
      <c r="F36" s="600"/>
      <c r="G36" s="600"/>
      <c r="H36" s="600"/>
      <c r="I36" s="600" t="s">
        <v>822</v>
      </c>
      <c r="J36" s="600"/>
      <c r="K36" s="601">
        <v>41757</v>
      </c>
      <c r="L36" s="600"/>
      <c r="M36" s="600" t="s">
        <v>843</v>
      </c>
      <c r="N36" s="600"/>
      <c r="O36" s="600" t="s">
        <v>823</v>
      </c>
      <c r="P36" s="600"/>
      <c r="Q36" s="600" t="s">
        <v>826</v>
      </c>
      <c r="R36" s="600"/>
      <c r="S36" s="600" t="s">
        <v>808</v>
      </c>
      <c r="T36" s="600"/>
      <c r="U36" s="600" t="s">
        <v>828</v>
      </c>
      <c r="V36" s="600"/>
      <c r="W36" s="602"/>
      <c r="X36" s="600"/>
      <c r="Y36" s="600" t="s">
        <v>829</v>
      </c>
      <c r="Z36" s="600"/>
      <c r="AA36" s="603">
        <v>2038.08</v>
      </c>
      <c r="AB36" s="600"/>
      <c r="AC36" s="603"/>
      <c r="AD36" s="600"/>
      <c r="AE36" s="603">
        <v>-8257.1200000000008</v>
      </c>
    </row>
    <row r="37" spans="1:31">
      <c r="A37" s="600"/>
      <c r="B37" s="600"/>
      <c r="C37" s="600"/>
      <c r="D37" s="600"/>
      <c r="E37" s="600"/>
      <c r="F37" s="600"/>
      <c r="G37" s="600"/>
      <c r="H37" s="600"/>
      <c r="I37" s="600" t="s">
        <v>822</v>
      </c>
      <c r="J37" s="600"/>
      <c r="K37" s="601">
        <v>41787</v>
      </c>
      <c r="L37" s="600"/>
      <c r="M37" s="600" t="s">
        <v>844</v>
      </c>
      <c r="N37" s="600"/>
      <c r="O37" s="600" t="s">
        <v>823</v>
      </c>
      <c r="P37" s="600"/>
      <c r="Q37" s="600" t="s">
        <v>826</v>
      </c>
      <c r="R37" s="600"/>
      <c r="S37" s="600" t="s">
        <v>808</v>
      </c>
      <c r="T37" s="600"/>
      <c r="U37" s="600" t="s">
        <v>828</v>
      </c>
      <c r="V37" s="600"/>
      <c r="W37" s="602"/>
      <c r="X37" s="600"/>
      <c r="Y37" s="600" t="s">
        <v>829</v>
      </c>
      <c r="Z37" s="600"/>
      <c r="AA37" s="603">
        <v>1733.78</v>
      </c>
      <c r="AB37" s="600"/>
      <c r="AC37" s="603"/>
      <c r="AD37" s="600"/>
      <c r="AE37" s="603">
        <v>-9990.9</v>
      </c>
    </row>
    <row r="38" spans="1:31">
      <c r="A38" s="600"/>
      <c r="B38" s="600"/>
      <c r="C38" s="600"/>
      <c r="D38" s="600"/>
      <c r="E38" s="600"/>
      <c r="F38" s="600"/>
      <c r="G38" s="600"/>
      <c r="H38" s="600"/>
      <c r="I38" s="600" t="s">
        <v>822</v>
      </c>
      <c r="J38" s="600"/>
      <c r="K38" s="601">
        <v>41815</v>
      </c>
      <c r="L38" s="600"/>
      <c r="M38" s="600" t="s">
        <v>845</v>
      </c>
      <c r="N38" s="600"/>
      <c r="O38" s="600" t="s">
        <v>823</v>
      </c>
      <c r="P38" s="600"/>
      <c r="Q38" s="600" t="s">
        <v>826</v>
      </c>
      <c r="R38" s="600"/>
      <c r="S38" s="600" t="s">
        <v>808</v>
      </c>
      <c r="T38" s="600"/>
      <c r="U38" s="600" t="s">
        <v>828</v>
      </c>
      <c r="V38" s="600"/>
      <c r="W38" s="602"/>
      <c r="X38" s="600"/>
      <c r="Y38" s="600" t="s">
        <v>829</v>
      </c>
      <c r="Z38" s="600"/>
      <c r="AA38" s="603">
        <v>2078.59</v>
      </c>
      <c r="AB38" s="600"/>
      <c r="AC38" s="603"/>
      <c r="AD38" s="600"/>
      <c r="AE38" s="603">
        <v>-12069.49</v>
      </c>
    </row>
    <row r="39" spans="1:31">
      <c r="A39" s="600"/>
      <c r="B39" s="600"/>
      <c r="C39" s="600"/>
      <c r="D39" s="600"/>
      <c r="E39" s="600"/>
      <c r="F39" s="600"/>
      <c r="G39" s="600"/>
      <c r="H39" s="600"/>
      <c r="I39" s="600" t="s">
        <v>822</v>
      </c>
      <c r="J39" s="600"/>
      <c r="K39" s="601">
        <v>41849</v>
      </c>
      <c r="L39" s="600"/>
      <c r="M39" s="600" t="s">
        <v>846</v>
      </c>
      <c r="N39" s="600"/>
      <c r="O39" s="600" t="s">
        <v>823</v>
      </c>
      <c r="P39" s="600"/>
      <c r="Q39" s="600" t="s">
        <v>826</v>
      </c>
      <c r="R39" s="600"/>
      <c r="S39" s="600" t="s">
        <v>808</v>
      </c>
      <c r="T39" s="600"/>
      <c r="U39" s="600" t="s">
        <v>828</v>
      </c>
      <c r="V39" s="600"/>
      <c r="W39" s="602"/>
      <c r="X39" s="600"/>
      <c r="Y39" s="600" t="s">
        <v>829</v>
      </c>
      <c r="Z39" s="600"/>
      <c r="AA39" s="603">
        <v>2287.09</v>
      </c>
      <c r="AB39" s="600"/>
      <c r="AC39" s="603"/>
      <c r="AD39" s="600"/>
      <c r="AE39" s="603">
        <v>-14356.58</v>
      </c>
    </row>
    <row r="40" spans="1:31">
      <c r="A40" s="600"/>
      <c r="B40" s="600"/>
      <c r="C40" s="600"/>
      <c r="D40" s="600"/>
      <c r="E40" s="600"/>
      <c r="F40" s="600"/>
      <c r="G40" s="600"/>
      <c r="H40" s="600"/>
      <c r="I40" s="600" t="s">
        <v>822</v>
      </c>
      <c r="J40" s="600"/>
      <c r="K40" s="601">
        <v>41873</v>
      </c>
      <c r="L40" s="600"/>
      <c r="M40" s="600" t="s">
        <v>847</v>
      </c>
      <c r="N40" s="600"/>
      <c r="O40" s="600" t="s">
        <v>823</v>
      </c>
      <c r="P40" s="600"/>
      <c r="Q40" s="600" t="s">
        <v>826</v>
      </c>
      <c r="R40" s="600"/>
      <c r="S40" s="600" t="s">
        <v>808</v>
      </c>
      <c r="T40" s="600"/>
      <c r="U40" s="600" t="s">
        <v>828</v>
      </c>
      <c r="V40" s="600"/>
      <c r="W40" s="602"/>
      <c r="X40" s="600"/>
      <c r="Y40" s="600" t="s">
        <v>829</v>
      </c>
      <c r="Z40" s="600"/>
      <c r="AA40" s="603">
        <v>2571.4</v>
      </c>
      <c r="AB40" s="600"/>
      <c r="AC40" s="603"/>
      <c r="AD40" s="600"/>
      <c r="AE40" s="603">
        <v>-16927.98</v>
      </c>
    </row>
    <row r="41" spans="1:31">
      <c r="A41" s="600"/>
      <c r="B41" s="600"/>
      <c r="C41" s="600"/>
      <c r="D41" s="600"/>
      <c r="E41" s="600"/>
      <c r="F41" s="600"/>
      <c r="G41" s="600"/>
      <c r="H41" s="600"/>
      <c r="I41" s="600" t="s">
        <v>822</v>
      </c>
      <c r="J41" s="600"/>
      <c r="K41" s="601">
        <v>41907</v>
      </c>
      <c r="L41" s="600"/>
      <c r="M41" s="600" t="s">
        <v>848</v>
      </c>
      <c r="N41" s="600"/>
      <c r="O41" s="600" t="s">
        <v>823</v>
      </c>
      <c r="P41" s="600"/>
      <c r="Q41" s="600" t="s">
        <v>826</v>
      </c>
      <c r="R41" s="600"/>
      <c r="S41" s="600" t="s">
        <v>808</v>
      </c>
      <c r="T41" s="600"/>
      <c r="U41" s="600" t="s">
        <v>828</v>
      </c>
      <c r="V41" s="600"/>
      <c r="W41" s="602"/>
      <c r="X41" s="600"/>
      <c r="Y41" s="600" t="s">
        <v>829</v>
      </c>
      <c r="Z41" s="600"/>
      <c r="AA41" s="603">
        <v>2533.16</v>
      </c>
      <c r="AB41" s="600"/>
      <c r="AC41" s="603"/>
      <c r="AD41" s="600"/>
      <c r="AE41" s="603">
        <v>-19461.14</v>
      </c>
    </row>
    <row r="42" spans="1:31">
      <c r="A42" s="600"/>
      <c r="B42" s="600"/>
      <c r="C42" s="600"/>
      <c r="D42" s="600"/>
      <c r="E42" s="600"/>
      <c r="F42" s="600"/>
      <c r="G42" s="600"/>
      <c r="H42" s="600"/>
      <c r="I42" s="600" t="s">
        <v>822</v>
      </c>
      <c r="J42" s="600"/>
      <c r="K42" s="601">
        <v>41936</v>
      </c>
      <c r="L42" s="600"/>
      <c r="M42" s="600" t="s">
        <v>849</v>
      </c>
      <c r="N42" s="600"/>
      <c r="O42" s="600" t="s">
        <v>823</v>
      </c>
      <c r="P42" s="600"/>
      <c r="Q42" s="600" t="s">
        <v>826</v>
      </c>
      <c r="R42" s="600"/>
      <c r="S42" s="600" t="s">
        <v>808</v>
      </c>
      <c r="T42" s="600"/>
      <c r="U42" s="600" t="s">
        <v>828</v>
      </c>
      <c r="V42" s="600"/>
      <c r="W42" s="602"/>
      <c r="X42" s="600"/>
      <c r="Y42" s="600" t="s">
        <v>829</v>
      </c>
      <c r="Z42" s="600"/>
      <c r="AA42" s="603">
        <v>2439.59</v>
      </c>
      <c r="AB42" s="600"/>
      <c r="AC42" s="603"/>
      <c r="AD42" s="600"/>
      <c r="AE42" s="603">
        <v>-21900.73</v>
      </c>
    </row>
    <row r="43" spans="1:31">
      <c r="A43" s="600"/>
      <c r="B43" s="600"/>
      <c r="C43" s="600"/>
      <c r="D43" s="600"/>
      <c r="E43" s="600"/>
      <c r="F43" s="600"/>
      <c r="G43" s="600"/>
      <c r="H43" s="600"/>
      <c r="I43" s="600" t="s">
        <v>822</v>
      </c>
      <c r="J43" s="600"/>
      <c r="K43" s="601">
        <v>41969</v>
      </c>
      <c r="L43" s="600"/>
      <c r="M43" s="600" t="s">
        <v>850</v>
      </c>
      <c r="N43" s="600"/>
      <c r="O43" s="600" t="s">
        <v>823</v>
      </c>
      <c r="P43" s="600"/>
      <c r="Q43" s="600" t="s">
        <v>826</v>
      </c>
      <c r="R43" s="600"/>
      <c r="S43" s="600" t="s">
        <v>808</v>
      </c>
      <c r="T43" s="600"/>
      <c r="U43" s="600" t="s">
        <v>828</v>
      </c>
      <c r="V43" s="600"/>
      <c r="W43" s="602"/>
      <c r="X43" s="600"/>
      <c r="Y43" s="600" t="s">
        <v>829</v>
      </c>
      <c r="Z43" s="600"/>
      <c r="AA43" s="603">
        <v>1980.11</v>
      </c>
      <c r="AB43" s="600"/>
      <c r="AC43" s="603"/>
      <c r="AD43" s="600"/>
      <c r="AE43" s="603">
        <v>-23880.84</v>
      </c>
    </row>
    <row r="44" spans="1:31" ht="13.5" thickBot="1">
      <c r="A44" s="600"/>
      <c r="B44" s="600"/>
      <c r="C44" s="600"/>
      <c r="D44" s="600"/>
      <c r="E44" s="600"/>
      <c r="F44" s="600"/>
      <c r="G44" s="600"/>
      <c r="H44" s="600"/>
      <c r="I44" s="600" t="s">
        <v>822</v>
      </c>
      <c r="J44" s="600"/>
      <c r="K44" s="601">
        <v>41995</v>
      </c>
      <c r="L44" s="600"/>
      <c r="M44" s="600" t="s">
        <v>851</v>
      </c>
      <c r="N44" s="600"/>
      <c r="O44" s="600" t="s">
        <v>823</v>
      </c>
      <c r="P44" s="600"/>
      <c r="Q44" s="600" t="s">
        <v>826</v>
      </c>
      <c r="R44" s="600"/>
      <c r="S44" s="600" t="s">
        <v>808</v>
      </c>
      <c r="T44" s="600"/>
      <c r="U44" s="600" t="s">
        <v>828</v>
      </c>
      <c r="V44" s="600"/>
      <c r="W44" s="602"/>
      <c r="X44" s="600"/>
      <c r="Y44" s="600" t="s">
        <v>829</v>
      </c>
      <c r="Z44" s="600"/>
      <c r="AA44" s="605">
        <v>2276.5300000000002</v>
      </c>
      <c r="AB44" s="600"/>
      <c r="AC44" s="605"/>
      <c r="AD44" s="600"/>
      <c r="AE44" s="605">
        <v>-26157.37</v>
      </c>
    </row>
    <row r="45" spans="1:31" ht="13.5" thickBot="1">
      <c r="A45" s="600"/>
      <c r="B45" s="600"/>
      <c r="C45" s="600"/>
      <c r="D45" s="600" t="s">
        <v>809</v>
      </c>
      <c r="E45" s="600"/>
      <c r="F45" s="600"/>
      <c r="G45" s="600"/>
      <c r="H45" s="600"/>
      <c r="I45" s="600"/>
      <c r="J45" s="600"/>
      <c r="K45" s="601"/>
      <c r="L45" s="600"/>
      <c r="M45" s="600"/>
      <c r="N45" s="600"/>
      <c r="O45" s="600"/>
      <c r="P45" s="600"/>
      <c r="Q45" s="600"/>
      <c r="R45" s="600"/>
      <c r="S45" s="600"/>
      <c r="T45" s="600"/>
      <c r="U45" s="600"/>
      <c r="V45" s="600"/>
      <c r="W45" s="600"/>
      <c r="X45" s="600"/>
      <c r="Y45" s="600"/>
      <c r="Z45" s="600"/>
      <c r="AA45" s="606">
        <f>ROUND(SUM(AA32:AA44),5)</f>
        <v>26157.37</v>
      </c>
      <c r="AB45" s="600"/>
      <c r="AC45" s="606">
        <f>ROUND(SUM(AC32:AC44),5)</f>
        <v>0</v>
      </c>
      <c r="AD45" s="600"/>
      <c r="AE45" s="606">
        <f>AE44</f>
        <v>-26157.37</v>
      </c>
    </row>
    <row r="46" spans="1:31" ht="13.5" thickBot="1">
      <c r="A46" s="600"/>
      <c r="B46" s="600"/>
      <c r="C46" s="600" t="s">
        <v>810</v>
      </c>
      <c r="D46" s="600"/>
      <c r="E46" s="600"/>
      <c r="F46" s="600"/>
      <c r="G46" s="600"/>
      <c r="H46" s="600"/>
      <c r="I46" s="600"/>
      <c r="J46" s="600"/>
      <c r="K46" s="601"/>
      <c r="L46" s="600"/>
      <c r="M46" s="600"/>
      <c r="N46" s="600"/>
      <c r="O46" s="600"/>
      <c r="P46" s="600"/>
      <c r="Q46" s="600"/>
      <c r="R46" s="600"/>
      <c r="S46" s="600"/>
      <c r="T46" s="600"/>
      <c r="U46" s="600"/>
      <c r="V46" s="600"/>
      <c r="W46" s="600"/>
      <c r="X46" s="600"/>
      <c r="Y46" s="600"/>
      <c r="Z46" s="600"/>
      <c r="AA46" s="607">
        <f>ROUND(AA17+AA31+AA45,5)</f>
        <v>26628.880000000001</v>
      </c>
      <c r="AB46" s="600"/>
      <c r="AC46" s="607">
        <f>ROUND(AC17+AC31+AC45,5)</f>
        <v>0</v>
      </c>
      <c r="AD46" s="600"/>
      <c r="AE46" s="607">
        <f>ROUND(AE17+AE31+AE45,5)</f>
        <v>-26628.880000000001</v>
      </c>
    </row>
    <row r="47" spans="1:31">
      <c r="A47" s="600"/>
      <c r="B47" s="600" t="s">
        <v>811</v>
      </c>
      <c r="C47" s="600"/>
      <c r="D47" s="600"/>
      <c r="E47" s="600"/>
      <c r="F47" s="600"/>
      <c r="G47" s="600"/>
      <c r="H47" s="600"/>
      <c r="I47" s="600"/>
      <c r="J47" s="600"/>
      <c r="K47" s="601"/>
      <c r="L47" s="600"/>
      <c r="M47" s="600"/>
      <c r="N47" s="600"/>
      <c r="O47" s="600"/>
      <c r="P47" s="600"/>
      <c r="Q47" s="600"/>
      <c r="R47" s="600"/>
      <c r="S47" s="600"/>
      <c r="T47" s="600"/>
      <c r="U47" s="600"/>
      <c r="V47" s="600"/>
      <c r="W47" s="600"/>
      <c r="X47" s="600"/>
      <c r="Y47" s="600"/>
      <c r="Z47" s="600"/>
      <c r="AA47" s="603">
        <f>AA46</f>
        <v>26628.880000000001</v>
      </c>
      <c r="AB47" s="600"/>
      <c r="AC47" s="603">
        <f>AC46</f>
        <v>0</v>
      </c>
      <c r="AD47" s="600"/>
      <c r="AE47" s="603">
        <f>AE46</f>
        <v>-26628.880000000001</v>
      </c>
    </row>
    <row r="48" spans="1:31">
      <c r="A48" s="597"/>
      <c r="B48" s="597" t="s">
        <v>812</v>
      </c>
      <c r="C48" s="597"/>
      <c r="D48" s="597"/>
      <c r="E48" s="597"/>
      <c r="F48" s="597"/>
      <c r="G48" s="597"/>
      <c r="H48" s="597"/>
      <c r="I48" s="597"/>
      <c r="J48" s="597"/>
      <c r="K48" s="598"/>
      <c r="L48" s="597"/>
      <c r="M48" s="597"/>
      <c r="N48" s="597"/>
      <c r="O48" s="597"/>
      <c r="P48" s="597"/>
      <c r="Q48" s="597"/>
      <c r="R48" s="597"/>
      <c r="S48" s="597"/>
      <c r="T48" s="597"/>
      <c r="U48" s="597"/>
      <c r="V48" s="597"/>
      <c r="W48" s="597"/>
      <c r="X48" s="597"/>
      <c r="Y48" s="597"/>
      <c r="Z48" s="597"/>
      <c r="AA48" s="599"/>
      <c r="AB48" s="597"/>
      <c r="AC48" s="599"/>
      <c r="AD48" s="597"/>
      <c r="AE48" s="599"/>
    </row>
    <row r="49" spans="1:31">
      <c r="A49" s="597"/>
      <c r="B49" s="597"/>
      <c r="C49" s="597" t="s">
        <v>813</v>
      </c>
      <c r="D49" s="597"/>
      <c r="E49" s="597"/>
      <c r="F49" s="597"/>
      <c r="G49" s="597"/>
      <c r="H49" s="597"/>
      <c r="I49" s="597"/>
      <c r="J49" s="597"/>
      <c r="K49" s="598"/>
      <c r="L49" s="597"/>
      <c r="M49" s="597"/>
      <c r="N49" s="597"/>
      <c r="O49" s="597"/>
      <c r="P49" s="597"/>
      <c r="Q49" s="597"/>
      <c r="R49" s="597"/>
      <c r="S49" s="597"/>
      <c r="T49" s="597"/>
      <c r="U49" s="597"/>
      <c r="V49" s="597"/>
      <c r="W49" s="597"/>
      <c r="X49" s="597"/>
      <c r="Y49" s="597"/>
      <c r="Z49" s="597"/>
      <c r="AA49" s="599"/>
      <c r="AB49" s="597"/>
      <c r="AC49" s="599"/>
      <c r="AD49" s="597"/>
      <c r="AE49" s="599"/>
    </row>
    <row r="50" spans="1:31">
      <c r="A50" s="597"/>
      <c r="B50" s="597"/>
      <c r="C50" s="597"/>
      <c r="D50" s="597" t="s">
        <v>814</v>
      </c>
      <c r="E50" s="597"/>
      <c r="F50" s="597"/>
      <c r="G50" s="597"/>
      <c r="H50" s="597"/>
      <c r="I50" s="597"/>
      <c r="J50" s="597"/>
      <c r="K50" s="598"/>
      <c r="L50" s="597"/>
      <c r="M50" s="597"/>
      <c r="N50" s="597"/>
      <c r="O50" s="597"/>
      <c r="P50" s="597"/>
      <c r="Q50" s="597"/>
      <c r="R50" s="597"/>
      <c r="S50" s="597"/>
      <c r="T50" s="597"/>
      <c r="U50" s="597"/>
      <c r="V50" s="597"/>
      <c r="W50" s="597"/>
      <c r="X50" s="597"/>
      <c r="Y50" s="597"/>
      <c r="Z50" s="597"/>
      <c r="AA50" s="599"/>
      <c r="AB50" s="597"/>
      <c r="AC50" s="599"/>
      <c r="AD50" s="597"/>
      <c r="AE50" s="599"/>
    </row>
    <row r="51" spans="1:31">
      <c r="A51" s="597"/>
      <c r="B51" s="597"/>
      <c r="C51" s="597"/>
      <c r="D51" s="597"/>
      <c r="E51" s="597" t="s">
        <v>815</v>
      </c>
      <c r="F51" s="597"/>
      <c r="G51" s="597"/>
      <c r="H51" s="597"/>
      <c r="I51" s="597"/>
      <c r="J51" s="597"/>
      <c r="K51" s="598"/>
      <c r="L51" s="597"/>
      <c r="M51" s="597"/>
      <c r="N51" s="597"/>
      <c r="O51" s="597"/>
      <c r="P51" s="597"/>
      <c r="Q51" s="597"/>
      <c r="R51" s="597"/>
      <c r="S51" s="597"/>
      <c r="T51" s="597"/>
      <c r="U51" s="597"/>
      <c r="V51" s="597"/>
      <c r="W51" s="597"/>
      <c r="X51" s="597"/>
      <c r="Y51" s="597"/>
      <c r="Z51" s="597"/>
      <c r="AA51" s="599"/>
      <c r="AB51" s="597"/>
      <c r="AC51" s="599"/>
      <c r="AD51" s="597"/>
      <c r="AE51" s="599"/>
    </row>
    <row r="52" spans="1:31">
      <c r="A52" s="597"/>
      <c r="B52" s="597"/>
      <c r="C52" s="597"/>
      <c r="D52" s="597"/>
      <c r="E52" s="597"/>
      <c r="F52" s="597" t="s">
        <v>816</v>
      </c>
      <c r="G52" s="597"/>
      <c r="H52" s="597"/>
      <c r="I52" s="597"/>
      <c r="J52" s="597"/>
      <c r="K52" s="598"/>
      <c r="L52" s="597"/>
      <c r="M52" s="597"/>
      <c r="N52" s="597"/>
      <c r="O52" s="597"/>
      <c r="P52" s="597"/>
      <c r="Q52" s="597"/>
      <c r="R52" s="597"/>
      <c r="S52" s="597"/>
      <c r="T52" s="597"/>
      <c r="U52" s="597"/>
      <c r="V52" s="597"/>
      <c r="W52" s="597"/>
      <c r="X52" s="597"/>
      <c r="Y52" s="597"/>
      <c r="Z52" s="597"/>
      <c r="AA52" s="599"/>
      <c r="AB52" s="597"/>
      <c r="AC52" s="599"/>
      <c r="AD52" s="597"/>
      <c r="AE52" s="599"/>
    </row>
    <row r="53" spans="1:31">
      <c r="A53" s="600"/>
      <c r="B53" s="600"/>
      <c r="C53" s="600"/>
      <c r="D53" s="600"/>
      <c r="E53" s="600"/>
      <c r="F53" s="600"/>
      <c r="G53" s="600"/>
      <c r="H53" s="600"/>
      <c r="I53" s="600" t="s">
        <v>822</v>
      </c>
      <c r="J53" s="600"/>
      <c r="K53" s="601">
        <v>41666</v>
      </c>
      <c r="L53" s="600"/>
      <c r="M53" s="600" t="s">
        <v>840</v>
      </c>
      <c r="N53" s="600"/>
      <c r="O53" s="600" t="s">
        <v>823</v>
      </c>
      <c r="P53" s="600"/>
      <c r="Q53" s="600" t="s">
        <v>827</v>
      </c>
      <c r="R53" s="600"/>
      <c r="S53" s="600" t="s">
        <v>816</v>
      </c>
      <c r="T53" s="600"/>
      <c r="U53" s="600" t="s">
        <v>828</v>
      </c>
      <c r="V53" s="600"/>
      <c r="W53" s="602"/>
      <c r="X53" s="600"/>
      <c r="Y53" s="600" t="s">
        <v>829</v>
      </c>
      <c r="Z53" s="600"/>
      <c r="AA53" s="603"/>
      <c r="AB53" s="600"/>
      <c r="AC53" s="603">
        <v>65.52</v>
      </c>
      <c r="AD53" s="600"/>
      <c r="AE53" s="603">
        <v>65.52</v>
      </c>
    </row>
    <row r="54" spans="1:31">
      <c r="A54" s="600"/>
      <c r="B54" s="600"/>
      <c r="C54" s="600"/>
      <c r="D54" s="600"/>
      <c r="E54" s="600"/>
      <c r="F54" s="600"/>
      <c r="G54" s="600"/>
      <c r="H54" s="600"/>
      <c r="I54" s="600" t="s">
        <v>822</v>
      </c>
      <c r="J54" s="600"/>
      <c r="K54" s="601">
        <v>41697</v>
      </c>
      <c r="L54" s="600"/>
      <c r="M54" s="600" t="s">
        <v>841</v>
      </c>
      <c r="N54" s="600"/>
      <c r="O54" s="600" t="s">
        <v>823</v>
      </c>
      <c r="P54" s="600"/>
      <c r="Q54" s="600" t="s">
        <v>827</v>
      </c>
      <c r="R54" s="600"/>
      <c r="S54" s="600" t="s">
        <v>816</v>
      </c>
      <c r="T54" s="600"/>
      <c r="U54" s="600" t="s">
        <v>828</v>
      </c>
      <c r="V54" s="600"/>
      <c r="W54" s="602"/>
      <c r="X54" s="600"/>
      <c r="Y54" s="600" t="s">
        <v>829</v>
      </c>
      <c r="Z54" s="600"/>
      <c r="AA54" s="603"/>
      <c r="AB54" s="600"/>
      <c r="AC54" s="603">
        <v>67.55</v>
      </c>
      <c r="AD54" s="600"/>
      <c r="AE54" s="603">
        <v>133.07</v>
      </c>
    </row>
    <row r="55" spans="1:31">
      <c r="A55" s="600"/>
      <c r="B55" s="600"/>
      <c r="C55" s="600"/>
      <c r="D55" s="600"/>
      <c r="E55" s="600"/>
      <c r="F55" s="600"/>
      <c r="G55" s="600"/>
      <c r="H55" s="600"/>
      <c r="I55" s="600" t="s">
        <v>822</v>
      </c>
      <c r="J55" s="600"/>
      <c r="K55" s="601">
        <v>41723</v>
      </c>
      <c r="L55" s="600"/>
      <c r="M55" s="600" t="s">
        <v>842</v>
      </c>
      <c r="N55" s="600"/>
      <c r="O55" s="600" t="s">
        <v>823</v>
      </c>
      <c r="P55" s="600"/>
      <c r="Q55" s="600" t="s">
        <v>827</v>
      </c>
      <c r="R55" s="600"/>
      <c r="S55" s="600" t="s">
        <v>816</v>
      </c>
      <c r="T55" s="600"/>
      <c r="U55" s="600" t="s">
        <v>828</v>
      </c>
      <c r="V55" s="600"/>
      <c r="W55" s="602"/>
      <c r="X55" s="600"/>
      <c r="Y55" s="600" t="s">
        <v>829</v>
      </c>
      <c r="Z55" s="600"/>
      <c r="AA55" s="603"/>
      <c r="AB55" s="600"/>
      <c r="AC55" s="603">
        <v>57.28</v>
      </c>
      <c r="AD55" s="600"/>
      <c r="AE55" s="603">
        <v>190.35</v>
      </c>
    </row>
    <row r="56" spans="1:31">
      <c r="A56" s="600"/>
      <c r="B56" s="600"/>
      <c r="C56" s="600"/>
      <c r="D56" s="600"/>
      <c r="E56" s="600"/>
      <c r="F56" s="600"/>
      <c r="G56" s="600"/>
      <c r="H56" s="600"/>
      <c r="I56" s="600" t="s">
        <v>822</v>
      </c>
      <c r="J56" s="600"/>
      <c r="K56" s="601">
        <v>41757</v>
      </c>
      <c r="L56" s="600"/>
      <c r="M56" s="600" t="s">
        <v>843</v>
      </c>
      <c r="N56" s="600"/>
      <c r="O56" s="600" t="s">
        <v>823</v>
      </c>
      <c r="P56" s="600"/>
      <c r="Q56" s="600" t="s">
        <v>827</v>
      </c>
      <c r="R56" s="600"/>
      <c r="S56" s="600" t="s">
        <v>816</v>
      </c>
      <c r="T56" s="600"/>
      <c r="U56" s="600" t="s">
        <v>828</v>
      </c>
      <c r="V56" s="600"/>
      <c r="W56" s="602"/>
      <c r="X56" s="600"/>
      <c r="Y56" s="600" t="s">
        <v>829</v>
      </c>
      <c r="Z56" s="600"/>
      <c r="AA56" s="603"/>
      <c r="AB56" s="600"/>
      <c r="AC56" s="603">
        <v>62.38</v>
      </c>
      <c r="AD56" s="600"/>
      <c r="AE56" s="603">
        <v>252.73</v>
      </c>
    </row>
    <row r="57" spans="1:31">
      <c r="A57" s="600"/>
      <c r="B57" s="600"/>
      <c r="C57" s="600"/>
      <c r="D57" s="600"/>
      <c r="E57" s="600"/>
      <c r="F57" s="600"/>
      <c r="G57" s="600"/>
      <c r="H57" s="600"/>
      <c r="I57" s="600" t="s">
        <v>822</v>
      </c>
      <c r="J57" s="600"/>
      <c r="K57" s="601">
        <v>41787</v>
      </c>
      <c r="L57" s="600"/>
      <c r="M57" s="600" t="s">
        <v>844</v>
      </c>
      <c r="N57" s="600"/>
      <c r="O57" s="600" t="s">
        <v>823</v>
      </c>
      <c r="P57" s="600"/>
      <c r="Q57" s="600" t="s">
        <v>827</v>
      </c>
      <c r="R57" s="600"/>
      <c r="S57" s="600" t="s">
        <v>816</v>
      </c>
      <c r="T57" s="600"/>
      <c r="U57" s="600" t="s">
        <v>828</v>
      </c>
      <c r="V57" s="600"/>
      <c r="W57" s="602"/>
      <c r="X57" s="600"/>
      <c r="Y57" s="600" t="s">
        <v>829</v>
      </c>
      <c r="Z57" s="600"/>
      <c r="AA57" s="603"/>
      <c r="AB57" s="600"/>
      <c r="AC57" s="603">
        <v>53.08</v>
      </c>
      <c r="AD57" s="600"/>
      <c r="AE57" s="603">
        <v>305.81</v>
      </c>
    </row>
    <row r="58" spans="1:31">
      <c r="A58" s="600"/>
      <c r="B58" s="600"/>
      <c r="C58" s="600"/>
      <c r="D58" s="600"/>
      <c r="E58" s="600"/>
      <c r="F58" s="600"/>
      <c r="G58" s="600"/>
      <c r="H58" s="600"/>
      <c r="I58" s="600" t="s">
        <v>822</v>
      </c>
      <c r="J58" s="600"/>
      <c r="K58" s="601">
        <v>41815</v>
      </c>
      <c r="L58" s="600"/>
      <c r="M58" s="600" t="s">
        <v>845</v>
      </c>
      <c r="N58" s="600"/>
      <c r="O58" s="600" t="s">
        <v>823</v>
      </c>
      <c r="P58" s="600"/>
      <c r="Q58" s="600" t="s">
        <v>827</v>
      </c>
      <c r="R58" s="600"/>
      <c r="S58" s="600" t="s">
        <v>816</v>
      </c>
      <c r="T58" s="600"/>
      <c r="U58" s="600" t="s">
        <v>828</v>
      </c>
      <c r="V58" s="600"/>
      <c r="W58" s="602"/>
      <c r="X58" s="600"/>
      <c r="Y58" s="600" t="s">
        <v>829</v>
      </c>
      <c r="Z58" s="600"/>
      <c r="AA58" s="603"/>
      <c r="AB58" s="600"/>
      <c r="AC58" s="603">
        <v>63.55</v>
      </c>
      <c r="AD58" s="600"/>
      <c r="AE58" s="603">
        <v>369.36</v>
      </c>
    </row>
    <row r="59" spans="1:31">
      <c r="A59" s="600"/>
      <c r="B59" s="600"/>
      <c r="C59" s="600"/>
      <c r="D59" s="600"/>
      <c r="E59" s="600"/>
      <c r="F59" s="600"/>
      <c r="G59" s="600"/>
      <c r="H59" s="600"/>
      <c r="I59" s="600" t="s">
        <v>822</v>
      </c>
      <c r="J59" s="600"/>
      <c r="K59" s="601">
        <v>41849</v>
      </c>
      <c r="L59" s="600"/>
      <c r="M59" s="600" t="s">
        <v>846</v>
      </c>
      <c r="N59" s="600"/>
      <c r="O59" s="600" t="s">
        <v>823</v>
      </c>
      <c r="P59" s="600"/>
      <c r="Q59" s="600" t="s">
        <v>827</v>
      </c>
      <c r="R59" s="600"/>
      <c r="S59" s="600" t="s">
        <v>816</v>
      </c>
      <c r="T59" s="600"/>
      <c r="U59" s="600" t="s">
        <v>828</v>
      </c>
      <c r="V59" s="600"/>
      <c r="W59" s="602"/>
      <c r="X59" s="600"/>
      <c r="Y59" s="600" t="s">
        <v>829</v>
      </c>
      <c r="Z59" s="600"/>
      <c r="AA59" s="603"/>
      <c r="AB59" s="600"/>
      <c r="AC59" s="603">
        <v>69.739999999999995</v>
      </c>
      <c r="AD59" s="600"/>
      <c r="AE59" s="603">
        <v>439.1</v>
      </c>
    </row>
    <row r="60" spans="1:31">
      <c r="A60" s="600"/>
      <c r="B60" s="600"/>
      <c r="C60" s="600"/>
      <c r="D60" s="600"/>
      <c r="E60" s="600"/>
      <c r="F60" s="600"/>
      <c r="G60" s="600"/>
      <c r="H60" s="600"/>
      <c r="I60" s="600" t="s">
        <v>822</v>
      </c>
      <c r="J60" s="600"/>
      <c r="K60" s="601">
        <v>41873</v>
      </c>
      <c r="L60" s="600"/>
      <c r="M60" s="600" t="s">
        <v>847</v>
      </c>
      <c r="N60" s="600"/>
      <c r="O60" s="600" t="s">
        <v>823</v>
      </c>
      <c r="P60" s="600"/>
      <c r="Q60" s="600" t="s">
        <v>827</v>
      </c>
      <c r="R60" s="600"/>
      <c r="S60" s="600" t="s">
        <v>816</v>
      </c>
      <c r="T60" s="600"/>
      <c r="U60" s="600" t="s">
        <v>828</v>
      </c>
      <c r="V60" s="600"/>
      <c r="W60" s="602"/>
      <c r="X60" s="600"/>
      <c r="Y60" s="600" t="s">
        <v>829</v>
      </c>
      <c r="Z60" s="600"/>
      <c r="AA60" s="603"/>
      <c r="AB60" s="600"/>
      <c r="AC60" s="603">
        <v>78.31</v>
      </c>
      <c r="AD60" s="600"/>
      <c r="AE60" s="603">
        <v>517.41</v>
      </c>
    </row>
    <row r="61" spans="1:31">
      <c r="A61" s="600"/>
      <c r="B61" s="600"/>
      <c r="C61" s="600"/>
      <c r="D61" s="600"/>
      <c r="E61" s="600"/>
      <c r="F61" s="600"/>
      <c r="G61" s="600"/>
      <c r="H61" s="600"/>
      <c r="I61" s="600" t="s">
        <v>822</v>
      </c>
      <c r="J61" s="600"/>
      <c r="K61" s="601">
        <v>41907</v>
      </c>
      <c r="L61" s="600"/>
      <c r="M61" s="600" t="s">
        <v>848</v>
      </c>
      <c r="N61" s="600"/>
      <c r="O61" s="600" t="s">
        <v>823</v>
      </c>
      <c r="P61" s="600"/>
      <c r="Q61" s="600" t="s">
        <v>827</v>
      </c>
      <c r="R61" s="600"/>
      <c r="S61" s="600" t="s">
        <v>816</v>
      </c>
      <c r="T61" s="600"/>
      <c r="U61" s="600" t="s">
        <v>828</v>
      </c>
      <c r="V61" s="600"/>
      <c r="W61" s="602"/>
      <c r="X61" s="600"/>
      <c r="Y61" s="600" t="s">
        <v>829</v>
      </c>
      <c r="Z61" s="600"/>
      <c r="AA61" s="603"/>
      <c r="AB61" s="600"/>
      <c r="AC61" s="603">
        <v>77.2</v>
      </c>
      <c r="AD61" s="600"/>
      <c r="AE61" s="603">
        <v>594.61</v>
      </c>
    </row>
    <row r="62" spans="1:31">
      <c r="A62" s="600"/>
      <c r="B62" s="600"/>
      <c r="C62" s="600"/>
      <c r="D62" s="600"/>
      <c r="E62" s="600"/>
      <c r="F62" s="600"/>
      <c r="G62" s="600"/>
      <c r="H62" s="600"/>
      <c r="I62" s="600" t="s">
        <v>822</v>
      </c>
      <c r="J62" s="600"/>
      <c r="K62" s="601">
        <v>41936</v>
      </c>
      <c r="L62" s="600"/>
      <c r="M62" s="600" t="s">
        <v>849</v>
      </c>
      <c r="N62" s="600"/>
      <c r="O62" s="600" t="s">
        <v>823</v>
      </c>
      <c r="P62" s="600"/>
      <c r="Q62" s="600" t="s">
        <v>827</v>
      </c>
      <c r="R62" s="600"/>
      <c r="S62" s="600" t="s">
        <v>816</v>
      </c>
      <c r="T62" s="600"/>
      <c r="U62" s="600" t="s">
        <v>828</v>
      </c>
      <c r="V62" s="600"/>
      <c r="W62" s="602"/>
      <c r="X62" s="600"/>
      <c r="Y62" s="600" t="s">
        <v>829</v>
      </c>
      <c r="Z62" s="600"/>
      <c r="AA62" s="603"/>
      <c r="AB62" s="600"/>
      <c r="AC62" s="603">
        <v>74.290000000000006</v>
      </c>
      <c r="AD62" s="600"/>
      <c r="AE62" s="603">
        <v>668.9</v>
      </c>
    </row>
    <row r="63" spans="1:31">
      <c r="A63" s="600"/>
      <c r="B63" s="600"/>
      <c r="C63" s="600"/>
      <c r="D63" s="600"/>
      <c r="E63" s="600"/>
      <c r="F63" s="600"/>
      <c r="G63" s="600"/>
      <c r="H63" s="600"/>
      <c r="I63" s="600" t="s">
        <v>822</v>
      </c>
      <c r="J63" s="600"/>
      <c r="K63" s="601">
        <v>41969</v>
      </c>
      <c r="L63" s="600"/>
      <c r="M63" s="600" t="s">
        <v>850</v>
      </c>
      <c r="N63" s="600"/>
      <c r="O63" s="600" t="s">
        <v>823</v>
      </c>
      <c r="P63" s="600"/>
      <c r="Q63" s="600" t="s">
        <v>827</v>
      </c>
      <c r="R63" s="600"/>
      <c r="S63" s="600" t="s">
        <v>816</v>
      </c>
      <c r="T63" s="600"/>
      <c r="U63" s="600" t="s">
        <v>828</v>
      </c>
      <c r="V63" s="600"/>
      <c r="W63" s="602"/>
      <c r="X63" s="600"/>
      <c r="Y63" s="600" t="s">
        <v>829</v>
      </c>
      <c r="Z63" s="600"/>
      <c r="AA63" s="603"/>
      <c r="AB63" s="600"/>
      <c r="AC63" s="603">
        <v>60.53</v>
      </c>
      <c r="AD63" s="600"/>
      <c r="AE63" s="603">
        <v>729.43</v>
      </c>
    </row>
    <row r="64" spans="1:31" ht="13.5" thickBot="1">
      <c r="A64" s="600"/>
      <c r="B64" s="600"/>
      <c r="C64" s="600"/>
      <c r="D64" s="600"/>
      <c r="E64" s="600"/>
      <c r="F64" s="600"/>
      <c r="G64" s="600"/>
      <c r="H64" s="600"/>
      <c r="I64" s="600" t="s">
        <v>822</v>
      </c>
      <c r="J64" s="600"/>
      <c r="K64" s="601">
        <v>41995</v>
      </c>
      <c r="L64" s="600"/>
      <c r="M64" s="600" t="s">
        <v>851</v>
      </c>
      <c r="N64" s="600"/>
      <c r="O64" s="600" t="s">
        <v>823</v>
      </c>
      <c r="P64" s="600"/>
      <c r="Q64" s="600" t="s">
        <v>827</v>
      </c>
      <c r="R64" s="600"/>
      <c r="S64" s="600" t="s">
        <v>816</v>
      </c>
      <c r="T64" s="600"/>
      <c r="U64" s="600" t="s">
        <v>828</v>
      </c>
      <c r="V64" s="600"/>
      <c r="W64" s="602"/>
      <c r="X64" s="600"/>
      <c r="Y64" s="600" t="s">
        <v>829</v>
      </c>
      <c r="Z64" s="600"/>
      <c r="AA64" s="605"/>
      <c r="AB64" s="600"/>
      <c r="AC64" s="605">
        <v>69.44</v>
      </c>
      <c r="AD64" s="600"/>
      <c r="AE64" s="605">
        <v>798.87</v>
      </c>
    </row>
    <row r="65" spans="1:31" ht="13.5" thickBot="1">
      <c r="A65" s="600"/>
      <c r="B65" s="600"/>
      <c r="C65" s="600"/>
      <c r="D65" s="600"/>
      <c r="E65" s="600"/>
      <c r="F65" s="600" t="s">
        <v>817</v>
      </c>
      <c r="G65" s="600"/>
      <c r="H65" s="600"/>
      <c r="I65" s="600"/>
      <c r="J65" s="600"/>
      <c r="K65" s="601"/>
      <c r="L65" s="600"/>
      <c r="M65" s="600"/>
      <c r="N65" s="600"/>
      <c r="O65" s="600"/>
      <c r="P65" s="600"/>
      <c r="Q65" s="600"/>
      <c r="R65" s="600"/>
      <c r="S65" s="600"/>
      <c r="T65" s="600"/>
      <c r="U65" s="600"/>
      <c r="V65" s="600"/>
      <c r="W65" s="600"/>
      <c r="X65" s="600"/>
      <c r="Y65" s="600"/>
      <c r="Z65" s="600"/>
      <c r="AA65" s="606">
        <f>ROUND(SUM(AA52:AA64),5)</f>
        <v>0</v>
      </c>
      <c r="AB65" s="600"/>
      <c r="AC65" s="606">
        <f>ROUND(SUM(AC52:AC64),5)</f>
        <v>798.87</v>
      </c>
      <c r="AD65" s="600"/>
      <c r="AE65" s="606">
        <f>AE64</f>
        <v>798.87</v>
      </c>
    </row>
    <row r="66" spans="1:31" ht="13.5" thickBot="1">
      <c r="A66" s="600"/>
      <c r="B66" s="600"/>
      <c r="C66" s="600"/>
      <c r="D66" s="600"/>
      <c r="E66" s="600" t="s">
        <v>818</v>
      </c>
      <c r="F66" s="600"/>
      <c r="G66" s="600"/>
      <c r="H66" s="600"/>
      <c r="I66" s="600"/>
      <c r="J66" s="600"/>
      <c r="K66" s="601"/>
      <c r="L66" s="600"/>
      <c r="M66" s="600"/>
      <c r="N66" s="600"/>
      <c r="O66" s="600"/>
      <c r="P66" s="600"/>
      <c r="Q66" s="600"/>
      <c r="R66" s="600"/>
      <c r="S66" s="600"/>
      <c r="T66" s="600"/>
      <c r="U66" s="600"/>
      <c r="V66" s="600"/>
      <c r="W66" s="600"/>
      <c r="X66" s="600"/>
      <c r="Y66" s="600"/>
      <c r="Z66" s="600"/>
      <c r="AA66" s="606">
        <f>AA65</f>
        <v>0</v>
      </c>
      <c r="AB66" s="600"/>
      <c r="AC66" s="606">
        <f>AC65</f>
        <v>798.87</v>
      </c>
      <c r="AD66" s="600"/>
      <c r="AE66" s="606">
        <f>AE65</f>
        <v>798.87</v>
      </c>
    </row>
    <row r="67" spans="1:31" ht="13.5" thickBot="1">
      <c r="A67" s="600"/>
      <c r="B67" s="600"/>
      <c r="C67" s="600"/>
      <c r="D67" s="600" t="s">
        <v>819</v>
      </c>
      <c r="E67" s="600"/>
      <c r="F67" s="600"/>
      <c r="G67" s="600"/>
      <c r="H67" s="600"/>
      <c r="I67" s="600"/>
      <c r="J67" s="600"/>
      <c r="K67" s="601"/>
      <c r="L67" s="600"/>
      <c r="M67" s="600"/>
      <c r="N67" s="600"/>
      <c r="O67" s="600"/>
      <c r="P67" s="600"/>
      <c r="Q67" s="600"/>
      <c r="R67" s="600"/>
      <c r="S67" s="600"/>
      <c r="T67" s="600"/>
      <c r="U67" s="600"/>
      <c r="V67" s="600"/>
      <c r="W67" s="600"/>
      <c r="X67" s="600"/>
      <c r="Y67" s="600"/>
      <c r="Z67" s="600"/>
      <c r="AA67" s="606">
        <f>AA66</f>
        <v>0</v>
      </c>
      <c r="AB67" s="600"/>
      <c r="AC67" s="606">
        <f>AC66</f>
        <v>798.87</v>
      </c>
      <c r="AD67" s="600"/>
      <c r="AE67" s="606">
        <f>AE66</f>
        <v>798.87</v>
      </c>
    </row>
    <row r="68" spans="1:31" ht="13.5" thickBot="1">
      <c r="A68" s="600"/>
      <c r="B68" s="600"/>
      <c r="C68" s="600" t="s">
        <v>820</v>
      </c>
      <c r="D68" s="600"/>
      <c r="E68" s="600"/>
      <c r="F68" s="600"/>
      <c r="G68" s="600"/>
      <c r="H68" s="600"/>
      <c r="I68" s="600"/>
      <c r="J68" s="600"/>
      <c r="K68" s="601"/>
      <c r="L68" s="600"/>
      <c r="M68" s="600"/>
      <c r="N68" s="600"/>
      <c r="O68" s="600"/>
      <c r="P68" s="600"/>
      <c r="Q68" s="600"/>
      <c r="R68" s="600"/>
      <c r="S68" s="600"/>
      <c r="T68" s="600"/>
      <c r="U68" s="600"/>
      <c r="V68" s="600"/>
      <c r="W68" s="600"/>
      <c r="X68" s="600"/>
      <c r="Y68" s="600"/>
      <c r="Z68" s="600"/>
      <c r="AA68" s="606">
        <f>AA67</f>
        <v>0</v>
      </c>
      <c r="AB68" s="600"/>
      <c r="AC68" s="606">
        <f>AC67</f>
        <v>798.87</v>
      </c>
      <c r="AD68" s="600"/>
      <c r="AE68" s="606">
        <f>AE67</f>
        <v>798.87</v>
      </c>
    </row>
    <row r="69" spans="1:31" ht="13.5" thickBot="1">
      <c r="A69" s="600"/>
      <c r="B69" s="600" t="s">
        <v>821</v>
      </c>
      <c r="C69" s="600"/>
      <c r="D69" s="600"/>
      <c r="E69" s="600"/>
      <c r="F69" s="600"/>
      <c r="G69" s="600"/>
      <c r="H69" s="600"/>
      <c r="I69" s="600"/>
      <c r="J69" s="600"/>
      <c r="K69" s="601"/>
      <c r="L69" s="600"/>
      <c r="M69" s="600"/>
      <c r="N69" s="600"/>
      <c r="O69" s="600"/>
      <c r="P69" s="600"/>
      <c r="Q69" s="600"/>
      <c r="R69" s="600"/>
      <c r="S69" s="600"/>
      <c r="T69" s="600"/>
      <c r="U69" s="600"/>
      <c r="V69" s="600"/>
      <c r="W69" s="600"/>
      <c r="X69" s="600"/>
      <c r="Y69" s="600"/>
      <c r="Z69" s="600"/>
      <c r="AA69" s="606">
        <f>AA68</f>
        <v>0</v>
      </c>
      <c r="AB69" s="600"/>
      <c r="AC69" s="606">
        <f>AC68</f>
        <v>798.87</v>
      </c>
      <c r="AD69" s="600"/>
      <c r="AE69" s="606">
        <f>AE68</f>
        <v>798.87</v>
      </c>
    </row>
    <row r="70" spans="1:31" s="609" customFormat="1" ht="12" thickBot="1">
      <c r="A70" s="597" t="s">
        <v>700</v>
      </c>
      <c r="B70" s="597"/>
      <c r="C70" s="597"/>
      <c r="D70" s="597"/>
      <c r="E70" s="597"/>
      <c r="F70" s="597"/>
      <c r="G70" s="597"/>
      <c r="H70" s="597"/>
      <c r="I70" s="597"/>
      <c r="J70" s="597"/>
      <c r="K70" s="598"/>
      <c r="L70" s="597"/>
      <c r="M70" s="597"/>
      <c r="N70" s="597"/>
      <c r="O70" s="597"/>
      <c r="P70" s="597"/>
      <c r="Q70" s="597"/>
      <c r="R70" s="597"/>
      <c r="S70" s="597"/>
      <c r="T70" s="597"/>
      <c r="U70" s="597"/>
      <c r="V70" s="597"/>
      <c r="W70" s="597"/>
      <c r="X70" s="597"/>
      <c r="Y70" s="597"/>
      <c r="Z70" s="597"/>
      <c r="AA70" s="608">
        <f>ROUND(AA47+AA69,5)</f>
        <v>26628.880000000001</v>
      </c>
      <c r="AB70" s="597"/>
      <c r="AC70" s="608">
        <f>ROUND(AC47+AC69,5)</f>
        <v>798.87</v>
      </c>
      <c r="AD70" s="597"/>
      <c r="AE70" s="608">
        <f>ROUND(AE47+AE69,5)</f>
        <v>-25830.01</v>
      </c>
    </row>
    <row r="71" spans="1:31" ht="13.5" thickTop="1"/>
  </sheetData>
  <pageMargins left="0.7" right="0.7" top="0.75" bottom="0.75" header="0.1" footer="0.3"/>
  <pageSetup orientation="portrait" r:id="rId1"/>
  <headerFooter>
    <oddHeader>&amp;L&amp;"Arial,Bold"&amp;8 3:15 PM
&amp;"Arial,Bold"&amp;8 02/11/16
&amp;"Arial,Bold"&amp;8 Accrual Basis&amp;C&amp;"Arial,Bold"&amp;12 CENTRAL MUNICIPAL POWER AGENCY AND SERVICES
&amp;"Arial,Bold"&amp;14 Custom Transaction Detail Report
&amp;"Arial,Bold"&amp;10 January through December 2014</oddHeader>
    <oddFooter>&amp;R&amp;"Arial,Bold"&amp;8 Page &amp;P of &amp;N</oddFooter>
  </headerFooter>
  <drawing r:id="rId2"/>
  <legacyDrawing r:id="rId3"/>
  <controls>
    <mc:AlternateContent xmlns:mc="http://schemas.openxmlformats.org/markup-compatibility/2006">
      <mc:Choice Requires="x14">
        <control shapeId="4102" r:id="rId4" name="HEADER">
          <controlPr defaultSize="0" autoLine="0" r:id="rId5">
            <anchor moveWithCells="1">
              <from>
                <xdr:col>0</xdr:col>
                <xdr:colOff>0</xdr:colOff>
                <xdr:row>0</xdr:row>
                <xdr:rowOff>0</xdr:rowOff>
              </from>
              <to>
                <xdr:col>4</xdr:col>
                <xdr:colOff>114300</xdr:colOff>
                <xdr:row>1</xdr:row>
                <xdr:rowOff>57150</xdr:rowOff>
              </to>
            </anchor>
          </controlPr>
        </control>
      </mc:Choice>
      <mc:Fallback>
        <control shapeId="4102" r:id="rId4" name="HEADER"/>
      </mc:Fallback>
    </mc:AlternateContent>
    <mc:AlternateContent xmlns:mc="http://schemas.openxmlformats.org/markup-compatibility/2006">
      <mc:Choice Requires="x14">
        <control shapeId="4101" r:id="rId6" name="FILTER">
          <controlPr defaultSize="0" autoLine="0" r:id="rId7">
            <anchor moveWithCells="1">
              <from>
                <xdr:col>0</xdr:col>
                <xdr:colOff>0</xdr:colOff>
                <xdr:row>0</xdr:row>
                <xdr:rowOff>0</xdr:rowOff>
              </from>
              <to>
                <xdr:col>4</xdr:col>
                <xdr:colOff>114300</xdr:colOff>
                <xdr:row>1</xdr:row>
                <xdr:rowOff>57150</xdr:rowOff>
              </to>
            </anchor>
          </controlPr>
        </control>
      </mc:Choice>
      <mc:Fallback>
        <control shapeId="4101" r:id="rId6" name="FILTER"/>
      </mc:Fallback>
    </mc:AlternateContent>
  </control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8"/>
  <sheetViews>
    <sheetView workbookViewId="0">
      <pane xSplit="3" ySplit="1" topLeftCell="D2" activePane="bottomRight" state="frozenSplit"/>
      <selection pane="topRight" activeCell="D1" sqref="D1"/>
      <selection pane="bottomLeft" activeCell="A2" sqref="A2"/>
      <selection pane="bottomRight" activeCell="T19" sqref="T19"/>
    </sheetView>
  </sheetViews>
  <sheetFormatPr defaultRowHeight="12.75"/>
  <cols>
    <col min="1" max="2" width="3" customWidth="1"/>
    <col min="3" max="3" width="27.140625" customWidth="1"/>
    <col min="4" max="5" width="2.28515625" customWidth="1"/>
    <col min="6" max="6" width="6.140625" bestFit="1" customWidth="1"/>
    <col min="7" max="7" width="2.28515625" customWidth="1"/>
    <col min="8" max="8" width="8.7109375" bestFit="1" customWidth="1"/>
    <col min="9" max="9" width="2.28515625" customWidth="1"/>
    <col min="10" max="10" width="4.5703125" bestFit="1" customWidth="1"/>
    <col min="11" max="11" width="2.28515625" customWidth="1"/>
    <col min="12" max="12" width="11" bestFit="1" customWidth="1"/>
    <col min="13" max="13" width="2.28515625" customWidth="1"/>
    <col min="14" max="14" width="6.140625" bestFit="1" customWidth="1"/>
    <col min="15" max="15" width="2.28515625" customWidth="1"/>
    <col min="16" max="16" width="5.42578125" bestFit="1" customWidth="1"/>
    <col min="17" max="17" width="2.28515625" customWidth="1"/>
    <col min="18" max="18" width="3.28515625" bestFit="1" customWidth="1"/>
    <col min="19" max="19" width="2.28515625" customWidth="1"/>
    <col min="20" max="20" width="27.140625" bestFit="1" customWidth="1"/>
    <col min="21" max="21" width="2.28515625" customWidth="1"/>
    <col min="22" max="22" width="5" bestFit="1" customWidth="1"/>
    <col min="23" max="23" width="2.28515625" customWidth="1"/>
    <col min="24" max="24" width="7.85546875" bestFit="1" customWidth="1"/>
    <col min="25" max="25" width="2.28515625" customWidth="1"/>
    <col min="26" max="26" width="7.85546875" bestFit="1" customWidth="1"/>
  </cols>
  <sheetData>
    <row r="7" ht="25.5" customHeight="1"/>
    <row r="8" ht="25.5" customHeight="1"/>
  </sheetData>
  <pageMargins left="0.7" right="0.7" top="0.75" bottom="0.75" header="0.25" footer="0.3"/>
  <pageSetup orientation="portrait" r:id="rId1"/>
  <headerFooter>
    <oddHeader>&amp;L&amp;"Arial,Bold"&amp;8 9:45 AM
&amp;"Arial,Bold"&amp;8 04/27/12
&amp;"Arial,Bold"&amp;8 Accrual Basis&amp;C&amp;"Arial,Bold"&amp;12 UTILITIES PLUS
&amp;"Arial,Bold"&amp;14 Transaction Detail By Account
&amp;"Arial,Bold"&amp;10 January through December 2010</oddHeader>
    <oddFooter>&amp;R&amp;"Arial,Bold"&amp;8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34" workbookViewId="0">
      <selection activeCell="I12" sqref="I12"/>
    </sheetView>
  </sheetViews>
  <sheetFormatPr defaultRowHeight="12.75"/>
  <cols>
    <col min="1" max="1" width="6.7109375" customWidth="1"/>
    <col min="2" max="2" width="40.85546875" customWidth="1"/>
    <col min="3" max="3" width="16.7109375" customWidth="1"/>
    <col min="4" max="4" width="6.7109375" customWidth="1"/>
    <col min="5" max="5" width="42.28515625" customWidth="1"/>
    <col min="6" max="6" width="16.7109375" customWidth="1"/>
  </cols>
  <sheetData>
    <row r="1" spans="1:6" ht="15">
      <c r="A1" s="692" t="s">
        <v>159</v>
      </c>
      <c r="B1" s="692"/>
      <c r="C1" s="692"/>
      <c r="D1" s="692"/>
      <c r="E1" s="692"/>
      <c r="F1" s="692"/>
    </row>
    <row r="2" spans="1:6" ht="15">
      <c r="A2" s="693" t="s">
        <v>426</v>
      </c>
      <c r="B2" s="693"/>
      <c r="C2" s="693"/>
      <c r="D2" s="693"/>
      <c r="E2" s="693"/>
      <c r="F2" s="693"/>
    </row>
    <row r="3" spans="1:6" ht="15">
      <c r="A3" s="694">
        <v>42004</v>
      </c>
      <c r="B3" s="694"/>
      <c r="C3" s="694"/>
      <c r="D3" s="694"/>
      <c r="E3" s="694"/>
      <c r="F3" s="694"/>
    </row>
    <row r="5" spans="1:6" ht="15">
      <c r="A5" s="695" t="s">
        <v>427</v>
      </c>
      <c r="B5" s="695"/>
      <c r="C5" s="695"/>
      <c r="D5" s="695"/>
      <c r="E5" s="695"/>
      <c r="F5" s="695"/>
    </row>
    <row r="6" spans="1:6">
      <c r="A6" s="215" t="s">
        <v>168</v>
      </c>
      <c r="B6" s="216"/>
      <c r="C6" s="215" t="s">
        <v>428</v>
      </c>
      <c r="D6" s="215" t="s">
        <v>168</v>
      </c>
      <c r="E6" s="216"/>
      <c r="F6" s="215" t="s">
        <v>428</v>
      </c>
    </row>
    <row r="7" spans="1:6" ht="13.5" thickBot="1">
      <c r="A7" s="217" t="s">
        <v>170</v>
      </c>
      <c r="B7" s="215" t="s">
        <v>429</v>
      </c>
      <c r="C7" s="217" t="s">
        <v>430</v>
      </c>
      <c r="D7" s="217" t="s">
        <v>431</v>
      </c>
      <c r="E7" s="215" t="s">
        <v>432</v>
      </c>
      <c r="F7" s="217" t="s">
        <v>430</v>
      </c>
    </row>
    <row r="8" spans="1:6" ht="14.25" thickTop="1" thickBot="1">
      <c r="A8" s="46"/>
      <c r="B8" s="218" t="s">
        <v>433</v>
      </c>
      <c r="C8" s="219"/>
      <c r="D8" s="220"/>
      <c r="E8" s="218" t="s">
        <v>434</v>
      </c>
      <c r="F8" s="219"/>
    </row>
    <row r="9" spans="1:6" ht="13.5" thickTop="1">
      <c r="A9" s="46">
        <v>1</v>
      </c>
      <c r="B9" s="221" t="s">
        <v>435</v>
      </c>
      <c r="C9" s="222"/>
      <c r="D9" s="223"/>
      <c r="E9" s="221"/>
      <c r="F9" s="222"/>
    </row>
    <row r="10" spans="1:6">
      <c r="A10" s="224"/>
      <c r="B10" s="225" t="s">
        <v>436</v>
      </c>
      <c r="C10" s="394">
        <f>'EIA412 ELECTRIC PLANT'!G25</f>
        <v>9474491.625</v>
      </c>
      <c r="D10" s="226">
        <v>29</v>
      </c>
      <c r="E10" s="225" t="s">
        <v>437</v>
      </c>
      <c r="F10" s="227">
        <v>0</v>
      </c>
    </row>
    <row r="11" spans="1:6">
      <c r="A11" s="228">
        <v>2</v>
      </c>
      <c r="B11" s="229" t="s">
        <v>438</v>
      </c>
      <c r="C11" s="395">
        <f>'EIA412 ELECTRIC PLANT'!G27</f>
        <v>0</v>
      </c>
      <c r="D11" s="230">
        <v>30</v>
      </c>
      <c r="E11" s="231" t="s">
        <v>439</v>
      </c>
      <c r="F11" s="232">
        <f>4088954+2</f>
        <v>4088956</v>
      </c>
    </row>
    <row r="12" spans="1:6">
      <c r="A12" s="46">
        <v>3</v>
      </c>
      <c r="B12" s="221" t="s">
        <v>440</v>
      </c>
      <c r="C12" s="396"/>
      <c r="D12" s="223"/>
      <c r="E12" s="221"/>
      <c r="F12" s="222"/>
    </row>
    <row r="13" spans="1:6">
      <c r="A13" s="46"/>
      <c r="B13" s="221" t="s">
        <v>441</v>
      </c>
      <c r="C13" s="396"/>
      <c r="D13" s="223">
        <v>31</v>
      </c>
      <c r="E13" s="221" t="s">
        <v>442</v>
      </c>
      <c r="F13" s="222"/>
    </row>
    <row r="14" spans="1:6">
      <c r="A14" s="224"/>
      <c r="B14" s="225" t="s">
        <v>443</v>
      </c>
      <c r="C14" s="394">
        <f>-'EIA412 ELECTRIC PLANT'!I20</f>
        <v>-6035174.955583334</v>
      </c>
      <c r="D14" s="226"/>
      <c r="E14" s="225" t="s">
        <v>444</v>
      </c>
      <c r="F14" s="227">
        <v>0</v>
      </c>
    </row>
    <row r="15" spans="1:6" ht="26.25" thickBot="1">
      <c r="A15" s="228">
        <v>4</v>
      </c>
      <c r="B15" s="233" t="s">
        <v>445</v>
      </c>
      <c r="C15" s="234">
        <f>+C10+C11+C14</f>
        <v>3439316.669416666</v>
      </c>
      <c r="D15" s="235">
        <v>32</v>
      </c>
      <c r="E15" s="236" t="s">
        <v>446</v>
      </c>
      <c r="F15" s="237">
        <f>+F14+F11+F10</f>
        <v>4088956</v>
      </c>
    </row>
    <row r="16" spans="1:6" ht="14.25" thickTop="1" thickBot="1">
      <c r="A16" s="238">
        <v>5</v>
      </c>
      <c r="B16" s="231" t="s">
        <v>447</v>
      </c>
      <c r="C16" s="232"/>
      <c r="D16" s="223"/>
      <c r="E16" s="239" t="s">
        <v>448</v>
      </c>
      <c r="F16" s="222"/>
    </row>
    <row r="17" spans="1:9" ht="13.5" thickTop="1">
      <c r="A17" s="240">
        <v>6</v>
      </c>
      <c r="B17" s="221" t="s">
        <v>440</v>
      </c>
      <c r="C17" s="222"/>
      <c r="D17" s="223"/>
      <c r="E17" s="221"/>
      <c r="F17" s="222"/>
    </row>
    <row r="18" spans="1:9">
      <c r="A18" s="46"/>
      <c r="B18" s="221" t="s">
        <v>449</v>
      </c>
      <c r="C18" s="222"/>
      <c r="D18" s="223"/>
      <c r="E18" s="221" t="s">
        <v>450</v>
      </c>
      <c r="F18" s="222"/>
    </row>
    <row r="19" spans="1:9">
      <c r="A19" s="224"/>
      <c r="B19" s="225" t="s">
        <v>451</v>
      </c>
      <c r="C19" s="227">
        <v>0</v>
      </c>
      <c r="D19" s="226">
        <v>33</v>
      </c>
      <c r="E19" s="225" t="s">
        <v>452</v>
      </c>
      <c r="F19" s="241">
        <f>+F20+F21+F22+F23</f>
        <v>2103750</v>
      </c>
    </row>
    <row r="20" spans="1:9">
      <c r="A20" s="46">
        <v>7</v>
      </c>
      <c r="B20" s="242" t="s">
        <v>453</v>
      </c>
      <c r="C20" s="222"/>
      <c r="D20" s="243" t="s">
        <v>454</v>
      </c>
      <c r="E20" s="231" t="s">
        <v>455</v>
      </c>
      <c r="F20" s="227">
        <v>0</v>
      </c>
    </row>
    <row r="21" spans="1:9" ht="13.5" thickBot="1">
      <c r="A21" s="224"/>
      <c r="B21" s="242" t="s">
        <v>456</v>
      </c>
      <c r="C21" s="244">
        <f>+C15+C16+C19</f>
        <v>3439316.669416666</v>
      </c>
      <c r="D21" s="230" t="s">
        <v>457</v>
      </c>
      <c r="E21" s="229" t="s">
        <v>458</v>
      </c>
      <c r="F21" s="227">
        <f>'MLS2_Debt P&amp;I&amp;A '!S59-'MLS2_Debt P&amp;I&amp;A '!J59</f>
        <v>2103750</v>
      </c>
      <c r="H21" t="s">
        <v>157</v>
      </c>
    </row>
    <row r="22" spans="1:9" ht="14.25" thickTop="1" thickBot="1">
      <c r="A22" s="46"/>
      <c r="B22" s="218" t="s">
        <v>459</v>
      </c>
      <c r="C22" s="222"/>
      <c r="D22" s="230" t="s">
        <v>460</v>
      </c>
      <c r="E22" s="229" t="s">
        <v>461</v>
      </c>
      <c r="F22" s="227">
        <v>0</v>
      </c>
      <c r="I22" t="s">
        <v>157</v>
      </c>
    </row>
    <row r="23" spans="1:9" ht="13.5" thickTop="1">
      <c r="A23" s="224">
        <v>8</v>
      </c>
      <c r="B23" s="225" t="s">
        <v>462</v>
      </c>
      <c r="C23" s="227">
        <v>0</v>
      </c>
      <c r="D23" s="230" t="s">
        <v>463</v>
      </c>
      <c r="E23" s="229" t="s">
        <v>464</v>
      </c>
      <c r="F23" s="227">
        <v>0</v>
      </c>
    </row>
    <row r="24" spans="1:9">
      <c r="A24" s="46">
        <v>9</v>
      </c>
      <c r="B24" s="221" t="s">
        <v>440</v>
      </c>
      <c r="C24" s="222"/>
      <c r="D24" s="230"/>
      <c r="E24" s="229"/>
      <c r="F24" s="229"/>
    </row>
    <row r="25" spans="1:9">
      <c r="A25" s="224"/>
      <c r="B25" s="225" t="s">
        <v>465</v>
      </c>
      <c r="C25" s="227">
        <v>0</v>
      </c>
      <c r="D25" s="230"/>
      <c r="E25" s="229"/>
      <c r="F25" s="229"/>
    </row>
    <row r="26" spans="1:9">
      <c r="A26" s="46">
        <v>10</v>
      </c>
      <c r="B26" s="221" t="s">
        <v>466</v>
      </c>
      <c r="C26" s="222"/>
      <c r="D26" s="220">
        <v>34</v>
      </c>
      <c r="E26" s="245" t="s">
        <v>467</v>
      </c>
      <c r="F26" s="246"/>
    </row>
    <row r="27" spans="1:9">
      <c r="A27" s="224"/>
      <c r="B27" s="225" t="s">
        <v>468</v>
      </c>
      <c r="C27" s="227">
        <v>0</v>
      </c>
      <c r="D27" s="226"/>
      <c r="E27" s="225" t="s">
        <v>469</v>
      </c>
      <c r="F27" s="227">
        <v>0</v>
      </c>
    </row>
    <row r="28" spans="1:9" ht="25.5">
      <c r="A28" s="228">
        <v>11</v>
      </c>
      <c r="B28" s="247" t="s">
        <v>470</v>
      </c>
      <c r="C28" s="248">
        <f>+C29+C30+C31+C32</f>
        <v>1360894</v>
      </c>
      <c r="D28" s="220">
        <v>35</v>
      </c>
      <c r="E28" s="245" t="s">
        <v>471</v>
      </c>
      <c r="F28" s="222"/>
    </row>
    <row r="29" spans="1:9">
      <c r="A29" s="249" t="s">
        <v>472</v>
      </c>
      <c r="B29" s="229" t="s">
        <v>473</v>
      </c>
      <c r="C29" s="232">
        <f>99974</f>
        <v>99974</v>
      </c>
      <c r="D29" s="226"/>
      <c r="E29" s="250" t="s">
        <v>474</v>
      </c>
      <c r="F29" s="227">
        <v>0</v>
      </c>
    </row>
    <row r="30" spans="1:9">
      <c r="A30" s="228" t="s">
        <v>475</v>
      </c>
      <c r="B30" s="229" t="s">
        <v>476</v>
      </c>
      <c r="C30" s="232">
        <v>0</v>
      </c>
      <c r="D30" s="223">
        <v>36</v>
      </c>
      <c r="E30" s="251" t="s">
        <v>477</v>
      </c>
      <c r="F30" s="222"/>
    </row>
    <row r="31" spans="1:9">
      <c r="A31" s="228" t="s">
        <v>478</v>
      </c>
      <c r="B31" s="229" t="s">
        <v>479</v>
      </c>
      <c r="C31" s="232">
        <f>425229+835691</f>
        <v>1260920</v>
      </c>
      <c r="D31" s="226"/>
      <c r="E31" s="225" t="s">
        <v>480</v>
      </c>
      <c r="F31" s="227">
        <f>'MLS2_Debt P&amp;I&amp;A '!J59</f>
        <v>-70261</v>
      </c>
    </row>
    <row r="32" spans="1:9" ht="13.5" thickBot="1">
      <c r="A32" s="228" t="s">
        <v>481</v>
      </c>
      <c r="B32" s="229" t="s">
        <v>482</v>
      </c>
      <c r="C32" s="232">
        <v>0</v>
      </c>
      <c r="D32" s="226">
        <v>37</v>
      </c>
      <c r="E32" s="252" t="s">
        <v>483</v>
      </c>
      <c r="F32" s="253">
        <f>+F19+F27+F29+F31</f>
        <v>2033489</v>
      </c>
    </row>
    <row r="33" spans="1:8" ht="27" thickTop="1" thickBot="1">
      <c r="A33" s="228">
        <v>12</v>
      </c>
      <c r="B33" s="254" t="s">
        <v>484</v>
      </c>
      <c r="C33" s="234">
        <f>+C23+C25+C27+C28</f>
        <v>1360894</v>
      </c>
      <c r="D33" s="226"/>
      <c r="E33" s="218" t="s">
        <v>485</v>
      </c>
      <c r="F33" s="255"/>
    </row>
    <row r="34" spans="1:8" ht="14.25" thickTop="1" thickBot="1">
      <c r="A34" s="46"/>
      <c r="B34" s="218" t="s">
        <v>486</v>
      </c>
      <c r="C34" s="222"/>
      <c r="D34" s="230">
        <v>38</v>
      </c>
      <c r="E34" s="250" t="s">
        <v>487</v>
      </c>
      <c r="F34" s="232">
        <v>0</v>
      </c>
    </row>
    <row r="35" spans="1:8" ht="13.5" thickTop="1">
      <c r="A35" s="46">
        <v>13</v>
      </c>
      <c r="B35" s="221" t="s">
        <v>488</v>
      </c>
      <c r="C35" s="222"/>
      <c r="D35" s="230">
        <v>39</v>
      </c>
      <c r="E35" s="231" t="s">
        <v>489</v>
      </c>
      <c r="F35" s="232">
        <v>0</v>
      </c>
    </row>
    <row r="36" spans="1:8">
      <c r="A36" s="224"/>
      <c r="B36" s="225" t="s">
        <v>490</v>
      </c>
      <c r="C36" s="227">
        <f>2406253-C28</f>
        <v>1045359</v>
      </c>
      <c r="D36" s="226">
        <v>40</v>
      </c>
      <c r="E36" s="256" t="s">
        <v>491</v>
      </c>
      <c r="F36" s="244">
        <f>+F35+F34</f>
        <v>0</v>
      </c>
      <c r="H36" t="s">
        <v>157</v>
      </c>
    </row>
    <row r="37" spans="1:8" ht="13.5" thickBot="1">
      <c r="A37" s="46">
        <v>14</v>
      </c>
      <c r="B37" s="221" t="s">
        <v>492</v>
      </c>
      <c r="C37" s="222" t="s">
        <v>157</v>
      </c>
      <c r="D37" s="223"/>
      <c r="E37" s="221"/>
      <c r="F37" s="222"/>
    </row>
    <row r="38" spans="1:8" ht="14.25" thickTop="1" thickBot="1">
      <c r="A38" s="224"/>
      <c r="B38" s="225" t="s">
        <v>493</v>
      </c>
      <c r="C38" s="222">
        <v>0</v>
      </c>
      <c r="D38" s="226"/>
      <c r="E38" s="218" t="s">
        <v>494</v>
      </c>
      <c r="F38" s="255"/>
    </row>
    <row r="39" spans="1:8" ht="13.5" thickTop="1">
      <c r="A39" s="228">
        <v>15</v>
      </c>
      <c r="B39" s="229" t="s">
        <v>495</v>
      </c>
      <c r="C39" s="232">
        <f>432410</f>
        <v>432410</v>
      </c>
      <c r="D39" s="226">
        <v>41</v>
      </c>
      <c r="E39" s="225" t="s">
        <v>496</v>
      </c>
      <c r="F39" s="255"/>
    </row>
    <row r="40" spans="1:8">
      <c r="A40" s="46">
        <v>16</v>
      </c>
      <c r="B40" s="221" t="s">
        <v>440</v>
      </c>
      <c r="C40" s="222"/>
      <c r="D40" s="223"/>
      <c r="E40" s="221"/>
      <c r="F40" s="222"/>
    </row>
    <row r="41" spans="1:8">
      <c r="A41" s="224"/>
      <c r="B41" s="225" t="s">
        <v>497</v>
      </c>
      <c r="C41" s="227">
        <v>0</v>
      </c>
      <c r="D41" s="226">
        <v>42</v>
      </c>
      <c r="E41" s="225" t="s">
        <v>498</v>
      </c>
      <c r="F41" s="227">
        <f>254311</f>
        <v>254311</v>
      </c>
    </row>
    <row r="42" spans="1:8">
      <c r="A42" s="46">
        <v>17</v>
      </c>
      <c r="B42" s="221" t="s">
        <v>499</v>
      </c>
      <c r="C42" s="222"/>
      <c r="D42" s="223">
        <v>43</v>
      </c>
      <c r="E42" s="251" t="s">
        <v>500</v>
      </c>
      <c r="F42" s="222"/>
    </row>
    <row r="43" spans="1:8">
      <c r="A43" s="224"/>
      <c r="B43" s="225" t="s">
        <v>501</v>
      </c>
      <c r="C43" s="227">
        <v>0</v>
      </c>
      <c r="D43" s="226"/>
      <c r="E43" s="225" t="s">
        <v>502</v>
      </c>
      <c r="F43" s="227">
        <f>6071</f>
        <v>6071</v>
      </c>
    </row>
    <row r="44" spans="1:8">
      <c r="A44" s="228">
        <v>18</v>
      </c>
      <c r="B44" s="229" t="s">
        <v>503</v>
      </c>
      <c r="C44" s="232">
        <f>210013</f>
        <v>210013</v>
      </c>
      <c r="D44" s="226">
        <v>44</v>
      </c>
      <c r="E44" s="225" t="s">
        <v>504</v>
      </c>
      <c r="F44" s="227">
        <f>84600</f>
        <v>84600</v>
      </c>
    </row>
    <row r="45" spans="1:8">
      <c r="A45" s="228">
        <v>19</v>
      </c>
      <c r="B45" s="229" t="s">
        <v>505</v>
      </c>
      <c r="C45" s="232">
        <v>0</v>
      </c>
      <c r="D45" s="226">
        <v>45</v>
      </c>
      <c r="E45" s="225" t="s">
        <v>506</v>
      </c>
      <c r="F45" s="227">
        <v>0</v>
      </c>
    </row>
    <row r="46" spans="1:8">
      <c r="A46" s="228">
        <v>20</v>
      </c>
      <c r="B46" s="229" t="s">
        <v>507</v>
      </c>
      <c r="C46" s="257">
        <v>0</v>
      </c>
      <c r="D46" s="226">
        <v>46</v>
      </c>
      <c r="E46" s="225" t="s">
        <v>508</v>
      </c>
      <c r="F46" s="227">
        <f>2469</f>
        <v>2469</v>
      </c>
    </row>
    <row r="47" spans="1:8">
      <c r="A47" s="238">
        <v>21</v>
      </c>
      <c r="B47" s="229" t="s">
        <v>509</v>
      </c>
      <c r="C47" s="232">
        <v>0</v>
      </c>
      <c r="D47" s="226">
        <v>47</v>
      </c>
      <c r="E47" s="225" t="s">
        <v>510</v>
      </c>
      <c r="F47" s="227">
        <f>4001+14096</f>
        <v>18097</v>
      </c>
    </row>
    <row r="48" spans="1:8" ht="26.25" thickBot="1">
      <c r="A48" s="238">
        <v>22</v>
      </c>
      <c r="B48" s="229" t="s">
        <v>511</v>
      </c>
      <c r="C48" s="232">
        <v>0</v>
      </c>
      <c r="D48" s="226">
        <v>48</v>
      </c>
      <c r="E48" s="258" t="s">
        <v>512</v>
      </c>
      <c r="F48" s="244">
        <f>+F47+F46+F45+F44+F43+F41+F39</f>
        <v>365548</v>
      </c>
    </row>
    <row r="49" spans="1:7" ht="27" thickTop="1" thickBot="1">
      <c r="A49" s="238">
        <v>23</v>
      </c>
      <c r="B49" s="254" t="s">
        <v>513</v>
      </c>
      <c r="C49" s="234">
        <f>+C36+C38+C39+C41+C43+C44+C45+C46+C47+C48</f>
        <v>1687782</v>
      </c>
      <c r="D49" s="226"/>
      <c r="E49" s="218" t="s">
        <v>514</v>
      </c>
      <c r="F49" s="255"/>
    </row>
    <row r="50" spans="1:7" ht="14.25" thickTop="1" thickBot="1">
      <c r="B50" s="218" t="s">
        <v>515</v>
      </c>
      <c r="C50" s="222"/>
      <c r="D50" s="259">
        <v>49</v>
      </c>
      <c r="E50" s="251" t="s">
        <v>516</v>
      </c>
      <c r="F50" s="222"/>
    </row>
    <row r="51" spans="1:7" ht="13.5" thickTop="1">
      <c r="A51" s="260">
        <v>24</v>
      </c>
      <c r="B51" s="225" t="s">
        <v>517</v>
      </c>
      <c r="C51" s="227">
        <v>0</v>
      </c>
      <c r="D51" s="226"/>
      <c r="E51" s="261" t="s">
        <v>518</v>
      </c>
      <c r="F51" s="227">
        <v>0</v>
      </c>
    </row>
    <row r="52" spans="1:7">
      <c r="A52" s="240">
        <v>25</v>
      </c>
      <c r="B52" s="221" t="s">
        <v>519</v>
      </c>
      <c r="C52" s="222"/>
      <c r="D52" s="259">
        <v>50</v>
      </c>
      <c r="E52" s="221" t="s">
        <v>520</v>
      </c>
      <c r="F52" s="222"/>
    </row>
    <row r="53" spans="1:7">
      <c r="A53" s="262"/>
      <c r="B53" s="225" t="s">
        <v>521</v>
      </c>
      <c r="C53" s="227">
        <v>0</v>
      </c>
      <c r="D53" s="226"/>
      <c r="E53" s="225" t="s">
        <v>522</v>
      </c>
      <c r="F53" s="227">
        <v>0</v>
      </c>
    </row>
    <row r="54" spans="1:7">
      <c r="A54" s="240">
        <v>26</v>
      </c>
      <c r="B54" s="221" t="s">
        <v>523</v>
      </c>
      <c r="C54" s="222"/>
      <c r="D54" s="223"/>
      <c r="E54" s="221"/>
      <c r="F54" s="222"/>
    </row>
    <row r="55" spans="1:7">
      <c r="A55" s="46"/>
      <c r="B55" s="221" t="s">
        <v>524</v>
      </c>
      <c r="C55" s="222"/>
      <c r="D55" s="223">
        <v>51</v>
      </c>
      <c r="E55" s="221" t="s">
        <v>525</v>
      </c>
      <c r="F55" s="222"/>
    </row>
    <row r="56" spans="1:7">
      <c r="A56" s="224"/>
      <c r="B56" s="225" t="s">
        <v>526</v>
      </c>
      <c r="C56" s="227">
        <v>0</v>
      </c>
      <c r="D56" s="226"/>
      <c r="E56" s="261" t="s">
        <v>527</v>
      </c>
      <c r="F56" s="255">
        <v>0</v>
      </c>
    </row>
    <row r="57" spans="1:7">
      <c r="A57" s="228">
        <v>27</v>
      </c>
      <c r="B57" s="263" t="s">
        <v>528</v>
      </c>
      <c r="C57" s="234">
        <f>+C51+C53+C56</f>
        <v>0</v>
      </c>
      <c r="D57" s="226">
        <v>52</v>
      </c>
      <c r="E57" s="256" t="s">
        <v>529</v>
      </c>
      <c r="F57" s="244">
        <f>+F56+F53+F51</f>
        <v>0</v>
      </c>
    </row>
    <row r="58" spans="1:7" ht="26.25" thickBot="1">
      <c r="A58" s="69">
        <v>28</v>
      </c>
      <c r="B58" s="264" t="s">
        <v>530</v>
      </c>
      <c r="C58" s="265">
        <f>+C57+C49+C21+C33</f>
        <v>6487992.669416666</v>
      </c>
      <c r="D58" s="266">
        <v>53</v>
      </c>
      <c r="E58" s="267" t="s">
        <v>531</v>
      </c>
      <c r="F58" s="265">
        <f>+F57+F48+F36+F32+F15</f>
        <v>6487993</v>
      </c>
      <c r="G58" s="398" t="s">
        <v>157</v>
      </c>
    </row>
    <row r="59" spans="1:7">
      <c r="A59" s="29"/>
      <c r="B59" s="29"/>
      <c r="C59" s="268" t="s">
        <v>157</v>
      </c>
      <c r="D59" s="29"/>
      <c r="E59" s="29"/>
      <c r="F59" s="269" t="s">
        <v>157</v>
      </c>
    </row>
    <row r="60" spans="1:7">
      <c r="A60" s="29"/>
      <c r="B60" s="270" t="s">
        <v>903</v>
      </c>
      <c r="C60" s="268"/>
      <c r="D60" s="29"/>
      <c r="E60" s="29" t="s">
        <v>902</v>
      </c>
      <c r="F60" s="615">
        <f>C58-F58</f>
        <v>-0.33058333396911621</v>
      </c>
    </row>
    <row r="61" spans="1:7">
      <c r="A61" s="29"/>
      <c r="B61" s="270" t="s">
        <v>532</v>
      </c>
      <c r="C61" s="271"/>
      <c r="D61" s="29"/>
      <c r="E61" s="29"/>
      <c r="F61" s="269"/>
    </row>
    <row r="62" spans="1:7">
      <c r="A62" s="29"/>
      <c r="B62" s="270" t="s">
        <v>904</v>
      </c>
      <c r="C62" s="271"/>
      <c r="D62" s="29"/>
      <c r="E62" s="29" t="s">
        <v>901</v>
      </c>
      <c r="F62" s="269"/>
    </row>
    <row r="63" spans="1:7">
      <c r="A63" s="29"/>
      <c r="B63" s="270" t="s">
        <v>533</v>
      </c>
      <c r="C63" s="271"/>
      <c r="D63" s="29"/>
      <c r="E63" s="29"/>
      <c r="F63" s="269" t="s">
        <v>157</v>
      </c>
    </row>
    <row r="64" spans="1:7">
      <c r="A64" s="29"/>
      <c r="B64" s="29"/>
      <c r="C64" s="271"/>
      <c r="D64" s="29"/>
      <c r="E64" s="29"/>
      <c r="F64" s="269"/>
    </row>
    <row r="65" spans="1:6">
      <c r="A65" s="29"/>
      <c r="B65" s="29"/>
      <c r="C65" s="271"/>
      <c r="D65" s="29"/>
      <c r="E65" s="29"/>
      <c r="F65" s="269"/>
    </row>
    <row r="66" spans="1:6">
      <c r="A66" s="29"/>
      <c r="B66" s="29"/>
      <c r="C66" s="271"/>
      <c r="D66" s="29"/>
      <c r="E66" s="29"/>
      <c r="F66" s="29"/>
    </row>
    <row r="67" spans="1:6">
      <c r="A67" s="29"/>
      <c r="B67" s="29"/>
      <c r="C67" s="271"/>
      <c r="D67" s="29"/>
      <c r="E67" s="29"/>
      <c r="F67" s="29"/>
    </row>
    <row r="68" spans="1:6">
      <c r="A68" s="29"/>
      <c r="B68" s="29"/>
      <c r="C68" s="271"/>
      <c r="D68" s="29"/>
      <c r="E68" s="29"/>
      <c r="F68" s="29"/>
    </row>
    <row r="69" spans="1:6">
      <c r="A69" s="29"/>
      <c r="B69" s="29"/>
      <c r="C69" s="271"/>
      <c r="D69" s="29"/>
      <c r="E69" s="29"/>
      <c r="F69" s="29"/>
    </row>
    <row r="70" spans="1:6">
      <c r="A70" s="29"/>
      <c r="B70" s="29"/>
      <c r="C70" s="271"/>
      <c r="D70" s="29"/>
      <c r="E70" s="29"/>
      <c r="F70" s="29"/>
    </row>
    <row r="71" spans="1:6">
      <c r="A71" s="29"/>
      <c r="B71" s="29"/>
      <c r="C71" s="29"/>
      <c r="D71" s="29"/>
      <c r="E71" s="29"/>
      <c r="F71" s="29"/>
    </row>
    <row r="72" spans="1:6">
      <c r="A72" s="29"/>
      <c r="B72" s="29"/>
      <c r="C72" s="29"/>
      <c r="D72" s="29"/>
      <c r="E72" s="29"/>
      <c r="F72" s="29"/>
    </row>
    <row r="73" spans="1:6">
      <c r="A73" s="29"/>
      <c r="B73" s="29"/>
      <c r="C73" s="29"/>
      <c r="D73" s="29"/>
      <c r="E73" s="29"/>
      <c r="F73" s="29"/>
    </row>
    <row r="74" spans="1:6">
      <c r="A74" s="29"/>
      <c r="B74" s="29"/>
      <c r="C74" s="29"/>
      <c r="D74" s="29"/>
      <c r="E74" s="29"/>
      <c r="F74" s="29"/>
    </row>
    <row r="75" spans="1:6">
      <c r="A75" s="29"/>
      <c r="B75" s="29"/>
      <c r="C75" s="29"/>
      <c r="D75" s="29"/>
      <c r="E75" s="29"/>
      <c r="F75" s="29"/>
    </row>
    <row r="76" spans="1:6">
      <c r="A76" s="29"/>
      <c r="B76" s="29"/>
      <c r="C76" s="29"/>
      <c r="D76" s="29"/>
      <c r="E76" s="29"/>
      <c r="F76" s="29"/>
    </row>
    <row r="77" spans="1:6">
      <c r="A77" s="29"/>
      <c r="B77" s="29"/>
      <c r="C77" s="29"/>
      <c r="D77" s="29"/>
      <c r="E77" s="29"/>
      <c r="F77" s="29"/>
    </row>
    <row r="78" spans="1:6">
      <c r="A78" s="29"/>
      <c r="B78" s="29"/>
      <c r="C78" s="29"/>
      <c r="D78" s="29"/>
      <c r="E78" s="29"/>
      <c r="F78" s="29"/>
    </row>
  </sheetData>
  <mergeCells count="4">
    <mergeCell ref="A1:F1"/>
    <mergeCell ref="A2:F2"/>
    <mergeCell ref="A3:F3"/>
    <mergeCell ref="A5:F5"/>
  </mergeCells>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7" zoomScaleNormal="100" workbookViewId="0">
      <selection activeCell="C30" sqref="C30"/>
    </sheetView>
  </sheetViews>
  <sheetFormatPr defaultRowHeight="12.75"/>
  <cols>
    <col min="1" max="1" width="6.7109375" customWidth="1"/>
    <col min="2" max="2" width="77.140625" customWidth="1"/>
    <col min="3" max="3" width="16.7109375" style="361" customWidth="1"/>
    <col min="5" max="5" width="9.7109375" bestFit="1" customWidth="1"/>
  </cols>
  <sheetData>
    <row r="1" spans="1:6" ht="15">
      <c r="A1" s="696" t="str">
        <f>'EIA412 BALANCE SHEET'!A1:F1</f>
        <v>Mountain Lake</v>
      </c>
      <c r="B1" s="696"/>
      <c r="C1" s="696"/>
      <c r="D1" s="349"/>
      <c r="E1" s="349"/>
      <c r="F1" s="349"/>
    </row>
    <row r="2" spans="1:6" ht="15">
      <c r="A2" s="693" t="s">
        <v>426</v>
      </c>
      <c r="B2" s="693"/>
      <c r="C2" s="693"/>
      <c r="D2" s="349"/>
      <c r="E2" s="349"/>
      <c r="F2" s="349"/>
    </row>
    <row r="3" spans="1:6" ht="15">
      <c r="A3" s="696">
        <f>'EIA412 BALANCE SHEET'!A3:F3</f>
        <v>42004</v>
      </c>
      <c r="B3" s="696"/>
      <c r="C3" s="696"/>
      <c r="D3" s="350"/>
      <c r="E3" s="350"/>
      <c r="F3" s="350"/>
    </row>
    <row r="4" spans="1:6">
      <c r="A4" s="49"/>
      <c r="B4" s="49"/>
      <c r="C4" s="351"/>
      <c r="D4" s="49"/>
      <c r="E4" s="49"/>
      <c r="F4" s="49"/>
    </row>
    <row r="5" spans="1:6" ht="15">
      <c r="A5" s="695" t="s">
        <v>642</v>
      </c>
      <c r="B5" s="695"/>
      <c r="C5" s="695"/>
      <c r="D5" s="352"/>
      <c r="E5" s="352"/>
      <c r="F5" s="352"/>
    </row>
    <row r="6" spans="1:6">
      <c r="A6" s="292" t="s">
        <v>168</v>
      </c>
      <c r="B6" s="292"/>
      <c r="C6" s="353" t="s">
        <v>153</v>
      </c>
    </row>
    <row r="7" spans="1:6">
      <c r="A7" s="295" t="s">
        <v>170</v>
      </c>
      <c r="B7" s="295"/>
      <c r="C7" s="354" t="s">
        <v>430</v>
      </c>
    </row>
    <row r="8" spans="1:6">
      <c r="A8" s="217">
        <v>1</v>
      </c>
      <c r="B8" s="295" t="s">
        <v>643</v>
      </c>
      <c r="C8" s="355">
        <f>2423693</f>
        <v>2423693</v>
      </c>
    </row>
    <row r="9" spans="1:6">
      <c r="A9" s="217">
        <v>2</v>
      </c>
      <c r="B9" s="295" t="s">
        <v>644</v>
      </c>
      <c r="C9" s="318">
        <f>'EIA412 OP &amp; MAINT'!D31+'EIA412 OP &amp; MAINT'!C31</f>
        <v>1928761</v>
      </c>
    </row>
    <row r="10" spans="1:6">
      <c r="A10" s="217">
        <v>3</v>
      </c>
      <c r="B10" s="295" t="s">
        <v>645</v>
      </c>
      <c r="C10" s="318">
        <f>'EIA412 OP &amp; MAINT'!E31</f>
        <v>81777</v>
      </c>
    </row>
    <row r="11" spans="1:6">
      <c r="A11" s="286">
        <v>4</v>
      </c>
      <c r="B11" s="314" t="s">
        <v>646</v>
      </c>
      <c r="C11" s="383">
        <f>'EIA412 ELECTRIC PLANT'!J20</f>
        <v>285006.63097619044</v>
      </c>
      <c r="E11" s="284"/>
    </row>
    <row r="12" spans="1:6">
      <c r="A12" s="217">
        <v>5</v>
      </c>
      <c r="B12" s="295" t="s">
        <v>647</v>
      </c>
      <c r="C12" s="355">
        <v>0</v>
      </c>
    </row>
    <row r="13" spans="1:6">
      <c r="A13" s="217">
        <v>6</v>
      </c>
      <c r="B13" s="295" t="s">
        <v>648</v>
      </c>
      <c r="C13" s="318">
        <f>'EIA412 TAXES'!C18</f>
        <v>120000</v>
      </c>
    </row>
    <row r="14" spans="1:6">
      <c r="A14" s="217">
        <v>7</v>
      </c>
      <c r="B14" s="295" t="s">
        <v>649</v>
      </c>
      <c r="C14" s="318">
        <f>SUM(C9:C13)</f>
        <v>2415544.6309761903</v>
      </c>
    </row>
    <row r="15" spans="1:6">
      <c r="A15" s="286">
        <v>8</v>
      </c>
      <c r="B15" s="356" t="s">
        <v>650</v>
      </c>
      <c r="C15" s="320">
        <f>+C8-C14</f>
        <v>8148.3690238096751</v>
      </c>
    </row>
    <row r="16" spans="1:6">
      <c r="A16" s="217">
        <v>9</v>
      </c>
      <c r="B16" s="295" t="s">
        <v>651</v>
      </c>
      <c r="C16" s="357">
        <v>0</v>
      </c>
    </row>
    <row r="17" spans="1:6">
      <c r="A17" s="217">
        <v>10</v>
      </c>
      <c r="B17" s="295" t="s">
        <v>652</v>
      </c>
      <c r="C17" s="318">
        <f>+C16+C15</f>
        <v>8148.3690238096751</v>
      </c>
    </row>
    <row r="18" spans="1:6" ht="25.5">
      <c r="A18" s="217">
        <v>11</v>
      </c>
      <c r="B18" s="358" t="s">
        <v>653</v>
      </c>
      <c r="C18" s="355">
        <f>2641+32406+10945</f>
        <v>45992</v>
      </c>
    </row>
    <row r="19" spans="1:6">
      <c r="A19" s="217">
        <v>12</v>
      </c>
      <c r="B19" s="295" t="s">
        <v>654</v>
      </c>
      <c r="C19" s="357">
        <v>0</v>
      </c>
    </row>
    <row r="20" spans="1:6">
      <c r="A20" s="217">
        <v>13</v>
      </c>
      <c r="B20" s="295" t="s">
        <v>655</v>
      </c>
      <c r="C20" s="357">
        <v>0</v>
      </c>
    </row>
    <row r="21" spans="1:6">
      <c r="A21" s="217">
        <v>14</v>
      </c>
      <c r="B21" s="295" t="s">
        <v>656</v>
      </c>
      <c r="C21" s="357">
        <v>0</v>
      </c>
    </row>
    <row r="22" spans="1:6">
      <c r="A22" s="217">
        <v>15</v>
      </c>
      <c r="B22" s="359" t="s">
        <v>657</v>
      </c>
      <c r="C22" s="318">
        <f>+C17+C18-C19+C20-C21</f>
        <v>54140.369023809675</v>
      </c>
    </row>
    <row r="23" spans="1:6">
      <c r="A23" s="217">
        <v>16</v>
      </c>
      <c r="B23" s="295" t="s">
        <v>658</v>
      </c>
      <c r="C23" s="679">
        <f>ROUND('MLS2_Debt P&amp;I&amp;A '!R41,0)</f>
        <v>39413</v>
      </c>
      <c r="E23" s="574" t="s">
        <v>157</v>
      </c>
    </row>
    <row r="24" spans="1:6">
      <c r="A24" s="217">
        <v>17</v>
      </c>
      <c r="B24" s="295" t="s">
        <v>659</v>
      </c>
      <c r="C24" s="355">
        <v>0</v>
      </c>
    </row>
    <row r="25" spans="1:6">
      <c r="A25" s="217">
        <v>18</v>
      </c>
      <c r="B25" s="295" t="s">
        <v>660</v>
      </c>
      <c r="C25" s="357">
        <v>0</v>
      </c>
    </row>
    <row r="26" spans="1:6">
      <c r="A26" s="217">
        <v>19</v>
      </c>
      <c r="B26" s="359" t="s">
        <v>661</v>
      </c>
      <c r="C26" s="318">
        <f>SUM(C23:C25)</f>
        <v>39413</v>
      </c>
    </row>
    <row r="27" spans="1:6">
      <c r="A27" s="217">
        <v>20</v>
      </c>
      <c r="B27" s="359" t="s">
        <v>662</v>
      </c>
      <c r="C27" s="318">
        <f>+C22-C26</f>
        <v>14727.369023809675</v>
      </c>
      <c r="E27" s="284"/>
      <c r="F27" s="284"/>
    </row>
    <row r="28" spans="1:6">
      <c r="A28" s="217">
        <v>21</v>
      </c>
      <c r="B28" s="295" t="s">
        <v>663</v>
      </c>
      <c r="C28" s="357">
        <v>0</v>
      </c>
    </row>
    <row r="29" spans="1:6">
      <c r="A29" s="217">
        <v>22</v>
      </c>
      <c r="B29" s="295" t="s">
        <v>664</v>
      </c>
      <c r="C29" s="357">
        <v>0</v>
      </c>
    </row>
    <row r="30" spans="1:6">
      <c r="A30" s="217">
        <v>23</v>
      </c>
      <c r="B30" s="359" t="s">
        <v>665</v>
      </c>
      <c r="C30" s="330">
        <f>+C27+C28-C29</f>
        <v>14727.369023809675</v>
      </c>
      <c r="E30" s="284"/>
    </row>
    <row r="31" spans="1:6">
      <c r="A31" s="217">
        <v>24</v>
      </c>
      <c r="B31" s="295" t="s">
        <v>666</v>
      </c>
      <c r="C31" s="357">
        <v>0</v>
      </c>
    </row>
    <row r="32" spans="1:6">
      <c r="A32" s="217">
        <v>25</v>
      </c>
      <c r="B32" s="295" t="s">
        <v>667</v>
      </c>
      <c r="C32" s="357">
        <f>'MLS2_Debt P&amp;I&amp;A '!S41+C23</f>
        <v>258163</v>
      </c>
      <c r="E32" s="398" t="s">
        <v>157</v>
      </c>
    </row>
    <row r="33" spans="1:3">
      <c r="A33" s="217">
        <v>26</v>
      </c>
      <c r="B33" s="295" t="s">
        <v>668</v>
      </c>
      <c r="C33" s="357">
        <v>0</v>
      </c>
    </row>
    <row r="34" spans="1:3">
      <c r="A34" s="217">
        <v>27</v>
      </c>
      <c r="B34" s="295" t="s">
        <v>669</v>
      </c>
      <c r="C34" s="357">
        <v>0</v>
      </c>
    </row>
    <row r="35" spans="1:3">
      <c r="A35" s="217">
        <v>28</v>
      </c>
      <c r="B35" s="295" t="s">
        <v>670</v>
      </c>
      <c r="C35" s="397">
        <f>+C31+C32+C33+C34</f>
        <v>258163</v>
      </c>
    </row>
    <row r="36" spans="1:3">
      <c r="A36" s="217">
        <v>29</v>
      </c>
      <c r="B36" s="295" t="s">
        <v>671</v>
      </c>
      <c r="C36" s="357">
        <v>0</v>
      </c>
    </row>
    <row r="37" spans="1:3">
      <c r="C37"/>
    </row>
    <row r="38" spans="1:3">
      <c r="A38" t="s">
        <v>672</v>
      </c>
      <c r="C38"/>
    </row>
    <row r="39" spans="1:3">
      <c r="A39" t="s">
        <v>673</v>
      </c>
      <c r="C39"/>
    </row>
    <row r="40" spans="1:3">
      <c r="C40"/>
    </row>
    <row r="41" spans="1:3">
      <c r="C41"/>
    </row>
    <row r="42" spans="1:3">
      <c r="B42" t="s">
        <v>157</v>
      </c>
      <c r="C42"/>
    </row>
    <row r="43" spans="1:3">
      <c r="A43" s="398" t="s">
        <v>157</v>
      </c>
      <c r="C43" s="360"/>
    </row>
    <row r="44" spans="1:3">
      <c r="C44" s="360"/>
    </row>
    <row r="45" spans="1:3">
      <c r="C45" s="360"/>
    </row>
    <row r="46" spans="1:3">
      <c r="C46" s="360"/>
    </row>
    <row r="47" spans="1:3">
      <c r="C47" s="360"/>
    </row>
    <row r="48" spans="1:3">
      <c r="C48" s="360"/>
    </row>
    <row r="49" spans="3:3">
      <c r="C49" s="360"/>
    </row>
    <row r="50" spans="3:3">
      <c r="C50" s="360"/>
    </row>
    <row r="51" spans="3:3">
      <c r="C51" s="360"/>
    </row>
    <row r="52" spans="3:3">
      <c r="C52" s="360"/>
    </row>
  </sheetData>
  <mergeCells count="4">
    <mergeCell ref="A1:C1"/>
    <mergeCell ref="A2:C2"/>
    <mergeCell ref="A3:C3"/>
    <mergeCell ref="A5:C5"/>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13" workbookViewId="0">
      <selection activeCell="G18" sqref="G18"/>
    </sheetView>
  </sheetViews>
  <sheetFormatPr defaultRowHeight="12.75"/>
  <cols>
    <col min="1" max="1" width="6.7109375" customWidth="1"/>
    <col min="2" max="2" width="38.5703125" customWidth="1"/>
    <col min="3" max="3" width="18.28515625" customWidth="1"/>
    <col min="4" max="6" width="15.7109375" customWidth="1"/>
    <col min="7" max="7" width="18.28515625" customWidth="1"/>
    <col min="8" max="8" width="12.85546875" bestFit="1" customWidth="1"/>
    <col min="9" max="9" width="14.5703125" customWidth="1"/>
    <col min="10" max="10" width="14.7109375" bestFit="1" customWidth="1"/>
    <col min="12" max="12" width="11" bestFit="1" customWidth="1"/>
  </cols>
  <sheetData>
    <row r="1" spans="1:10" ht="15">
      <c r="A1" s="696" t="str">
        <f>'EIA412 BALANCE SHEET'!A1:F1</f>
        <v>Mountain Lake</v>
      </c>
      <c r="B1" s="696"/>
      <c r="C1" s="696"/>
      <c r="D1" s="696"/>
      <c r="E1" s="696"/>
      <c r="F1" s="696"/>
      <c r="G1" s="696"/>
    </row>
    <row r="2" spans="1:10" ht="15">
      <c r="A2" s="693" t="s">
        <v>426</v>
      </c>
      <c r="B2" s="693"/>
      <c r="C2" s="693"/>
      <c r="D2" s="693"/>
      <c r="E2" s="693"/>
      <c r="F2" s="693"/>
      <c r="G2" s="693"/>
    </row>
    <row r="3" spans="1:10" s="580" customFormat="1" ht="15">
      <c r="A3" s="664"/>
      <c r="B3" s="664"/>
      <c r="C3" s="693" t="s">
        <v>894</v>
      </c>
      <c r="D3" s="693"/>
      <c r="E3" s="664"/>
      <c r="F3" s="664"/>
      <c r="G3" s="664"/>
    </row>
    <row r="4" spans="1:10" ht="15">
      <c r="A4" s="696">
        <f>'EIA412 BALANCE SHEET'!A3:F3</f>
        <v>42004</v>
      </c>
      <c r="B4" s="696"/>
      <c r="C4" s="696"/>
      <c r="D4" s="696"/>
      <c r="E4" s="696"/>
      <c r="F4" s="696"/>
      <c r="G4" s="696"/>
    </row>
    <row r="5" spans="1:10">
      <c r="A5" s="49"/>
      <c r="B5" s="49"/>
      <c r="C5" s="49"/>
    </row>
    <row r="6" spans="1:10" ht="15">
      <c r="A6" s="695" t="s">
        <v>433</v>
      </c>
      <c r="B6" s="695"/>
      <c r="C6" s="695"/>
      <c r="D6" s="695"/>
      <c r="E6" s="695"/>
      <c r="F6" s="695"/>
      <c r="G6" s="695"/>
    </row>
    <row r="7" spans="1:10">
      <c r="A7" s="273" t="s">
        <v>168</v>
      </c>
      <c r="B7" s="273"/>
      <c r="C7" s="273" t="s">
        <v>534</v>
      </c>
      <c r="D7" s="273"/>
      <c r="E7" s="273"/>
      <c r="F7" s="273"/>
      <c r="G7" s="273" t="s">
        <v>535</v>
      </c>
    </row>
    <row r="8" spans="1:10">
      <c r="A8" s="217" t="s">
        <v>170</v>
      </c>
      <c r="B8" s="217"/>
      <c r="C8" s="217" t="s">
        <v>536</v>
      </c>
      <c r="D8" s="217" t="s">
        <v>537</v>
      </c>
      <c r="E8" s="217" t="s">
        <v>538</v>
      </c>
      <c r="F8" s="217" t="s">
        <v>539</v>
      </c>
      <c r="G8" s="217" t="s">
        <v>536</v>
      </c>
    </row>
    <row r="9" spans="1:10" ht="20.100000000000001" customHeight="1">
      <c r="A9" s="230">
        <v>1</v>
      </c>
      <c r="B9" s="229" t="s">
        <v>540</v>
      </c>
      <c r="C9" s="274">
        <v>0</v>
      </c>
      <c r="D9" s="275">
        <v>0</v>
      </c>
      <c r="E9" s="275">
        <v>0</v>
      </c>
      <c r="F9" s="275">
        <v>0</v>
      </c>
      <c r="G9" s="276">
        <f>+C9+D9+E9+F9</f>
        <v>0</v>
      </c>
    </row>
    <row r="10" spans="1:10" s="580" customFormat="1" ht="9.75" customHeight="1">
      <c r="A10" s="582"/>
      <c r="B10" s="229"/>
      <c r="C10" s="274"/>
      <c r="D10" s="275"/>
      <c r="E10" s="275"/>
      <c r="F10" s="275"/>
      <c r="G10" s="276"/>
    </row>
    <row r="11" spans="1:10" ht="20.100000000000001" customHeight="1">
      <c r="A11" s="230">
        <v>2</v>
      </c>
      <c r="B11" s="229" t="s">
        <v>541</v>
      </c>
      <c r="C11" s="278">
        <v>0</v>
      </c>
      <c r="D11" s="275">
        <v>0</v>
      </c>
      <c r="E11" s="275">
        <v>0</v>
      </c>
      <c r="F11" s="275">
        <v>0</v>
      </c>
      <c r="G11" s="276">
        <f>+C11+D11+E11+F11</f>
        <v>0</v>
      </c>
    </row>
    <row r="12" spans="1:10" ht="20.100000000000001" customHeight="1">
      <c r="A12" s="230">
        <v>3</v>
      </c>
      <c r="B12" s="229" t="s">
        <v>542</v>
      </c>
      <c r="C12" s="274">
        <v>0</v>
      </c>
      <c r="D12" s="275">
        <v>0</v>
      </c>
      <c r="E12" s="275">
        <v>0</v>
      </c>
      <c r="F12" s="275">
        <v>0</v>
      </c>
      <c r="G12" s="276">
        <f t="shared" ref="G12:G24" si="0">+C12+D12+E12+F12</f>
        <v>0</v>
      </c>
      <c r="I12" s="680">
        <v>2014</v>
      </c>
      <c r="J12" s="81">
        <v>2014</v>
      </c>
    </row>
    <row r="13" spans="1:10" ht="20.100000000000001" customHeight="1">
      <c r="A13" s="230">
        <v>4</v>
      </c>
      <c r="B13" s="229" t="s">
        <v>543</v>
      </c>
      <c r="C13" s="274">
        <v>0</v>
      </c>
      <c r="D13" s="275">
        <v>0</v>
      </c>
      <c r="E13" s="275">
        <v>0</v>
      </c>
      <c r="F13" s="275">
        <v>0</v>
      </c>
      <c r="G13" s="276">
        <f t="shared" si="0"/>
        <v>0</v>
      </c>
      <c r="I13" s="80" t="s">
        <v>544</v>
      </c>
      <c r="J13" s="81" t="s">
        <v>641</v>
      </c>
    </row>
    <row r="14" spans="1:10">
      <c r="A14" s="230">
        <v>5</v>
      </c>
      <c r="B14" s="673" t="s">
        <v>895</v>
      </c>
      <c r="C14" s="279">
        <v>3508506.5949999997</v>
      </c>
      <c r="D14" s="275">
        <f>'MLS5_Plant Detail'!S206</f>
        <v>0</v>
      </c>
      <c r="E14" s="275">
        <f>-'MLS5_Plant Detail'!S211</f>
        <v>0</v>
      </c>
      <c r="F14" s="275">
        <f>'MLS5_Plant Detail'!S194-'EIA412 ELECTRIC PLANT'!C14</f>
        <v>0</v>
      </c>
      <c r="G14" s="276">
        <f>C14+D14+E14+F14</f>
        <v>3508506.5949999997</v>
      </c>
      <c r="H14" s="390"/>
      <c r="I14" s="280">
        <v>0</v>
      </c>
    </row>
    <row r="15" spans="1:10" ht="20.100000000000001" customHeight="1">
      <c r="A15" s="230">
        <v>6</v>
      </c>
      <c r="B15" s="263" t="s">
        <v>545</v>
      </c>
      <c r="C15" s="281">
        <v>3508506.5949999997</v>
      </c>
      <c r="D15" s="281">
        <f>SUM(D11:D14)</f>
        <v>0</v>
      </c>
      <c r="E15" s="281">
        <f>SUM(E11:E14)</f>
        <v>0</v>
      </c>
      <c r="F15" s="281">
        <f>SUM(F11:F14)</f>
        <v>0</v>
      </c>
      <c r="G15" s="282">
        <f>SUM(G11:G14)</f>
        <v>3508506.5949999997</v>
      </c>
      <c r="I15" s="279">
        <f>'MLS5_Plant Detail'!AC194</f>
        <v>2852594.2180000003</v>
      </c>
      <c r="J15" s="280">
        <f>'MLS5_Plant Detail'!AM194</f>
        <v>62850.760428571433</v>
      </c>
    </row>
    <row r="16" spans="1:10" s="580" customFormat="1" ht="9.75" customHeight="1">
      <c r="A16" s="582"/>
      <c r="B16" s="263"/>
      <c r="C16" s="281"/>
      <c r="D16" s="281"/>
      <c r="E16" s="281"/>
      <c r="F16" s="281"/>
      <c r="G16" s="282"/>
      <c r="I16" s="279"/>
      <c r="J16" s="280"/>
    </row>
    <row r="17" spans="1:10" ht="20.100000000000001" customHeight="1">
      <c r="A17" s="230">
        <v>7</v>
      </c>
      <c r="B17" s="229" t="s">
        <v>546</v>
      </c>
      <c r="C17" s="279">
        <v>449034</v>
      </c>
      <c r="D17" s="275">
        <f>'MLS5_Plant Detail'!U206</f>
        <v>0</v>
      </c>
      <c r="E17" s="275">
        <f>-'MLS5_Plant Detail'!U211</f>
        <v>0</v>
      </c>
      <c r="F17" s="275">
        <v>0</v>
      </c>
      <c r="G17" s="276">
        <f>C17+D17+E17+F17</f>
        <v>449034</v>
      </c>
      <c r="H17" s="573"/>
      <c r="I17" s="279">
        <f>'MLS5_Plant Detail'!AE194</f>
        <v>375098.94800000003</v>
      </c>
      <c r="J17" s="280">
        <f>'MLS5_Plant Detail'!AO194</f>
        <v>3696.7839999999997</v>
      </c>
    </row>
    <row r="18" spans="1:10" ht="20.100000000000001" customHeight="1">
      <c r="A18" s="230">
        <v>8</v>
      </c>
      <c r="B18" s="229" t="s">
        <v>547</v>
      </c>
      <c r="C18" s="279">
        <v>4914641.4950000001</v>
      </c>
      <c r="D18" s="275">
        <v>0</v>
      </c>
      <c r="E18" s="275">
        <f>-'MLS5_Plant Detail'!W211</f>
        <v>0</v>
      </c>
      <c r="F18" s="275">
        <f>'MLS5_Plant Detail'!W194-'EIA412 ELECTRIC PLANT'!C18-D18+5</f>
        <v>0</v>
      </c>
      <c r="G18" s="276">
        <f>C18+D18+E18+F18</f>
        <v>4914641.4950000001</v>
      </c>
      <c r="H18" s="573"/>
      <c r="I18" s="279">
        <f>'MLS5_Plant Detail'!AG194</f>
        <v>2367830.2099166671</v>
      </c>
      <c r="J18" s="280">
        <f>'MLS5_Plant Detail'!AQ194</f>
        <v>188828.67366666664</v>
      </c>
    </row>
    <row r="19" spans="1:10" ht="20.100000000000001" customHeight="1">
      <c r="A19" s="230">
        <v>9</v>
      </c>
      <c r="B19" s="229" t="s">
        <v>548</v>
      </c>
      <c r="C19" s="279">
        <v>587897.53499999992</v>
      </c>
      <c r="D19" s="275">
        <f>'MLS5_Plant Detail'!Y206</f>
        <v>14412</v>
      </c>
      <c r="E19" s="275">
        <f>-'MLS5_Plant Detail'!Y211</f>
        <v>0</v>
      </c>
      <c r="F19" s="275">
        <v>0</v>
      </c>
      <c r="G19" s="276">
        <f>C19+D19+E19+F19</f>
        <v>602309.53499999992</v>
      </c>
      <c r="H19" s="573"/>
      <c r="I19" s="279">
        <f>'MLS5_Plant Detail'!AI194</f>
        <v>439651.57966666657</v>
      </c>
      <c r="J19" s="280">
        <f>'MLS5_Plant Detail'!AS194</f>
        <v>29630.412880952375</v>
      </c>
    </row>
    <row r="20" spans="1:10" ht="25.5">
      <c r="A20" s="230">
        <v>10</v>
      </c>
      <c r="B20" s="283" t="s">
        <v>549</v>
      </c>
      <c r="C20" s="281">
        <v>9460079.625</v>
      </c>
      <c r="D20" s="281">
        <f t="shared" ref="D20:G20" si="1">SUM(D15:D19)</f>
        <v>14412</v>
      </c>
      <c r="E20" s="281">
        <f t="shared" si="1"/>
        <v>0</v>
      </c>
      <c r="F20" s="281">
        <f t="shared" si="1"/>
        <v>0</v>
      </c>
      <c r="G20" s="276">
        <f t="shared" si="1"/>
        <v>9474491.625</v>
      </c>
      <c r="H20" s="573"/>
      <c r="I20" s="678">
        <f>SUM(I14:I19)</f>
        <v>6035174.955583334</v>
      </c>
      <c r="J20" s="678">
        <f>SUM(J15:J19)</f>
        <v>285006.63097619044</v>
      </c>
    </row>
    <row r="21" spans="1:10" s="580" customFormat="1" ht="6.75" customHeight="1">
      <c r="A21" s="582"/>
      <c r="B21" s="283"/>
      <c r="C21" s="281"/>
      <c r="D21" s="281"/>
      <c r="E21" s="281"/>
      <c r="F21" s="281"/>
      <c r="G21" s="276"/>
      <c r="I21" s="678"/>
      <c r="J21" s="678"/>
    </row>
    <row r="22" spans="1:10" ht="20.100000000000001" customHeight="1">
      <c r="A22" s="230">
        <v>11</v>
      </c>
      <c r="B22" s="229" t="s">
        <v>550</v>
      </c>
      <c r="C22" s="274">
        <v>0</v>
      </c>
      <c r="D22" s="275">
        <v>0</v>
      </c>
      <c r="E22" s="275">
        <v>0</v>
      </c>
      <c r="F22" s="275">
        <v>0</v>
      </c>
      <c r="G22" s="276">
        <f t="shared" si="0"/>
        <v>0</v>
      </c>
      <c r="J22">
        <v>285008</v>
      </c>
    </row>
    <row r="23" spans="1:10" ht="20.100000000000001" customHeight="1">
      <c r="A23" s="230">
        <v>12</v>
      </c>
      <c r="B23" s="229" t="s">
        <v>551</v>
      </c>
      <c r="C23" s="274">
        <v>0</v>
      </c>
      <c r="D23" s="275">
        <v>0</v>
      </c>
      <c r="E23" s="275">
        <v>0</v>
      </c>
      <c r="F23" s="275">
        <v>0</v>
      </c>
      <c r="G23" s="282">
        <f t="shared" si="0"/>
        <v>0</v>
      </c>
      <c r="I23" s="572" t="s">
        <v>157</v>
      </c>
    </row>
    <row r="24" spans="1:10" ht="25.5">
      <c r="A24" s="230">
        <v>13</v>
      </c>
      <c r="B24" s="247" t="s">
        <v>552</v>
      </c>
      <c r="C24" s="274">
        <v>0</v>
      </c>
      <c r="D24" s="275">
        <v>0</v>
      </c>
      <c r="E24" s="275">
        <v>0</v>
      </c>
      <c r="F24" s="275">
        <v>0</v>
      </c>
      <c r="G24" s="276">
        <f t="shared" si="0"/>
        <v>0</v>
      </c>
      <c r="J24" s="380" t="s">
        <v>157</v>
      </c>
    </row>
    <row r="25" spans="1:10" ht="25.5">
      <c r="A25" s="230">
        <v>14</v>
      </c>
      <c r="B25" s="283" t="s">
        <v>553</v>
      </c>
      <c r="C25" s="278">
        <v>9460079.625</v>
      </c>
      <c r="D25" s="278">
        <f>SUM(D20:D24)</f>
        <v>14412</v>
      </c>
      <c r="E25" s="278">
        <f>SUM(E20:E24)</f>
        <v>0</v>
      </c>
      <c r="F25" s="278">
        <f>SUM(F20:F24)</f>
        <v>0</v>
      </c>
      <c r="G25" s="276">
        <f>+C25+D25+E25+F25</f>
        <v>9474491.625</v>
      </c>
    </row>
    <row r="26" spans="1:10" s="580" customFormat="1" ht="8.25" customHeight="1">
      <c r="A26" s="582"/>
      <c r="B26" s="283"/>
      <c r="C26" s="278"/>
      <c r="D26" s="278"/>
      <c r="E26" s="278"/>
      <c r="F26" s="278"/>
      <c r="G26" s="276"/>
    </row>
    <row r="27" spans="1:10" ht="20.100000000000001" customHeight="1">
      <c r="A27" s="230">
        <v>15</v>
      </c>
      <c r="B27" s="229" t="s">
        <v>554</v>
      </c>
      <c r="C27" s="275">
        <v>0</v>
      </c>
      <c r="D27" s="275">
        <v>0</v>
      </c>
      <c r="E27" s="275">
        <v>0</v>
      </c>
      <c r="F27" s="275">
        <v>0</v>
      </c>
      <c r="G27" s="276">
        <f>+C27+D27-E27+F27</f>
        <v>0</v>
      </c>
    </row>
    <row r="28" spans="1:10" ht="25.5">
      <c r="A28" s="230">
        <v>16</v>
      </c>
      <c r="B28" s="283" t="s">
        <v>555</v>
      </c>
      <c r="C28" s="276">
        <v>9460079.625</v>
      </c>
      <c r="D28" s="276">
        <f>SUM(D25:D27)</f>
        <v>14412</v>
      </c>
      <c r="E28" s="276">
        <f>SUM(E25:E27)</f>
        <v>0</v>
      </c>
      <c r="F28" s="276">
        <f>SUM(F25:F27)</f>
        <v>0</v>
      </c>
      <c r="G28" s="276">
        <f>+C28+D28+E28+F28</f>
        <v>9474491.625</v>
      </c>
      <c r="I28">
        <v>9474490</v>
      </c>
    </row>
    <row r="29" spans="1:10" ht="20.100000000000001" customHeight="1">
      <c r="B29" s="580" t="s">
        <v>896</v>
      </c>
      <c r="C29" s="398" t="s">
        <v>157</v>
      </c>
      <c r="G29" s="577" t="s">
        <v>157</v>
      </c>
    </row>
    <row r="30" spans="1:10">
      <c r="D30" t="s">
        <v>157</v>
      </c>
      <c r="G30" s="577" t="s">
        <v>157</v>
      </c>
    </row>
    <row r="31" spans="1:10">
      <c r="G31" s="574" t="s">
        <v>157</v>
      </c>
    </row>
    <row r="32" spans="1:10">
      <c r="G32" s="577" t="s">
        <v>157</v>
      </c>
    </row>
  </sheetData>
  <mergeCells count="5">
    <mergeCell ref="A1:G1"/>
    <mergeCell ref="A2:G2"/>
    <mergeCell ref="A4:G4"/>
    <mergeCell ref="A6:G6"/>
    <mergeCell ref="C3:D3"/>
  </mergeCells>
  <phoneticPr fontId="2" type="noConversion"/>
  <pageMargins left="0.75" right="0.75" top="1" bottom="1" header="0.5" footer="0.5"/>
  <pageSetup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13" workbookViewId="0">
      <selection activeCell="G32" sqref="G32"/>
    </sheetView>
  </sheetViews>
  <sheetFormatPr defaultRowHeight="12.75"/>
  <cols>
    <col min="2" max="2" width="86.140625" customWidth="1"/>
    <col min="3" max="3" width="15.7109375" bestFit="1" customWidth="1"/>
  </cols>
  <sheetData>
    <row r="1" spans="1:7" ht="15">
      <c r="A1" s="696" t="str">
        <f>'EIA412 BALANCE SHEET'!A1:F1</f>
        <v>Mountain Lake</v>
      </c>
      <c r="B1" s="696"/>
      <c r="C1" s="696"/>
      <c r="D1" s="285"/>
      <c r="E1" s="285"/>
      <c r="F1" s="285"/>
      <c r="G1" s="285"/>
    </row>
    <row r="2" spans="1:7" ht="15">
      <c r="A2" s="693" t="s">
        <v>426</v>
      </c>
      <c r="B2" s="693"/>
      <c r="C2" s="693"/>
      <c r="D2" s="109"/>
      <c r="E2" s="109"/>
      <c r="F2" s="109"/>
      <c r="G2" s="109"/>
    </row>
    <row r="3" spans="1:7" ht="15">
      <c r="A3" s="696">
        <f>'EIA412 BALANCE SHEET'!A3:F3</f>
        <v>42004</v>
      </c>
      <c r="B3" s="696"/>
      <c r="C3" s="696"/>
      <c r="D3" s="285"/>
      <c r="E3" s="285"/>
      <c r="F3" s="285"/>
      <c r="G3" s="285"/>
    </row>
    <row r="4" spans="1:7" ht="15">
      <c r="A4" s="272"/>
      <c r="B4" s="272"/>
      <c r="C4" s="272"/>
      <c r="D4" s="272"/>
      <c r="E4" s="272"/>
      <c r="F4" s="272"/>
      <c r="G4" s="272"/>
    </row>
    <row r="5" spans="1:7" ht="15">
      <c r="A5" s="272"/>
      <c r="B5" s="272"/>
      <c r="C5" s="272"/>
      <c r="D5" s="272"/>
      <c r="E5" s="272"/>
      <c r="F5" s="272"/>
      <c r="G5" s="272"/>
    </row>
    <row r="6" spans="1:7">
      <c r="A6" s="697" t="s">
        <v>556</v>
      </c>
      <c r="B6" s="698"/>
      <c r="C6" s="699"/>
    </row>
    <row r="7" spans="1:7">
      <c r="A7" s="46" t="s">
        <v>557</v>
      </c>
    </row>
    <row r="8" spans="1:7">
      <c r="A8" s="46" t="s">
        <v>431</v>
      </c>
    </row>
    <row r="9" spans="1:7">
      <c r="A9" s="697" t="s">
        <v>558</v>
      </c>
      <c r="B9" s="698"/>
      <c r="C9" s="699"/>
    </row>
    <row r="10" spans="1:7">
      <c r="A10" s="287">
        <v>1</v>
      </c>
      <c r="B10" s="287" t="s">
        <v>559</v>
      </c>
      <c r="C10" s="288">
        <f>120000</f>
        <v>120000</v>
      </c>
    </row>
    <row r="11" spans="1:7">
      <c r="A11" s="221">
        <v>2</v>
      </c>
      <c r="B11" s="221" t="s">
        <v>560</v>
      </c>
      <c r="C11" s="221"/>
    </row>
    <row r="12" spans="1:7">
      <c r="A12" s="221">
        <v>3</v>
      </c>
      <c r="B12" s="221" t="s">
        <v>561</v>
      </c>
      <c r="C12" s="289">
        <f>C10+C11</f>
        <v>120000</v>
      </c>
    </row>
    <row r="13" spans="1:7">
      <c r="A13" s="221">
        <v>4</v>
      </c>
      <c r="B13" s="221" t="s">
        <v>562</v>
      </c>
      <c r="C13" s="221"/>
    </row>
    <row r="14" spans="1:7">
      <c r="A14" s="221">
        <v>5</v>
      </c>
      <c r="B14" s="221" t="s">
        <v>563</v>
      </c>
      <c r="C14" s="221"/>
    </row>
    <row r="15" spans="1:7">
      <c r="A15" s="221">
        <v>6</v>
      </c>
      <c r="B15" s="221" t="s">
        <v>564</v>
      </c>
      <c r="C15" s="221">
        <f>C13+C14</f>
        <v>0</v>
      </c>
    </row>
    <row r="16" spans="1:7">
      <c r="A16" s="221">
        <v>7</v>
      </c>
      <c r="B16" s="221" t="s">
        <v>565</v>
      </c>
      <c r="C16" s="221"/>
    </row>
    <row r="17" spans="1:3">
      <c r="A17" s="221">
        <v>8</v>
      </c>
      <c r="B17" s="221" t="s">
        <v>566</v>
      </c>
      <c r="C17" s="221"/>
    </row>
    <row r="18" spans="1:3">
      <c r="A18" s="225">
        <v>9</v>
      </c>
      <c r="B18" s="225" t="s">
        <v>567</v>
      </c>
      <c r="C18" s="290">
        <f>C12+C15+C16+C17</f>
        <v>120000</v>
      </c>
    </row>
    <row r="19" spans="1:3">
      <c r="A19" s="697" t="s">
        <v>568</v>
      </c>
      <c r="B19" s="698"/>
      <c r="C19" s="699"/>
    </row>
    <row r="20" spans="1:3">
      <c r="A20" s="287">
        <v>10</v>
      </c>
      <c r="B20" s="291" t="s">
        <v>569</v>
      </c>
      <c r="C20" s="292"/>
    </row>
    <row r="21" spans="1:3">
      <c r="A21" s="221">
        <v>11</v>
      </c>
      <c r="B21" s="293" t="s">
        <v>570</v>
      </c>
      <c r="C21" s="216"/>
    </row>
    <row r="22" spans="1:3">
      <c r="A22" s="221">
        <v>12</v>
      </c>
      <c r="B22" s="293" t="s">
        <v>571</v>
      </c>
      <c r="C22" s="216"/>
    </row>
    <row r="23" spans="1:3">
      <c r="A23" s="221">
        <v>13</v>
      </c>
      <c r="B23" s="293" t="s">
        <v>572</v>
      </c>
      <c r="C23" s="216"/>
    </row>
    <row r="24" spans="1:3">
      <c r="A24" s="225">
        <v>14</v>
      </c>
      <c r="B24" s="294" t="s">
        <v>573</v>
      </c>
      <c r="C24" s="295">
        <f>SUM(C20:C23)</f>
        <v>0</v>
      </c>
    </row>
    <row r="25" spans="1:3">
      <c r="A25" s="697" t="s">
        <v>574</v>
      </c>
      <c r="B25" s="698"/>
      <c r="C25" s="699"/>
    </row>
    <row r="26" spans="1:3">
      <c r="A26" s="287">
        <v>15</v>
      </c>
      <c r="B26" s="287" t="s">
        <v>575</v>
      </c>
      <c r="C26" s="287"/>
    </row>
    <row r="27" spans="1:3">
      <c r="A27" s="221">
        <v>16</v>
      </c>
      <c r="B27" s="221" t="s">
        <v>576</v>
      </c>
      <c r="C27" s="221"/>
    </row>
    <row r="28" spans="1:3">
      <c r="A28" s="221">
        <v>17</v>
      </c>
      <c r="B28" s="221" t="s">
        <v>577</v>
      </c>
      <c r="C28" s="221"/>
    </row>
    <row r="29" spans="1:3">
      <c r="A29" s="221">
        <v>18</v>
      </c>
      <c r="B29" s="221" t="s">
        <v>572</v>
      </c>
      <c r="C29" s="221"/>
    </row>
    <row r="30" spans="1:3">
      <c r="A30" s="221">
        <v>19</v>
      </c>
      <c r="B30" s="221" t="s">
        <v>578</v>
      </c>
      <c r="C30" s="221">
        <f>SUM(C26:C29)</f>
        <v>0</v>
      </c>
    </row>
    <row r="31" spans="1:3" ht="27" customHeight="1">
      <c r="A31" s="225">
        <v>20</v>
      </c>
      <c r="B31" s="296" t="s">
        <v>579</v>
      </c>
      <c r="C31" s="225">
        <f>C24-C30</f>
        <v>0</v>
      </c>
    </row>
    <row r="34" spans="2:2">
      <c r="B34" t="s">
        <v>905</v>
      </c>
    </row>
  </sheetData>
  <mergeCells count="7">
    <mergeCell ref="A9:C9"/>
    <mergeCell ref="A19:C19"/>
    <mergeCell ref="A25:C25"/>
    <mergeCell ref="A1:C1"/>
    <mergeCell ref="A2:C2"/>
    <mergeCell ref="A3:C3"/>
    <mergeCell ref="A6:C6"/>
  </mergeCells>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workbookViewId="0">
      <selection activeCell="D21" sqref="D21"/>
    </sheetView>
  </sheetViews>
  <sheetFormatPr defaultRowHeight="12.75"/>
  <cols>
    <col min="1" max="1" width="6.7109375" customWidth="1"/>
    <col min="2" max="2" width="29.5703125" customWidth="1"/>
    <col min="3" max="3" width="18.7109375" customWidth="1"/>
    <col min="4" max="4" width="18.5703125" customWidth="1"/>
    <col min="5" max="6" width="15.7109375" customWidth="1"/>
  </cols>
  <sheetData>
    <row r="1" spans="1:7" ht="15">
      <c r="A1" s="696" t="str">
        <f>'EIA412 BALANCE SHEET'!A1:F1</f>
        <v>Mountain Lake</v>
      </c>
      <c r="B1" s="696"/>
      <c r="C1" s="696"/>
      <c r="D1" s="696"/>
      <c r="E1" s="696"/>
      <c r="F1" s="696"/>
      <c r="G1" s="118"/>
    </row>
    <row r="2" spans="1:7" ht="15">
      <c r="A2" s="693" t="s">
        <v>426</v>
      </c>
      <c r="B2" s="693"/>
      <c r="C2" s="693"/>
      <c r="D2" s="693"/>
      <c r="E2" s="693"/>
      <c r="F2" s="693"/>
      <c r="G2" s="118"/>
    </row>
    <row r="3" spans="1:7" ht="15">
      <c r="A3" s="696">
        <f>'EIA412 BALANCE SHEET'!A3:F3</f>
        <v>42004</v>
      </c>
      <c r="B3" s="696"/>
      <c r="C3" s="696"/>
      <c r="D3" s="696"/>
      <c r="E3" s="696"/>
      <c r="F3" s="696"/>
      <c r="G3" s="272"/>
    </row>
    <row r="5" spans="1:7">
      <c r="A5" s="702" t="s">
        <v>580</v>
      </c>
      <c r="B5" s="702"/>
      <c r="C5" s="702"/>
      <c r="D5" s="702"/>
      <c r="E5" s="702"/>
      <c r="F5" s="702"/>
    </row>
    <row r="6" spans="1:7">
      <c r="A6" s="215" t="s">
        <v>168</v>
      </c>
      <c r="B6" s="215"/>
      <c r="C6" s="215"/>
      <c r="D6" s="215"/>
      <c r="E6" s="215"/>
      <c r="F6" s="215"/>
    </row>
    <row r="7" spans="1:7" ht="13.5" thickBot="1">
      <c r="A7" s="217" t="s">
        <v>431</v>
      </c>
      <c r="B7" s="217"/>
      <c r="C7" s="215" t="s">
        <v>581</v>
      </c>
      <c r="D7" s="217" t="s">
        <v>582</v>
      </c>
      <c r="E7" s="217" t="s">
        <v>583</v>
      </c>
      <c r="F7" s="217" t="s">
        <v>7</v>
      </c>
    </row>
    <row r="8" spans="1:7">
      <c r="A8" s="216">
        <v>1</v>
      </c>
      <c r="B8" s="29" t="s">
        <v>584</v>
      </c>
      <c r="C8" s="297"/>
      <c r="D8" s="298"/>
      <c r="E8" s="298"/>
      <c r="F8" s="298"/>
    </row>
    <row r="9" spans="1:7">
      <c r="A9" s="295"/>
      <c r="B9" s="262" t="s">
        <v>585</v>
      </c>
      <c r="C9" s="299">
        <v>0</v>
      </c>
      <c r="D9" s="300">
        <v>0</v>
      </c>
      <c r="E9" s="300">
        <v>0</v>
      </c>
      <c r="F9" s="301">
        <f>SUM(C9:E9)</f>
        <v>0</v>
      </c>
    </row>
    <row r="10" spans="1:7" ht="25.5">
      <c r="A10" s="295">
        <v>2</v>
      </c>
      <c r="B10" s="302" t="s">
        <v>586</v>
      </c>
      <c r="C10" s="299">
        <v>0</v>
      </c>
      <c r="D10" s="300">
        <v>0</v>
      </c>
      <c r="E10" s="300">
        <v>0</v>
      </c>
      <c r="F10" s="301">
        <f>SUM(C10:E10)</f>
        <v>0</v>
      </c>
    </row>
    <row r="11" spans="1:7">
      <c r="A11" s="216">
        <v>3</v>
      </c>
      <c r="B11" s="29" t="s">
        <v>587</v>
      </c>
      <c r="C11" s="303"/>
      <c r="D11" s="298"/>
      <c r="E11" s="298"/>
      <c r="F11" s="298"/>
    </row>
    <row r="12" spans="1:7">
      <c r="A12" s="295"/>
      <c r="B12" s="262" t="s">
        <v>588</v>
      </c>
      <c r="C12" s="299">
        <v>0</v>
      </c>
      <c r="D12" s="300">
        <v>0</v>
      </c>
      <c r="E12" s="300">
        <v>0</v>
      </c>
      <c r="F12" s="301">
        <f>SUM(C12:E12)</f>
        <v>0</v>
      </c>
    </row>
    <row r="13" spans="1:7">
      <c r="A13" s="304">
        <v>4</v>
      </c>
      <c r="B13" s="305" t="s">
        <v>589</v>
      </c>
      <c r="C13" s="303"/>
      <c r="D13" s="298"/>
      <c r="E13" s="298"/>
      <c r="F13" s="298"/>
    </row>
    <row r="14" spans="1:7">
      <c r="A14" s="304"/>
      <c r="B14" s="306" t="s">
        <v>590</v>
      </c>
      <c r="C14" s="303"/>
      <c r="D14" s="298"/>
      <c r="E14" s="298"/>
      <c r="F14" s="298"/>
    </row>
    <row r="15" spans="1:7">
      <c r="A15" s="295"/>
      <c r="B15" s="307" t="s">
        <v>591</v>
      </c>
      <c r="C15" s="299">
        <v>0</v>
      </c>
      <c r="D15" s="300">
        <v>0</v>
      </c>
      <c r="E15" s="300">
        <v>0</v>
      </c>
      <c r="F15" s="301">
        <f>SUM(C15:E15)</f>
        <v>0</v>
      </c>
    </row>
    <row r="16" spans="1:7">
      <c r="A16" s="308">
        <v>5</v>
      </c>
      <c r="B16" s="309" t="s">
        <v>592</v>
      </c>
      <c r="C16" s="310">
        <f>'EIA412 PURCHASED POWER'!H44</f>
        <v>1343630</v>
      </c>
      <c r="D16" s="311">
        <v>0</v>
      </c>
      <c r="E16" s="311">
        <v>0</v>
      </c>
      <c r="F16" s="312">
        <f>SUM(C16:E16)</f>
        <v>1343630</v>
      </c>
    </row>
    <row r="17" spans="1:9">
      <c r="A17" s="216">
        <v>6</v>
      </c>
      <c r="B17" s="29" t="s">
        <v>593</v>
      </c>
      <c r="C17" s="303"/>
      <c r="D17" s="298"/>
      <c r="E17" s="298"/>
      <c r="F17" s="298"/>
    </row>
    <row r="18" spans="1:9" ht="13.5" thickBot="1">
      <c r="A18" s="295"/>
      <c r="B18" s="262" t="s">
        <v>594</v>
      </c>
      <c r="C18" s="313">
        <v>0</v>
      </c>
      <c r="D18" s="300">
        <f>52731+9359+3948+6733+98</f>
        <v>72869</v>
      </c>
      <c r="E18" s="300">
        <f>25768</f>
        <v>25768</v>
      </c>
      <c r="F18" s="301">
        <f>SUM(C18:E18)</f>
        <v>98637</v>
      </c>
    </row>
    <row r="19" spans="1:9">
      <c r="A19" s="314">
        <v>7</v>
      </c>
      <c r="B19" s="314" t="s">
        <v>595</v>
      </c>
      <c r="C19" s="315">
        <f>C9+C10+C12+C15+C16+C18</f>
        <v>1343630</v>
      </c>
      <c r="D19" s="316">
        <f>SUM(D9:D18)</f>
        <v>72869</v>
      </c>
      <c r="E19" s="316">
        <f>SUM(E9:E18)</f>
        <v>25768</v>
      </c>
      <c r="F19" s="316">
        <f>SUM(C19:E19)</f>
        <v>1442267</v>
      </c>
      <c r="G19" t="s">
        <v>157</v>
      </c>
      <c r="H19" s="284" t="s">
        <v>157</v>
      </c>
      <c r="I19" s="284" t="s">
        <v>157</v>
      </c>
    </row>
    <row r="20" spans="1:9">
      <c r="A20" s="216">
        <v>8</v>
      </c>
      <c r="B20" s="216" t="s">
        <v>596</v>
      </c>
      <c r="C20" s="298"/>
      <c r="D20" s="298"/>
      <c r="E20" s="298"/>
      <c r="F20" s="298"/>
    </row>
    <row r="21" spans="1:9">
      <c r="A21" s="295"/>
      <c r="B21" s="295" t="s">
        <v>597</v>
      </c>
      <c r="C21" s="317" t="s">
        <v>598</v>
      </c>
      <c r="D21" s="357">
        <f>'MLS6_PCB Analysis &amp; Maint'!E32-'MLS6_PCB Analysis &amp; Maint'!E23</f>
        <v>3804.21</v>
      </c>
      <c r="E21" s="357">
        <f>'MLS6_PCB Analysis &amp; Maint'!E23</f>
        <v>0</v>
      </c>
      <c r="F21" s="318">
        <f>SUM(D21:E21)</f>
        <v>3804.21</v>
      </c>
      <c r="H21" t="s">
        <v>157</v>
      </c>
    </row>
    <row r="22" spans="1:9">
      <c r="A22" s="216">
        <v>9</v>
      </c>
      <c r="B22" s="216" t="s">
        <v>599</v>
      </c>
      <c r="C22" s="298"/>
      <c r="D22" s="389"/>
      <c r="E22" s="389"/>
      <c r="F22" s="298"/>
    </row>
    <row r="23" spans="1:9">
      <c r="A23" s="295"/>
      <c r="B23" s="295" t="s">
        <v>600</v>
      </c>
      <c r="C23" s="317" t="s">
        <v>598</v>
      </c>
      <c r="D23" s="357">
        <f>263763-E23-D21-E21</f>
        <v>221504.79</v>
      </c>
      <c r="E23" s="357">
        <f>38454</f>
        <v>38454</v>
      </c>
      <c r="F23" s="301">
        <f>SUM(D23:E23)</f>
        <v>259958.79</v>
      </c>
      <c r="H23" s="284" t="s">
        <v>157</v>
      </c>
    </row>
    <row r="24" spans="1:9">
      <c r="A24" s="216">
        <v>10</v>
      </c>
      <c r="B24" s="216" t="s">
        <v>601</v>
      </c>
      <c r="C24" s="298"/>
      <c r="D24" s="298"/>
      <c r="E24" s="298"/>
      <c r="F24" s="298"/>
    </row>
    <row r="25" spans="1:9">
      <c r="A25" s="295"/>
      <c r="B25" s="295" t="s">
        <v>602</v>
      </c>
      <c r="C25" s="317" t="s">
        <v>598</v>
      </c>
      <c r="D25" s="300">
        <v>0</v>
      </c>
      <c r="E25" s="300">
        <v>0</v>
      </c>
      <c r="F25" s="301">
        <f>SUM(D25:E25)</f>
        <v>0</v>
      </c>
    </row>
    <row r="26" spans="1:9">
      <c r="A26" s="216">
        <v>11</v>
      </c>
      <c r="B26" s="216" t="s">
        <v>603</v>
      </c>
      <c r="C26" s="298"/>
      <c r="D26" s="298"/>
      <c r="E26" s="298"/>
      <c r="F26" s="298"/>
    </row>
    <row r="27" spans="1:9">
      <c r="A27" s="295"/>
      <c r="B27" s="295" t="s">
        <v>604</v>
      </c>
      <c r="C27" s="317" t="s">
        <v>598</v>
      </c>
      <c r="D27" s="300">
        <v>0</v>
      </c>
      <c r="E27" s="300">
        <v>0</v>
      </c>
      <c r="F27" s="301">
        <f>SUM(D27:E27)</f>
        <v>0</v>
      </c>
    </row>
    <row r="28" spans="1:9">
      <c r="A28" s="314">
        <v>12</v>
      </c>
      <c r="B28" s="314" t="s">
        <v>605</v>
      </c>
      <c r="C28" s="317" t="s">
        <v>598</v>
      </c>
      <c r="D28" s="312"/>
      <c r="E28" s="312"/>
      <c r="F28" s="312"/>
    </row>
    <row r="29" spans="1:9">
      <c r="A29" s="314">
        <v>13</v>
      </c>
      <c r="B29" s="314" t="s">
        <v>606</v>
      </c>
      <c r="C29" s="317" t="s">
        <v>598</v>
      </c>
      <c r="D29" s="319">
        <f>304508-E29</f>
        <v>286953</v>
      </c>
      <c r="E29" s="311">
        <f>17555</f>
        <v>17555</v>
      </c>
      <c r="F29" s="320">
        <f>SUM(D29:E29)</f>
        <v>304508</v>
      </c>
    </row>
    <row r="30" spans="1:9">
      <c r="A30" s="216">
        <v>14</v>
      </c>
      <c r="B30" s="216" t="s">
        <v>607</v>
      </c>
      <c r="C30" s="298"/>
      <c r="D30" s="298"/>
      <c r="E30" s="298"/>
      <c r="F30" s="298"/>
    </row>
    <row r="31" spans="1:9">
      <c r="A31" s="295"/>
      <c r="B31" s="295" t="s">
        <v>608</v>
      </c>
      <c r="C31" s="321">
        <f>C19</f>
        <v>1343630</v>
      </c>
      <c r="D31" s="322">
        <f>SUM(D19:D30)</f>
        <v>585131</v>
      </c>
      <c r="E31" s="322">
        <f>SUM(E19:E30)</f>
        <v>81777</v>
      </c>
      <c r="F31" s="322">
        <f>SUM(F19:F30)</f>
        <v>2010538</v>
      </c>
    </row>
    <row r="32" spans="1:9">
      <c r="C32" s="284"/>
      <c r="D32" s="284"/>
      <c r="E32" s="284"/>
      <c r="F32" s="284"/>
    </row>
    <row r="33" spans="2:6">
      <c r="B33" s="700" t="s">
        <v>609</v>
      </c>
      <c r="C33" s="701"/>
      <c r="D33" s="666">
        <v>2</v>
      </c>
      <c r="E33" s="284"/>
      <c r="F33" s="284" t="s">
        <v>157</v>
      </c>
    </row>
    <row r="34" spans="2:6">
      <c r="B34" s="294" t="s">
        <v>610</v>
      </c>
      <c r="C34" s="323"/>
      <c r="D34" s="357">
        <v>0</v>
      </c>
      <c r="E34" s="284"/>
      <c r="F34" s="284">
        <f>1442267+263763+304508-F31</f>
        <v>0</v>
      </c>
    </row>
    <row r="35" spans="2:6">
      <c r="C35" s="284"/>
      <c r="D35" s="284"/>
      <c r="E35" s="284"/>
      <c r="F35" s="284"/>
    </row>
  </sheetData>
  <mergeCells count="5">
    <mergeCell ref="B33:C33"/>
    <mergeCell ref="A1:F1"/>
    <mergeCell ref="A2:F2"/>
    <mergeCell ref="A3:F3"/>
    <mergeCell ref="A5:F5"/>
  </mergeCells>
  <phoneticPr fontId="2"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19" workbookViewId="0">
      <selection sqref="A1:H1"/>
    </sheetView>
  </sheetViews>
  <sheetFormatPr defaultRowHeight="12.75"/>
  <cols>
    <col min="2" max="2" width="21.7109375" customWidth="1"/>
    <col min="3" max="3" width="5.7109375" customWidth="1"/>
    <col min="4" max="8" width="12.7109375" customWidth="1"/>
    <col min="10" max="10" width="13.7109375" customWidth="1"/>
    <col min="12" max="12" width="14.7109375" customWidth="1"/>
  </cols>
  <sheetData>
    <row r="1" spans="1:11" ht="15">
      <c r="A1" s="696" t="str">
        <f>'EIA412 BALANCE SHEET'!A1:F1</f>
        <v>Mountain Lake</v>
      </c>
      <c r="B1" s="696"/>
      <c r="C1" s="696"/>
      <c r="D1" s="696"/>
      <c r="E1" s="696"/>
      <c r="F1" s="696"/>
      <c r="G1" s="696"/>
      <c r="H1" s="696"/>
    </row>
    <row r="2" spans="1:11" ht="15">
      <c r="A2" s="693" t="s">
        <v>426</v>
      </c>
      <c r="B2" s="693"/>
      <c r="C2" s="693"/>
      <c r="D2" s="693"/>
      <c r="E2" s="693"/>
      <c r="F2" s="693"/>
      <c r="G2" s="693"/>
      <c r="H2" s="693"/>
    </row>
    <row r="3" spans="1:11" ht="15">
      <c r="A3" s="696">
        <f>'EIA412 BALANCE SHEET'!A3:F3</f>
        <v>42004</v>
      </c>
      <c r="B3" s="696"/>
      <c r="C3" s="696"/>
      <c r="D3" s="696"/>
      <c r="E3" s="696"/>
      <c r="F3" s="696"/>
      <c r="G3" s="696"/>
      <c r="H3" s="696"/>
    </row>
    <row r="4" spans="1:11">
      <c r="A4" s="80"/>
    </row>
    <row r="5" spans="1:11">
      <c r="A5" s="702" t="s">
        <v>611</v>
      </c>
      <c r="B5" s="702"/>
      <c r="C5" s="702"/>
      <c r="D5" s="702"/>
      <c r="E5" s="702"/>
      <c r="F5" s="702"/>
      <c r="G5" s="702"/>
      <c r="H5" s="702"/>
    </row>
    <row r="6" spans="1:11">
      <c r="A6" s="273"/>
      <c r="B6" s="273"/>
      <c r="C6" s="273"/>
      <c r="D6" s="273" t="s">
        <v>612</v>
      </c>
      <c r="E6" s="273" t="s">
        <v>613</v>
      </c>
      <c r="F6" s="273" t="s">
        <v>614</v>
      </c>
      <c r="G6" s="273" t="s">
        <v>615</v>
      </c>
      <c r="H6" s="273" t="s">
        <v>616</v>
      </c>
    </row>
    <row r="7" spans="1:11">
      <c r="A7" s="215" t="s">
        <v>168</v>
      </c>
      <c r="B7" s="215"/>
      <c r="C7" s="215" t="s">
        <v>617</v>
      </c>
      <c r="D7" s="215" t="s">
        <v>618</v>
      </c>
      <c r="E7" s="215" t="s">
        <v>619</v>
      </c>
      <c r="F7" s="215" t="s">
        <v>620</v>
      </c>
      <c r="G7" s="215" t="s">
        <v>621</v>
      </c>
      <c r="H7" s="215" t="s">
        <v>622</v>
      </c>
    </row>
    <row r="8" spans="1:11">
      <c r="A8" s="217" t="s">
        <v>170</v>
      </c>
      <c r="B8" s="217" t="s">
        <v>623</v>
      </c>
      <c r="C8" s="217" t="s">
        <v>624</v>
      </c>
      <c r="D8" s="217" t="s">
        <v>625</v>
      </c>
      <c r="E8" s="217" t="s">
        <v>626</v>
      </c>
      <c r="F8" s="217" t="s">
        <v>627</v>
      </c>
      <c r="G8" s="217" t="s">
        <v>628</v>
      </c>
      <c r="H8" s="217" t="s">
        <v>627</v>
      </c>
    </row>
    <row r="9" spans="1:11">
      <c r="A9" s="230">
        <v>1</v>
      </c>
      <c r="B9" s="324"/>
      <c r="C9" s="325"/>
      <c r="D9" s="326">
        <v>0</v>
      </c>
      <c r="E9" s="327">
        <v>0</v>
      </c>
      <c r="F9" s="327">
        <v>0</v>
      </c>
      <c r="G9" s="326">
        <v>0</v>
      </c>
      <c r="H9" s="277">
        <f>SUM(F9:G9)</f>
        <v>0</v>
      </c>
      <c r="K9" s="204"/>
    </row>
    <row r="10" spans="1:11">
      <c r="A10" s="230">
        <v>2</v>
      </c>
      <c r="B10" s="324"/>
      <c r="C10" s="328"/>
      <c r="D10" s="326">
        <v>0</v>
      </c>
      <c r="E10" s="327">
        <v>0</v>
      </c>
      <c r="F10" s="327">
        <v>0</v>
      </c>
      <c r="G10" s="326">
        <v>0</v>
      </c>
      <c r="H10" s="277">
        <f>SUM(F10:G10)</f>
        <v>0</v>
      </c>
      <c r="K10" s="204"/>
    </row>
    <row r="11" spans="1:11">
      <c r="A11" s="230">
        <v>3</v>
      </c>
      <c r="B11" s="324"/>
      <c r="C11" s="325"/>
      <c r="D11" s="326">
        <v>0</v>
      </c>
      <c r="E11" s="327">
        <v>0</v>
      </c>
      <c r="F11" s="327">
        <v>0</v>
      </c>
      <c r="G11" s="326">
        <v>0</v>
      </c>
      <c r="H11" s="277">
        <f t="shared" ref="H11:H43" si="0">SUM(F11:G11)</f>
        <v>0</v>
      </c>
      <c r="K11" s="204"/>
    </row>
    <row r="12" spans="1:11">
      <c r="A12" s="230">
        <v>4</v>
      </c>
      <c r="B12" s="324"/>
      <c r="C12" s="325"/>
      <c r="D12" s="326">
        <v>0</v>
      </c>
      <c r="E12" s="327">
        <v>0</v>
      </c>
      <c r="F12" s="327">
        <v>0</v>
      </c>
      <c r="G12" s="326">
        <v>0</v>
      </c>
      <c r="H12" s="277">
        <f t="shared" si="0"/>
        <v>0</v>
      </c>
      <c r="K12" s="204"/>
    </row>
    <row r="13" spans="1:11">
      <c r="A13" s="230">
        <v>5</v>
      </c>
      <c r="B13" s="324"/>
      <c r="C13" s="325"/>
      <c r="D13" s="326">
        <v>0</v>
      </c>
      <c r="E13" s="327">
        <v>0</v>
      </c>
      <c r="F13" s="327">
        <v>0</v>
      </c>
      <c r="G13" s="326">
        <v>0</v>
      </c>
      <c r="H13" s="277">
        <f t="shared" si="0"/>
        <v>0</v>
      </c>
      <c r="K13" s="204"/>
    </row>
    <row r="14" spans="1:11">
      <c r="A14" s="230">
        <v>6</v>
      </c>
      <c r="B14" s="324"/>
      <c r="C14" s="325"/>
      <c r="D14" s="326">
        <v>0</v>
      </c>
      <c r="E14" s="327">
        <v>0</v>
      </c>
      <c r="F14" s="327">
        <v>0</v>
      </c>
      <c r="G14" s="327">
        <v>0</v>
      </c>
      <c r="H14" s="277">
        <f t="shared" si="0"/>
        <v>0</v>
      </c>
      <c r="K14" s="204"/>
    </row>
    <row r="15" spans="1:11">
      <c r="A15" s="230">
        <v>7</v>
      </c>
      <c r="B15" s="324"/>
      <c r="C15" s="325"/>
      <c r="D15" s="326">
        <v>0</v>
      </c>
      <c r="E15" s="327">
        <v>0</v>
      </c>
      <c r="F15" s="327">
        <v>0</v>
      </c>
      <c r="G15" s="327">
        <v>0</v>
      </c>
      <c r="H15" s="277">
        <f t="shared" si="0"/>
        <v>0</v>
      </c>
      <c r="K15" s="204"/>
    </row>
    <row r="16" spans="1:11">
      <c r="A16" s="230">
        <v>8</v>
      </c>
      <c r="B16" s="324"/>
      <c r="C16" s="325"/>
      <c r="D16" s="326">
        <v>0</v>
      </c>
      <c r="E16" s="327">
        <v>0</v>
      </c>
      <c r="F16" s="327">
        <v>0</v>
      </c>
      <c r="G16" s="327">
        <v>0</v>
      </c>
      <c r="H16" s="277">
        <f t="shared" si="0"/>
        <v>0</v>
      </c>
      <c r="K16" s="204"/>
    </row>
    <row r="17" spans="1:11">
      <c r="A17" s="230">
        <v>9</v>
      </c>
      <c r="B17" s="324"/>
      <c r="C17" s="325"/>
      <c r="D17" s="326">
        <v>0</v>
      </c>
      <c r="E17" s="327">
        <v>0</v>
      </c>
      <c r="F17" s="327">
        <v>0</v>
      </c>
      <c r="G17" s="327">
        <v>0</v>
      </c>
      <c r="H17" s="277">
        <f t="shared" si="0"/>
        <v>0</v>
      </c>
      <c r="K17" s="204"/>
    </row>
    <row r="18" spans="1:11">
      <c r="A18" s="230">
        <v>10</v>
      </c>
      <c r="B18" s="324"/>
      <c r="C18" s="325"/>
      <c r="D18" s="326">
        <v>0</v>
      </c>
      <c r="E18" s="327">
        <v>0</v>
      </c>
      <c r="F18" s="327">
        <v>0</v>
      </c>
      <c r="G18" s="327">
        <v>0</v>
      </c>
      <c r="H18" s="277">
        <f t="shared" si="0"/>
        <v>0</v>
      </c>
      <c r="K18" s="204"/>
    </row>
    <row r="19" spans="1:11">
      <c r="A19" s="230">
        <v>11</v>
      </c>
      <c r="B19" s="324"/>
      <c r="C19" s="325"/>
      <c r="D19" s="326">
        <v>0</v>
      </c>
      <c r="E19" s="327">
        <v>0</v>
      </c>
      <c r="F19" s="327">
        <v>0</v>
      </c>
      <c r="G19" s="327">
        <v>0</v>
      </c>
      <c r="H19" s="277">
        <f t="shared" si="0"/>
        <v>0</v>
      </c>
      <c r="K19" s="204"/>
    </row>
    <row r="20" spans="1:11">
      <c r="A20" s="230">
        <v>12</v>
      </c>
      <c r="B20" s="324"/>
      <c r="C20" s="325"/>
      <c r="D20" s="326">
        <v>0</v>
      </c>
      <c r="E20" s="327">
        <v>0</v>
      </c>
      <c r="F20" s="327">
        <v>0</v>
      </c>
      <c r="G20" s="327">
        <v>0</v>
      </c>
      <c r="H20" s="277">
        <f t="shared" si="0"/>
        <v>0</v>
      </c>
      <c r="K20" s="204"/>
    </row>
    <row r="21" spans="1:11">
      <c r="A21" s="230">
        <v>13</v>
      </c>
      <c r="B21" s="324"/>
      <c r="C21" s="325"/>
      <c r="D21" s="326">
        <v>0</v>
      </c>
      <c r="E21" s="327">
        <v>0</v>
      </c>
      <c r="F21" s="327">
        <v>0</v>
      </c>
      <c r="G21" s="327">
        <v>0</v>
      </c>
      <c r="H21" s="277">
        <f t="shared" si="0"/>
        <v>0</v>
      </c>
      <c r="K21" s="204"/>
    </row>
    <row r="22" spans="1:11">
      <c r="A22" s="230">
        <v>14</v>
      </c>
      <c r="B22" s="324"/>
      <c r="C22" s="325"/>
      <c r="D22" s="326">
        <v>0</v>
      </c>
      <c r="E22" s="327">
        <v>0</v>
      </c>
      <c r="F22" s="327">
        <v>0</v>
      </c>
      <c r="G22" s="327">
        <v>0</v>
      </c>
      <c r="H22" s="277">
        <f t="shared" si="0"/>
        <v>0</v>
      </c>
      <c r="J22" s="329"/>
    </row>
    <row r="23" spans="1:11">
      <c r="A23" s="230">
        <v>15</v>
      </c>
      <c r="B23" s="324"/>
      <c r="C23" s="325"/>
      <c r="D23" s="326">
        <v>0</v>
      </c>
      <c r="E23" s="327">
        <v>0</v>
      </c>
      <c r="F23" s="327">
        <v>0</v>
      </c>
      <c r="G23" s="327">
        <v>0</v>
      </c>
      <c r="H23" s="277">
        <f t="shared" si="0"/>
        <v>0</v>
      </c>
    </row>
    <row r="24" spans="1:11">
      <c r="A24" s="230">
        <v>16</v>
      </c>
      <c r="B24" s="324"/>
      <c r="C24" s="325"/>
      <c r="D24" s="326">
        <v>0</v>
      </c>
      <c r="E24" s="327">
        <v>0</v>
      </c>
      <c r="F24" s="327">
        <v>0</v>
      </c>
      <c r="G24" s="327">
        <v>0</v>
      </c>
      <c r="H24" s="277">
        <f t="shared" si="0"/>
        <v>0</v>
      </c>
    </row>
    <row r="25" spans="1:11">
      <c r="A25" s="230">
        <v>17</v>
      </c>
      <c r="B25" s="324"/>
      <c r="C25" s="325"/>
      <c r="D25" s="326">
        <v>0</v>
      </c>
      <c r="E25" s="327">
        <v>0</v>
      </c>
      <c r="F25" s="327">
        <v>0</v>
      </c>
      <c r="G25" s="327">
        <v>0</v>
      </c>
      <c r="H25" s="277">
        <f t="shared" si="0"/>
        <v>0</v>
      </c>
    </row>
    <row r="26" spans="1:11">
      <c r="A26" s="230">
        <v>18</v>
      </c>
      <c r="B26" s="324"/>
      <c r="C26" s="325"/>
      <c r="D26" s="326">
        <v>0</v>
      </c>
      <c r="E26" s="327">
        <v>0</v>
      </c>
      <c r="F26" s="327">
        <v>0</v>
      </c>
      <c r="G26" s="327">
        <v>0</v>
      </c>
      <c r="H26" s="277">
        <f t="shared" si="0"/>
        <v>0</v>
      </c>
    </row>
    <row r="27" spans="1:11">
      <c r="A27" s="230">
        <v>19</v>
      </c>
      <c r="B27" s="324"/>
      <c r="C27" s="325"/>
      <c r="D27" s="326">
        <v>0</v>
      </c>
      <c r="E27" s="327">
        <v>0</v>
      </c>
      <c r="F27" s="327">
        <v>0</v>
      </c>
      <c r="G27" s="327">
        <v>0</v>
      </c>
      <c r="H27" s="277">
        <f t="shared" si="0"/>
        <v>0</v>
      </c>
    </row>
    <row r="28" spans="1:11">
      <c r="A28" s="230">
        <v>20</v>
      </c>
      <c r="B28" s="324"/>
      <c r="C28" s="325"/>
      <c r="D28" s="326">
        <v>0</v>
      </c>
      <c r="E28" s="327">
        <v>0</v>
      </c>
      <c r="F28" s="327">
        <v>0</v>
      </c>
      <c r="G28" s="327">
        <v>0</v>
      </c>
      <c r="H28" s="277">
        <f t="shared" si="0"/>
        <v>0</v>
      </c>
    </row>
    <row r="29" spans="1:11">
      <c r="A29" s="230">
        <v>21</v>
      </c>
      <c r="B29" s="324"/>
      <c r="C29" s="325"/>
      <c r="D29" s="326">
        <v>0</v>
      </c>
      <c r="E29" s="327">
        <v>0</v>
      </c>
      <c r="F29" s="327">
        <v>0</v>
      </c>
      <c r="G29" s="327">
        <v>0</v>
      </c>
      <c r="H29" s="277">
        <f t="shared" si="0"/>
        <v>0</v>
      </c>
    </row>
    <row r="30" spans="1:11">
      <c r="A30" s="230">
        <v>22</v>
      </c>
      <c r="B30" s="324"/>
      <c r="C30" s="325"/>
      <c r="D30" s="327">
        <v>0</v>
      </c>
      <c r="E30" s="327">
        <v>0</v>
      </c>
      <c r="F30" s="327">
        <v>0</v>
      </c>
      <c r="G30" s="327">
        <v>0</v>
      </c>
      <c r="H30" s="277">
        <f t="shared" si="0"/>
        <v>0</v>
      </c>
    </row>
    <row r="31" spans="1:11">
      <c r="A31" s="230">
        <v>23</v>
      </c>
      <c r="B31" s="324"/>
      <c r="C31" s="325"/>
      <c r="D31" s="327">
        <v>0</v>
      </c>
      <c r="E31" s="327">
        <v>0</v>
      </c>
      <c r="F31" s="327">
        <v>0</v>
      </c>
      <c r="G31" s="327">
        <v>0</v>
      </c>
      <c r="H31" s="277">
        <f t="shared" si="0"/>
        <v>0</v>
      </c>
    </row>
    <row r="32" spans="1:11">
      <c r="A32" s="230">
        <v>24</v>
      </c>
      <c r="B32" s="324"/>
      <c r="C32" s="325"/>
      <c r="D32" s="327">
        <v>0</v>
      </c>
      <c r="E32" s="327">
        <v>0</v>
      </c>
      <c r="F32" s="327">
        <v>0</v>
      </c>
      <c r="G32" s="327">
        <v>0</v>
      </c>
      <c r="H32" s="277">
        <f t="shared" si="0"/>
        <v>0</v>
      </c>
    </row>
    <row r="33" spans="1:8">
      <c r="A33" s="230">
        <v>25</v>
      </c>
      <c r="B33" s="324"/>
      <c r="C33" s="325"/>
      <c r="D33" s="327">
        <v>0</v>
      </c>
      <c r="E33" s="327">
        <v>0</v>
      </c>
      <c r="F33" s="327">
        <v>0</v>
      </c>
      <c r="G33" s="327">
        <v>0</v>
      </c>
      <c r="H33" s="277">
        <f t="shared" si="0"/>
        <v>0</v>
      </c>
    </row>
    <row r="34" spans="1:8">
      <c r="A34" s="230">
        <v>26</v>
      </c>
      <c r="B34" s="324"/>
      <c r="C34" s="325"/>
      <c r="D34" s="327">
        <v>0</v>
      </c>
      <c r="E34" s="327">
        <v>0</v>
      </c>
      <c r="F34" s="327">
        <v>0</v>
      </c>
      <c r="G34" s="327">
        <v>0</v>
      </c>
      <c r="H34" s="277">
        <f t="shared" si="0"/>
        <v>0</v>
      </c>
    </row>
    <row r="35" spans="1:8">
      <c r="A35" s="230">
        <v>27</v>
      </c>
      <c r="B35" s="324"/>
      <c r="C35" s="325"/>
      <c r="D35" s="327">
        <v>0</v>
      </c>
      <c r="E35" s="327">
        <v>0</v>
      </c>
      <c r="F35" s="327">
        <v>0</v>
      </c>
      <c r="G35" s="327">
        <v>0</v>
      </c>
      <c r="H35" s="277">
        <f t="shared" si="0"/>
        <v>0</v>
      </c>
    </row>
    <row r="36" spans="1:8">
      <c r="A36" s="230">
        <v>28</v>
      </c>
      <c r="B36" s="324"/>
      <c r="C36" s="325"/>
      <c r="D36" s="327">
        <v>0</v>
      </c>
      <c r="E36" s="327">
        <v>0</v>
      </c>
      <c r="F36" s="327">
        <v>0</v>
      </c>
      <c r="G36" s="327">
        <v>0</v>
      </c>
      <c r="H36" s="277">
        <f t="shared" si="0"/>
        <v>0</v>
      </c>
    </row>
    <row r="37" spans="1:8">
      <c r="A37" s="230">
        <v>29</v>
      </c>
      <c r="B37" s="324"/>
      <c r="C37" s="325"/>
      <c r="D37" s="327">
        <v>0</v>
      </c>
      <c r="E37" s="327">
        <v>0</v>
      </c>
      <c r="F37" s="327">
        <v>0</v>
      </c>
      <c r="G37" s="327">
        <v>0</v>
      </c>
      <c r="H37" s="277">
        <f t="shared" si="0"/>
        <v>0</v>
      </c>
    </row>
    <row r="38" spans="1:8">
      <c r="A38" s="230">
        <v>30</v>
      </c>
      <c r="B38" s="324"/>
      <c r="C38" s="325"/>
      <c r="D38" s="327">
        <v>0</v>
      </c>
      <c r="E38" s="327">
        <v>0</v>
      </c>
      <c r="F38" s="327">
        <v>0</v>
      </c>
      <c r="G38" s="327">
        <v>0</v>
      </c>
      <c r="H38" s="277">
        <f t="shared" si="0"/>
        <v>0</v>
      </c>
    </row>
    <row r="39" spans="1:8">
      <c r="A39" s="230">
        <v>31</v>
      </c>
      <c r="B39" s="324"/>
      <c r="C39" s="325"/>
      <c r="D39" s="327">
        <v>0</v>
      </c>
      <c r="E39" s="327">
        <v>0</v>
      </c>
      <c r="F39" s="327">
        <v>0</v>
      </c>
      <c r="G39" s="327">
        <v>0</v>
      </c>
      <c r="H39" s="277">
        <f t="shared" si="0"/>
        <v>0</v>
      </c>
    </row>
    <row r="40" spans="1:8">
      <c r="A40" s="230">
        <v>32</v>
      </c>
      <c r="B40" s="324"/>
      <c r="C40" s="325"/>
      <c r="D40" s="327">
        <v>0</v>
      </c>
      <c r="E40" s="327">
        <v>0</v>
      </c>
      <c r="F40" s="327">
        <v>0</v>
      </c>
      <c r="G40" s="327">
        <v>0</v>
      </c>
      <c r="H40" s="277">
        <f t="shared" si="0"/>
        <v>0</v>
      </c>
    </row>
    <row r="41" spans="1:8">
      <c r="A41" s="230">
        <v>33</v>
      </c>
      <c r="B41" s="324"/>
      <c r="C41" s="325"/>
      <c r="D41" s="327">
        <v>0</v>
      </c>
      <c r="E41" s="327">
        <v>0</v>
      </c>
      <c r="F41" s="327">
        <v>0</v>
      </c>
      <c r="G41" s="327">
        <v>0</v>
      </c>
      <c r="H41" s="277">
        <f t="shared" si="0"/>
        <v>0</v>
      </c>
    </row>
    <row r="42" spans="1:8">
      <c r="A42" s="230">
        <v>34</v>
      </c>
      <c r="B42" s="324"/>
      <c r="C42" s="325"/>
      <c r="D42" s="327">
        <v>0</v>
      </c>
      <c r="E42" s="327">
        <v>0</v>
      </c>
      <c r="F42" s="327">
        <v>0</v>
      </c>
      <c r="G42" s="327">
        <v>0</v>
      </c>
      <c r="H42" s="277">
        <f t="shared" si="0"/>
        <v>0</v>
      </c>
    </row>
    <row r="43" spans="1:8">
      <c r="A43" s="230">
        <v>35</v>
      </c>
      <c r="B43" s="324"/>
      <c r="C43" s="325"/>
      <c r="D43" s="326">
        <v>0</v>
      </c>
      <c r="E43" s="326">
        <v>0</v>
      </c>
      <c r="F43" s="326">
        <v>0</v>
      </c>
      <c r="G43" s="326">
        <v>0</v>
      </c>
      <c r="H43" s="277">
        <f t="shared" si="0"/>
        <v>0</v>
      </c>
    </row>
    <row r="44" spans="1:8">
      <c r="A44" s="229"/>
      <c r="B44" s="229"/>
      <c r="C44" s="230"/>
      <c r="D44" s="277">
        <f>SUM(D9:D43)</f>
        <v>0</v>
      </c>
      <c r="E44" s="277">
        <f>SUM(E9:E43)</f>
        <v>0</v>
      </c>
      <c r="F44" s="277">
        <f>SUM(F9:F43)</f>
        <v>0</v>
      </c>
      <c r="G44" s="277">
        <f>SUM(G9:G43)</f>
        <v>0</v>
      </c>
      <c r="H44" s="277">
        <f>SUM(H9:H43)</f>
        <v>0</v>
      </c>
    </row>
    <row r="45" spans="1:8">
      <c r="D45" s="284"/>
      <c r="E45" s="284"/>
      <c r="F45" s="284"/>
      <c r="G45" s="284"/>
      <c r="H45" s="284"/>
    </row>
    <row r="46" spans="1:8">
      <c r="B46" s="29"/>
      <c r="D46" s="284"/>
      <c r="E46" s="284"/>
      <c r="F46" s="284" t="s">
        <v>157</v>
      </c>
      <c r="G46" s="284" t="s">
        <v>157</v>
      </c>
      <c r="H46" s="284"/>
    </row>
    <row r="47" spans="1:8">
      <c r="D47" s="284"/>
      <c r="E47" s="284"/>
      <c r="F47" s="284"/>
      <c r="G47" s="284"/>
      <c r="H47" s="284"/>
    </row>
    <row r="48" spans="1:8">
      <c r="D48" s="284"/>
      <c r="E48" s="284"/>
      <c r="F48" s="284"/>
      <c r="G48" s="284"/>
      <c r="H48" s="284"/>
    </row>
  </sheetData>
  <mergeCells count="4">
    <mergeCell ref="A1:H1"/>
    <mergeCell ref="A2:H2"/>
    <mergeCell ref="A3:H3"/>
    <mergeCell ref="A5:H5"/>
  </mergeCells>
  <phoneticPr fontId="2"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opLeftCell="A7" workbookViewId="0">
      <selection activeCell="G9" sqref="G9"/>
    </sheetView>
  </sheetViews>
  <sheetFormatPr defaultRowHeight="12.75"/>
  <cols>
    <col min="2" max="2" width="23" customWidth="1"/>
    <col min="3" max="3" width="5.7109375" customWidth="1"/>
    <col min="4" max="7" width="12.7109375" customWidth="1"/>
    <col min="8" max="8" width="14" customWidth="1"/>
    <col min="9" max="9" width="11.28515625" bestFit="1" customWidth="1"/>
  </cols>
  <sheetData>
    <row r="1" spans="1:8" ht="15">
      <c r="A1" s="696" t="str">
        <f>'EIA412 BALANCE SHEET'!A1:F1</f>
        <v>Mountain Lake</v>
      </c>
      <c r="B1" s="696"/>
      <c r="C1" s="696"/>
      <c r="D1" s="696"/>
      <c r="E1" s="696"/>
      <c r="F1" s="696"/>
      <c r="G1" s="696"/>
      <c r="H1" s="696"/>
    </row>
    <row r="2" spans="1:8" ht="15">
      <c r="A2" s="693" t="s">
        <v>426</v>
      </c>
      <c r="B2" s="693"/>
      <c r="C2" s="693"/>
      <c r="D2" s="693"/>
      <c r="E2" s="693"/>
      <c r="F2" s="693"/>
      <c r="G2" s="693"/>
      <c r="H2" s="693"/>
    </row>
    <row r="3" spans="1:8" ht="15">
      <c r="A3" s="696">
        <f>'EIA412 BALANCE SHEET'!A3:F3</f>
        <v>42004</v>
      </c>
      <c r="B3" s="696"/>
      <c r="C3" s="696"/>
      <c r="D3" s="696"/>
      <c r="E3" s="696"/>
      <c r="F3" s="696"/>
      <c r="G3" s="696"/>
      <c r="H3" s="696"/>
    </row>
    <row r="4" spans="1:8">
      <c r="A4" s="80"/>
    </row>
    <row r="5" spans="1:8">
      <c r="A5" s="702" t="s">
        <v>629</v>
      </c>
      <c r="B5" s="702"/>
      <c r="C5" s="702"/>
      <c r="D5" s="702"/>
      <c r="E5" s="702"/>
      <c r="F5" s="702"/>
      <c r="G5" s="702"/>
      <c r="H5" s="702"/>
    </row>
    <row r="6" spans="1:8">
      <c r="A6" s="273"/>
      <c r="B6" s="273"/>
      <c r="C6" s="273"/>
      <c r="D6" s="273" t="s">
        <v>612</v>
      </c>
      <c r="E6" s="273" t="s">
        <v>613</v>
      </c>
      <c r="F6" s="273" t="s">
        <v>614</v>
      </c>
      <c r="G6" s="273" t="s">
        <v>615</v>
      </c>
      <c r="H6" s="273" t="s">
        <v>616</v>
      </c>
    </row>
    <row r="7" spans="1:8">
      <c r="A7" s="215" t="s">
        <v>168</v>
      </c>
      <c r="B7" s="215"/>
      <c r="C7" s="215" t="s">
        <v>617</v>
      </c>
      <c r="D7" s="215" t="s">
        <v>630</v>
      </c>
      <c r="E7" s="215" t="s">
        <v>619</v>
      </c>
      <c r="F7" s="215" t="s">
        <v>620</v>
      </c>
      <c r="G7" s="215" t="s">
        <v>621</v>
      </c>
      <c r="H7" s="215" t="s">
        <v>622</v>
      </c>
    </row>
    <row r="8" spans="1:8">
      <c r="A8" s="217" t="s">
        <v>170</v>
      </c>
      <c r="B8" s="217" t="s">
        <v>631</v>
      </c>
      <c r="C8" s="217" t="s">
        <v>624</v>
      </c>
      <c r="D8" s="217" t="s">
        <v>625</v>
      </c>
      <c r="E8" s="217" t="s">
        <v>626</v>
      </c>
      <c r="F8" s="217" t="s">
        <v>627</v>
      </c>
      <c r="G8" s="217" t="s">
        <v>628</v>
      </c>
      <c r="H8" s="217" t="s">
        <v>627</v>
      </c>
    </row>
    <row r="9" spans="1:8">
      <c r="A9" s="230">
        <v>1</v>
      </c>
      <c r="B9" s="324" t="s">
        <v>674</v>
      </c>
      <c r="C9" s="325" t="s">
        <v>632</v>
      </c>
      <c r="D9" s="327">
        <v>0</v>
      </c>
      <c r="E9" s="327">
        <v>0</v>
      </c>
      <c r="F9" s="327">
        <v>0</v>
      </c>
      <c r="G9" s="327">
        <f>1343630</f>
        <v>1343630</v>
      </c>
      <c r="H9" s="330">
        <f>SUM(F9:G9)</f>
        <v>1343630</v>
      </c>
    </row>
    <row r="10" spans="1:8">
      <c r="A10" s="230">
        <v>2</v>
      </c>
      <c r="B10" s="324"/>
      <c r="C10" s="325"/>
      <c r="D10" s="327">
        <v>0</v>
      </c>
      <c r="E10" s="327">
        <v>0</v>
      </c>
      <c r="F10" s="327">
        <v>0</v>
      </c>
      <c r="G10" s="327">
        <v>0</v>
      </c>
      <c r="H10" s="330">
        <f>SUM(F10:G10)</f>
        <v>0</v>
      </c>
    </row>
    <row r="11" spans="1:8">
      <c r="A11" s="230">
        <v>3</v>
      </c>
      <c r="B11" s="324"/>
      <c r="C11" s="325"/>
      <c r="D11" s="327">
        <v>0</v>
      </c>
      <c r="E11" s="327">
        <v>0</v>
      </c>
      <c r="F11" s="327">
        <v>0</v>
      </c>
      <c r="G11" s="327">
        <v>0</v>
      </c>
      <c r="H11" s="330">
        <f t="shared" ref="H11:H43" si="0">SUM(F11:G11)</f>
        <v>0</v>
      </c>
    </row>
    <row r="12" spans="1:8">
      <c r="A12" s="230">
        <v>4</v>
      </c>
      <c r="B12" s="324"/>
      <c r="C12" s="325"/>
      <c r="D12" s="327">
        <v>0</v>
      </c>
      <c r="E12" s="327">
        <v>0</v>
      </c>
      <c r="F12" s="327">
        <v>0</v>
      </c>
      <c r="G12" s="327">
        <v>0</v>
      </c>
      <c r="H12" s="330">
        <f t="shared" si="0"/>
        <v>0</v>
      </c>
    </row>
    <row r="13" spans="1:8">
      <c r="A13" s="230">
        <v>5</v>
      </c>
      <c r="B13" s="324"/>
      <c r="C13" s="325"/>
      <c r="D13" s="327">
        <v>0</v>
      </c>
      <c r="E13" s="327">
        <v>0</v>
      </c>
      <c r="F13" s="327">
        <v>0</v>
      </c>
      <c r="G13" s="327">
        <v>0</v>
      </c>
      <c r="H13" s="330">
        <f t="shared" si="0"/>
        <v>0</v>
      </c>
    </row>
    <row r="14" spans="1:8">
      <c r="A14" s="230">
        <v>6</v>
      </c>
      <c r="B14" s="324"/>
      <c r="C14" s="325"/>
      <c r="D14" s="327">
        <v>0</v>
      </c>
      <c r="E14" s="327">
        <v>0</v>
      </c>
      <c r="F14" s="327">
        <v>0</v>
      </c>
      <c r="G14" s="327">
        <v>0</v>
      </c>
      <c r="H14" s="330">
        <f t="shared" si="0"/>
        <v>0</v>
      </c>
    </row>
    <row r="15" spans="1:8">
      <c r="A15" s="230">
        <v>7</v>
      </c>
      <c r="B15" s="324"/>
      <c r="C15" s="325"/>
      <c r="D15" s="327">
        <v>0</v>
      </c>
      <c r="E15" s="327">
        <v>0</v>
      </c>
      <c r="F15" s="327">
        <v>0</v>
      </c>
      <c r="G15" s="327">
        <v>0</v>
      </c>
      <c r="H15" s="330">
        <f t="shared" si="0"/>
        <v>0</v>
      </c>
    </row>
    <row r="16" spans="1:8">
      <c r="A16" s="230">
        <v>8</v>
      </c>
      <c r="B16" s="324"/>
      <c r="C16" s="325"/>
      <c r="D16" s="327">
        <v>0</v>
      </c>
      <c r="E16" s="327">
        <v>0</v>
      </c>
      <c r="F16" s="327">
        <v>0</v>
      </c>
      <c r="G16" s="327">
        <v>0</v>
      </c>
      <c r="H16" s="330">
        <f t="shared" si="0"/>
        <v>0</v>
      </c>
    </row>
    <row r="17" spans="1:8">
      <c r="A17" s="230">
        <v>9</v>
      </c>
      <c r="B17" s="331"/>
      <c r="C17" s="332"/>
      <c r="D17" s="327">
        <v>0</v>
      </c>
      <c r="E17" s="327">
        <v>0</v>
      </c>
      <c r="F17" s="327">
        <v>0</v>
      </c>
      <c r="G17" s="327">
        <v>0</v>
      </c>
      <c r="H17" s="330">
        <f t="shared" si="0"/>
        <v>0</v>
      </c>
    </row>
    <row r="18" spans="1:8">
      <c r="A18" s="230">
        <v>10</v>
      </c>
      <c r="B18" s="324"/>
      <c r="C18" s="325"/>
      <c r="D18" s="327">
        <v>0</v>
      </c>
      <c r="E18" s="327">
        <v>0</v>
      </c>
      <c r="F18" s="327">
        <v>0</v>
      </c>
      <c r="G18" s="327">
        <v>0</v>
      </c>
      <c r="H18" s="330">
        <f t="shared" si="0"/>
        <v>0</v>
      </c>
    </row>
    <row r="19" spans="1:8">
      <c r="A19" s="230">
        <v>11</v>
      </c>
      <c r="B19" s="324"/>
      <c r="C19" s="325"/>
      <c r="D19" s="275">
        <v>0</v>
      </c>
      <c r="E19" s="327">
        <v>0</v>
      </c>
      <c r="F19" s="275">
        <v>0</v>
      </c>
      <c r="G19" s="275">
        <v>0</v>
      </c>
      <c r="H19" s="277">
        <f t="shared" si="0"/>
        <v>0</v>
      </c>
    </row>
    <row r="20" spans="1:8">
      <c r="A20" s="230">
        <v>12</v>
      </c>
      <c r="B20" s="324"/>
      <c r="C20" s="325"/>
      <c r="D20" s="275">
        <v>0</v>
      </c>
      <c r="E20" s="327">
        <v>0</v>
      </c>
      <c r="F20" s="275">
        <v>0</v>
      </c>
      <c r="G20" s="275">
        <v>0</v>
      </c>
      <c r="H20" s="277">
        <f t="shared" si="0"/>
        <v>0</v>
      </c>
    </row>
    <row r="21" spans="1:8">
      <c r="A21" s="230">
        <v>13</v>
      </c>
      <c r="B21" s="324"/>
      <c r="C21" s="325"/>
      <c r="D21" s="275">
        <v>0</v>
      </c>
      <c r="E21" s="327">
        <v>0</v>
      </c>
      <c r="F21" s="275">
        <v>0</v>
      </c>
      <c r="G21" s="275">
        <v>0</v>
      </c>
      <c r="H21" s="277">
        <f t="shared" si="0"/>
        <v>0</v>
      </c>
    </row>
    <row r="22" spans="1:8">
      <c r="A22" s="230">
        <v>14</v>
      </c>
      <c r="B22" s="324"/>
      <c r="C22" s="325"/>
      <c r="D22" s="275">
        <v>0</v>
      </c>
      <c r="E22" s="327">
        <v>0</v>
      </c>
      <c r="F22" s="275">
        <v>0</v>
      </c>
      <c r="G22" s="275">
        <v>0</v>
      </c>
      <c r="H22" s="277">
        <f t="shared" si="0"/>
        <v>0</v>
      </c>
    </row>
    <row r="23" spans="1:8">
      <c r="A23" s="230">
        <v>15</v>
      </c>
      <c r="B23" s="324"/>
      <c r="C23" s="325"/>
      <c r="D23" s="275">
        <v>0</v>
      </c>
      <c r="E23" s="327">
        <v>0</v>
      </c>
      <c r="F23" s="275">
        <v>0</v>
      </c>
      <c r="G23" s="275">
        <v>0</v>
      </c>
      <c r="H23" s="277">
        <f t="shared" si="0"/>
        <v>0</v>
      </c>
    </row>
    <row r="24" spans="1:8">
      <c r="A24" s="230">
        <v>16</v>
      </c>
      <c r="B24" s="324"/>
      <c r="C24" s="325"/>
      <c r="D24" s="275">
        <v>0</v>
      </c>
      <c r="E24" s="327">
        <v>0</v>
      </c>
      <c r="F24" s="275">
        <v>0</v>
      </c>
      <c r="G24" s="275">
        <v>0</v>
      </c>
      <c r="H24" s="277">
        <f t="shared" si="0"/>
        <v>0</v>
      </c>
    </row>
    <row r="25" spans="1:8">
      <c r="A25" s="230">
        <v>17</v>
      </c>
      <c r="B25" s="324"/>
      <c r="C25" s="325"/>
      <c r="D25" s="275">
        <v>0</v>
      </c>
      <c r="E25" s="327">
        <v>0</v>
      </c>
      <c r="F25" s="275">
        <v>0</v>
      </c>
      <c r="G25" s="275">
        <v>0</v>
      </c>
      <c r="H25" s="277">
        <f>SUM(G25:G25)</f>
        <v>0</v>
      </c>
    </row>
    <row r="26" spans="1:8">
      <c r="A26" s="230">
        <v>18</v>
      </c>
      <c r="B26" s="324"/>
      <c r="C26" s="325"/>
      <c r="D26" s="275">
        <v>0</v>
      </c>
      <c r="E26" s="327">
        <v>0</v>
      </c>
      <c r="F26" s="275">
        <v>0</v>
      </c>
      <c r="G26" s="275">
        <v>0</v>
      </c>
      <c r="H26" s="277">
        <f>SUM(G26:G26)</f>
        <v>0</v>
      </c>
    </row>
    <row r="27" spans="1:8">
      <c r="A27" s="230">
        <v>19</v>
      </c>
      <c r="B27" s="324"/>
      <c r="C27" s="325"/>
      <c r="D27" s="275">
        <v>0</v>
      </c>
      <c r="E27" s="275">
        <v>0</v>
      </c>
      <c r="F27" s="275">
        <v>0</v>
      </c>
      <c r="G27" s="275">
        <v>0</v>
      </c>
      <c r="H27" s="277">
        <f t="shared" si="0"/>
        <v>0</v>
      </c>
    </row>
    <row r="28" spans="1:8">
      <c r="A28" s="230">
        <v>20</v>
      </c>
      <c r="B28" s="324"/>
      <c r="C28" s="325"/>
      <c r="D28" s="275">
        <v>0</v>
      </c>
      <c r="E28" s="275">
        <v>0</v>
      </c>
      <c r="F28" s="275">
        <v>0</v>
      </c>
      <c r="G28" s="275">
        <v>0</v>
      </c>
      <c r="H28" s="277">
        <f t="shared" si="0"/>
        <v>0</v>
      </c>
    </row>
    <row r="29" spans="1:8">
      <c r="A29" s="230">
        <v>21</v>
      </c>
      <c r="B29" s="324"/>
      <c r="C29" s="325"/>
      <c r="D29" s="275">
        <v>0</v>
      </c>
      <c r="E29" s="275">
        <v>0</v>
      </c>
      <c r="F29" s="275">
        <v>0</v>
      </c>
      <c r="G29" s="275">
        <v>0</v>
      </c>
      <c r="H29" s="277">
        <f t="shared" si="0"/>
        <v>0</v>
      </c>
    </row>
    <row r="30" spans="1:8">
      <c r="A30" s="230">
        <v>22</v>
      </c>
      <c r="B30" s="324"/>
      <c r="C30" s="325"/>
      <c r="D30" s="275">
        <v>0</v>
      </c>
      <c r="E30" s="275">
        <v>0</v>
      </c>
      <c r="F30" s="275">
        <v>0</v>
      </c>
      <c r="G30" s="275">
        <v>0</v>
      </c>
      <c r="H30" s="277">
        <f t="shared" si="0"/>
        <v>0</v>
      </c>
    </row>
    <row r="31" spans="1:8">
      <c r="A31" s="230">
        <v>23</v>
      </c>
      <c r="B31" s="324"/>
      <c r="C31" s="325"/>
      <c r="D31" s="275">
        <v>0</v>
      </c>
      <c r="E31" s="275">
        <v>0</v>
      </c>
      <c r="F31" s="275">
        <v>0</v>
      </c>
      <c r="G31" s="275">
        <v>0</v>
      </c>
      <c r="H31" s="277">
        <f t="shared" si="0"/>
        <v>0</v>
      </c>
    </row>
    <row r="32" spans="1:8">
      <c r="A32" s="230">
        <v>24</v>
      </c>
      <c r="B32" s="324"/>
      <c r="C32" s="325"/>
      <c r="D32" s="275">
        <v>0</v>
      </c>
      <c r="E32" s="275">
        <v>0</v>
      </c>
      <c r="F32" s="275">
        <v>0</v>
      </c>
      <c r="G32" s="275">
        <v>0</v>
      </c>
      <c r="H32" s="277">
        <f t="shared" si="0"/>
        <v>0</v>
      </c>
    </row>
    <row r="33" spans="1:8">
      <c r="A33" s="230">
        <v>25</v>
      </c>
      <c r="B33" s="324"/>
      <c r="C33" s="325"/>
      <c r="D33" s="275">
        <v>0</v>
      </c>
      <c r="E33" s="275">
        <v>0</v>
      </c>
      <c r="F33" s="275">
        <v>0</v>
      </c>
      <c r="G33" s="275">
        <v>0</v>
      </c>
      <c r="H33" s="277">
        <f t="shared" si="0"/>
        <v>0</v>
      </c>
    </row>
    <row r="34" spans="1:8">
      <c r="A34" s="230">
        <v>26</v>
      </c>
      <c r="B34" s="324"/>
      <c r="C34" s="325"/>
      <c r="D34" s="275">
        <v>0</v>
      </c>
      <c r="E34" s="275">
        <v>0</v>
      </c>
      <c r="F34" s="275">
        <v>0</v>
      </c>
      <c r="G34" s="275">
        <v>0</v>
      </c>
      <c r="H34" s="277">
        <f t="shared" si="0"/>
        <v>0</v>
      </c>
    </row>
    <row r="35" spans="1:8">
      <c r="A35" s="230">
        <v>27</v>
      </c>
      <c r="B35" s="324"/>
      <c r="C35" s="325"/>
      <c r="D35" s="275">
        <v>0</v>
      </c>
      <c r="E35" s="275">
        <v>0</v>
      </c>
      <c r="F35" s="275">
        <v>0</v>
      </c>
      <c r="G35" s="275">
        <v>0</v>
      </c>
      <c r="H35" s="277">
        <f t="shared" si="0"/>
        <v>0</v>
      </c>
    </row>
    <row r="36" spans="1:8">
      <c r="A36" s="230">
        <v>28</v>
      </c>
      <c r="B36" s="324"/>
      <c r="C36" s="325"/>
      <c r="D36" s="275">
        <v>0</v>
      </c>
      <c r="E36" s="275">
        <v>0</v>
      </c>
      <c r="F36" s="275">
        <v>0</v>
      </c>
      <c r="G36" s="275">
        <v>0</v>
      </c>
      <c r="H36" s="277">
        <f t="shared" si="0"/>
        <v>0</v>
      </c>
    </row>
    <row r="37" spans="1:8">
      <c r="A37" s="230">
        <v>29</v>
      </c>
      <c r="B37" s="324"/>
      <c r="C37" s="325"/>
      <c r="D37" s="275">
        <v>0</v>
      </c>
      <c r="E37" s="275">
        <v>0</v>
      </c>
      <c r="F37" s="275">
        <v>0</v>
      </c>
      <c r="G37" s="275">
        <v>0</v>
      </c>
      <c r="H37" s="277">
        <f t="shared" si="0"/>
        <v>0</v>
      </c>
    </row>
    <row r="38" spans="1:8">
      <c r="A38" s="230">
        <v>30</v>
      </c>
      <c r="B38" s="324"/>
      <c r="C38" s="325"/>
      <c r="D38" s="275">
        <v>0</v>
      </c>
      <c r="E38" s="275">
        <v>0</v>
      </c>
      <c r="F38" s="275">
        <v>0</v>
      </c>
      <c r="G38" s="275">
        <v>0</v>
      </c>
      <c r="H38" s="277">
        <f t="shared" si="0"/>
        <v>0</v>
      </c>
    </row>
    <row r="39" spans="1:8">
      <c r="A39" s="230">
        <v>31</v>
      </c>
      <c r="B39" s="324"/>
      <c r="C39" s="325"/>
      <c r="D39" s="275">
        <v>0</v>
      </c>
      <c r="E39" s="275">
        <v>0</v>
      </c>
      <c r="F39" s="275">
        <v>0</v>
      </c>
      <c r="G39" s="275">
        <v>0</v>
      </c>
      <c r="H39" s="277">
        <f t="shared" si="0"/>
        <v>0</v>
      </c>
    </row>
    <row r="40" spans="1:8">
      <c r="A40" s="230">
        <v>32</v>
      </c>
      <c r="B40" s="324"/>
      <c r="C40" s="325"/>
      <c r="D40" s="275">
        <v>0</v>
      </c>
      <c r="E40" s="275">
        <v>0</v>
      </c>
      <c r="F40" s="275">
        <v>0</v>
      </c>
      <c r="G40" s="275">
        <v>0</v>
      </c>
      <c r="H40" s="277">
        <f t="shared" si="0"/>
        <v>0</v>
      </c>
    </row>
    <row r="41" spans="1:8">
      <c r="A41" s="230">
        <v>33</v>
      </c>
      <c r="B41" s="324"/>
      <c r="C41" s="325"/>
      <c r="D41" s="275">
        <v>0</v>
      </c>
      <c r="E41" s="275">
        <v>0</v>
      </c>
      <c r="F41" s="275">
        <v>0</v>
      </c>
      <c r="G41" s="275">
        <v>0</v>
      </c>
      <c r="H41" s="277">
        <f t="shared" si="0"/>
        <v>0</v>
      </c>
    </row>
    <row r="42" spans="1:8">
      <c r="A42" s="230">
        <v>34</v>
      </c>
      <c r="B42" s="324"/>
      <c r="C42" s="325"/>
      <c r="D42" s="275">
        <v>0</v>
      </c>
      <c r="E42" s="275">
        <v>0</v>
      </c>
      <c r="F42" s="275">
        <v>0</v>
      </c>
      <c r="G42" s="275">
        <v>0</v>
      </c>
      <c r="H42" s="277">
        <f t="shared" si="0"/>
        <v>0</v>
      </c>
    </row>
    <row r="43" spans="1:8">
      <c r="A43" s="230">
        <v>35</v>
      </c>
      <c r="B43" s="324"/>
      <c r="C43" s="325"/>
      <c r="D43" s="275">
        <v>0</v>
      </c>
      <c r="E43" s="275">
        <v>0</v>
      </c>
      <c r="F43" s="275">
        <v>0</v>
      </c>
      <c r="G43" s="275">
        <v>0</v>
      </c>
      <c r="H43" s="277">
        <f t="shared" si="0"/>
        <v>0</v>
      </c>
    </row>
    <row r="44" spans="1:8">
      <c r="A44" s="229"/>
      <c r="B44" s="229"/>
      <c r="C44" s="230"/>
      <c r="D44" s="277">
        <f>SUM(D9:D43)</f>
        <v>0</v>
      </c>
      <c r="E44" s="277">
        <f>SUM(E9:E43)</f>
        <v>0</v>
      </c>
      <c r="F44" s="277">
        <f>SUM(F9:F43)</f>
        <v>0</v>
      </c>
      <c r="G44" s="277">
        <f>SUM(G9:G43)</f>
        <v>1343630</v>
      </c>
      <c r="H44" s="277">
        <f>SUM(H9:H43)</f>
        <v>1343630</v>
      </c>
    </row>
    <row r="45" spans="1:8">
      <c r="D45" s="284"/>
      <c r="E45" s="284"/>
      <c r="F45" s="284"/>
      <c r="G45" s="284"/>
      <c r="H45" s="284"/>
    </row>
    <row r="46" spans="1:8">
      <c r="D46" s="284"/>
      <c r="E46" s="284"/>
      <c r="F46" s="284"/>
      <c r="G46" s="284"/>
      <c r="H46" s="284" t="s">
        <v>157</v>
      </c>
    </row>
    <row r="57" spans="8:9">
      <c r="I57" s="333"/>
    </row>
    <row r="64" spans="8:9">
      <c r="H64" s="334"/>
    </row>
    <row r="65" spans="8:8">
      <c r="H65" s="334"/>
    </row>
  </sheetData>
  <mergeCells count="4">
    <mergeCell ref="A1:H1"/>
    <mergeCell ref="A2:H2"/>
    <mergeCell ref="A3:H3"/>
    <mergeCell ref="A5:H5"/>
  </mergeCells>
  <phoneticPr fontId="2"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zoomScaleNormal="100" workbookViewId="0">
      <selection activeCell="E23" sqref="E23"/>
    </sheetView>
  </sheetViews>
  <sheetFormatPr defaultRowHeight="12.75"/>
  <sheetData>
    <row r="1" spans="1:8" ht="15">
      <c r="A1" s="696" t="str">
        <f>'EIA412 BALANCE SHEET'!A1:F1</f>
        <v>Mountain Lake</v>
      </c>
      <c r="B1" s="696"/>
      <c r="C1" s="696"/>
      <c r="D1" s="696"/>
      <c r="E1" s="696"/>
      <c r="F1" s="696"/>
      <c r="G1" s="696"/>
      <c r="H1" s="696"/>
    </row>
    <row r="2" spans="1:8" ht="15">
      <c r="A2" s="693" t="s">
        <v>426</v>
      </c>
      <c r="B2" s="693"/>
      <c r="C2" s="693"/>
      <c r="D2" s="693"/>
      <c r="E2" s="693"/>
      <c r="F2" s="693"/>
      <c r="G2" s="693"/>
      <c r="H2" s="693"/>
    </row>
    <row r="3" spans="1:8" ht="15.75" thickBot="1">
      <c r="A3" s="696">
        <f>'EIA412 BALANCE SHEET'!A3:F3</f>
        <v>42004</v>
      </c>
      <c r="B3" s="696"/>
      <c r="C3" s="696"/>
      <c r="D3" s="696"/>
      <c r="E3" s="696"/>
      <c r="F3" s="696"/>
      <c r="G3" s="696"/>
      <c r="H3" s="696"/>
    </row>
    <row r="4" spans="1:8" ht="13.5" thickTop="1">
      <c r="A4" s="335"/>
      <c r="B4" s="335"/>
      <c r="C4" s="335"/>
      <c r="D4" s="335"/>
      <c r="E4" s="335"/>
      <c r="F4" s="335"/>
      <c r="G4" s="335"/>
      <c r="H4" s="336"/>
    </row>
    <row r="5" spans="1:8">
      <c r="H5" s="337"/>
    </row>
    <row r="6" spans="1:8">
      <c r="A6" s="79" t="s">
        <v>633</v>
      </c>
      <c r="H6" s="337"/>
    </row>
    <row r="8" spans="1:8">
      <c r="A8" t="s">
        <v>754</v>
      </c>
    </row>
    <row r="9" spans="1:8">
      <c r="A9" t="s">
        <v>838</v>
      </c>
    </row>
    <row r="11" spans="1:8">
      <c r="A11" t="s">
        <v>755</v>
      </c>
    </row>
    <row r="12" spans="1:8">
      <c r="A12" t="s">
        <v>756</v>
      </c>
    </row>
    <row r="13" spans="1:8">
      <c r="A13" t="s">
        <v>757</v>
      </c>
    </row>
    <row r="15" spans="1:8">
      <c r="A15" t="s">
        <v>839</v>
      </c>
    </row>
    <row r="17" spans="1:1">
      <c r="A17" t="s">
        <v>758</v>
      </c>
    </row>
    <row r="19" spans="1:1">
      <c r="A19" t="s">
        <v>759</v>
      </c>
    </row>
    <row r="20" spans="1:1">
      <c r="A20" t="s">
        <v>760</v>
      </c>
    </row>
    <row r="21" spans="1:1">
      <c r="A21" t="s">
        <v>761</v>
      </c>
    </row>
    <row r="22" spans="1:1">
      <c r="A22" t="s">
        <v>762</v>
      </c>
    </row>
  </sheetData>
  <mergeCells count="3">
    <mergeCell ref="A1:H1"/>
    <mergeCell ref="A2:H2"/>
    <mergeCell ref="A3:H3"/>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9</vt:i4>
      </vt:variant>
    </vt:vector>
  </HeadingPairs>
  <TitlesOfParts>
    <vt:vector size="27" baseType="lpstr">
      <vt:lpstr>Attachment O</vt:lpstr>
      <vt:lpstr>EIA412 BALANCE SHEET</vt:lpstr>
      <vt:lpstr>EIA412 INCOME STATEMENT</vt:lpstr>
      <vt:lpstr>EIA412 ELECTRIC PLANT</vt:lpstr>
      <vt:lpstr>EIA412 TAXES</vt:lpstr>
      <vt:lpstr>EIA412 OP &amp; MAINT</vt:lpstr>
      <vt:lpstr>EIA412 SALES FOR RESALE</vt:lpstr>
      <vt:lpstr>EIA412 PURCHASED POWER</vt:lpstr>
      <vt:lpstr>EIA412 NOTES</vt:lpstr>
      <vt:lpstr>MLS1_Salary and Wages Allocator</vt:lpstr>
      <vt:lpstr>MLS2_Debt P&amp;I&amp;A </vt:lpstr>
      <vt:lpstr>MLS5_Plant Detail</vt:lpstr>
      <vt:lpstr>MLS6_PCB Analysis &amp; Maint</vt:lpstr>
      <vt:lpstr>ML8_13 CP Load Data</vt:lpstr>
      <vt:lpstr>ML9_Payment in Lieu of Taxes</vt:lpstr>
      <vt:lpstr>Alert</vt:lpstr>
      <vt:lpstr>TARIFF REVENUE</vt:lpstr>
      <vt:lpstr>Sheet1</vt:lpstr>
      <vt:lpstr>'EIA412 NOTES'!Print_Area</vt:lpstr>
      <vt:lpstr>'ML8_13 CP Load Data'!Print_Area</vt:lpstr>
      <vt:lpstr>'MLS1_Salary and Wages Allocator'!Print_Area</vt:lpstr>
      <vt:lpstr>'MLS2_Debt P&amp;I&amp;A '!Print_Area</vt:lpstr>
      <vt:lpstr>'MLS5_Plant Detail'!Print_Area</vt:lpstr>
      <vt:lpstr>'MLS6_PCB Analysis &amp; Maint'!Print_Area</vt:lpstr>
      <vt:lpstr>'MLS5_Plant Detail'!Print_Titles</vt:lpstr>
      <vt:lpstr>Sheet1!Print_Titles</vt:lpstr>
      <vt:lpstr>'TARIFF REVENUE'!Print_Titles</vt:lpstr>
    </vt:vector>
  </TitlesOfParts>
  <Company>MCR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Kennedy</dc:creator>
  <cp:lastModifiedBy>Larry Blaine</cp:lastModifiedBy>
  <cp:lastPrinted>2014-03-28T18:14:15Z</cp:lastPrinted>
  <dcterms:created xsi:type="dcterms:W3CDTF">2006-06-21T16:23:08Z</dcterms:created>
  <dcterms:modified xsi:type="dcterms:W3CDTF">2016-03-11T19:48:46Z</dcterms:modified>
</cp:coreProperties>
</file>