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APX2020\MISO TRANSMISSION OWNER FILINGS\GLENCOE\2015 DATA\"/>
    </mc:Choice>
  </mc:AlternateContent>
  <bookViews>
    <workbookView xWindow="0" yWindow="0" windowWidth="20415" windowHeight="9090" tabRatio="654" firstSheet="10" activeTab="10"/>
  </bookViews>
  <sheets>
    <sheet name="Attachment O" sheetId="17" r:id="rId1"/>
    <sheet name="EIA412 BALANCE SHEET" sheetId="26" r:id="rId2"/>
    <sheet name="EIA412 INCOME STATEMENT" sheetId="25" r:id="rId3"/>
    <sheet name="EIA412 ELECTRIC PLANT" sheetId="24" r:id="rId4"/>
    <sheet name="EIA412 TAXES" sheetId="23" r:id="rId5"/>
    <sheet name="EIA412 OP &amp; MAINT" sheetId="22" r:id="rId6"/>
    <sheet name="EIA412 SALES FOR RESALE" sheetId="21" r:id="rId7"/>
    <sheet name="EIA412 PURCHASED POWER" sheetId="20" r:id="rId8"/>
    <sheet name="EIA412 NOTES" sheetId="19" r:id="rId9"/>
    <sheet name="GLS1_Salary and Wages Allocator" sheetId="4" r:id="rId10"/>
    <sheet name="GLS2_Debt P&amp;I&amp;A " sheetId="5" r:id="rId11"/>
    <sheet name="GL8_15 CP Load Data" sheetId="14" r:id="rId12"/>
    <sheet name="GL9_Payment in Lieu of Taxes" sheetId="15" r:id="rId13"/>
    <sheet name="GL10_CAPITAL ASSETS" sheetId="27" r:id="rId14"/>
    <sheet name="TARIFF RECEIPTS" sheetId="29" r:id="rId15"/>
    <sheet name="Sheet2" sheetId="30" r:id="rId16"/>
  </sheets>
  <definedNames>
    <definedName name="_xlnm.Print_Area" localSheetId="0">'Attachment O'!$A$1:$AA$337</definedName>
    <definedName name="_xlnm.Print_Area" localSheetId="11">'GL8_15 CP Load Data'!$C$2:$J$20</definedName>
    <definedName name="_xlnm.Print_Area" localSheetId="9">'GLS1_Salary and Wages Allocator'!$C$2:$H$14</definedName>
    <definedName name="_xlnm.Print_Area" localSheetId="10">'GLS2_Debt P&amp;I&amp;A '!$B$3:$J$23</definedName>
    <definedName name="Print_Area_MI">#REF!</definedName>
  </definedNames>
  <calcPr calcId="152511"/>
</workbook>
</file>

<file path=xl/calcChain.xml><?xml version="1.0" encoding="utf-8"?>
<calcChain xmlns="http://schemas.openxmlformats.org/spreadsheetml/2006/main">
  <c r="O9" i="5" l="1"/>
  <c r="E30" i="25"/>
  <c r="U13" i="27"/>
  <c r="I25" i="24"/>
  <c r="I28" i="24"/>
  <c r="U32" i="27"/>
  <c r="T22" i="27"/>
  <c r="U19" i="27"/>
  <c r="U15" i="27"/>
  <c r="C14" i="26" l="1"/>
  <c r="I19" i="24"/>
  <c r="I18" i="24"/>
  <c r="I17" i="24"/>
  <c r="I15" i="24"/>
  <c r="V32" i="27"/>
  <c r="L31" i="27"/>
  <c r="M31" i="27"/>
  <c r="M17" i="27"/>
  <c r="L17" i="27"/>
  <c r="M14" i="27"/>
  <c r="L14" i="27"/>
  <c r="M30" i="27"/>
  <c r="L30" i="27"/>
  <c r="M16" i="27"/>
  <c r="L16" i="27"/>
  <c r="M18" i="27"/>
  <c r="L18" i="27"/>
  <c r="M19" i="27"/>
  <c r="L19" i="27"/>
  <c r="M29" i="27"/>
  <c r="L29" i="27"/>
  <c r="M13" i="27"/>
  <c r="L13" i="27"/>
  <c r="M15" i="27"/>
  <c r="L15" i="27"/>
  <c r="A3" i="27" l="1"/>
  <c r="V140" i="29" l="1"/>
  <c r="V139" i="29"/>
  <c r="V138" i="29"/>
  <c r="V137" i="29"/>
  <c r="V135" i="29"/>
  <c r="L45" i="27" l="1"/>
  <c r="M45" i="27"/>
  <c r="J45" i="27"/>
  <c r="C16" i="25"/>
  <c r="V144" i="29"/>
  <c r="I264" i="17" s="1"/>
  <c r="V142" i="29"/>
  <c r="I265" i="17"/>
  <c r="T19" i="27" l="1"/>
  <c r="T15" i="27"/>
  <c r="T13" i="27"/>
  <c r="I22" i="24" l="1"/>
  <c r="F11" i="26"/>
  <c r="E27" i="24"/>
  <c r="Q24" i="27"/>
  <c r="S24" i="27"/>
  <c r="O24" i="27"/>
  <c r="C20" i="23"/>
  <c r="C18" i="25" l="1"/>
  <c r="C24" i="25"/>
  <c r="C29" i="25"/>
  <c r="C32" i="25"/>
  <c r="C23" i="25"/>
  <c r="J42" i="27" l="1"/>
  <c r="F42" i="27"/>
  <c r="D27" i="24"/>
  <c r="G27" i="24" s="1"/>
  <c r="M20" i="27"/>
  <c r="L20" i="27"/>
  <c r="M32" i="27"/>
  <c r="T32" i="27" s="1"/>
  <c r="T36" i="27" l="1"/>
  <c r="M36" i="27"/>
  <c r="F53" i="26"/>
  <c r="F47" i="26"/>
  <c r="C56" i="26"/>
  <c r="F21" i="26"/>
  <c r="N9" i="5"/>
  <c r="N8" i="5"/>
  <c r="D15" i="22"/>
  <c r="H32" i="22"/>
  <c r="D29" i="22"/>
  <c r="E29" i="22"/>
  <c r="D27" i="22"/>
  <c r="D25" i="22"/>
  <c r="E21" i="22"/>
  <c r="D21" i="22"/>
  <c r="E23" i="22"/>
  <c r="D23" i="22"/>
  <c r="E15" i="22"/>
  <c r="G9" i="20"/>
  <c r="C15" i="22"/>
  <c r="F10" i="4"/>
  <c r="F9" i="4"/>
  <c r="F8" i="4"/>
  <c r="F7" i="4"/>
  <c r="F44" i="26"/>
  <c r="F43" i="26"/>
  <c r="F41" i="26"/>
  <c r="C46" i="26"/>
  <c r="C44" i="26"/>
  <c r="C38" i="26"/>
  <c r="C39" i="26"/>
  <c r="C36" i="26"/>
  <c r="C32" i="26"/>
  <c r="M47" i="27" l="1"/>
  <c r="T38" i="27" s="1"/>
  <c r="I27" i="17"/>
  <c r="U5" i="14"/>
  <c r="H578" i="14"/>
  <c r="G578" i="14"/>
  <c r="H577" i="14"/>
  <c r="G577" i="14"/>
  <c r="H576" i="14"/>
  <c r="G576" i="14"/>
  <c r="H575" i="14"/>
  <c r="G575" i="14"/>
  <c r="H574" i="14"/>
  <c r="G574" i="14"/>
  <c r="H573" i="14"/>
  <c r="G573" i="14"/>
  <c r="H572" i="14"/>
  <c r="G572" i="14"/>
  <c r="H571" i="14"/>
  <c r="G571" i="14"/>
  <c r="H570" i="14"/>
  <c r="G570" i="14"/>
  <c r="H569" i="14"/>
  <c r="G569" i="14"/>
  <c r="H568" i="14"/>
  <c r="G568" i="14"/>
  <c r="H567" i="14"/>
  <c r="G567" i="14"/>
  <c r="H566" i="14"/>
  <c r="G566" i="14"/>
  <c r="H565" i="14"/>
  <c r="G565" i="14"/>
  <c r="H564" i="14"/>
  <c r="G564" i="14"/>
  <c r="H563" i="14"/>
  <c r="G563" i="14"/>
  <c r="H562" i="14"/>
  <c r="G562" i="14"/>
  <c r="H561" i="14"/>
  <c r="G561" i="14"/>
  <c r="H560" i="14"/>
  <c r="G560" i="14"/>
  <c r="H559" i="14"/>
  <c r="G559" i="14"/>
  <c r="H558" i="14"/>
  <c r="G558" i="14"/>
  <c r="H557" i="14"/>
  <c r="G557" i="14"/>
  <c r="H556" i="14"/>
  <c r="G556" i="14"/>
  <c r="H555" i="14"/>
  <c r="G555" i="14"/>
  <c r="H554" i="14"/>
  <c r="G554" i="14"/>
  <c r="H553" i="14"/>
  <c r="G553" i="14"/>
  <c r="H552" i="14"/>
  <c r="G552" i="14"/>
  <c r="H551" i="14"/>
  <c r="G551" i="14"/>
  <c r="H550" i="14"/>
  <c r="G550" i="14"/>
  <c r="H549" i="14"/>
  <c r="G549" i="14"/>
  <c r="H548" i="14"/>
  <c r="G548" i="14"/>
  <c r="H547" i="14"/>
  <c r="G547" i="14"/>
  <c r="H546" i="14"/>
  <c r="G546" i="14"/>
  <c r="H545" i="14"/>
  <c r="G545" i="14"/>
  <c r="H544" i="14"/>
  <c r="G544" i="14"/>
  <c r="H543" i="14"/>
  <c r="G543" i="14"/>
  <c r="H542" i="14"/>
  <c r="G542" i="14"/>
  <c r="H541" i="14"/>
  <c r="G541" i="14"/>
  <c r="H540" i="14"/>
  <c r="G540" i="14"/>
  <c r="H539" i="14"/>
  <c r="G539" i="14"/>
  <c r="H538" i="14"/>
  <c r="G538" i="14"/>
  <c r="H537" i="14"/>
  <c r="G537" i="14"/>
  <c r="H536" i="14"/>
  <c r="G536" i="14"/>
  <c r="H535" i="14"/>
  <c r="G535" i="14"/>
  <c r="H534" i="14"/>
  <c r="G534" i="14"/>
  <c r="H533" i="14"/>
  <c r="G533" i="14"/>
  <c r="H532" i="14"/>
  <c r="G532" i="14"/>
  <c r="H531" i="14"/>
  <c r="G531" i="14"/>
  <c r="H530" i="14"/>
  <c r="G530" i="14"/>
  <c r="H529" i="14"/>
  <c r="G529" i="14"/>
  <c r="H528" i="14"/>
  <c r="G528" i="14"/>
  <c r="H527" i="14"/>
  <c r="G527" i="14"/>
  <c r="H526" i="14"/>
  <c r="G526" i="14"/>
  <c r="H525" i="14"/>
  <c r="G525" i="14"/>
  <c r="H524" i="14"/>
  <c r="G524" i="14"/>
  <c r="H523" i="14"/>
  <c r="G523" i="14"/>
  <c r="H522" i="14"/>
  <c r="G522" i="14"/>
  <c r="H521" i="14"/>
  <c r="G521" i="14"/>
  <c r="H520" i="14"/>
  <c r="G520" i="14"/>
  <c r="H519" i="14"/>
  <c r="G519" i="14"/>
  <c r="H518" i="14"/>
  <c r="G518" i="14"/>
  <c r="H517" i="14"/>
  <c r="G517" i="14"/>
  <c r="H516" i="14"/>
  <c r="G516" i="14"/>
  <c r="H515" i="14"/>
  <c r="G515" i="14"/>
  <c r="H514" i="14"/>
  <c r="G514" i="14"/>
  <c r="H513" i="14"/>
  <c r="G513" i="14"/>
  <c r="H512" i="14"/>
  <c r="G512" i="14"/>
  <c r="H511" i="14"/>
  <c r="G511" i="14"/>
  <c r="H510" i="14"/>
  <c r="G510" i="14"/>
  <c r="H509" i="14"/>
  <c r="G509" i="14"/>
  <c r="H508" i="14"/>
  <c r="G508" i="14"/>
  <c r="H507" i="14"/>
  <c r="G507" i="14"/>
  <c r="H506" i="14"/>
  <c r="G506" i="14"/>
  <c r="H505" i="14"/>
  <c r="G505" i="14"/>
  <c r="H504" i="14"/>
  <c r="G504" i="14"/>
  <c r="H503" i="14"/>
  <c r="G503" i="14"/>
  <c r="H502" i="14"/>
  <c r="G502" i="14"/>
  <c r="H501" i="14"/>
  <c r="G501" i="14"/>
  <c r="H500" i="14"/>
  <c r="G500" i="14"/>
  <c r="H499" i="14"/>
  <c r="G499" i="14"/>
  <c r="H498" i="14"/>
  <c r="G498" i="14"/>
  <c r="H497" i="14"/>
  <c r="G497" i="14"/>
  <c r="H496" i="14"/>
  <c r="G496" i="14"/>
  <c r="H495" i="14"/>
  <c r="G495" i="14"/>
  <c r="H494" i="14"/>
  <c r="G494" i="14"/>
  <c r="H493" i="14"/>
  <c r="G493" i="14"/>
  <c r="H492" i="14"/>
  <c r="G492" i="14"/>
  <c r="H491" i="14"/>
  <c r="G491" i="14"/>
  <c r="H490" i="14"/>
  <c r="G490" i="14"/>
  <c r="H489" i="14"/>
  <c r="G489" i="14"/>
  <c r="H488" i="14"/>
  <c r="G488" i="14"/>
  <c r="H487" i="14"/>
  <c r="G487" i="14"/>
  <c r="H486" i="14"/>
  <c r="G486" i="14"/>
  <c r="H485" i="14"/>
  <c r="G485" i="14"/>
  <c r="H484" i="14"/>
  <c r="G484" i="14"/>
  <c r="H483" i="14"/>
  <c r="G483" i="14"/>
  <c r="H482" i="14"/>
  <c r="G482" i="14"/>
  <c r="H481" i="14"/>
  <c r="G481" i="14"/>
  <c r="H480" i="14"/>
  <c r="G480" i="14"/>
  <c r="H479" i="14"/>
  <c r="G479" i="14"/>
  <c r="H478" i="14"/>
  <c r="G478" i="14"/>
  <c r="H477" i="14"/>
  <c r="G477" i="14"/>
  <c r="H476" i="14"/>
  <c r="G476" i="14"/>
  <c r="H475" i="14"/>
  <c r="G475" i="14"/>
  <c r="H474" i="14"/>
  <c r="G474" i="14"/>
  <c r="H473" i="14"/>
  <c r="G473" i="14"/>
  <c r="H472" i="14"/>
  <c r="G472" i="14"/>
  <c r="H471" i="14"/>
  <c r="G471" i="14"/>
  <c r="H470" i="14"/>
  <c r="G470" i="14"/>
  <c r="H469" i="14"/>
  <c r="G469" i="14"/>
  <c r="H468" i="14"/>
  <c r="G468" i="14"/>
  <c r="H467" i="14"/>
  <c r="G467" i="14"/>
  <c r="H466" i="14"/>
  <c r="G466" i="14"/>
  <c r="H465" i="14"/>
  <c r="G465" i="14"/>
  <c r="H464" i="14"/>
  <c r="G464" i="14"/>
  <c r="H463" i="14"/>
  <c r="G463" i="14"/>
  <c r="H462" i="14"/>
  <c r="G462" i="14"/>
  <c r="H461" i="14"/>
  <c r="G461" i="14"/>
  <c r="H460" i="14"/>
  <c r="G460" i="14"/>
  <c r="H459" i="14"/>
  <c r="G459" i="14"/>
  <c r="H458" i="14"/>
  <c r="G458" i="14"/>
  <c r="H457" i="14"/>
  <c r="G457" i="14"/>
  <c r="H456" i="14"/>
  <c r="G456" i="14"/>
  <c r="H455" i="14"/>
  <c r="G455" i="14"/>
  <c r="H454" i="14"/>
  <c r="G454" i="14"/>
  <c r="H453" i="14"/>
  <c r="G453" i="14"/>
  <c r="H452" i="14"/>
  <c r="G452" i="14"/>
  <c r="H451" i="14"/>
  <c r="G451" i="14"/>
  <c r="H450" i="14"/>
  <c r="G450" i="14"/>
  <c r="H449" i="14"/>
  <c r="G449" i="14"/>
  <c r="H448" i="14"/>
  <c r="G448" i="14"/>
  <c r="H447" i="14"/>
  <c r="G447" i="14"/>
  <c r="H446" i="14"/>
  <c r="G446" i="14"/>
  <c r="H445" i="14"/>
  <c r="G445" i="14"/>
  <c r="H444" i="14"/>
  <c r="G444" i="14"/>
  <c r="H443" i="14"/>
  <c r="G443" i="14"/>
  <c r="H442" i="14"/>
  <c r="G442" i="14"/>
  <c r="H441" i="14"/>
  <c r="G441" i="14"/>
  <c r="H440" i="14"/>
  <c r="G440" i="14"/>
  <c r="H439" i="14"/>
  <c r="G439" i="14"/>
  <c r="H438" i="14"/>
  <c r="G438" i="14"/>
  <c r="H437" i="14"/>
  <c r="G437" i="14"/>
  <c r="H436" i="14"/>
  <c r="G436" i="14"/>
  <c r="H435" i="14"/>
  <c r="G435" i="14"/>
  <c r="H434" i="14"/>
  <c r="G434" i="14"/>
  <c r="H433" i="14"/>
  <c r="G433" i="14"/>
  <c r="H432" i="14"/>
  <c r="G432" i="14"/>
  <c r="H431" i="14"/>
  <c r="G431" i="14"/>
  <c r="H430" i="14"/>
  <c r="G430" i="14"/>
  <c r="H429" i="14"/>
  <c r="G429" i="14"/>
  <c r="H428" i="14"/>
  <c r="G428" i="14"/>
  <c r="H427" i="14"/>
  <c r="G427" i="14"/>
  <c r="H426" i="14"/>
  <c r="G426" i="14"/>
  <c r="H425" i="14"/>
  <c r="G425" i="14"/>
  <c r="H424" i="14"/>
  <c r="G424" i="14"/>
  <c r="H423" i="14"/>
  <c r="G423" i="14"/>
  <c r="H422" i="14"/>
  <c r="G422" i="14"/>
  <c r="H421" i="14"/>
  <c r="G421" i="14"/>
  <c r="H420" i="14"/>
  <c r="G420" i="14"/>
  <c r="H419" i="14"/>
  <c r="G419" i="14"/>
  <c r="H418" i="14"/>
  <c r="G418" i="14"/>
  <c r="H417" i="14"/>
  <c r="G417" i="14"/>
  <c r="H416" i="14"/>
  <c r="G416" i="14"/>
  <c r="H415" i="14"/>
  <c r="G415" i="14"/>
  <c r="H414" i="14"/>
  <c r="G414" i="14"/>
  <c r="H413" i="14"/>
  <c r="G413" i="14"/>
  <c r="H412" i="14"/>
  <c r="G412" i="14"/>
  <c r="H411" i="14"/>
  <c r="G411" i="14"/>
  <c r="H410" i="14"/>
  <c r="G410" i="14"/>
  <c r="H409" i="14"/>
  <c r="G409" i="14"/>
  <c r="H408" i="14"/>
  <c r="G408" i="14"/>
  <c r="H407" i="14"/>
  <c r="G407" i="14"/>
  <c r="H406" i="14"/>
  <c r="G406" i="14"/>
  <c r="H405" i="14"/>
  <c r="G405" i="14"/>
  <c r="H404" i="14"/>
  <c r="G404" i="14"/>
  <c r="H403" i="14"/>
  <c r="G403" i="14"/>
  <c r="H402" i="14"/>
  <c r="G402" i="14"/>
  <c r="H401" i="14"/>
  <c r="G401" i="14"/>
  <c r="H400" i="14"/>
  <c r="G400" i="14"/>
  <c r="H399" i="14"/>
  <c r="G399" i="14"/>
  <c r="H398" i="14"/>
  <c r="G398" i="14"/>
  <c r="H397" i="14"/>
  <c r="G397" i="14"/>
  <c r="H396" i="14"/>
  <c r="G396" i="14"/>
  <c r="H395" i="14"/>
  <c r="G395" i="14"/>
  <c r="H394" i="14"/>
  <c r="G394" i="14"/>
  <c r="H393" i="14"/>
  <c r="G393" i="14"/>
  <c r="H392" i="14"/>
  <c r="G392" i="14"/>
  <c r="H391" i="14"/>
  <c r="G391" i="14"/>
  <c r="H390" i="14"/>
  <c r="G390" i="14"/>
  <c r="H389" i="14"/>
  <c r="G389" i="14"/>
  <c r="H388" i="14"/>
  <c r="G388" i="14"/>
  <c r="H387" i="14"/>
  <c r="G387" i="14"/>
  <c r="H386" i="14"/>
  <c r="G386" i="14"/>
  <c r="H385" i="14"/>
  <c r="G385" i="14"/>
  <c r="H384" i="14"/>
  <c r="G384" i="14"/>
  <c r="H383" i="14"/>
  <c r="G383" i="14"/>
  <c r="H382" i="14"/>
  <c r="G382" i="14"/>
  <c r="H381" i="14"/>
  <c r="G381" i="14"/>
  <c r="H380" i="14"/>
  <c r="G380" i="14"/>
  <c r="H379" i="14"/>
  <c r="G379" i="14"/>
  <c r="H378" i="14"/>
  <c r="G378" i="14"/>
  <c r="H377" i="14"/>
  <c r="G377" i="14"/>
  <c r="H376" i="14"/>
  <c r="G376" i="14"/>
  <c r="H375" i="14"/>
  <c r="G375" i="14"/>
  <c r="H374" i="14"/>
  <c r="G374" i="14"/>
  <c r="H373" i="14"/>
  <c r="G373" i="14"/>
  <c r="H372" i="14"/>
  <c r="G372" i="14"/>
  <c r="H371" i="14"/>
  <c r="G371" i="14"/>
  <c r="H370" i="14"/>
  <c r="G370" i="14"/>
  <c r="H369" i="14"/>
  <c r="G369" i="14"/>
  <c r="H368" i="14"/>
  <c r="G368" i="14"/>
  <c r="H367" i="14"/>
  <c r="G367" i="14"/>
  <c r="H366" i="14"/>
  <c r="G366" i="14"/>
  <c r="H365" i="14"/>
  <c r="G365" i="14"/>
  <c r="H364" i="14"/>
  <c r="G364" i="14"/>
  <c r="H363" i="14"/>
  <c r="G363" i="14"/>
  <c r="H362" i="14"/>
  <c r="G362" i="14"/>
  <c r="H361" i="14"/>
  <c r="G361" i="14"/>
  <c r="H360" i="14"/>
  <c r="G360" i="14"/>
  <c r="H359" i="14"/>
  <c r="G359" i="14"/>
  <c r="H358" i="14"/>
  <c r="G358" i="14"/>
  <c r="H357" i="14"/>
  <c r="G357" i="14"/>
  <c r="H356" i="14"/>
  <c r="G356" i="14"/>
  <c r="H355" i="14"/>
  <c r="G355" i="14"/>
  <c r="H354" i="14"/>
  <c r="G354" i="14"/>
  <c r="H353" i="14"/>
  <c r="G353" i="14"/>
  <c r="H352" i="14"/>
  <c r="G352" i="14"/>
  <c r="H351" i="14"/>
  <c r="G351" i="14"/>
  <c r="H350" i="14"/>
  <c r="G350" i="14"/>
  <c r="H349" i="14"/>
  <c r="G349" i="14"/>
  <c r="H348" i="14"/>
  <c r="G348" i="14"/>
  <c r="H347" i="14"/>
  <c r="G347" i="14"/>
  <c r="H346" i="14"/>
  <c r="G346" i="14"/>
  <c r="H345" i="14"/>
  <c r="G345" i="14"/>
  <c r="H344" i="14"/>
  <c r="G344" i="14"/>
  <c r="H343" i="14"/>
  <c r="G343" i="14"/>
  <c r="H342" i="14"/>
  <c r="G342" i="14"/>
  <c r="H341" i="14"/>
  <c r="G341" i="14"/>
  <c r="H340" i="14"/>
  <c r="G340" i="14"/>
  <c r="H339" i="14"/>
  <c r="G339" i="14"/>
  <c r="H338" i="14"/>
  <c r="G338" i="14"/>
  <c r="H337" i="14"/>
  <c r="G337" i="14"/>
  <c r="H336" i="14"/>
  <c r="G336" i="14"/>
  <c r="H335" i="14"/>
  <c r="G335" i="14"/>
  <c r="H334" i="14"/>
  <c r="G334" i="14"/>
  <c r="H333" i="14"/>
  <c r="G333" i="14"/>
  <c r="H332" i="14"/>
  <c r="G332" i="14"/>
  <c r="H331" i="14"/>
  <c r="G331" i="14"/>
  <c r="H330" i="14"/>
  <c r="G330" i="14"/>
  <c r="H329" i="14"/>
  <c r="G329" i="14"/>
  <c r="H328" i="14"/>
  <c r="G328" i="14"/>
  <c r="H327" i="14"/>
  <c r="G327" i="14"/>
  <c r="H326" i="14"/>
  <c r="G326" i="14"/>
  <c r="H325" i="14"/>
  <c r="G325" i="14"/>
  <c r="H324" i="14"/>
  <c r="G324" i="14"/>
  <c r="H323" i="14"/>
  <c r="G323" i="14"/>
  <c r="H322" i="14"/>
  <c r="G322" i="14"/>
  <c r="H321" i="14"/>
  <c r="G321" i="14"/>
  <c r="H320" i="14"/>
  <c r="G320" i="14"/>
  <c r="H319" i="14"/>
  <c r="G319" i="14"/>
  <c r="H318" i="14"/>
  <c r="G318" i="14"/>
  <c r="H317" i="14"/>
  <c r="G317" i="14"/>
  <c r="H316" i="14"/>
  <c r="G316" i="14"/>
  <c r="H315" i="14"/>
  <c r="G315" i="14"/>
  <c r="H314" i="14"/>
  <c r="G314" i="14"/>
  <c r="H313" i="14"/>
  <c r="G313" i="14"/>
  <c r="H312" i="14"/>
  <c r="G312" i="14"/>
  <c r="H311" i="14"/>
  <c r="G311" i="14"/>
  <c r="H310" i="14"/>
  <c r="G310" i="14"/>
  <c r="H309" i="14"/>
  <c r="G309" i="14"/>
  <c r="H308" i="14"/>
  <c r="G308" i="14"/>
  <c r="H307" i="14"/>
  <c r="G307" i="14"/>
  <c r="H306" i="14"/>
  <c r="G306" i="14"/>
  <c r="H305" i="14"/>
  <c r="G305" i="14"/>
  <c r="H304" i="14"/>
  <c r="G304" i="14"/>
  <c r="H303" i="14"/>
  <c r="G303" i="14"/>
  <c r="H302" i="14"/>
  <c r="G302" i="14"/>
  <c r="H301" i="14"/>
  <c r="G301" i="14"/>
  <c r="H300" i="14"/>
  <c r="G300" i="14"/>
  <c r="H299" i="14"/>
  <c r="G299" i="14"/>
  <c r="H298" i="14"/>
  <c r="G298" i="14"/>
  <c r="H297" i="14"/>
  <c r="G297" i="14"/>
  <c r="H296" i="14"/>
  <c r="G296" i="14"/>
  <c r="H295" i="14"/>
  <c r="G295" i="14"/>
  <c r="H294" i="14"/>
  <c r="G294" i="14"/>
  <c r="H293" i="14"/>
  <c r="G293" i="14"/>
  <c r="H292" i="14"/>
  <c r="G292" i="14"/>
  <c r="H291" i="14"/>
  <c r="G291" i="14"/>
  <c r="H290" i="14"/>
  <c r="G290" i="14"/>
  <c r="H289" i="14"/>
  <c r="G289" i="14"/>
  <c r="H288" i="14"/>
  <c r="G288" i="14"/>
  <c r="H287" i="14"/>
  <c r="G287" i="14"/>
  <c r="H286" i="14"/>
  <c r="G286" i="14"/>
  <c r="H285" i="14"/>
  <c r="G285" i="14"/>
  <c r="H284" i="14"/>
  <c r="G284" i="14"/>
  <c r="H283" i="14"/>
  <c r="G283" i="14"/>
  <c r="H282" i="14"/>
  <c r="G282" i="14"/>
  <c r="H281" i="14"/>
  <c r="G281" i="14"/>
  <c r="H280" i="14"/>
  <c r="G280" i="14"/>
  <c r="H279" i="14"/>
  <c r="G279" i="14"/>
  <c r="H278" i="14"/>
  <c r="G278" i="14"/>
  <c r="H277" i="14"/>
  <c r="G277" i="14"/>
  <c r="H276" i="14"/>
  <c r="G276" i="14"/>
  <c r="H275" i="14"/>
  <c r="G275" i="14"/>
  <c r="H274" i="14"/>
  <c r="G274" i="14"/>
  <c r="H273" i="14"/>
  <c r="G273" i="14"/>
  <c r="H272" i="14"/>
  <c r="G272" i="14"/>
  <c r="H271" i="14"/>
  <c r="G271" i="14"/>
  <c r="H270" i="14"/>
  <c r="G270" i="14"/>
  <c r="H269" i="14"/>
  <c r="G269" i="14"/>
  <c r="H268" i="14"/>
  <c r="G268" i="14"/>
  <c r="H267" i="14"/>
  <c r="G267" i="14"/>
  <c r="H266" i="14"/>
  <c r="G266" i="14"/>
  <c r="H265" i="14"/>
  <c r="G265" i="14"/>
  <c r="H264" i="14"/>
  <c r="G264" i="14"/>
  <c r="H263" i="14"/>
  <c r="G263" i="14"/>
  <c r="H262" i="14"/>
  <c r="G262" i="14"/>
  <c r="H261" i="14"/>
  <c r="G261" i="14"/>
  <c r="H260" i="14"/>
  <c r="G260" i="14"/>
  <c r="H259" i="14"/>
  <c r="G259" i="14"/>
  <c r="H258" i="14"/>
  <c r="G258" i="14"/>
  <c r="H257" i="14"/>
  <c r="G257" i="14"/>
  <c r="H256" i="14"/>
  <c r="G256" i="14"/>
  <c r="H255" i="14"/>
  <c r="G255" i="14"/>
  <c r="H254" i="14"/>
  <c r="G254" i="14"/>
  <c r="H253" i="14"/>
  <c r="G253" i="14"/>
  <c r="H252" i="14"/>
  <c r="G252" i="14"/>
  <c r="H251" i="14"/>
  <c r="G251" i="14"/>
  <c r="H250" i="14"/>
  <c r="G250" i="14"/>
  <c r="H249" i="14"/>
  <c r="G249" i="14"/>
  <c r="H248" i="14"/>
  <c r="G248" i="14"/>
  <c r="H247" i="14"/>
  <c r="G247" i="14"/>
  <c r="H246" i="14"/>
  <c r="G246" i="14"/>
  <c r="H245" i="14"/>
  <c r="G245" i="14"/>
  <c r="H244" i="14"/>
  <c r="G244" i="14"/>
  <c r="H243" i="14"/>
  <c r="G243" i="14"/>
  <c r="H242" i="14"/>
  <c r="G242" i="14"/>
  <c r="H241" i="14"/>
  <c r="G241" i="14"/>
  <c r="H240" i="14"/>
  <c r="G240" i="14"/>
  <c r="H239" i="14"/>
  <c r="G239" i="14"/>
  <c r="H238" i="14"/>
  <c r="G238" i="14"/>
  <c r="H237" i="14"/>
  <c r="G237" i="14"/>
  <c r="H236" i="14"/>
  <c r="G236" i="14"/>
  <c r="H235" i="14"/>
  <c r="G235" i="14"/>
  <c r="H234" i="14"/>
  <c r="G234" i="14"/>
  <c r="H233" i="14"/>
  <c r="G233" i="14"/>
  <c r="H232" i="14"/>
  <c r="G232" i="14"/>
  <c r="H231" i="14"/>
  <c r="G231" i="14"/>
  <c r="H230" i="14"/>
  <c r="G230" i="14"/>
  <c r="H229" i="14"/>
  <c r="G229" i="14"/>
  <c r="H228" i="14"/>
  <c r="G228" i="14"/>
  <c r="H227" i="14"/>
  <c r="G227" i="14"/>
  <c r="H226" i="14"/>
  <c r="G226" i="14"/>
  <c r="H225" i="14"/>
  <c r="G225" i="14"/>
  <c r="H224" i="14"/>
  <c r="G224" i="14"/>
  <c r="H223" i="14"/>
  <c r="G223" i="14"/>
  <c r="H222" i="14"/>
  <c r="G222" i="14"/>
  <c r="H221" i="14"/>
  <c r="G221" i="14"/>
  <c r="H220" i="14"/>
  <c r="G220" i="14"/>
  <c r="H219" i="14"/>
  <c r="G219" i="14"/>
  <c r="H218" i="14"/>
  <c r="G218" i="14"/>
  <c r="H217" i="14"/>
  <c r="G217" i="14"/>
  <c r="H216" i="14"/>
  <c r="G216" i="14"/>
  <c r="H215" i="14"/>
  <c r="G215" i="14"/>
  <c r="H214" i="14"/>
  <c r="G214" i="14"/>
  <c r="H213" i="14"/>
  <c r="G213" i="14"/>
  <c r="H212" i="14"/>
  <c r="G212" i="14"/>
  <c r="H211" i="14"/>
  <c r="G211" i="14"/>
  <c r="H210" i="14"/>
  <c r="G210" i="14"/>
  <c r="H209" i="14"/>
  <c r="G209" i="14"/>
  <c r="H208" i="14"/>
  <c r="G208" i="14"/>
  <c r="H207" i="14"/>
  <c r="G207" i="14"/>
  <c r="H206" i="14"/>
  <c r="G206" i="14"/>
  <c r="H205" i="14"/>
  <c r="G205" i="14"/>
  <c r="H204" i="14"/>
  <c r="G204" i="14"/>
  <c r="H203" i="14"/>
  <c r="G203" i="14"/>
  <c r="H202" i="14"/>
  <c r="G202" i="14"/>
  <c r="H201" i="14"/>
  <c r="G201" i="14"/>
  <c r="H200" i="14"/>
  <c r="G200" i="14"/>
  <c r="H199" i="14"/>
  <c r="G199" i="14"/>
  <c r="H198" i="14"/>
  <c r="G198" i="14"/>
  <c r="H197" i="14"/>
  <c r="G197" i="14"/>
  <c r="H196" i="14"/>
  <c r="G196" i="14"/>
  <c r="H195" i="14"/>
  <c r="G195" i="14"/>
  <c r="H194" i="14"/>
  <c r="G194" i="14"/>
  <c r="H193" i="14"/>
  <c r="G193" i="14"/>
  <c r="H192" i="14"/>
  <c r="G192" i="14"/>
  <c r="H191" i="14"/>
  <c r="G191" i="14"/>
  <c r="H190" i="14"/>
  <c r="G190" i="14"/>
  <c r="H189" i="14"/>
  <c r="G189" i="14"/>
  <c r="H188" i="14"/>
  <c r="G188" i="14"/>
  <c r="H187" i="14"/>
  <c r="G187" i="14"/>
  <c r="H186" i="14"/>
  <c r="G186" i="14"/>
  <c r="H185" i="14"/>
  <c r="G185" i="14"/>
  <c r="H184" i="14"/>
  <c r="G184" i="14"/>
  <c r="H183" i="14"/>
  <c r="G183" i="14"/>
  <c r="H182" i="14"/>
  <c r="G182" i="14"/>
  <c r="H181" i="14"/>
  <c r="G181" i="14"/>
  <c r="H180" i="14"/>
  <c r="G180" i="14"/>
  <c r="H179" i="14"/>
  <c r="G179" i="14"/>
  <c r="H178" i="14"/>
  <c r="G178" i="14"/>
  <c r="H177" i="14"/>
  <c r="G177" i="14"/>
  <c r="H176" i="14"/>
  <c r="G176" i="14"/>
  <c r="H175" i="14"/>
  <c r="G175" i="14"/>
  <c r="H174" i="14"/>
  <c r="G174" i="14"/>
  <c r="H173" i="14"/>
  <c r="G173" i="14"/>
  <c r="H172" i="14"/>
  <c r="G172" i="14"/>
  <c r="H171" i="14"/>
  <c r="G171" i="14"/>
  <c r="H170" i="14"/>
  <c r="G170" i="14"/>
  <c r="H169" i="14"/>
  <c r="G169" i="14"/>
  <c r="H168" i="14"/>
  <c r="G168" i="14"/>
  <c r="H167" i="14"/>
  <c r="G167" i="14"/>
  <c r="H166" i="14"/>
  <c r="G166" i="14"/>
  <c r="H165" i="14"/>
  <c r="G165" i="14"/>
  <c r="H164" i="14"/>
  <c r="G164" i="14"/>
  <c r="H163" i="14"/>
  <c r="G163" i="14"/>
  <c r="H162" i="14"/>
  <c r="G162" i="14"/>
  <c r="H161" i="14"/>
  <c r="G161" i="14"/>
  <c r="H160" i="14"/>
  <c r="G160" i="14"/>
  <c r="H159" i="14"/>
  <c r="G159" i="14"/>
  <c r="H158" i="14"/>
  <c r="G158" i="14"/>
  <c r="H157" i="14"/>
  <c r="G157" i="14"/>
  <c r="H156" i="14"/>
  <c r="G156" i="14"/>
  <c r="H155" i="14"/>
  <c r="G155" i="14"/>
  <c r="H154" i="14"/>
  <c r="G154" i="14"/>
  <c r="H153" i="14"/>
  <c r="G153" i="14"/>
  <c r="H152" i="14"/>
  <c r="G152" i="14"/>
  <c r="H151" i="14"/>
  <c r="G151" i="14"/>
  <c r="H150" i="14"/>
  <c r="G150" i="14"/>
  <c r="H149" i="14"/>
  <c r="G149" i="14"/>
  <c r="H148" i="14"/>
  <c r="G148" i="14"/>
  <c r="H147" i="14"/>
  <c r="G147" i="14"/>
  <c r="H146" i="14"/>
  <c r="G146" i="14"/>
  <c r="H145" i="14"/>
  <c r="G145" i="14"/>
  <c r="H144" i="14"/>
  <c r="G144" i="14"/>
  <c r="H143" i="14"/>
  <c r="G143" i="14"/>
  <c r="H142" i="14"/>
  <c r="G142" i="14"/>
  <c r="H141" i="14"/>
  <c r="G141" i="14"/>
  <c r="H140" i="14"/>
  <c r="G140" i="14"/>
  <c r="H139" i="14"/>
  <c r="G139" i="14"/>
  <c r="H138" i="14"/>
  <c r="G138" i="14"/>
  <c r="H137" i="14"/>
  <c r="G137" i="14"/>
  <c r="H136" i="14"/>
  <c r="G136" i="14"/>
  <c r="H135" i="14"/>
  <c r="G135" i="14"/>
  <c r="H134" i="14"/>
  <c r="G134" i="14"/>
  <c r="H133" i="14"/>
  <c r="G133" i="14"/>
  <c r="H132" i="14"/>
  <c r="G132" i="14"/>
  <c r="H131" i="14"/>
  <c r="G131" i="14"/>
  <c r="H130" i="14"/>
  <c r="G130" i="14"/>
  <c r="H129" i="14"/>
  <c r="G129" i="14"/>
  <c r="H128" i="14"/>
  <c r="G128" i="14"/>
  <c r="H127" i="14"/>
  <c r="G127" i="14"/>
  <c r="H126" i="14"/>
  <c r="G126" i="14"/>
  <c r="H125" i="14"/>
  <c r="G125" i="14"/>
  <c r="H124" i="14"/>
  <c r="G124" i="14"/>
  <c r="H123" i="14"/>
  <c r="G123" i="14"/>
  <c r="H122" i="14"/>
  <c r="G122" i="14"/>
  <c r="H121" i="14"/>
  <c r="G121" i="14"/>
  <c r="H120" i="14"/>
  <c r="G120" i="14"/>
  <c r="H119" i="14"/>
  <c r="G119" i="14"/>
  <c r="H118" i="14"/>
  <c r="G118" i="14"/>
  <c r="H117" i="14"/>
  <c r="G117" i="14"/>
  <c r="H116" i="14"/>
  <c r="G116" i="14"/>
  <c r="H115" i="14"/>
  <c r="G115" i="14"/>
  <c r="H114" i="14"/>
  <c r="G114" i="14"/>
  <c r="H113" i="14"/>
  <c r="G113" i="14"/>
  <c r="H112" i="14"/>
  <c r="G112" i="14"/>
  <c r="H111" i="14"/>
  <c r="G111" i="14"/>
  <c r="H110" i="14"/>
  <c r="G110" i="14"/>
  <c r="H109" i="14"/>
  <c r="G109" i="14"/>
  <c r="H108" i="14"/>
  <c r="G108" i="14"/>
  <c r="H107" i="14"/>
  <c r="G107" i="14"/>
  <c r="H106" i="14"/>
  <c r="G106" i="14"/>
  <c r="H105" i="14"/>
  <c r="G105" i="14"/>
  <c r="H104" i="14"/>
  <c r="G104" i="14"/>
  <c r="H103" i="14"/>
  <c r="G103" i="14"/>
  <c r="H102" i="14"/>
  <c r="G102" i="14"/>
  <c r="H101" i="14"/>
  <c r="G101" i="14"/>
  <c r="H100" i="14"/>
  <c r="G100" i="14"/>
  <c r="H99" i="14"/>
  <c r="G99" i="14"/>
  <c r="H98" i="14"/>
  <c r="G98" i="14"/>
  <c r="H97" i="14"/>
  <c r="G97" i="14"/>
  <c r="H96" i="14"/>
  <c r="G96" i="14"/>
  <c r="H95" i="14"/>
  <c r="G95" i="14"/>
  <c r="H94" i="14"/>
  <c r="G94" i="14"/>
  <c r="H93" i="14"/>
  <c r="G93" i="14"/>
  <c r="H92" i="14"/>
  <c r="G92" i="14"/>
  <c r="H91" i="14"/>
  <c r="G91" i="14"/>
  <c r="H90" i="14"/>
  <c r="G90" i="14"/>
  <c r="H89" i="14"/>
  <c r="G89" i="14"/>
  <c r="H88" i="14"/>
  <c r="G88" i="14"/>
  <c r="H87" i="14"/>
  <c r="G87" i="14"/>
  <c r="H86" i="14"/>
  <c r="G86" i="14"/>
  <c r="H85" i="14"/>
  <c r="G85" i="14"/>
  <c r="H84" i="14"/>
  <c r="G84" i="14"/>
  <c r="H83" i="14"/>
  <c r="G83" i="14"/>
  <c r="H82" i="14"/>
  <c r="G82" i="14"/>
  <c r="H81" i="14"/>
  <c r="G81" i="14"/>
  <c r="H80" i="14"/>
  <c r="G80" i="14"/>
  <c r="H79" i="14"/>
  <c r="G79" i="14"/>
  <c r="H78" i="14"/>
  <c r="G78" i="14"/>
  <c r="H77" i="14"/>
  <c r="G77" i="14"/>
  <c r="H76" i="14"/>
  <c r="G76" i="14"/>
  <c r="H75" i="14"/>
  <c r="G75" i="14"/>
  <c r="H74" i="14"/>
  <c r="G74" i="14"/>
  <c r="H73" i="14"/>
  <c r="G73" i="14"/>
  <c r="H72" i="14"/>
  <c r="G72" i="14"/>
  <c r="H71" i="14"/>
  <c r="G71" i="14"/>
  <c r="H70" i="14"/>
  <c r="G70" i="14"/>
  <c r="H69" i="14"/>
  <c r="G69" i="14"/>
  <c r="H68" i="14"/>
  <c r="G68" i="14"/>
  <c r="H67" i="14"/>
  <c r="G67" i="14"/>
  <c r="H66" i="14"/>
  <c r="G66" i="14"/>
  <c r="H65" i="14"/>
  <c r="G65" i="14"/>
  <c r="H64" i="14"/>
  <c r="G64" i="14"/>
  <c r="H63" i="14"/>
  <c r="G63" i="14"/>
  <c r="H62" i="14"/>
  <c r="G62" i="14"/>
  <c r="H61" i="14"/>
  <c r="G61" i="14"/>
  <c r="H60" i="14"/>
  <c r="G60" i="14"/>
  <c r="H59" i="14"/>
  <c r="G59" i="14"/>
  <c r="H58" i="14"/>
  <c r="G58" i="14"/>
  <c r="H57" i="14"/>
  <c r="G57" i="14"/>
  <c r="H56" i="14"/>
  <c r="G56" i="14"/>
  <c r="H55" i="14"/>
  <c r="G55" i="14"/>
  <c r="H54" i="14"/>
  <c r="G54" i="14"/>
  <c r="H53" i="14"/>
  <c r="G53" i="14"/>
  <c r="H52" i="14"/>
  <c r="G52" i="14"/>
  <c r="H51" i="14"/>
  <c r="G51" i="14"/>
  <c r="H50" i="14"/>
  <c r="G50" i="14"/>
  <c r="H49" i="14"/>
  <c r="G49" i="14"/>
  <c r="H48" i="14"/>
  <c r="G48" i="14"/>
  <c r="H47" i="14"/>
  <c r="G47" i="14"/>
  <c r="H46" i="14"/>
  <c r="G46" i="14"/>
  <c r="H45" i="14"/>
  <c r="G45" i="14"/>
  <c r="H44" i="14"/>
  <c r="G44" i="14"/>
  <c r="H43" i="14"/>
  <c r="G43" i="14"/>
  <c r="H42" i="14"/>
  <c r="G42" i="14"/>
  <c r="H41" i="14"/>
  <c r="G41" i="14"/>
  <c r="H40" i="14"/>
  <c r="G40" i="14"/>
  <c r="H39" i="14"/>
  <c r="G39" i="14"/>
  <c r="H38" i="14"/>
  <c r="G38" i="14"/>
  <c r="H37" i="14"/>
  <c r="G37" i="14"/>
  <c r="H36" i="14"/>
  <c r="G36" i="14"/>
  <c r="H35" i="14"/>
  <c r="G35" i="14"/>
  <c r="H34" i="14"/>
  <c r="G34" i="14"/>
  <c r="H33" i="14"/>
  <c r="G33" i="14"/>
  <c r="H32" i="14"/>
  <c r="G32" i="14"/>
  <c r="H31" i="14"/>
  <c r="G31" i="14"/>
  <c r="H30" i="14"/>
  <c r="G30" i="14"/>
  <c r="H29" i="14"/>
  <c r="G29" i="14"/>
  <c r="H28" i="14"/>
  <c r="G28" i="14"/>
  <c r="H27" i="14"/>
  <c r="G27" i="14"/>
  <c r="H26" i="14"/>
  <c r="G26" i="14"/>
  <c r="H25" i="14"/>
  <c r="G25" i="14"/>
  <c r="H24" i="14"/>
  <c r="G24" i="14"/>
  <c r="H23" i="14"/>
  <c r="G23" i="14"/>
  <c r="H22" i="14"/>
  <c r="G22" i="14"/>
  <c r="H21" i="14"/>
  <c r="G21" i="14"/>
  <c r="H20" i="14"/>
  <c r="G20" i="14"/>
  <c r="H19" i="14"/>
  <c r="G19" i="14"/>
  <c r="H18" i="14"/>
  <c r="G18" i="14"/>
  <c r="H17" i="14"/>
  <c r="G17" i="14"/>
  <c r="H16" i="14"/>
  <c r="G16" i="14"/>
  <c r="H15" i="14"/>
  <c r="G15" i="14"/>
  <c r="H14" i="14"/>
  <c r="G14" i="14"/>
  <c r="H13" i="14"/>
  <c r="G13" i="14"/>
  <c r="H12" i="14"/>
  <c r="G12" i="14"/>
  <c r="H11" i="14"/>
  <c r="G11" i="14"/>
  <c r="H10" i="14"/>
  <c r="G10" i="14"/>
  <c r="H9" i="14"/>
  <c r="G9" i="14"/>
  <c r="H8" i="14"/>
  <c r="G8" i="14"/>
  <c r="H7" i="14"/>
  <c r="G7" i="14"/>
  <c r="H6" i="14"/>
  <c r="G6" i="14"/>
  <c r="H5" i="14"/>
  <c r="G5" i="14"/>
  <c r="U4" i="14"/>
  <c r="T4" i="14"/>
  <c r="S4" i="14"/>
  <c r="R4" i="14"/>
  <c r="H4" i="14"/>
  <c r="G4" i="14"/>
  <c r="H3" i="14"/>
  <c r="G3" i="14"/>
  <c r="O11" i="5" l="1"/>
  <c r="O8" i="5"/>
  <c r="O7" i="5"/>
  <c r="O6" i="5"/>
  <c r="D276" i="17" l="1"/>
  <c r="D275" i="17"/>
  <c r="I274" i="17"/>
  <c r="C274" i="17"/>
  <c r="B274" i="17"/>
  <c r="I22" i="17"/>
  <c r="F18" i="24" l="1"/>
  <c r="P24" i="27"/>
  <c r="G40" i="27"/>
  <c r="J11" i="5" l="1"/>
  <c r="L11" i="5" l="1"/>
  <c r="K9" i="5"/>
  <c r="J9" i="5"/>
  <c r="L9" i="5"/>
  <c r="L8" i="5"/>
  <c r="L7" i="5"/>
  <c r="L6" i="5"/>
  <c r="G11" i="5" l="1"/>
  <c r="D91" i="17"/>
  <c r="F14" i="24"/>
  <c r="D93" i="17"/>
  <c r="I38" i="27"/>
  <c r="R32" i="27"/>
  <c r="F19" i="24" s="1"/>
  <c r="R19" i="27"/>
  <c r="R22" i="27" s="1"/>
  <c r="Q19" i="27"/>
  <c r="E18" i="24" s="1"/>
  <c r="V15" i="27"/>
  <c r="J17" i="24" s="1"/>
  <c r="D161" i="17" s="1"/>
  <c r="D92" i="17"/>
  <c r="R15" i="27"/>
  <c r="Q15" i="27"/>
  <c r="E17" i="24" s="1"/>
  <c r="O15" i="27"/>
  <c r="V13" i="27"/>
  <c r="J15" i="24" s="1"/>
  <c r="R13" i="27"/>
  <c r="R36" i="27" s="1"/>
  <c r="Q13" i="27"/>
  <c r="P13" i="27"/>
  <c r="D14" i="24" s="1"/>
  <c r="O13" i="27"/>
  <c r="V19" i="27"/>
  <c r="P19" i="27"/>
  <c r="P15" i="27"/>
  <c r="J19" i="27"/>
  <c r="J18" i="27"/>
  <c r="J17" i="27"/>
  <c r="J16" i="27"/>
  <c r="J13" i="27"/>
  <c r="J12" i="27"/>
  <c r="D17" i="24" l="1"/>
  <c r="D18" i="24"/>
  <c r="P22" i="27"/>
  <c r="S15" i="27"/>
  <c r="J18" i="24"/>
  <c r="V22" i="27"/>
  <c r="J14" i="27"/>
  <c r="E14" i="24"/>
  <c r="G14" i="24" s="1"/>
  <c r="Q22" i="27"/>
  <c r="O19" i="27"/>
  <c r="J15" i="27"/>
  <c r="S13" i="27"/>
  <c r="D19" i="22"/>
  <c r="D31" i="22" s="1"/>
  <c r="H9" i="5"/>
  <c r="I8" i="5"/>
  <c r="F9" i="5"/>
  <c r="I268" i="17"/>
  <c r="D15" i="17" s="1"/>
  <c r="H205" i="17"/>
  <c r="H138" i="17"/>
  <c r="H72" i="17"/>
  <c r="D235" i="17"/>
  <c r="G235" i="17" s="1"/>
  <c r="I261" i="17"/>
  <c r="D14" i="17" s="1"/>
  <c r="C11" i="26"/>
  <c r="L32" i="27"/>
  <c r="J33" i="27"/>
  <c r="J31" i="27"/>
  <c r="J30" i="27"/>
  <c r="J29" i="27"/>
  <c r="J28" i="27"/>
  <c r="J24" i="27"/>
  <c r="J23" i="27"/>
  <c r="J21" i="27"/>
  <c r="H32" i="27"/>
  <c r="H34" i="27" s="1"/>
  <c r="H20" i="27"/>
  <c r="H22" i="27" s="1"/>
  <c r="H25" i="27" s="1"/>
  <c r="G32" i="27"/>
  <c r="G20" i="27"/>
  <c r="G22" i="27" s="1"/>
  <c r="G25" i="27" s="1"/>
  <c r="I34" i="17"/>
  <c r="I11" i="5"/>
  <c r="G9" i="5"/>
  <c r="I7" i="5"/>
  <c r="I6" i="5"/>
  <c r="A2" i="5"/>
  <c r="F48" i="26"/>
  <c r="D245" i="17"/>
  <c r="C26" i="25"/>
  <c r="F29" i="22"/>
  <c r="D152" i="17" s="1"/>
  <c r="A3" i="21"/>
  <c r="A1" i="21"/>
  <c r="M223" i="17"/>
  <c r="M225" i="17" s="1"/>
  <c r="M230" i="17"/>
  <c r="F15" i="26"/>
  <c r="D249" i="17" s="1"/>
  <c r="G249" i="17"/>
  <c r="I150" i="17"/>
  <c r="I151" i="17"/>
  <c r="I157" i="17"/>
  <c r="D119" i="17"/>
  <c r="D103" i="17"/>
  <c r="D178" i="17"/>
  <c r="D182" i="17" s="1"/>
  <c r="D186" i="17" s="1"/>
  <c r="C12" i="23"/>
  <c r="H9" i="20"/>
  <c r="E19" i="22"/>
  <c r="E31" i="22" s="1"/>
  <c r="C10" i="25" s="1"/>
  <c r="C57" i="26"/>
  <c r="C49" i="26"/>
  <c r="C28" i="26"/>
  <c r="C33" i="26" s="1"/>
  <c r="A3" i="25"/>
  <c r="A1" i="25"/>
  <c r="D112" i="17"/>
  <c r="A3" i="19"/>
  <c r="A1" i="19"/>
  <c r="A3" i="20"/>
  <c r="A1"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G44" i="20"/>
  <c r="C16" i="22" s="1"/>
  <c r="F44" i="20"/>
  <c r="E44" i="20"/>
  <c r="D44" i="20"/>
  <c r="H9" i="21"/>
  <c r="H10" i="21"/>
  <c r="H11" i="21"/>
  <c r="H12" i="21"/>
  <c r="H13" i="21"/>
  <c r="H14" i="21"/>
  <c r="H15" i="21"/>
  <c r="H16" i="21"/>
  <c r="H17" i="21"/>
  <c r="H18" i="21"/>
  <c r="H19" i="21"/>
  <c r="H20" i="21"/>
  <c r="H44" i="21" s="1"/>
  <c r="H21" i="21"/>
  <c r="H22" i="21"/>
  <c r="H23" i="21"/>
  <c r="H24" i="21"/>
  <c r="H25" i="21"/>
  <c r="H26" i="21"/>
  <c r="H27" i="21"/>
  <c r="H28" i="21"/>
  <c r="H29" i="21"/>
  <c r="H30" i="21"/>
  <c r="H31" i="21"/>
  <c r="H32" i="21"/>
  <c r="H33" i="21"/>
  <c r="H34" i="21"/>
  <c r="H35" i="21"/>
  <c r="H36" i="21"/>
  <c r="H37" i="21"/>
  <c r="H38" i="21"/>
  <c r="H39" i="21"/>
  <c r="H40" i="21"/>
  <c r="H41" i="21"/>
  <c r="H42" i="21"/>
  <c r="H43" i="21"/>
  <c r="G44" i="21"/>
  <c r="F44" i="21"/>
  <c r="E44" i="21"/>
  <c r="D44" i="21"/>
  <c r="A3" i="22"/>
  <c r="A1" i="22"/>
  <c r="F25" i="22"/>
  <c r="F27" i="22"/>
  <c r="F18" i="22"/>
  <c r="F12" i="22"/>
  <c r="F10" i="22"/>
  <c r="F9" i="22"/>
  <c r="A3" i="23"/>
  <c r="A1" i="23"/>
  <c r="C24" i="23"/>
  <c r="C30" i="23"/>
  <c r="C31" i="23"/>
  <c r="C36" i="25" s="1"/>
  <c r="C8" i="25" s="1"/>
  <c r="C15" i="23"/>
  <c r="A4" i="24"/>
  <c r="A1" i="24"/>
  <c r="F15" i="24"/>
  <c r="F20" i="24" s="1"/>
  <c r="F25" i="24" s="1"/>
  <c r="F28" i="24" s="1"/>
  <c r="G24" i="24"/>
  <c r="G23" i="24"/>
  <c r="G22" i="24"/>
  <c r="G11" i="24"/>
  <c r="G12" i="24"/>
  <c r="G13" i="24"/>
  <c r="G9" i="24"/>
  <c r="F57" i="26"/>
  <c r="F36" i="26"/>
  <c r="F11" i="4"/>
  <c r="F12" i="4" s="1"/>
  <c r="I259" i="17"/>
  <c r="D211" i="17"/>
  <c r="D209" i="17"/>
  <c r="I208" i="17"/>
  <c r="D208" i="17"/>
  <c r="B208" i="17"/>
  <c r="F173" i="17"/>
  <c r="F169" i="17"/>
  <c r="B163" i="17"/>
  <c r="B161" i="17"/>
  <c r="F155" i="17"/>
  <c r="F153" i="17"/>
  <c r="F154" i="17" s="1"/>
  <c r="D144" i="17"/>
  <c r="D142" i="17"/>
  <c r="I141" i="17"/>
  <c r="D141" i="17"/>
  <c r="B141" i="17"/>
  <c r="F92" i="17"/>
  <c r="F114" i="17" s="1"/>
  <c r="F110" i="17"/>
  <c r="B95" i="17"/>
  <c r="B103" i="17" s="1"/>
  <c r="B94" i="17"/>
  <c r="B102" i="17" s="1"/>
  <c r="B93" i="17"/>
  <c r="B101" i="17" s="1"/>
  <c r="B92" i="17"/>
  <c r="B100" i="17" s="1"/>
  <c r="B91" i="17"/>
  <c r="B99" i="17" s="1"/>
  <c r="F95" i="17"/>
  <c r="F94" i="17"/>
  <c r="G93" i="17"/>
  <c r="F93" i="17"/>
  <c r="G91" i="17"/>
  <c r="F91" i="17"/>
  <c r="D78" i="17"/>
  <c r="D76" i="17"/>
  <c r="I75" i="17"/>
  <c r="D75" i="17"/>
  <c r="B75" i="17"/>
  <c r="I46" i="17"/>
  <c r="I45" i="17"/>
  <c r="F15" i="17"/>
  <c r="F21" i="22"/>
  <c r="D149" i="17" s="1"/>
  <c r="F23" i="22"/>
  <c r="D234" i="17"/>
  <c r="G234" i="17" s="1"/>
  <c r="D233" i="17"/>
  <c r="D232" i="17"/>
  <c r="G232" i="17" s="1"/>
  <c r="F15" i="22"/>
  <c r="F16" i="22" l="1"/>
  <c r="C19" i="22"/>
  <c r="O22" i="27"/>
  <c r="S19" i="27"/>
  <c r="H44" i="20"/>
  <c r="O32" i="27"/>
  <c r="H38" i="27"/>
  <c r="Q32" i="27"/>
  <c r="E15" i="24"/>
  <c r="C18" i="23"/>
  <c r="C13" i="25" s="1"/>
  <c r="D94" i="17"/>
  <c r="I9" i="5"/>
  <c r="F19" i="26" s="1"/>
  <c r="F32" i="26" s="1"/>
  <c r="F58" i="26" s="1"/>
  <c r="G34" i="27"/>
  <c r="G36" i="27" s="1"/>
  <c r="G38" i="27"/>
  <c r="P32" i="27"/>
  <c r="V36" i="27"/>
  <c r="J19" i="24"/>
  <c r="D162" i="17" s="1"/>
  <c r="D164" i="17" s="1"/>
  <c r="O36" i="27"/>
  <c r="C35" i="25"/>
  <c r="G18" i="24"/>
  <c r="D85" i="17" s="1"/>
  <c r="L36" i="27"/>
  <c r="G17" i="24"/>
  <c r="D84" i="17" s="1"/>
  <c r="H36" i="27"/>
  <c r="J20" i="27"/>
  <c r="J32" i="27"/>
  <c r="D236" i="17"/>
  <c r="I223" i="17"/>
  <c r="D158" i="17"/>
  <c r="D117" i="17" s="1"/>
  <c r="D120" i="17" s="1"/>
  <c r="D174" i="17"/>
  <c r="J20" i="24" l="1"/>
  <c r="C11" i="25" s="1"/>
  <c r="J34" i="27"/>
  <c r="J38" i="27"/>
  <c r="J40" i="27" s="1"/>
  <c r="I215" i="17"/>
  <c r="I218" i="17" s="1"/>
  <c r="I220" i="17" s="1"/>
  <c r="D101" i="17"/>
  <c r="D19" i="24"/>
  <c r="P36" i="27"/>
  <c r="S32" i="27"/>
  <c r="S22" i="27"/>
  <c r="U22" i="27"/>
  <c r="E19" i="24"/>
  <c r="E20" i="24" s="1"/>
  <c r="E25" i="24" s="1"/>
  <c r="E28" i="24" s="1"/>
  <c r="Q36" i="27"/>
  <c r="F19" i="22"/>
  <c r="F31" i="22" s="1"/>
  <c r="C31" i="22"/>
  <c r="C9" i="25" s="1"/>
  <c r="D96" i="17"/>
  <c r="I20" i="24"/>
  <c r="J22" i="27"/>
  <c r="I225" i="17"/>
  <c r="I227" i="17" s="1"/>
  <c r="D175" i="17"/>
  <c r="D248" i="17"/>
  <c r="G248" i="17" s="1"/>
  <c r="C14" i="25" l="1"/>
  <c r="C15" i="25" s="1"/>
  <c r="C17" i="25" s="1"/>
  <c r="C22" i="25" s="1"/>
  <c r="C27" i="25" s="1"/>
  <c r="C30" i="25" s="1"/>
  <c r="D100" i="17"/>
  <c r="E233" i="17"/>
  <c r="I228" i="17"/>
  <c r="I229" i="17" s="1"/>
  <c r="G118" i="17" s="1"/>
  <c r="I118" i="17" s="1"/>
  <c r="G84" i="17"/>
  <c r="I84" i="17" s="1"/>
  <c r="G14" i="17"/>
  <c r="I14" i="17" s="1"/>
  <c r="U36" i="27"/>
  <c r="S36" i="27"/>
  <c r="S38" i="27" s="1"/>
  <c r="S40" i="27" s="1"/>
  <c r="G19" i="24"/>
  <c r="J36" i="27"/>
  <c r="J25" i="27"/>
  <c r="D250" i="17"/>
  <c r="E249" i="17" s="1"/>
  <c r="I249" i="17" s="1"/>
  <c r="D86" i="17" l="1"/>
  <c r="D102" i="17" s="1"/>
  <c r="G17" i="17"/>
  <c r="I17" i="17" s="1"/>
  <c r="G16" i="17"/>
  <c r="I16" i="17" s="1"/>
  <c r="G15" i="17"/>
  <c r="I15" i="17" s="1"/>
  <c r="G92" i="17"/>
  <c r="G114" i="17" s="1"/>
  <c r="G233" i="17"/>
  <c r="G236" i="17" s="1"/>
  <c r="I236" i="17" s="1"/>
  <c r="G149" i="17"/>
  <c r="I149" i="17" s="1"/>
  <c r="D15" i="24"/>
  <c r="D20" i="24" s="1"/>
  <c r="E248" i="17"/>
  <c r="I18" i="17" l="1"/>
  <c r="I92" i="17"/>
  <c r="I100" i="17" s="1"/>
  <c r="G86" i="17"/>
  <c r="G154" i="17"/>
  <c r="I154" i="17" s="1"/>
  <c r="G153" i="17"/>
  <c r="I153" i="17" s="1"/>
  <c r="I240" i="17"/>
  <c r="G152" i="17"/>
  <c r="G155" i="17"/>
  <c r="I155" i="17" s="1"/>
  <c r="G15" i="24"/>
  <c r="D83" i="17" s="1"/>
  <c r="G20" i="24"/>
  <c r="D25" i="24"/>
  <c r="I114" i="17"/>
  <c r="G161" i="17"/>
  <c r="I161" i="17" s="1"/>
  <c r="E250" i="17"/>
  <c r="I248" i="17"/>
  <c r="I250" i="17" s="1"/>
  <c r="G162" i="17" l="1"/>
  <c r="I152" i="17"/>
  <c r="G94" i="17"/>
  <c r="I94" i="17" s="1"/>
  <c r="I86" i="17"/>
  <c r="D99" i="17"/>
  <c r="D104" i="17" s="1"/>
  <c r="D122" i="17" s="1"/>
  <c r="D189" i="17" s="1"/>
  <c r="D88" i="17"/>
  <c r="D239" i="17" s="1"/>
  <c r="D242" i="17" s="1"/>
  <c r="G240" i="17" s="1"/>
  <c r="K240" i="17" s="1"/>
  <c r="D28" i="24"/>
  <c r="G28" i="24" s="1"/>
  <c r="G30" i="24" s="1"/>
  <c r="G25" i="24"/>
  <c r="C10" i="26" s="1"/>
  <c r="C15" i="26" s="1"/>
  <c r="C21" i="26" s="1"/>
  <c r="C58" i="26" s="1"/>
  <c r="F60" i="26" s="1"/>
  <c r="I253" i="17"/>
  <c r="D179" i="17"/>
  <c r="I102" i="17" l="1"/>
  <c r="I162" i="17"/>
  <c r="G168" i="17"/>
  <c r="G87" i="17"/>
  <c r="G156" i="17"/>
  <c r="D185" i="17"/>
  <c r="D187" i="17" s="1"/>
  <c r="D192" i="17" s="1"/>
  <c r="D201" i="17" s="1"/>
  <c r="I168" i="17" l="1"/>
  <c r="G169" i="17"/>
  <c r="I169" i="17" s="1"/>
  <c r="G95" i="17"/>
  <c r="I95" i="17" s="1"/>
  <c r="I96" i="17" s="1"/>
  <c r="I87" i="17"/>
  <c r="I88" i="17" s="1"/>
  <c r="G163" i="17"/>
  <c r="I163" i="17" s="1"/>
  <c r="I164" i="17" s="1"/>
  <c r="I156" i="17"/>
  <c r="I158" i="17" s="1"/>
  <c r="I117" i="17" s="1"/>
  <c r="I103" i="17" l="1"/>
  <c r="I104" i="17" s="1"/>
  <c r="G104" i="17" s="1"/>
  <c r="G88" i="17"/>
  <c r="G119" i="17" l="1"/>
  <c r="I119" i="17" s="1"/>
  <c r="I120" i="17" s="1"/>
  <c r="G171" i="17"/>
  <c r="G108" i="17"/>
  <c r="G186" i="17"/>
  <c r="I186" i="17" s="1"/>
  <c r="G173" i="17" l="1"/>
  <c r="I171" i="17"/>
  <c r="G109" i="17"/>
  <c r="I108" i="17"/>
  <c r="I173" i="17" l="1"/>
  <c r="G174" i="17"/>
  <c r="I174" i="17" s="1"/>
  <c r="I109" i="17"/>
  <c r="G111" i="17"/>
  <c r="I111" i="17" s="1"/>
  <c r="G110" i="17"/>
  <c r="I110" i="17" s="1"/>
  <c r="I175" i="17" l="1"/>
  <c r="I112" i="17"/>
  <c r="I122" i="17" s="1"/>
  <c r="I189" i="17" s="1"/>
  <c r="I185" i="17" l="1"/>
  <c r="I187" i="17" s="1"/>
  <c r="I192" i="17" s="1"/>
  <c r="I201" i="17" l="1"/>
  <c r="I11" i="17"/>
  <c r="I24" i="17" l="1"/>
  <c r="D36" i="17" s="1"/>
  <c r="I41" i="17" l="1"/>
  <c r="D37" i="17"/>
  <c r="D41" i="17"/>
  <c r="D40" i="17"/>
  <c r="I40" i="17"/>
  <c r="D42" i="17"/>
  <c r="I42" i="17"/>
</calcChain>
</file>

<file path=xl/sharedStrings.xml><?xml version="1.0" encoding="utf-8"?>
<sst xmlns="http://schemas.openxmlformats.org/spreadsheetml/2006/main" count="2557" uniqueCount="833">
  <si>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</si>
  <si>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V</t>
  </si>
  <si>
    <t>W</t>
  </si>
  <si>
    <t>X</t>
  </si>
  <si>
    <t>Production</t>
  </si>
  <si>
    <t>Transmission</t>
  </si>
  <si>
    <t>Distribution</t>
  </si>
  <si>
    <t>Total</t>
  </si>
  <si>
    <t xml:space="preserve">Salary and Wages </t>
  </si>
  <si>
    <t>Other (non A&amp;G)</t>
  </si>
  <si>
    <t>Amount</t>
  </si>
  <si>
    <t xml:space="preserve"> </t>
  </si>
  <si>
    <t>Taxes in Lieu of Property Taxes Explanation:</t>
  </si>
  <si>
    <t>Page 1 of 5</t>
  </si>
  <si>
    <t xml:space="preserve">Formula Rate - Non-Levelized </t>
  </si>
  <si>
    <t xml:space="preserve">   Rate Formula Template</t>
  </si>
  <si>
    <t>Line</t>
  </si>
  <si>
    <t>Allocated</t>
  </si>
  <si>
    <t>No.</t>
  </si>
  <si>
    <t xml:space="preserve">REVENUE CREDITS </t>
  </si>
  <si>
    <t>(Note T)</t>
  </si>
  <si>
    <t>Allocator</t>
  </si>
  <si>
    <t xml:space="preserve">  Account No. 454</t>
  </si>
  <si>
    <t>(page 4, line 30)</t>
  </si>
  <si>
    <t>TP</t>
  </si>
  <si>
    <t>(page 4, line 33)</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</si>
  <si>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</si>
  <si>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</si>
  <si>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</si>
  <si>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</si>
  <si>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</si>
  <si>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</si>
  <si>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</si>
  <si>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</si>
  <si>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</si>
  <si>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</si>
  <si>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</si>
  <si>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</si>
  <si>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</si>
  <si>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</si>
  <si>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</si>
  <si>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12 CP or Contract Demands from service over one year provided by ISO at a discount (enter negative)</t>
  </si>
  <si>
    <t>Divisor (sum lines 8-14)</t>
  </si>
  <si>
    <t>Annual Cost ($/kW/Yr)</t>
  </si>
  <si>
    <t>(line 7/ line 15)</t>
  </si>
  <si>
    <t>Network &amp; P-to-P Rate ($/kW/Mo) (line 11/ 12)</t>
  </si>
  <si>
    <t>Peak Rate</t>
  </si>
  <si>
    <t>Off-Peak Rate</t>
  </si>
  <si>
    <t>Point-To-Point Rate ($/kW/Wk)</t>
  </si>
  <si>
    <t>(line 16 / 52; line 16/ 52)</t>
  </si>
  <si>
    <t>Point-To-Point Rate ($/kW/Day)</t>
  </si>
  <si>
    <t xml:space="preserve"> Capped at weekly rate</t>
  </si>
  <si>
    <t>Point-To-Point Rate ($/MWh)</t>
  </si>
  <si>
    <t xml:space="preserve"> Capped at weekly</t>
  </si>
  <si>
    <t xml:space="preserve"> and daily rates</t>
  </si>
  <si>
    <t>FERC Annual Charge($/MWh)</t>
  </si>
  <si>
    <t xml:space="preserve">          (Note E)</t>
  </si>
  <si>
    <t>Short Term</t>
  </si>
  <si>
    <t>Long Term</t>
  </si>
  <si>
    <t>Page 2 of 5</t>
  </si>
  <si>
    <t>(1)</t>
  </si>
  <si>
    <t>(2)</t>
  </si>
  <si>
    <t>(3)</t>
  </si>
  <si>
    <t>(4)</t>
  </si>
  <si>
    <t>(5)</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</si>
  <si>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</si>
  <si>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</si>
  <si>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</si>
  <si>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</si>
  <si>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</si>
  <si>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</si>
  <si>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</si>
  <si>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</si>
  <si>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</si>
  <si>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</si>
  <si>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</si>
  <si>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</si>
  <si>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TOTAL GROSS PLANT (sum lines 1-5)</t>
  </si>
  <si>
    <t>GP=</t>
  </si>
  <si>
    <t>TOTAL ACCUM. DEPRECIATION (sum lines 7-11)</t>
  </si>
  <si>
    <t>NET PLANT IN SERVICE</t>
  </si>
  <si>
    <t xml:space="preserve"> (line 1- line 7)</t>
  </si>
  <si>
    <t xml:space="preserve"> (line 2- line 8)</t>
  </si>
  <si>
    <t xml:space="preserve"> (line 3 - line 9)</t>
  </si>
  <si>
    <t xml:space="preserve"> (line 4 - line 10)</t>
  </si>
  <si>
    <t xml:space="preserve"> (line 5 - line 11)</t>
  </si>
  <si>
    <t>TOTAL NET PLANT (sum lines 13-17)</t>
  </si>
  <si>
    <t>NP=</t>
  </si>
  <si>
    <t>ADJUSTMENTS TO RATE BASE       (Note F)</t>
  </si>
  <si>
    <t xml:space="preserve">  Account No. 281 (enter negative) </t>
  </si>
  <si>
    <t>zero</t>
  </si>
  <si>
    <t xml:space="preserve">  Account No. 282 (enter negative)</t>
  </si>
  <si>
    <t>NP</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</si>
  <si>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</si>
  <si>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</si>
  <si>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</si>
  <si>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</si>
  <si>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</si>
  <si>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</si>
  <si>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(Note H)</t>
  </si>
  <si>
    <t xml:space="preserve">  CWC</t>
  </si>
  <si>
    <t xml:space="preserve">  Materials &amp; Supplies</t>
  </si>
  <si>
    <t xml:space="preserve"> (Note G)</t>
  </si>
  <si>
    <t>TE</t>
  </si>
  <si>
    <t xml:space="preserve">  Prepayments</t>
  </si>
  <si>
    <t>GP</t>
  </si>
  <si>
    <t>TOTAL WORKING CAPITAL (sum lines 26 - 28)</t>
  </si>
  <si>
    <t>RATE BASE  (sum lines 18, 24, 25, and 29)</t>
  </si>
  <si>
    <t>Page 3 of 5</t>
  </si>
  <si>
    <t xml:space="preserve">  Transmission </t>
  </si>
  <si>
    <t xml:space="preserve">     Less Account 565</t>
  </si>
  <si>
    <t xml:space="preserve">  A&amp;G</t>
  </si>
  <si>
    <t xml:space="preserve">     Less FERC Annual Fees</t>
  </si>
  <si>
    <t>5a</t>
  </si>
  <si>
    <t xml:space="preserve">     Plus Transmission Related Reg. Comm. Exp. (Note I)</t>
  </si>
  <si>
    <t xml:space="preserve">  Transmission Lease Payments</t>
  </si>
  <si>
    <t>TOTAL DEPRECIATION (Sum lines 9 - 11)</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</si>
  <si>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</si>
  <si>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</si>
  <si>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</si>
  <si>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</si>
  <si>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</si>
  <si>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</si>
  <si>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</si>
  <si>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</si>
  <si>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</si>
  <si>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</si>
  <si>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</si>
  <si>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</si>
  <si>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(Note K)</t>
  </si>
  <si>
    <t xml:space="preserve">     T=1 - {[(1 - SIT) * (1 - FIT)] / (1 - SIT * FIT * p)} =</t>
  </si>
  <si>
    <t xml:space="preserve">     CIT=(T/1-T) * (1-(WCLTD/R)) =</t>
  </si>
  <si>
    <t xml:space="preserve">       where WCLTD=(page 4, line 27) and R= (page 4, line30)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</si>
  <si>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</si>
  <si>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</si>
  <si>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</si>
  <si>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</si>
  <si>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</si>
  <si>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</si>
  <si>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</si>
  <si>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</si>
  <si>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 Rate Base (page 2, line 30) * Rate of Return (page 4, line 24)]</t>
  </si>
  <si>
    <t>REV. REQUIREMENT  (sum lines 8, 12,20,27,28)</t>
  </si>
  <si>
    <t>Page 4 of 5</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</si>
  <si>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</si>
  <si>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</si>
  <si>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</si>
  <si>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</si>
  <si>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</si>
  <si>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</si>
  <si>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</si>
  <si>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</si>
  <si>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</si>
  <si>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</si>
  <si>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</si>
  <si>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</si>
  <si>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</si>
  <si>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</si>
  <si>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</si>
  <si>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</si>
  <si>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t>
  </si>
  <si>
    <t>Allocation</t>
  </si>
  <si>
    <t>W&amp;S Allocator</t>
  </si>
  <si>
    <t xml:space="preserve">  Other</t>
  </si>
  <si>
    <t>($ / Allocation)</t>
  </si>
  <si>
    <t xml:space="preserve">  Total (sum lines 12-15)</t>
  </si>
  <si>
    <t>=</t>
  </si>
  <si>
    <t xml:space="preserve">  =</t>
  </si>
  <si>
    <t>COMMON PLANT ALLOCATOR  (CE)   (Note O)</t>
  </si>
  <si>
    <t>% Electric</t>
  </si>
  <si>
    <t>Labor Ratio</t>
  </si>
  <si>
    <t xml:space="preserve">  Electric</t>
  </si>
  <si>
    <t>(line 17 / line 20)</t>
  </si>
  <si>
    <t>(line 16)</t>
  </si>
  <si>
    <t xml:space="preserve">  Gas</t>
  </si>
  <si>
    <t>*</t>
  </si>
  <si>
    <t xml:space="preserve">  Water</t>
  </si>
  <si>
    <t xml:space="preserve">  Total  (sum lines 17-19)</t>
  </si>
  <si>
    <t>RETURN (R)</t>
  </si>
  <si>
    <t xml:space="preserve">              Long Term Interest  </t>
  </si>
  <si>
    <t>Cost</t>
  </si>
  <si>
    <t>%</t>
  </si>
  <si>
    <t>(Note P)</t>
  </si>
  <si>
    <t>Weighted</t>
  </si>
  <si>
    <t xml:space="preserve">  Long Term Debt</t>
  </si>
  <si>
    <t>=WCLTD</t>
  </si>
  <si>
    <t xml:space="preserve">  Proprietary Capital</t>
  </si>
  <si>
    <t>Total  (sum lines 22, 23)</t>
  </si>
  <si>
    <t>=R</t>
  </si>
  <si>
    <t xml:space="preserve">                               Proprietary Capital Cost Rate =</t>
  </si>
  <si>
    <t xml:space="preserve">                TIER =</t>
  </si>
  <si>
    <t>REVENUE CREDITS</t>
  </si>
  <si>
    <t>Load</t>
  </si>
  <si>
    <t>ACCOUNT 447 (SALES FOR RESALE)</t>
  </si>
  <si>
    <t xml:space="preserve">  a. Bundled Non-RQ Sales for Resale</t>
  </si>
  <si>
    <t>(Note Q)</t>
  </si>
  <si>
    <t xml:space="preserve">  b. Bundled Sales for Resale included in Divisor on page 1 </t>
  </si>
  <si>
    <t xml:space="preserve">  Total of (a)-(b)</t>
  </si>
  <si>
    <t>ACCOUNT 454 (RENT FROM ELECTRIC PROPERTY)    (Note R)</t>
  </si>
  <si>
    <t xml:space="preserve">  a. Transmission charges for all transmission transactions </t>
  </si>
  <si>
    <t xml:space="preserve">  b. Transmission charges for all transmission transactions included in Divisor on page 1</t>
  </si>
  <si>
    <t>Page 5 of 5</t>
  </si>
  <si>
    <t>General Note:  References to pages in this formulary rate are indicated as:  (page#, line#, col.#)</t>
  </si>
  <si>
    <t>Note</t>
  </si>
  <si>
    <t>Letter</t>
  </si>
  <si>
    <t>A</t>
  </si>
  <si>
    <t>B</t>
  </si>
  <si>
    <t>C</t>
  </si>
  <si>
    <t>D</t>
  </si>
  <si>
    <t>E</t>
  </si>
  <si>
    <t>F</t>
  </si>
  <si>
    <t>G</t>
  </si>
  <si>
    <t>Transmission related only.</t>
  </si>
  <si>
    <t>H</t>
  </si>
  <si>
    <t>I</t>
  </si>
  <si>
    <t>J</t>
  </si>
  <si>
    <t>K</t>
  </si>
  <si>
    <t>FIT =</t>
  </si>
  <si>
    <t>SIT=</t>
  </si>
  <si>
    <t xml:space="preserve">  (State Income Tax Rate or Composite SIT)</t>
  </si>
  <si>
    <t>p =</t>
  </si>
  <si>
    <t xml:space="preserve">  (percent of federal income tax deductible for state purposes)</t>
  </si>
  <si>
    <t>L</t>
  </si>
  <si>
    <t>M</t>
  </si>
  <si>
    <t>N</t>
  </si>
  <si>
    <t>O</t>
  </si>
  <si>
    <t>Enter dollar amounts</t>
  </si>
  <si>
    <t>P</t>
  </si>
  <si>
    <t>Q</t>
  </si>
  <si>
    <t>R</t>
  </si>
  <si>
    <t>Includes income related only to transmission facilities, such as pole attachments, rentals and special use.</t>
  </si>
  <si>
    <t>S</t>
  </si>
  <si>
    <t>T</t>
  </si>
  <si>
    <t>U</t>
  </si>
  <si>
    <r>
      <t>I</t>
    </r>
    <r>
      <rPr>
        <sz val="12"/>
        <rFont val="Arial"/>
        <family val="2"/>
      </rPr>
      <t>I.20.b</t>
    </r>
  </si>
  <si>
    <t>Accumulated</t>
  </si>
  <si>
    <t>EIA-412</t>
  </si>
  <si>
    <t>Schedule 2 - ELECTRIC BALANCE SHEET</t>
  </si>
  <si>
    <t>AMOUNT</t>
  </si>
  <si>
    <t>ASSETS and OTHER DEBITS</t>
  </si>
  <si>
    <t>(Dollars)</t>
  </si>
  <si>
    <t>No</t>
  </si>
  <si>
    <t>LIABILITIES and OTHER CREDITS</t>
  </si>
  <si>
    <t>ELECTRIC PLANT</t>
  </si>
  <si>
    <t>PROPRIETARY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</si>
  <si>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</si>
  <si>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</si>
  <si>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</si>
  <si>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</si>
  <si>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</si>
  <si>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</si>
  <si>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</si>
  <si>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</si>
  <si>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</si>
  <si>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</si>
  <si>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Net Electric Plant (sum lines 1-2 less 3)</t>
  </si>
  <si>
    <t>TOTAL PROPRIETARY CAPITAL            (sum lines 29-31)</t>
  </si>
  <si>
    <t>Nuclear Fuel (120.1-120.4, 120.6)</t>
  </si>
  <si>
    <t>LONG TERM DEBT</t>
  </si>
  <si>
    <t>Amortization of Nuclear Fuel</t>
  </si>
  <si>
    <t>Bonds (221, 222) (sum lins 33a-d, include</t>
  </si>
  <si>
    <t>Assemblies (120.5)</t>
  </si>
  <si>
    <t>current portion)</t>
  </si>
  <si>
    <t>Net Electric Plant including Nuclear</t>
  </si>
  <si>
    <t>33a</t>
  </si>
  <si>
    <t>Senior Lien</t>
  </si>
  <si>
    <t>Fuel (sum lines 4-5 less line 6)</t>
  </si>
  <si>
    <t>33b</t>
  </si>
  <si>
    <t>Subordinate Lien</t>
  </si>
  <si>
    <t>OTHER PROPERTY &amp; INVESTMENTS</t>
  </si>
  <si>
    <t>33c</t>
  </si>
  <si>
    <t>Third Lien</t>
  </si>
  <si>
    <t>Non-Electric Plant Property (121)</t>
  </si>
  <si>
    <t>33d</t>
  </si>
  <si>
    <t>Project</t>
  </si>
  <si>
    <t>Depreciation and Amortization (122)</t>
  </si>
  <si>
    <t>Investment in Associated Enterprises</t>
  </si>
  <si>
    <t>Advances from Municipality and Other</t>
  </si>
  <si>
    <t>(123-123.1)</t>
  </si>
  <si>
    <t>Long Term Debt (223, 224)</t>
  </si>
  <si>
    <t>Investments &amp; Special Funds (124-129) (sum line 11a-d)</t>
  </si>
  <si>
    <t xml:space="preserve">Unamortized Premium on Long Term </t>
  </si>
  <si>
    <t>11a</t>
  </si>
  <si>
    <t>Debt Service Deposits &amp; Reserves - See Note 1</t>
  </si>
  <si>
    <t>Debt (225)</t>
  </si>
  <si>
    <t>11b</t>
  </si>
  <si>
    <t xml:space="preserve">Construction Funds - See Note 2 </t>
  </si>
  <si>
    <t>(Less) Unamortized Discount on Long</t>
  </si>
  <si>
    <t>11c</t>
  </si>
  <si>
    <t>Discretionary Reserves - See Note 3</t>
  </si>
  <si>
    <t>Term Debt (226)</t>
  </si>
  <si>
    <t>11d</t>
  </si>
  <si>
    <t>Other Restricted Investments - See Note 4</t>
  </si>
  <si>
    <t>Total Long Term Debt (sum line 33-35 less 36)</t>
  </si>
  <si>
    <t>Total Other Property and Investments       (sum lines 8, 10, 11 less 9)</t>
  </si>
  <si>
    <t>OTHER NONCURRENT LIABILITIES</t>
  </si>
  <si>
    <t>CURRENT &amp; ACCRUED ASSETS</t>
  </si>
  <si>
    <t>Accumulated Operating Provisions (228.1-.4)</t>
  </si>
  <si>
    <t>Cash, Working Funds &amp; Investments</t>
  </si>
  <si>
    <t>Accumulated Provisions for Rate Refunds</t>
  </si>
  <si>
    <t>(131-136)</t>
  </si>
  <si>
    <t>Total Other Non Current Liabilities (sum 38-39)</t>
  </si>
  <si>
    <t>Notes &amp; Other Receivables</t>
  </si>
  <si>
    <t>(141, 143, 145, 146, 172)</t>
  </si>
  <si>
    <t>CURRENT AND ACCRUED LIABILITIES</t>
  </si>
  <si>
    <t>Customer Accounts ReceIvable (142)</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</si>
  <si>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</si>
  <si>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</si>
  <si>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</si>
  <si>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</si>
  <si>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</si>
  <si>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</si>
  <si>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</si>
  <si>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</si>
  <si>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</si>
  <si>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</si>
  <si>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</si>
  <si>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</si>
  <si>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</si>
  <si>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</si>
  <si>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</si>
  <si>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</si>
  <si>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             (sum line 41-47)</t>
  </si>
  <si>
    <t>Total Current &amp; Accrued Assets                      ( sum lines 13-15, 17-22 less line 16)</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</si>
  <si>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</si>
  <si>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</si>
  <si>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</si>
  <si>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</si>
  <si>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</si>
  <si>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</si>
  <si>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</si>
  <si>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</si>
  <si>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</si>
  <si>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</si>
  <si>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</si>
  <si>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</si>
  <si>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</si>
  <si>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</si>
  <si>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Total Deferred Debits (sum  line 24-26)</t>
  </si>
  <si>
    <t>Total Deferred Credits</t>
  </si>
  <si>
    <t>TOTAL ASSETS &amp; OTHER DEBITS             (sum of lines 7, 12, 23, 27)</t>
  </si>
  <si>
    <t>TOTAL LIABILITIES &amp; OTHER CREDITS</t>
  </si>
  <si>
    <t>Note 1 - includes debt service reserve funds, P&amp;I and sinking fund deposits</t>
  </si>
  <si>
    <t>Note 2 - funds from bond proceeds</t>
  </si>
  <si>
    <t>Note 3 - includes rate stabilization funds and O&amp;M and R&amp;R reserves</t>
  </si>
  <si>
    <t>Note 4 - includes any remaining restricted funds unavailable for operations or debt service, such as decommissioning funds</t>
  </si>
  <si>
    <t xml:space="preserve">Beginning </t>
  </si>
  <si>
    <t>Ending</t>
  </si>
  <si>
    <t>Balance</t>
  </si>
  <si>
    <t>Additions</t>
  </si>
  <si>
    <t>Retirements</t>
  </si>
  <si>
    <t>Transfers</t>
  </si>
  <si>
    <t>Intangible Plant (301-303)</t>
  </si>
  <si>
    <t>Steam Production (310-316)</t>
  </si>
  <si>
    <t>Nuclear Production (320-325)</t>
  </si>
  <si>
    <t>Hydraulic Production (330-336)</t>
  </si>
  <si>
    <t>ACCUM DEPR</t>
  </si>
  <si>
    <t>Total Production Plant (sum lines 2-5)</t>
  </si>
  <si>
    <t>Transmission Plant (350-359)</t>
  </si>
  <si>
    <t>Distribution Plant (360-373)</t>
  </si>
  <si>
    <t>General Plant (389-399)</t>
  </si>
  <si>
    <t>Total Electric Plant In Service              (sum lines 1, 6-9)</t>
  </si>
  <si>
    <t>Electric Plant Leased to Others (104)</t>
  </si>
  <si>
    <t>Electric Plant Held for Future Use (105)</t>
  </si>
  <si>
    <t>Electric Plant Miscellaneous (102,103,106,114,116)</t>
  </si>
  <si>
    <t>Electric Plant &amp; Adjustments                (sum lines 10-13)</t>
  </si>
  <si>
    <t>Construction Work in Progress Electric (107)</t>
  </si>
  <si>
    <t>Total Electric Plant &amp; Adjustments      (sum lines 14, 15)</t>
  </si>
  <si>
    <t>SCHEDULE 5. TAXES, TAX EQUIVALENTS, CONTRIBUTIONS, AND SERVICES DURING YEAR</t>
  </si>
  <si>
    <t xml:space="preserve">Line </t>
  </si>
  <si>
    <t>SUBJECT PAYMENTS TO MUNICIPALITY OR OTHER GOVERNMENT UNITS</t>
  </si>
  <si>
    <t>Taxes other than Income Taxes, Operating Income</t>
  </si>
  <si>
    <t>Income Taxes, Operating Income (409.1)</t>
  </si>
  <si>
    <t xml:space="preserve">    Taxes and Tax Equivalents (sum of lines 1,2)</t>
  </si>
  <si>
    <t>Taxes Other than Income Taxes, other Income and Deductions (408.2)</t>
  </si>
  <si>
    <t>Income Taxes, Other Income and Deductions (409.2)</t>
  </si>
  <si>
    <t xml:space="preserve">    Taxes Applicable to Other Income and Deductions (sum of lines 4,5)</t>
  </si>
  <si>
    <t>Transfers from Retained Earnings (State and Local)</t>
  </si>
  <si>
    <t>Other Transfers from Retained Earnings</t>
  </si>
  <si>
    <t xml:space="preserve">    Total Taxes and Transfers (sum of lines 3,6-8)</t>
  </si>
  <si>
    <t>CONTRIBUTIONS OF SERVICES AND MATERIALS TO STATE AND LOCAL GOVERNMENTS</t>
  </si>
  <si>
    <t>Free or Below-Cost Electric Service</t>
  </si>
  <si>
    <t>Use of Electric Department Employees</t>
  </si>
  <si>
    <t>Use of Electric Department Vehicles and Other Equipment</t>
  </si>
  <si>
    <t>Materials and Supplies</t>
  </si>
  <si>
    <t xml:space="preserve">    Total Contributions Provided (sum of lines 10-13)</t>
  </si>
  <si>
    <t>CONTRIBUTIONS OF SERVICE AND MATERIALS FROM STATE AND LOCAL GOVERNMENTS</t>
  </si>
  <si>
    <t>Free or Below-Cost Services</t>
  </si>
  <si>
    <t>Use of State or Local Employees (Not on Payroll of Reporting Entity)</t>
  </si>
  <si>
    <t>Use of State or Local Vehicles and Other Equipment</t>
  </si>
  <si>
    <t xml:space="preserve">    Total Contributions Received (sum of lines 15-18)</t>
  </si>
  <si>
    <t xml:space="preserve">    Net Contributions and Services to Municipality or Other Government Units                                          (line 14, less line 19)</t>
  </si>
  <si>
    <t>Schedule 7 - ELECTRIC OPERATION AND MAINTENANCE EXPENSES (Dollars)</t>
  </si>
  <si>
    <t>Fuel Cost</t>
  </si>
  <si>
    <t>Operation</t>
  </si>
  <si>
    <t>Maintenance</t>
  </si>
  <si>
    <t>Steam Power Generation</t>
  </si>
  <si>
    <t>(500-507, 510-514) Fuel Cost (501)</t>
  </si>
  <si>
    <t>Nuclear Power Generation (517-525, 528-532) Fule Cost (518)</t>
  </si>
  <si>
    <t>Hydraulic Power Generation</t>
  </si>
  <si>
    <t>(535-540, 541-545)</t>
  </si>
  <si>
    <t>Other Power Generation</t>
  </si>
  <si>
    <t>(546-550, 551-554) Fuel cost (547)</t>
  </si>
  <si>
    <t>Specify: Combustion Turbines</t>
  </si>
  <si>
    <t>Purchased Power (555)</t>
  </si>
  <si>
    <t>Other Production Expenses</t>
  </si>
  <si>
    <t>(556-557)</t>
  </si>
  <si>
    <t xml:space="preserve">   Total Production Expenses</t>
  </si>
  <si>
    <t>Transmission Expenses</t>
  </si>
  <si>
    <t>(560-567, 568-573)</t>
  </si>
  <si>
    <t>xxxxxxxxxxxxxx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</si>
  <si>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</si>
  <si>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</si>
  <si>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</si>
  <si>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</si>
  <si>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</si>
  <si>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</si>
  <si>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</si>
  <si>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</si>
  <si>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</si>
  <si>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</si>
  <si>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</si>
  <si>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</si>
  <si>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Schedule 6 - SALES OF ELECTRICITY FOR RESALE (Acct 447)</t>
  </si>
  <si>
    <t xml:space="preserve">Electricity </t>
  </si>
  <si>
    <t>Annual</t>
  </si>
  <si>
    <t>Demand</t>
  </si>
  <si>
    <t>Energy,</t>
  </si>
  <si>
    <t xml:space="preserve">Total </t>
  </si>
  <si>
    <t>Type</t>
  </si>
  <si>
    <t>Sold</t>
  </si>
  <si>
    <t>Max Demand</t>
  </si>
  <si>
    <t>Charges</t>
  </si>
  <si>
    <t xml:space="preserve">Other </t>
  </si>
  <si>
    <t>Rev Sttlmt</t>
  </si>
  <si>
    <t>Sales Made To:</t>
  </si>
  <si>
    <t>Code</t>
  </si>
  <si>
    <t>(MWH)</t>
  </si>
  <si>
    <t>(MW)</t>
  </si>
  <si>
    <t>($)</t>
  </si>
  <si>
    <t>Charges ($)</t>
  </si>
  <si>
    <t>Schedule 8 - PURCHASES OF ELECTRICITY FOR RESALE (Acct 555)</t>
  </si>
  <si>
    <t>Purchased</t>
  </si>
  <si>
    <t>Purchases From</t>
  </si>
  <si>
    <t>FP,OT</t>
  </si>
  <si>
    <t>Notes:</t>
  </si>
  <si>
    <t>1a</t>
  </si>
  <si>
    <t xml:space="preserve">     Less LSE Expenses included in Transmission O&amp;M Accounts (Note V)</t>
  </si>
  <si>
    <t>TOTAL O&amp;M (sum lines 1, 3, 5a, 6, 7 less 1A,2, 4, 5)</t>
  </si>
  <si>
    <t>Schedule 3 - 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</si>
  <si>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</si>
  <si>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</si>
  <si>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</si>
  <si>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</si>
  <si>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</si>
  <si>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</si>
  <si>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 (sum lines 2-6)</t>
  </si>
  <si>
    <t xml:space="preserve">        NET ELECTRIC OPERATING INCOME (line 1 less line 7)</t>
  </si>
  <si>
    <t>Income from Electric Plant Leased to Others (412, 413)</t>
  </si>
  <si>
    <t xml:space="preserve">    Electric Operating Income (sum lines 8, 9)</t>
  </si>
  <si>
    <t>Other Electric Income (explain significant amounts in a footnote) (415, 417, 418, 419, 421, 421.1)</t>
  </si>
  <si>
    <t>Other Electric Deductions (explain significant amounts in a footnote) (416, 417, 421.2)</t>
  </si>
  <si>
    <t>Allowance for Other Funds Used During Construction (419.1)</t>
  </si>
  <si>
    <t>Taxes Applicable to Other Income and Deductions (408.2, 409.2)</t>
  </si>
  <si>
    <t xml:space="preserve">    Electric Income (sumlines 10, 11, 13 less lines 12, 14)</t>
  </si>
  <si>
    <t>Income Deductions from Interest on Long Term Debt (427)</t>
  </si>
  <si>
    <t>Other Income Deductions (explain significant amounts in a footnote) (428-431)</t>
  </si>
  <si>
    <t>Allowance for Borrowed Funds Used During Construction (432)</t>
  </si>
  <si>
    <t xml:space="preserve">    Total Income Deductions (sum line 16-18)</t>
  </si>
  <si>
    <t xml:space="preserve">        Income Before Extraordinary Items (line 15 less line 19)</t>
  </si>
  <si>
    <t>Extraordinary Items (434)</t>
  </si>
  <si>
    <t>Extraordinary Deductions (435)</t>
  </si>
  <si>
    <t xml:space="preserve">        NET INCOME (sum lines 20, 21 less line 22)</t>
  </si>
  <si>
    <t>Senior Lien Debt Service - See Note 1</t>
  </si>
  <si>
    <t>Subordinate Lien Debt Service - See Note 1</t>
  </si>
  <si>
    <t>Third Lien Debt Service - See Note 1</t>
  </si>
  <si>
    <t>Project Debt Service - See Note 1</t>
  </si>
  <si>
    <t>Aggregate Debt Service</t>
  </si>
  <si>
    <t>General Fund Transfers (excl. Taxes and Tax Equivalents listed above)</t>
  </si>
  <si>
    <t>Note 1 - required deposits to the P&amp;I fund during the fiscal year without regard to interest earnings on debt service;</t>
  </si>
  <si>
    <t>include interest expense for CP and short-term notes where appropriate.</t>
  </si>
  <si>
    <t>Utilizing EIA Form 412 Data</t>
  </si>
  <si>
    <t>GROSS REVENUE REQUIREMENT  (page 3, line 31)</t>
  </si>
  <si>
    <t xml:space="preserve">  Account No. 456.1</t>
  </si>
  <si>
    <t>(line 16/ 260; line 16/ 365)</t>
  </si>
  <si>
    <t>IV.12.e    (Note G)</t>
  </si>
  <si>
    <t>VII.8.d</t>
  </si>
  <si>
    <t>VII.13.d</t>
  </si>
  <si>
    <t xml:space="preserve">     Less EPRI &amp; Reg. Comm. Exp. &amp; Non-safety Ad. (Note I)</t>
  </si>
  <si>
    <t>Included transmission expenses (line 6 less line 7)</t>
  </si>
  <si>
    <t>III.16.b + III.17.b  (Note U)</t>
  </si>
  <si>
    <t>II.32.b</t>
  </si>
  <si>
    <t>ACCOUNT 456.1 (OTHER ELECTRIC REVENUES)</t>
  </si>
  <si>
    <t>32a</t>
  </si>
  <si>
    <t>Please fill out info requested in the box below</t>
  </si>
  <si>
    <t>Acct 561 included in Line 7?</t>
  </si>
  <si>
    <t>Acct 561.BA for Schedule 24</t>
  </si>
  <si>
    <t>Acct 561 available for Schedule 1</t>
  </si>
  <si>
    <t>Revenue Credits for Sched 1/Acct 561</t>
  </si>
  <si>
    <t>transactions &lt;1 yr</t>
  </si>
  <si>
    <t>non-firm</t>
  </si>
  <si>
    <t>transactions w/ load not in divisor</t>
  </si>
  <si>
    <t>total Revenue Credits</t>
  </si>
  <si>
    <t>Removes dollar amount of transmission expenses included in the OATT ancillary services rates, including Account Nos. 561.1, 561.2, 561.3, and 561.BA.</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</si>
  <si>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</si>
  <si>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Line 29 must equal zero since all short-term power sales must be unbundled and the transmission component reflected in Account No. 456.1 and all other uses are to be included in the divisor.</t>
  </si>
  <si>
    <t>Line 31 supported by notes in Form 412 or detailed Schedule</t>
  </si>
  <si>
    <t>Line 32 supported by notes in Form 412 or detailed Schedule</t>
  </si>
  <si>
    <t>EIA 412</t>
  </si>
  <si>
    <t>Reference</t>
  </si>
  <si>
    <t>IV.6.e</t>
  </si>
  <si>
    <t>IV.7.e</t>
  </si>
  <si>
    <t>IV.8.e</t>
  </si>
  <si>
    <t>CA</t>
  </si>
  <si>
    <t>NSP</t>
  </si>
  <si>
    <t>blue</t>
  </si>
  <si>
    <t>del</t>
  </si>
  <si>
    <t>fair</t>
  </si>
  <si>
    <t>gfalls</t>
  </si>
  <si>
    <t>glen</t>
  </si>
  <si>
    <t>jane</t>
  </si>
  <si>
    <t>kass</t>
  </si>
  <si>
    <t>ken</t>
  </si>
  <si>
    <t>ITC</t>
  </si>
  <si>
    <t>mlake</t>
  </si>
  <si>
    <t>sleep</t>
  </si>
  <si>
    <t>spring</t>
  </si>
  <si>
    <t>win</t>
  </si>
  <si>
    <t>Glencoe</t>
  </si>
  <si>
    <t>GLS1:  Glencoe Schedule 1 - Wages &amp; Salary Allocator</t>
  </si>
  <si>
    <t>GLENCOE DEBT DETAILS</t>
  </si>
  <si>
    <t>REVENUE BONDS PAYABLE (PRINCIPAL)</t>
  </si>
  <si>
    <t>RELATED DISCOUNTS/PREMIUMS</t>
  </si>
  <si>
    <t>TOTAL LONG-TERM BOND DEBT</t>
  </si>
  <si>
    <t>INTEREST ON LONG-TERM DEBT</t>
  </si>
  <si>
    <t>Xcel Energy, MISO,CMMPA</t>
  </si>
  <si>
    <t>GL9:  Glencoe Schedule 9 - Explanation of Payments in Lieu of Property Taxes</t>
  </si>
  <si>
    <t>PLANT IN SERVICE</t>
  </si>
  <si>
    <t>PER AUDIT:</t>
  </si>
  <si>
    <t>Buildings, Land and Land Improvements</t>
  </si>
  <si>
    <t>Engines, Auxiliaries and Switch Boards</t>
  </si>
  <si>
    <t>Distribution System</t>
  </si>
  <si>
    <t>Street Lights</t>
  </si>
  <si>
    <t>Substation</t>
  </si>
  <si>
    <t>Loop Feeder</t>
  </si>
  <si>
    <t>Meters</t>
  </si>
  <si>
    <t>Total Plant in Service</t>
  </si>
  <si>
    <t>Net Utility Plant</t>
  </si>
  <si>
    <t>NON-UTILITY PROPERTY</t>
  </si>
  <si>
    <t>Building and Improvements</t>
  </si>
  <si>
    <t>Transportation Equipment</t>
  </si>
  <si>
    <t>Plant Tools and Equipment</t>
  </si>
  <si>
    <t>Office Equipment</t>
  </si>
  <si>
    <t>Total Non-Utility Property</t>
  </si>
  <si>
    <t>Less:</t>
  </si>
  <si>
    <t>Accumulated Depreciation</t>
  </si>
  <si>
    <t>Net Non-Utility Property</t>
  </si>
  <si>
    <t>Total Net Capital Assets</t>
  </si>
  <si>
    <t>Beginning</t>
  </si>
  <si>
    <t>Net Plant in Service</t>
  </si>
  <si>
    <t>Transmission System</t>
  </si>
  <si>
    <t>Depreciation</t>
  </si>
  <si>
    <t>Net</t>
  </si>
  <si>
    <t>Assets</t>
  </si>
  <si>
    <t>General Plant</t>
  </si>
  <si>
    <t>SUMMARY FOR EIA412 ELECTRIC PLANT SCHEDULE</t>
  </si>
  <si>
    <t>Attachment O-EIA Non-Levelized Generic</t>
  </si>
  <si>
    <t>(line 16/4,160; line 16/ 8760 times 1,000)</t>
  </si>
  <si>
    <t>IV.9.e &amp; IV.1.e</t>
  </si>
  <si>
    <t>GROSS PLANT IN SERVICE (Note AA)</t>
  </si>
  <si>
    <t>ACCUMULATED DEPRECIATION (Note AA)</t>
  </si>
  <si>
    <t>O&amp;M (Note BB)</t>
  </si>
  <si>
    <t>DEPRECIATION AND AMORTIZATION EXPENSE (Note AA)</t>
  </si>
  <si>
    <t xml:space="preserve">  General  &amp; Intangible</t>
  </si>
  <si>
    <t>LESS ATTACHMENT GG ADJUSTMENT [Attachment GG, page 2, line 3, column 10] (Note W)</t>
  </si>
  <si>
    <t>[Revenue Requirement for facilities included on page 2, line 2, and also</t>
  </si>
  <si>
    <t>included in Attachment GG]</t>
  </si>
  <si>
    <t>30a</t>
  </si>
  <si>
    <t>LESS ATTACHMENT MM ADJUSTMENT [Attachment MM, page 2, line 3, column 14] (Note Y)</t>
  </si>
  <si>
    <t>[Revenue Requirement for facilities included on page 2, line 2, and also included</t>
  </si>
  <si>
    <t>REVENUE REQUIREMENT TO BE COLLECTED UNDER ATTACHMENT O</t>
  </si>
  <si>
    <t>(line 29- line 30 - line 30a)</t>
  </si>
  <si>
    <t>II.37.b</t>
  </si>
  <si>
    <t>32b</t>
  </si>
  <si>
    <t xml:space="preserve">  d.  Transmission charges from Schedules associated with Attachment MM (Note Z)</t>
  </si>
  <si>
    <t xml:space="preserve">  Total of (a)-(b)-(c)-(d)</t>
  </si>
  <si>
    <t>Y</t>
  </si>
  <si>
    <t>Pursuant to Attachment MM of the Midwest ISO Tariff, removes dollar amount of revenue requirements calculated pursuant to Attachment MM.</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</si>
  <si>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</si>
  <si>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</si>
  <si>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</si>
  <si>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</si>
  <si>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</si>
  <si>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Pursuant to Attachment GG of the Midwest ISO Tariff, removes dollar amount of revenue requirements calculated pursuant to Attachment GG.</t>
  </si>
  <si>
    <t>Account Nos. 561.4 and 561.8 consist of RTO expenses billed to load-serving entities and are not included in Transmission Owner revenue requirements.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</si>
  <si>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</si>
  <si>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ENDING BALANCE 12/31/13</t>
  </si>
  <si>
    <t>1/1/2013 BALANCE</t>
  </si>
  <si>
    <t>ADDITIONS IN 2013</t>
  </si>
  <si>
    <t>RETIREMENTS IN 2013</t>
  </si>
  <si>
    <t>DEFERRED REFUNDING CHARGE</t>
  </si>
  <si>
    <t>EXPENSES TO BE DEDUCTED ON PAGE 3 LINE 4 OF THE ATTACHMENT O.</t>
  </si>
  <si>
    <t>THERE ARE NO CMMPA ASSETS REPRESENTED IN THE BOOKS AND RECORDS OF GLENCOE LIGHT AND POWER COMMISSION,</t>
  </si>
  <si>
    <t>THERE ARE NO CMMPA EXPENSES REFLECTED ANYWHERE IN THE BOOKS AND RECORDS OF GLENCOE LIGHT AND POWER COMMISSION.</t>
  </si>
  <si>
    <t>CMMPA DOES INVOICE GLENCOE FOR A PREPARATION FEE FOR THEIR ATTACHMENT O.  THAT FEE IS BOOKED AS A</t>
  </si>
  <si>
    <t>TRANSMISSION EXPENSE BY GLENCOE AND A NEGATIVE TRANSMISSION EXPENSE BY CMMPA.</t>
  </si>
  <si>
    <t>GLENCOE HAS NO RECB OR OTHER "COST SHARED" PROJECTS' COSTS REFLECTED IN ITS ATTACHMENT O.</t>
  </si>
  <si>
    <t>GLENCOE IS CHARGED THEIR APPROPRIATE SHARE OF SCHEDULE 10 TRANSMISSION ADMIN CHARGES BY CMMPA AS A</t>
  </si>
  <si>
    <t>COMPONENT OF THEIR TRANSMISSION COSTS.  IT IS INCLUDED IN GLENCOES PURCHASED POWER COSTS ON THEIR FINANCIAL</t>
  </si>
  <si>
    <t>STATEMENTS.  SINCE THIS COST IS NOT INCLUDED IN A&amp;G ON GLENCOE'S BOOKS, IT WOULD BE INAPPROPRIATE FOR SCHEDULE 10</t>
  </si>
  <si>
    <t>Entity</t>
  </si>
  <si>
    <t>Date</t>
  </si>
  <si>
    <t>Year</t>
  </si>
  <si>
    <t>Month</t>
  </si>
  <si>
    <t>HE</t>
  </si>
  <si>
    <t>mwh Load SCADA</t>
  </si>
  <si>
    <t>mwh Gen SCADA</t>
  </si>
  <si>
    <t>Transmission mwh</t>
  </si>
  <si>
    <t>Control Area mwh</t>
  </si>
  <si>
    <t>% of Control Area</t>
  </si>
  <si>
    <t>mwh Load MDMA</t>
  </si>
  <si>
    <t>mwh Gen MDMA</t>
  </si>
  <si>
    <t>BE</t>
  </si>
  <si>
    <t>DEL</t>
  </si>
  <si>
    <t>GLENCOE</t>
  </si>
  <si>
    <t>Additions in 2014</t>
  </si>
  <si>
    <t>Retirements in 2014</t>
  </si>
  <si>
    <t>Ending Balance 12/31/14</t>
  </si>
  <si>
    <t>Constr in Prog</t>
  </si>
  <si>
    <t xml:space="preserve">  c.  Transmission charges from Schedules associated with Attachment GG (Note X)</t>
  </si>
  <si>
    <t>Xcel Energy facilities credit + accrued network tariff revenue for 2014 (see Notes)</t>
  </si>
  <si>
    <t>Accrued network tariff revenue for 2014 (see Notes)</t>
  </si>
  <si>
    <t>Schedule 4</t>
  </si>
  <si>
    <t>Other Production (340-346)</t>
  </si>
  <si>
    <t>NOTE FOR LINE 5:  Combustion Turbine</t>
  </si>
  <si>
    <t>For the 12 months ended 12/31/15</t>
  </si>
  <si>
    <t>6a</t>
  </si>
  <si>
    <t>Adjustments to Net Revenue Requirement (Note CC)</t>
  </si>
  <si>
    <t>6b</t>
  </si>
  <si>
    <t>Interest on Adjustments (Note DD)</t>
  </si>
  <si>
    <t>6c</t>
  </si>
  <si>
    <t>Total Adjustment (line 6a + line 6b)</t>
  </si>
  <si>
    <t xml:space="preserve"> (line 1 minus line 6 plus Line 6c)</t>
  </si>
  <si>
    <t>in Attachment MM}</t>
  </si>
  <si>
    <t>References to data from EIA Form 412 are indicated as:   x.y.z  (section, line, column)</t>
  </si>
  <si>
    <t>To the extent the page references to EIA Form 412 are missing, the entity will include a "Notes" section in the EIA 412 to provide this data.</t>
  </si>
  <si>
    <t xml:space="preserve">                            </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</si>
  <si>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</si>
  <si>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</si>
  <si>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</si>
  <si>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The FERC's annual charges for the year assessed the Transmission Owner for service under this tariff, if any.</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</si>
  <si>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</si>
  <si>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</si>
  <si>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</si>
  <si>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</si>
  <si>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</si>
  <si>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Inputs Required:</t>
  </si>
  <si>
    <t>Removes transmission plant determined  to be state-jurisdictional by Commission order according to the seven-factor test (until EIA 412 balances are adjusted to reflect application of seven-factor test).</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</si>
  <si>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</si>
  <si>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From Reference III.17.b include only the amount from Accounts 428, 429, and 430.</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</si>
  <si>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</si>
  <si>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</si>
  <si>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CC</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</si>
  <si>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</si>
  <si>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</si>
  <si>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</si>
  <si>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</si>
  <si>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</si>
  <si>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HENCE NO CMMPA ASSETS ARE REPRESENTED IN THE ACCOMPANYING ATTACHMENT O USING 2015 AUDITED INFORMATION.</t>
  </si>
  <si>
    <t>GLENCOE HAS NO 2015 GFA LOAD OR REVENUE INCLUDED IN THEIR ATTACHMENT O FOR 2015 DATA.</t>
  </si>
  <si>
    <t>Additions in 2015</t>
  </si>
  <si>
    <t>Retirements in 2015</t>
  </si>
  <si>
    <t>Ending Balance 12/31/15</t>
  </si>
  <si>
    <t>A transfer was made in 2015 from the Electric Utility fund to the General</t>
  </si>
  <si>
    <t>ties to total operating expenses on p 31 less depreciation on p 31</t>
  </si>
  <si>
    <t>fund for a payment in lieu of taxes of $85,000.</t>
  </si>
  <si>
    <t>See Note 13 Transfers to City on page 27 of Glencoe Light &amp; Power Commission 2015 audited financial statement.</t>
  </si>
  <si>
    <t>Accum Depreciation</t>
  </si>
  <si>
    <t>Line 11 includes $65,648 Interest Income, $571,113 in Transmission Tariff, and $16,100 in gain on disposition of assets.</t>
  </si>
  <si>
    <t>Fiscal Period / Year From</t>
  </si>
  <si>
    <t>1 / 2015</t>
  </si>
  <si>
    <t>CMMPA</t>
  </si>
  <si>
    <t>Page 1</t>
  </si>
  <si>
    <t>Fiscal Period / Year Thru</t>
  </si>
  <si>
    <t>10 / 2015</t>
  </si>
  <si>
    <t>Activity Report</t>
  </si>
  <si>
    <t>3/25/2016</t>
  </si>
  <si>
    <t>Report Filter</t>
  </si>
  <si>
    <t>Account ID In ('01555000520044561', '01655000520044561', '01655100520044561', '01655200520044561')</t>
  </si>
  <si>
    <t>Source From</t>
  </si>
  <si>
    <t>Thru</t>
  </si>
  <si>
    <t>View Date</t>
  </si>
  <si>
    <t>Transaction  Date</t>
  </si>
  <si>
    <t>Print Inactive Accounts</t>
  </si>
  <si>
    <t>Yes</t>
  </si>
  <si>
    <t>Include Zero Balance Accounts</t>
  </si>
  <si>
    <t>Search for Missing Entries</t>
  </si>
  <si>
    <t>Account ID Sort</t>
  </si>
  <si>
    <t>COMPANY, ACCOUNT, DEPARTMENT, SOURCE, SINK, FERC</t>
  </si>
  <si>
    <t>Account ID</t>
  </si>
  <si>
    <t>Trans Date</t>
  </si>
  <si>
    <t>Description</t>
  </si>
  <si>
    <t>Entry</t>
  </si>
  <si>
    <t>Fiscal</t>
  </si>
  <si>
    <t>Source</t>
  </si>
  <si>
    <t>Cash</t>
  </si>
  <si>
    <t>Post</t>
  </si>
  <si>
    <t>Alloc</t>
  </si>
  <si>
    <t>Debit Amt</t>
  </si>
  <si>
    <t>Credit Amt</t>
  </si>
  <si>
    <t>Number</t>
  </si>
  <si>
    <t>Period</t>
  </si>
  <si>
    <t>Flow</t>
  </si>
  <si>
    <t>01 5550 00 52 004 4561</t>
  </si>
  <si>
    <t>T.O. REVENUE-GLENCOE-XCEL</t>
  </si>
  <si>
    <t>Beginning Balance</t>
  </si>
  <si>
    <t>Ending Balance Period  2015 / 1</t>
  </si>
  <si>
    <t>0.00</t>
  </si>
  <si>
    <t>Ending Balance Period  2015 / 2</t>
  </si>
  <si>
    <t>Ending Balance Period  2015 / 3</t>
  </si>
  <si>
    <t>4/24/2015</t>
  </si>
  <si>
    <t>5062</t>
  </si>
  <si>
    <t>AP</t>
  </si>
  <si>
    <t>359,993.57</t>
  </si>
  <si>
    <t>Total for Period  2015 / 4</t>
  </si>
  <si>
    <t>Ending Balance Period  2015 / 4</t>
  </si>
  <si>
    <t>5/31/2015</t>
  </si>
  <si>
    <t>5096</t>
  </si>
  <si>
    <t>42,795.77</t>
  </si>
  <si>
    <t>Total for Period  2015 / 5</t>
  </si>
  <si>
    <t>Ending Balance Period  2015 / 5</t>
  </si>
  <si>
    <t>402,789.34</t>
  </si>
  <si>
    <t>6/25/2015</t>
  </si>
  <si>
    <t>5143</t>
  </si>
  <si>
    <t>51,698.16</t>
  </si>
  <si>
    <t>Total for Period  2015 / 6</t>
  </si>
  <si>
    <t>Ending Balance Period  2015 / 6</t>
  </si>
  <si>
    <t>454,487.50</t>
  </si>
  <si>
    <t>7/22/2015</t>
  </si>
  <si>
    <t>5189</t>
  </si>
  <si>
    <t>64,312.06</t>
  </si>
  <si>
    <t>Total for Period  2015 / 7</t>
  </si>
  <si>
    <t>Ending Balance Period  2015 / 7</t>
  </si>
  <si>
    <t>518,799.56</t>
  </si>
  <si>
    <t>8/28/2015</t>
  </si>
  <si>
    <t>JULY JPZ REV</t>
  </si>
  <si>
    <t>70,422.05</t>
  </si>
  <si>
    <t>Total for Period  2015 / 8</t>
  </si>
  <si>
    <t>Ending Balance Period  2015 / 8</t>
  </si>
  <si>
    <t>589,221.61</t>
  </si>
  <si>
    <t>10/6/2015</t>
  </si>
  <si>
    <t>AUG '15 JPZ REV</t>
  </si>
  <si>
    <t>72,771.14</t>
  </si>
  <si>
    <t>10/29/2015</t>
  </si>
  <si>
    <t>SEPT '15 JPZ</t>
  </si>
  <si>
    <t>67,836.06</t>
  </si>
  <si>
    <t>Total for Period  2015 / 9</t>
  </si>
  <si>
    <t>140,607.20</t>
  </si>
  <si>
    <t>Ending Balance Period  2015 / 9</t>
  </si>
  <si>
    <t>729,828.81</t>
  </si>
  <si>
    <t>11/30/2015</t>
  </si>
  <si>
    <t>OCT'15 JPZ REVENUE</t>
  </si>
  <si>
    <t>49,439.26</t>
  </si>
  <si>
    <t>Total for Period  2015 / 10</t>
  </si>
  <si>
    <t>Ending Balance Period  2015 / 10</t>
  </si>
  <si>
    <t>01 6550 00 52 004 4561</t>
  </si>
  <si>
    <t>T.O. REV-SCHED 7-GLENCOE</t>
  </si>
  <si>
    <t>2,184.91</t>
  </si>
  <si>
    <t>15,175.37</t>
  </si>
  <si>
    <t>17,360.28</t>
  </si>
  <si>
    <t>2,122.35</t>
  </si>
  <si>
    <t>19,482.63</t>
  </si>
  <si>
    <t>3,072.32</t>
  </si>
  <si>
    <t>22,554.95</t>
  </si>
  <si>
    <t>3,003.23</t>
  </si>
  <si>
    <t>25,558.18</t>
  </si>
  <si>
    <t>3,103.52</t>
  </si>
  <si>
    <t>28,661.70</t>
  </si>
  <si>
    <t>3,808.30</t>
  </si>
  <si>
    <t>3,541.93</t>
  </si>
  <si>
    <t>7,350.23</t>
  </si>
  <si>
    <t>36,011.93</t>
  </si>
  <si>
    <t>3,282.50</t>
  </si>
  <si>
    <t>01 6551 00 52 004 4561</t>
  </si>
  <si>
    <t>T.O. REV-SCHED 8-GLENCOE</t>
  </si>
  <si>
    <t>3,206.33</t>
  </si>
  <si>
    <t>18,419.67</t>
  </si>
  <si>
    <t>21,626.00</t>
  </si>
  <si>
    <t>2,516.78</t>
  </si>
  <si>
    <t>24,142.78</t>
  </si>
  <si>
    <t>2,895.52</t>
  </si>
  <si>
    <t>27,038.30</t>
  </si>
  <si>
    <t>3,454.68</t>
  </si>
  <si>
    <t>30,492.98</t>
  </si>
  <si>
    <t>4,168.67</t>
  </si>
  <si>
    <t>34,661.65</t>
  </si>
  <si>
    <t>3,055.66</t>
  </si>
  <si>
    <t>3,009.89</t>
  </si>
  <si>
    <t>6,065.55</t>
  </si>
  <si>
    <t>40,727.20</t>
  </si>
  <si>
    <t>3,008.65</t>
  </si>
  <si>
    <t>01 6552 00 52 004 4561</t>
  </si>
  <si>
    <t>T.O. REV-SCHED 9-GLENCOE</t>
  </si>
  <si>
    <t>43,708.64</t>
  </si>
  <si>
    <t>277,298.65</t>
  </si>
  <si>
    <t>321,007.29</t>
  </si>
  <si>
    <t>38,156.64</t>
  </si>
  <si>
    <t>359,163.93</t>
  </si>
  <si>
    <t>45,730.32</t>
  </si>
  <si>
    <t>404,894.25</t>
  </si>
  <si>
    <t>57,854.15</t>
  </si>
  <si>
    <t>462,748.40</t>
  </si>
  <si>
    <t>63,149.86</t>
  </si>
  <si>
    <t>525,898.26</t>
  </si>
  <si>
    <t>65,907.18</t>
  </si>
  <si>
    <t>61,284.24</t>
  </si>
  <si>
    <t>127,191.42</t>
  </si>
  <si>
    <t>653,089.68</t>
  </si>
  <si>
    <t>43,148.11</t>
  </si>
  <si>
    <t>GL Activity Balance</t>
  </si>
  <si>
    <t>SCHEDULE 7</t>
  </si>
  <si>
    <t>SCHEDULE 8</t>
  </si>
  <si>
    <t>SCHEDULE 9</t>
  </si>
  <si>
    <t>NOTE:  MISO REVENUE FROM 11/2015 AND 12/2015 WAS NOT RECEIVED BY GLENCOE UNTIL 1/2016 AND IS NOT INCLUDED HERE.</t>
  </si>
  <si>
    <t>FACILITY CREDIT RECEIVED FROM NSP</t>
  </si>
  <si>
    <t>TOTAL TARIFF/FACILITY CREDITS RECEIVED</t>
  </si>
  <si>
    <t>CONSTRUCTION WORK-IN-PROGRESS</t>
  </si>
  <si>
    <t>BY SCHEDULE:</t>
  </si>
  <si>
    <t>TOTAL 2015</t>
  </si>
  <si>
    <t>2015 TARIFF REVENUE</t>
  </si>
  <si>
    <t>DEPR EXPENSE</t>
  </si>
  <si>
    <t>GL_10: GLENCOE DETAIL OF CAPITAL ASSETS</t>
  </si>
  <si>
    <t>2014 ACCRUED (all as Schedule 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</si>
</sst>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00"/>
    <numFmt numFmtId="167" formatCode="0.0000"/>
    <numFmt numFmtId="168" formatCode="&quot;$&quot;#,##0.00"/>
    <numFmt numFmtId="169" formatCode="&quot;$&quot;#,##0"/>
    <numFmt numFmtId="170" formatCode="[$-409]mmmm\ d\,\ yyyy;@"/>
    <numFmt numFmtId="171" formatCode="#,##0.000"/>
    <numFmt numFmtId="172" formatCode="&quot;$&quot;#,##0.000"/>
    <numFmt numFmtId="173" formatCode="#,##0.00000"/>
    <numFmt numFmtId="174" formatCode="0.000%"/>
    <numFmt numFmtId="175" formatCode="#,##0.0000"/>
    <numFmt numFmtId="176" formatCode="[$-1010409]#,##0.00;\-#,##0.00"/>
    <numFmt numFmtId="177" formatCode="[$-1010409]General"/>
  </numFmts>
  <fonts count="77">
    <font>
      <sz val="10"/>
      <name val="Arial"/>
    </font>
    <font>
      <sz val="11"/>
      <color theme="1"/>
      <name val="Calibri"/>
      <family val="2"/>
      <scheme val="minor"/>
    </font>
    <font>
      <sz val="10"/>
      <name val="Arial"/>
    </font>
    <font>
      <sz val="8"/>
      <name val="Arial"/>
    </font>
    <font>
      <b/>
      <sz val="10"/>
      <name val="Arial"/>
      <family val="2"/>
    </font>
    <font>
      <sz val="10"/>
      <name val="Arial"/>
      <family val="2"/>
    </font>
    <font>
      <b/>
      <sz val="12"/>
      <name val="Arial"/>
      <family val="2"/>
    </font>
    <font>
      <sz val="8"/>
      <name val="Helv"/>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0"/>
      <name val="Arial"/>
      <family val="2"/>
    </font>
    <font>
      <sz val="12"/>
      <name val="Arial MT"/>
    </font>
    <font>
      <sz val="12"/>
      <name val="Arial"/>
      <family val="2"/>
    </font>
    <font>
      <sz val="12"/>
      <color indexed="17"/>
      <name val="Arial MT"/>
    </font>
    <font>
      <sz val="12"/>
      <color indexed="10"/>
      <name val="Arial"/>
      <family val="2"/>
    </font>
    <font>
      <sz val="11"/>
      <name val="Arial"/>
      <family val="2"/>
    </font>
    <font>
      <sz val="12"/>
      <color indexed="17"/>
      <name val="Arial"/>
      <family val="2"/>
    </font>
    <font>
      <b/>
      <sz val="12"/>
      <name val="Arial MT"/>
    </font>
    <font>
      <strike/>
      <sz val="12"/>
      <name val="Arial"/>
      <family val="2"/>
    </font>
    <font>
      <b/>
      <sz val="12"/>
      <color indexed="17"/>
      <name val="Arial MT"/>
    </font>
    <font>
      <sz val="12"/>
      <name val="Times New Roman"/>
      <family val="1"/>
    </font>
    <font>
      <sz val="16"/>
      <name val="Arial MT"/>
    </font>
    <font>
      <sz val="14"/>
      <name val="Times New Roman"/>
      <family val="1"/>
    </font>
    <font>
      <sz val="10"/>
      <name val="Arial MT"/>
    </font>
    <font>
      <sz val="14"/>
      <name val="Arial MT"/>
    </font>
    <font>
      <b/>
      <sz val="10"/>
      <color indexed="12"/>
      <name val="Arial"/>
      <family val="2"/>
    </font>
    <font>
      <sz val="12"/>
      <color indexed="12"/>
      <name val="Arial"/>
      <family val="2"/>
    </font>
    <font>
      <b/>
      <sz val="11"/>
      <name val="Arial"/>
      <family val="2"/>
    </font>
    <font>
      <sz val="10"/>
      <color indexed="12"/>
      <name val="Arial"/>
    </font>
    <font>
      <b/>
      <sz val="10"/>
      <color indexed="12"/>
      <name val="Arial"/>
    </font>
    <font>
      <b/>
      <sz val="10"/>
      <name val="Arial"/>
    </font>
    <font>
      <sz val="10"/>
      <color indexed="12"/>
      <name val="Arial"/>
      <family val="2"/>
    </font>
    <font>
      <sz val="12"/>
      <name val="Arial"/>
    </font>
    <font>
      <b/>
      <sz val="12"/>
      <color indexed="48"/>
      <name val="Times New Roman"/>
      <family val="1"/>
    </font>
    <font>
      <sz val="12"/>
      <color indexed="17"/>
      <name val="Times New Roman"/>
      <family val="1"/>
    </font>
    <font>
      <u/>
      <sz val="12"/>
      <color indexed="17"/>
      <name val="Times New Roman"/>
      <family val="1"/>
    </font>
    <font>
      <sz val="12"/>
      <color indexed="10"/>
      <name val="Times New Roman"/>
      <family val="1"/>
    </font>
    <font>
      <sz val="10"/>
      <name val="Arial"/>
    </font>
    <font>
      <b/>
      <sz val="11"/>
      <color theme="1"/>
      <name val="Calibri"/>
      <family val="2"/>
      <scheme val="minor"/>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name val="Arial"/>
      <charset val="1"/>
    </font>
    <font>
      <sz val="10"/>
      <color indexed="8"/>
      <name val="Arial"/>
      <charset val="1"/>
    </font>
    <font>
      <b/>
      <sz val="8"/>
      <color indexed="8"/>
      <name val="Arial"/>
      <charset val="1"/>
    </font>
    <font>
      <sz val="8"/>
      <color indexed="8"/>
      <name val="Arial"/>
      <charset val="1"/>
    </font>
    <font>
      <b/>
      <sz val="10"/>
      <color indexed="8"/>
      <name val="Arial"/>
      <charset val="1"/>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99"/>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double">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ck">
        <color indexed="64"/>
      </top>
      <bottom/>
      <diagonal/>
    </border>
    <border>
      <left/>
      <right/>
      <top style="thin">
        <color indexed="64"/>
      </top>
      <bottom style="double">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style="medium">
        <color indexed="64"/>
      </bottom>
      <diagonal/>
    </border>
    <border>
      <left/>
      <right style="thin">
        <color rgb="FF000000"/>
      </right>
      <top style="thin">
        <color rgb="FF000000"/>
      </top>
      <bottom/>
      <diagonal/>
    </border>
    <border>
      <left style="thick">
        <color indexed="8"/>
      </left>
      <right style="thick">
        <color indexed="8"/>
      </right>
      <top style="thick">
        <color indexed="8"/>
      </top>
      <bottom style="thick">
        <color indexed="8"/>
      </bottom>
      <diagonal/>
    </border>
    <border>
      <left/>
      <right/>
      <top/>
      <bottom style="thick">
        <color indexed="8"/>
      </bottom>
      <diagonal/>
    </border>
    <border>
      <left/>
      <right/>
      <top style="thick">
        <color indexed="8"/>
      </top>
      <bottom/>
      <diagonal/>
    </border>
    <border>
      <left/>
      <right style="thin">
        <color indexed="64"/>
      </right>
      <top/>
      <bottom style="medium">
        <color indexed="64"/>
      </bottom>
      <diagonal/>
    </border>
  </borders>
  <cellStyleXfs count="119">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5" fillId="0" borderId="0"/>
    <xf numFmtId="0" fontId="9" fillId="23" borderId="7" applyNumberFormat="0" applyFont="0" applyAlignment="0" applyProtection="0"/>
    <xf numFmtId="0" fontId="22" fillId="20" borderId="8" applyNumberFormat="0" applyAlignment="0" applyProtection="0"/>
    <xf numFmtId="9" fontId="2" fillId="0" borderId="0" applyFon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56" fillId="49" borderId="0" applyNumberFormat="0" applyBorder="0" applyAlignment="0" applyProtection="0"/>
    <xf numFmtId="0" fontId="56" fillId="48" borderId="0" applyNumberFormat="0" applyBorder="0" applyAlignment="0" applyProtection="0"/>
    <xf numFmtId="0" fontId="56" fillId="47" borderId="0" applyNumberFormat="0" applyBorder="0" applyAlignment="0" applyProtection="0"/>
    <xf numFmtId="0" fontId="56" fillId="46" borderId="0" applyNumberFormat="0" applyBorder="0" applyAlignment="0" applyProtection="0"/>
    <xf numFmtId="0" fontId="56" fillId="45" borderId="0" applyNumberFormat="0" applyBorder="0" applyAlignment="0" applyProtection="0"/>
    <xf numFmtId="0" fontId="56" fillId="44" borderId="0" applyNumberFormat="0" applyBorder="0" applyAlignment="0" applyProtection="0"/>
    <xf numFmtId="0" fontId="56" fillId="43" borderId="0" applyNumberFormat="0" applyBorder="0" applyAlignment="0" applyProtection="0"/>
    <xf numFmtId="0" fontId="56" fillId="42" borderId="0" applyNumberFormat="0" applyBorder="0" applyAlignment="0" applyProtection="0"/>
    <xf numFmtId="0" fontId="56" fillId="41"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5" borderId="0" applyNumberFormat="0" applyBorder="0" applyAlignment="0" applyProtection="0"/>
    <xf numFmtId="0" fontId="55" fillId="34" borderId="0" applyNumberFormat="0" applyBorder="0" applyAlignment="0" applyProtection="0"/>
    <xf numFmtId="0" fontId="55" fillId="33" borderId="0" applyNumberFormat="0" applyBorder="0" applyAlignment="0" applyProtection="0"/>
    <xf numFmtId="0" fontId="55" fillId="32" borderId="0" applyNumberFormat="0" applyBorder="0" applyAlignment="0" applyProtection="0"/>
    <xf numFmtId="0" fontId="55" fillId="31" borderId="0" applyNumberFormat="0" applyBorder="0" applyAlignment="0" applyProtection="0"/>
    <xf numFmtId="0" fontId="55" fillId="30" borderId="0" applyNumberFormat="0" applyBorder="0" applyAlignment="0" applyProtection="0"/>
    <xf numFmtId="0" fontId="55" fillId="29" borderId="0" applyNumberFormat="0" applyBorder="0" applyAlignment="0" applyProtection="0"/>
    <xf numFmtId="0" fontId="55" fillId="28" borderId="0" applyNumberFormat="0" applyBorder="0" applyAlignment="0" applyProtection="0"/>
    <xf numFmtId="0" fontId="55" fillId="27" borderId="0" applyNumberFormat="0" applyBorder="0" applyAlignment="0" applyProtection="0"/>
    <xf numFmtId="0" fontId="56" fillId="50" borderId="0" applyNumberFormat="0" applyBorder="0" applyAlignment="0" applyProtection="0"/>
    <xf numFmtId="0" fontId="57" fillId="51" borderId="0" applyNumberFormat="0" applyBorder="0" applyAlignment="0" applyProtection="0"/>
    <xf numFmtId="0" fontId="58" fillId="52" borderId="44" applyNumberFormat="0" applyAlignment="0" applyProtection="0"/>
    <xf numFmtId="0" fontId="59" fillId="53" borderId="45" applyNumberFormat="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0" fontId="60" fillId="0" borderId="0" applyNumberFormat="0" applyFill="0" applyBorder="0" applyAlignment="0" applyProtection="0"/>
    <xf numFmtId="0" fontId="61" fillId="54" borderId="0" applyNumberFormat="0" applyBorder="0" applyAlignment="0" applyProtection="0"/>
    <xf numFmtId="0" fontId="62" fillId="0" borderId="46" applyNumberFormat="0" applyFill="0" applyAlignment="0" applyProtection="0"/>
    <xf numFmtId="0" fontId="63" fillId="0" borderId="47" applyNumberFormat="0" applyFill="0" applyAlignment="0" applyProtection="0"/>
    <xf numFmtId="0" fontId="64" fillId="0" borderId="48" applyNumberFormat="0" applyFill="0" applyAlignment="0" applyProtection="0"/>
    <xf numFmtId="0" fontId="64" fillId="0" borderId="0" applyNumberFormat="0" applyFill="0" applyBorder="0" applyAlignment="0" applyProtection="0"/>
    <xf numFmtId="0" fontId="65" fillId="55" borderId="44" applyNumberFormat="0" applyAlignment="0" applyProtection="0"/>
    <xf numFmtId="0" fontId="66" fillId="0" borderId="49" applyNumberFormat="0" applyFill="0" applyAlignment="0" applyProtection="0"/>
    <xf numFmtId="0" fontId="67" fillId="56" borderId="0" applyNumberFormat="0" applyBorder="0" applyAlignment="0" applyProtection="0"/>
    <xf numFmtId="168" fontId="27" fillId="0" borderId="0" applyProtection="0"/>
    <xf numFmtId="0" fontId="55" fillId="0" borderId="0"/>
    <xf numFmtId="0" fontId="55" fillId="57" borderId="50" applyNumberFormat="0" applyFont="0" applyAlignment="0" applyProtection="0"/>
    <xf numFmtId="0" fontId="68" fillId="52" borderId="51" applyNumberFormat="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69" fillId="0" borderId="0" applyNumberFormat="0" applyFill="0" applyBorder="0" applyAlignment="0" applyProtection="0"/>
    <xf numFmtId="0" fontId="70" fillId="0" borderId="52" applyNumberFormat="0" applyFill="0" applyAlignment="0" applyProtection="0"/>
    <xf numFmtId="0" fontId="71" fillId="0" borderId="0" applyNumberForma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 fillId="0" borderId="0"/>
    <xf numFmtId="44" fontId="1" fillId="0" borderId="0" applyFont="0" applyFill="0" applyBorder="0" applyAlignment="0" applyProtection="0"/>
    <xf numFmtId="0" fontId="72" fillId="0" borderId="0">
      <alignment wrapText="1"/>
    </xf>
    <xf numFmtId="43" fontId="72" fillId="0" borderId="0" applyFont="0" applyFill="0" applyBorder="0" applyAlignment="0" applyProtection="0">
      <alignment wrapText="1"/>
    </xf>
  </cellStyleXfs>
  <cellXfs count="549">
    <xf numFmtId="0" fontId="0" fillId="0" borderId="0" xfId="0"/>
    <xf numFmtId="0" fontId="0" fillId="0" borderId="0" xfId="0" applyBorder="1" applyAlignment="1">
      <alignment vertical="center"/>
    </xf>
    <xf numFmtId="0" fontId="4" fillId="0" borderId="10" xfId="0" applyFont="1" applyBorder="1" applyAlignment="1">
      <alignment horizontal="left" vertical="center" indent="1"/>
    </xf>
    <xf numFmtId="0" fontId="0" fillId="0" borderId="10" xfId="0" applyBorder="1" applyAlignment="1">
      <alignment horizontal="left" vertical="center" indent="2"/>
    </xf>
    <xf numFmtId="164" fontId="2" fillId="0" borderId="10" xfId="29" applyNumberFormat="1" applyBorder="1" applyAlignment="1">
      <alignment vertical="center"/>
    </xf>
    <xf numFmtId="0" fontId="0" fillId="0" borderId="0" xfId="0" applyAlignment="1">
      <alignment vertical="center"/>
    </xf>
    <xf numFmtId="0" fontId="4" fillId="0" borderId="10" xfId="0" applyFont="1" applyBorder="1" applyAlignment="1">
      <alignment horizontal="left" vertical="center" indent="2"/>
    </xf>
    <xf numFmtId="164" fontId="2" fillId="0" borderId="0" xfId="29" applyNumberFormat="1" applyAlignment="1">
      <alignment vertical="center"/>
    </xf>
    <xf numFmtId="0" fontId="4" fillId="0" borderId="0" xfId="0" applyFont="1" applyBorder="1" applyAlignment="1">
      <alignment horizontal="left" vertical="center" indent="1"/>
    </xf>
    <xf numFmtId="0" fontId="0" fillId="0" borderId="0" xfId="0" applyBorder="1" applyAlignment="1">
      <alignment vertical="center" wrapText="1"/>
    </xf>
    <xf numFmtId="164" fontId="2" fillId="0" borderId="0" xfId="29" applyNumberFormat="1" applyBorder="1" applyAlignment="1">
      <alignment vertical="center"/>
    </xf>
    <xf numFmtId="164" fontId="5" fillId="0" borderId="10" xfId="29" applyNumberFormat="1" applyFont="1" applyBorder="1" applyAlignment="1">
      <alignment vertical="center"/>
    </xf>
    <xf numFmtId="10" fontId="2" fillId="0" borderId="0" xfId="43" applyNumberFormat="1" applyAlignment="1">
      <alignment vertical="center"/>
    </xf>
    <xf numFmtId="0" fontId="6" fillId="0" borderId="0" xfId="0" applyFont="1" applyBorder="1" applyAlignment="1">
      <alignment vertical="center"/>
    </xf>
    <xf numFmtId="0" fontId="0" fillId="0" borderId="0" xfId="0" applyBorder="1"/>
    <xf numFmtId="164" fontId="5" fillId="0" borderId="0" xfId="29" applyNumberFormat="1" applyFont="1" applyBorder="1" applyAlignment="1">
      <alignment vertical="center"/>
    </xf>
    <xf numFmtId="0" fontId="0" fillId="0" borderId="19" xfId="0" applyBorder="1" applyAlignment="1">
      <alignment vertical="center"/>
    </xf>
    <xf numFmtId="0" fontId="0" fillId="0" borderId="12" xfId="0" applyBorder="1" applyAlignment="1">
      <alignment vertical="center"/>
    </xf>
    <xf numFmtId="164" fontId="2" fillId="0" borderId="12" xfId="29" applyNumberFormat="1" applyBorder="1" applyAlignment="1">
      <alignment vertical="center"/>
    </xf>
    <xf numFmtId="164" fontId="2" fillId="0" borderId="13" xfId="29" applyNumberFormat="1" applyBorder="1" applyAlignment="1">
      <alignment vertical="center"/>
    </xf>
    <xf numFmtId="0" fontId="0" fillId="0" borderId="14" xfId="0" applyBorder="1" applyAlignment="1">
      <alignment vertical="center"/>
    </xf>
    <xf numFmtId="164" fontId="2" fillId="0" borderId="15" xfId="29" applyNumberFormat="1" applyBorder="1" applyAlignment="1">
      <alignment vertical="center"/>
    </xf>
    <xf numFmtId="164" fontId="5" fillId="0" borderId="15" xfId="29" applyNumberFormat="1"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164" fontId="2" fillId="0" borderId="17" xfId="29" applyNumberFormat="1" applyBorder="1" applyAlignment="1">
      <alignment vertical="center"/>
    </xf>
    <xf numFmtId="164" fontId="2" fillId="0" borderId="18" xfId="29" applyNumberFormat="1" applyBorder="1" applyAlignment="1">
      <alignment vertical="center"/>
    </xf>
    <xf numFmtId="0" fontId="0" fillId="0" borderId="0" xfId="0" applyAlignment="1">
      <alignment horizontal="center"/>
    </xf>
    <xf numFmtId="0" fontId="0" fillId="0" borderId="0" xfId="0" applyAlignment="1">
      <alignment horizontal="left"/>
    </xf>
    <xf numFmtId="0" fontId="0" fillId="0" borderId="17" xfId="0" applyBorder="1" applyAlignment="1">
      <alignment horizontal="center"/>
    </xf>
    <xf numFmtId="0" fontId="0" fillId="0" borderId="0" xfId="0" applyNumberFormat="1"/>
    <xf numFmtId="0" fontId="0" fillId="0" borderId="0" xfId="0"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left" vertical="center"/>
    </xf>
    <xf numFmtId="0" fontId="26" fillId="0" borderId="0" xfId="0" applyFont="1"/>
    <xf numFmtId="0" fontId="4" fillId="0" borderId="0" xfId="0" applyFont="1"/>
    <xf numFmtId="0" fontId="4" fillId="0" borderId="0" xfId="0" applyFont="1" applyAlignment="1">
      <alignment horizontal="center"/>
    </xf>
    <xf numFmtId="0" fontId="0" fillId="0" borderId="0" xfId="0" applyAlignment="1"/>
    <xf numFmtId="0" fontId="27" fillId="0" borderId="0" xfId="0" applyNumberFormat="1" applyFont="1"/>
    <xf numFmtId="0" fontId="27" fillId="0" borderId="0" xfId="0" applyFont="1" applyAlignment="1"/>
    <xf numFmtId="0" fontId="28" fillId="0" borderId="0" xfId="0" applyNumberFormat="1" applyFont="1" applyAlignment="1"/>
    <xf numFmtId="0" fontId="28" fillId="0" borderId="0" xfId="0" applyNumberFormat="1" applyFont="1"/>
    <xf numFmtId="0" fontId="28" fillId="0" borderId="0" xfId="0" applyNumberFormat="1" applyFont="1" applyAlignment="1">
      <alignment horizontal="right"/>
    </xf>
    <xf numFmtId="0" fontId="28" fillId="0" borderId="0" xfId="0" applyNumberFormat="1" applyFont="1" applyAlignment="1">
      <alignment horizontal="left"/>
    </xf>
    <xf numFmtId="0" fontId="28" fillId="0" borderId="0" xfId="0" applyNumberFormat="1" applyFont="1" applyAlignment="1">
      <alignment horizontal="center"/>
    </xf>
    <xf numFmtId="0" fontId="28" fillId="24" borderId="0" xfId="0" applyNumberFormat="1" applyFont="1" applyFill="1"/>
    <xf numFmtId="3" fontId="28" fillId="0" borderId="0" xfId="0" applyNumberFormat="1" applyFont="1" applyAlignment="1"/>
    <xf numFmtId="0" fontId="0" fillId="0" borderId="0" xfId="0" applyNumberFormat="1" applyAlignment="1">
      <alignment horizontal="center"/>
    </xf>
    <xf numFmtId="49" fontId="28" fillId="24" borderId="0" xfId="0" applyNumberFormat="1" applyFont="1" applyFill="1"/>
    <xf numFmtId="49" fontId="28" fillId="0" borderId="0" xfId="0" applyNumberFormat="1" applyFont="1"/>
    <xf numFmtId="0" fontId="27" fillId="0" borderId="0" xfId="0" applyFont="1" applyFill="1" applyAlignment="1"/>
    <xf numFmtId="0" fontId="0" fillId="0" borderId="17" xfId="0" applyNumberFormat="1" applyBorder="1" applyAlignment="1">
      <alignment horizontal="center"/>
    </xf>
    <xf numFmtId="0" fontId="28" fillId="0" borderId="17" xfId="0" applyNumberFormat="1" applyFont="1" applyBorder="1" applyAlignment="1">
      <alignment horizontal="center"/>
    </xf>
    <xf numFmtId="3" fontId="28" fillId="0" borderId="0" xfId="0" applyNumberFormat="1" applyFont="1"/>
    <xf numFmtId="0" fontId="28" fillId="0" borderId="17" xfId="0" applyNumberFormat="1" applyFont="1" applyBorder="1" applyAlignment="1">
      <alignment horizontal="centerContinuous"/>
    </xf>
    <xf numFmtId="166" fontId="28" fillId="0" borderId="0" xfId="0" applyNumberFormat="1" applyFont="1" applyAlignment="1"/>
    <xf numFmtId="0" fontId="0" fillId="0" borderId="0" xfId="0" applyFill="1" applyBorder="1" applyAlignment="1"/>
    <xf numFmtId="0" fontId="27" fillId="0" borderId="0" xfId="0" applyFont="1" applyFill="1" applyBorder="1" applyAlignment="1"/>
    <xf numFmtId="0" fontId="27" fillId="0" borderId="0" xfId="0" applyNumberFormat="1" applyFont="1" applyFill="1" applyBorder="1"/>
    <xf numFmtId="3" fontId="28" fillId="24" borderId="0" xfId="0" applyNumberFormat="1" applyFont="1" applyFill="1"/>
    <xf numFmtId="0" fontId="29" fillId="0" borderId="0" xfId="0" applyNumberFormat="1" applyFont="1" applyFill="1" applyBorder="1"/>
    <xf numFmtId="3" fontId="28" fillId="0" borderId="17" xfId="0" applyNumberFormat="1" applyFont="1" applyBorder="1" applyAlignment="1"/>
    <xf numFmtId="3" fontId="28" fillId="0" borderId="0" xfId="0" applyNumberFormat="1" applyFont="1" applyAlignment="1">
      <alignment horizontal="fill"/>
    </xf>
    <xf numFmtId="0" fontId="28" fillId="0" borderId="0" xfId="0" applyFont="1" applyAlignment="1"/>
    <xf numFmtId="0" fontId="30" fillId="0" borderId="0" xfId="0" applyNumberFormat="1" applyFont="1"/>
    <xf numFmtId="0" fontId="29" fillId="0" borderId="0" xfId="0" applyFont="1" applyFill="1" applyBorder="1" applyAlignment="1"/>
    <xf numFmtId="3" fontId="28" fillId="0" borderId="0" xfId="0" applyNumberFormat="1" applyFont="1" applyFill="1" applyBorder="1"/>
    <xf numFmtId="3" fontId="28" fillId="24" borderId="0" xfId="0" applyNumberFormat="1" applyFont="1" applyFill="1" applyBorder="1"/>
    <xf numFmtId="3" fontId="28" fillId="24" borderId="17" xfId="0" applyNumberFormat="1" applyFont="1" applyFill="1" applyBorder="1"/>
    <xf numFmtId="171" fontId="28" fillId="0" borderId="0" xfId="0" applyNumberFormat="1" applyFont="1"/>
    <xf numFmtId="171" fontId="28" fillId="0" borderId="0" xfId="0" applyNumberFormat="1" applyFont="1" applyAlignment="1">
      <alignment horizontal="center"/>
    </xf>
    <xf numFmtId="0" fontId="28" fillId="0" borderId="0" xfId="0" applyFont="1" applyAlignment="1">
      <alignment horizontal="center"/>
    </xf>
    <xf numFmtId="172" fontId="28" fillId="0" borderId="0" xfId="0" applyNumberFormat="1" applyFont="1" applyAlignment="1"/>
    <xf numFmtId="172" fontId="28" fillId="24" borderId="0" xfId="0" applyNumberFormat="1" applyFont="1" applyFill="1" applyProtection="1">
      <protection locked="0"/>
    </xf>
    <xf numFmtId="172" fontId="28" fillId="0" borderId="0" xfId="0" applyNumberFormat="1" applyFont="1" applyProtection="1">
      <protection locked="0"/>
    </xf>
    <xf numFmtId="0" fontId="28" fillId="0" borderId="0" xfId="0" applyNumberFormat="1" applyFont="1" applyProtection="1">
      <protection locked="0"/>
    </xf>
    <xf numFmtId="167" fontId="28" fillId="0" borderId="0" xfId="0" applyNumberFormat="1" applyFont="1"/>
    <xf numFmtId="0" fontId="27" fillId="0" borderId="0" xfId="0" applyNumberFormat="1" applyFont="1" applyAlignment="1"/>
    <xf numFmtId="0" fontId="27" fillId="0" borderId="0" xfId="0" applyNumberFormat="1" applyFont="1" applyFill="1" applyBorder="1" applyAlignment="1"/>
    <xf numFmtId="3" fontId="27" fillId="0" borderId="0" xfId="0" applyNumberFormat="1" applyFont="1" applyAlignment="1"/>
    <xf numFmtId="3" fontId="27" fillId="0" borderId="0" xfId="0" applyNumberFormat="1" applyFont="1" applyFill="1" applyBorder="1" applyAlignment="1"/>
    <xf numFmtId="49" fontId="28" fillId="0" borderId="0" xfId="0" applyNumberFormat="1" applyFont="1" applyAlignment="1">
      <alignment horizontal="left"/>
    </xf>
    <xf numFmtId="49" fontId="28" fillId="0" borderId="0" xfId="0" applyNumberFormat="1" applyFont="1" applyAlignment="1">
      <alignment horizontal="center"/>
    </xf>
    <xf numFmtId="0" fontId="27" fillId="0" borderId="0" xfId="0" applyNumberFormat="1" applyFont="1" applyFill="1" applyBorder="1" applyAlignment="1">
      <alignment horizontal="center"/>
    </xf>
    <xf numFmtId="3" fontId="6" fillId="0" borderId="0" xfId="0" applyNumberFormat="1" applyFont="1" applyAlignment="1">
      <alignment horizontal="center"/>
    </xf>
    <xf numFmtId="0" fontId="6" fillId="0" borderId="0" xfId="0" applyNumberFormat="1" applyFont="1" applyAlignment="1">
      <alignment horizontal="center"/>
    </xf>
    <xf numFmtId="0" fontId="6" fillId="0" borderId="0" xfId="0" applyFont="1" applyAlignment="1">
      <alignment horizontal="center"/>
    </xf>
    <xf numFmtId="3" fontId="6" fillId="0" borderId="0" xfId="0" applyNumberFormat="1" applyFont="1" applyAlignment="1"/>
    <xf numFmtId="0" fontId="31" fillId="0" borderId="0" xfId="0" applyNumberFormat="1" applyFont="1" applyAlignment="1">
      <alignment horizontal="center"/>
    </xf>
    <xf numFmtId="0" fontId="6" fillId="0" borderId="0" xfId="0" applyNumberFormat="1" applyFont="1" applyAlignment="1"/>
    <xf numFmtId="3" fontId="28" fillId="24" borderId="0" xfId="0" applyNumberFormat="1" applyFont="1" applyFill="1" applyBorder="1" applyAlignment="1"/>
    <xf numFmtId="173" fontId="28" fillId="0" borderId="0" xfId="0" applyNumberFormat="1" applyFont="1" applyAlignment="1"/>
    <xf numFmtId="3" fontId="28" fillId="24" borderId="17" xfId="0" applyNumberFormat="1" applyFont="1" applyFill="1" applyBorder="1" applyAlignment="1"/>
    <xf numFmtId="174" fontId="28" fillId="0" borderId="0" xfId="0" applyNumberFormat="1" applyFont="1" applyAlignment="1">
      <alignment horizontal="center"/>
    </xf>
    <xf numFmtId="3" fontId="28" fillId="24" borderId="0" xfId="0" applyNumberFormat="1" applyFont="1" applyFill="1" applyAlignment="1"/>
    <xf numFmtId="0" fontId="27" fillId="0" borderId="0" xfId="0" applyNumberFormat="1" applyFont="1" applyFill="1" applyBorder="1" applyAlignment="1">
      <alignment horizontal="fill"/>
    </xf>
    <xf numFmtId="3" fontId="27" fillId="0" borderId="0" xfId="0" applyNumberFormat="1" applyFont="1" applyFill="1" applyBorder="1" applyAlignment="1">
      <alignment horizontal="fill"/>
    </xf>
    <xf numFmtId="173" fontId="28" fillId="0" borderId="0" xfId="0" applyNumberFormat="1" applyFont="1" applyAlignment="1">
      <alignment horizontal="right"/>
    </xf>
    <xf numFmtId="174" fontId="27" fillId="0" borderId="0" xfId="0" applyNumberFormat="1" applyFont="1" applyFill="1" applyBorder="1" applyAlignment="1">
      <alignment horizontal="center"/>
    </xf>
    <xf numFmtId="3" fontId="27" fillId="0" borderId="0" xfId="0" applyNumberFormat="1" applyFont="1" applyFill="1" applyBorder="1" applyAlignment="1">
      <alignment horizontal="center"/>
    </xf>
    <xf numFmtId="0" fontId="27" fillId="0" borderId="0" xfId="0" applyNumberFormat="1" applyFont="1" applyFill="1" applyBorder="1" applyAlignment="1">
      <alignment horizontal="left"/>
    </xf>
    <xf numFmtId="0" fontId="32" fillId="0" borderId="0" xfId="0" applyFont="1" applyAlignment="1"/>
    <xf numFmtId="0" fontId="0" fillId="0" borderId="17" xfId="0" applyBorder="1" applyAlignment="1"/>
    <xf numFmtId="3" fontId="28" fillId="0" borderId="20" xfId="0" applyNumberFormat="1" applyFont="1" applyBorder="1" applyAlignment="1"/>
    <xf numFmtId="0" fontId="28" fillId="0" borderId="0" xfId="0" applyNumberFormat="1" applyFont="1" applyFill="1" applyBorder="1" applyAlignment="1">
      <alignment horizontal="center"/>
    </xf>
    <xf numFmtId="0" fontId="33" fillId="0" borderId="0" xfId="0" applyNumberFormat="1" applyFont="1" applyAlignment="1">
      <alignment horizontal="center"/>
    </xf>
    <xf numFmtId="0" fontId="6" fillId="0" borderId="0" xfId="0" applyNumberFormat="1" applyFont="1"/>
    <xf numFmtId="0" fontId="6" fillId="0" borderId="0" xfId="0" applyNumberFormat="1" applyFont="1" applyFill="1" applyBorder="1" applyAlignment="1">
      <alignment horizontal="center"/>
    </xf>
    <xf numFmtId="3" fontId="27" fillId="0" borderId="0" xfId="0" applyNumberFormat="1" applyFont="1" applyFill="1" applyBorder="1" applyAlignment="1">
      <alignment horizontal="left"/>
    </xf>
    <xf numFmtId="166" fontId="28" fillId="0" borderId="0" xfId="0" applyNumberFormat="1" applyFont="1" applyAlignment="1">
      <alignment horizontal="right"/>
    </xf>
    <xf numFmtId="10" fontId="28" fillId="0" borderId="0" xfId="0" applyNumberFormat="1" applyFont="1" applyAlignment="1">
      <alignment horizontal="left"/>
    </xf>
    <xf numFmtId="166" fontId="28" fillId="0" borderId="0" xfId="0" applyNumberFormat="1" applyFont="1" applyAlignment="1">
      <alignment horizontal="center"/>
    </xf>
    <xf numFmtId="174" fontId="28" fillId="0" borderId="0" xfId="0" applyNumberFormat="1" applyFont="1" applyAlignment="1">
      <alignment horizontal="left"/>
    </xf>
    <xf numFmtId="10" fontId="28" fillId="0" borderId="0" xfId="0" applyNumberFormat="1" applyFont="1" applyFill="1" applyAlignment="1">
      <alignment horizontal="right"/>
    </xf>
    <xf numFmtId="167" fontId="28" fillId="0" borderId="0" xfId="0" applyNumberFormat="1" applyFont="1" applyFill="1" applyAlignment="1">
      <alignment horizontal="right"/>
    </xf>
    <xf numFmtId="3" fontId="28" fillId="0" borderId="0" xfId="0" applyNumberFormat="1" applyFont="1" applyFill="1" applyAlignment="1">
      <alignment horizontal="right"/>
    </xf>
    <xf numFmtId="175" fontId="28" fillId="0" borderId="0" xfId="0" applyNumberFormat="1" applyFont="1" applyAlignment="1"/>
    <xf numFmtId="0" fontId="35" fillId="0" borderId="0" xfId="0" applyNumberFormat="1" applyFont="1" applyFill="1" applyBorder="1"/>
    <xf numFmtId="0" fontId="28" fillId="0" borderId="17" xfId="0" applyNumberFormat="1" applyFont="1" applyBorder="1"/>
    <xf numFmtId="3" fontId="28" fillId="0" borderId="0" xfId="0" applyNumberFormat="1" applyFont="1" applyAlignment="1">
      <alignment horizontal="center"/>
    </xf>
    <xf numFmtId="49" fontId="28" fillId="0" borderId="0" xfId="0" applyNumberFormat="1" applyFont="1" applyAlignment="1"/>
    <xf numFmtId="0" fontId="29" fillId="0" borderId="0" xfId="0" applyNumberFormat="1" applyFont="1" applyFill="1" applyBorder="1" applyAlignment="1"/>
    <xf numFmtId="169" fontId="27" fillId="0" borderId="0" xfId="0" applyNumberFormat="1" applyFont="1" applyFill="1" applyBorder="1" applyAlignment="1"/>
    <xf numFmtId="3" fontId="28" fillId="0" borderId="17" xfId="0" applyNumberFormat="1" applyFont="1" applyBorder="1" applyAlignment="1">
      <alignment horizontal="center"/>
    </xf>
    <xf numFmtId="4" fontId="28" fillId="0" borderId="0" xfId="0" applyNumberFormat="1" applyFont="1" applyAlignment="1"/>
    <xf numFmtId="0" fontId="28" fillId="0" borderId="17" xfId="0" applyNumberFormat="1" applyFont="1" applyBorder="1" applyAlignment="1"/>
    <xf numFmtId="169" fontId="28" fillId="24" borderId="0" xfId="0" applyNumberFormat="1" applyFont="1" applyFill="1" applyAlignment="1"/>
    <xf numFmtId="9" fontId="28" fillId="0" borderId="0" xfId="0" applyNumberFormat="1" applyFont="1" applyAlignment="1"/>
    <xf numFmtId="167" fontId="28" fillId="0" borderId="0" xfId="0" applyNumberFormat="1" applyFont="1" applyAlignment="1"/>
    <xf numFmtId="10" fontId="28" fillId="0" borderId="0" xfId="0" applyNumberFormat="1" applyFont="1" applyAlignment="1"/>
    <xf numFmtId="3" fontId="28" fillId="0" borderId="0" xfId="0" quotePrefix="1" applyNumberFormat="1" applyFont="1" applyAlignment="1"/>
    <xf numFmtId="10" fontId="28" fillId="0" borderId="0" xfId="43" applyNumberFormat="1" applyFont="1" applyAlignment="1"/>
    <xf numFmtId="167" fontId="28" fillId="0" borderId="17" xfId="0" applyNumberFormat="1" applyFont="1" applyBorder="1" applyAlignment="1"/>
    <xf numFmtId="10" fontId="28" fillId="24" borderId="0" xfId="0" applyNumberFormat="1" applyFont="1" applyFill="1" applyAlignment="1"/>
    <xf numFmtId="3" fontId="28" fillId="0" borderId="0" xfId="0" applyNumberFormat="1" applyFont="1" applyFill="1" applyBorder="1" applyAlignment="1">
      <alignment horizontal="center"/>
    </xf>
    <xf numFmtId="0" fontId="28" fillId="0" borderId="0" xfId="0" applyNumberFormat="1" applyFont="1" applyFill="1" applyBorder="1" applyAlignment="1"/>
    <xf numFmtId="0" fontId="30" fillId="0" borderId="0" xfId="0" applyFont="1" applyAlignment="1"/>
    <xf numFmtId="0" fontId="0" fillId="0" borderId="0" xfId="0" applyFill="1" applyAlignment="1" applyProtection="1"/>
    <xf numFmtId="3" fontId="0" fillId="24" borderId="0" xfId="0" applyNumberFormat="1" applyFill="1" applyAlignment="1"/>
    <xf numFmtId="0" fontId="28" fillId="0" borderId="17" xfId="0" applyFont="1" applyBorder="1" applyAlignment="1"/>
    <xf numFmtId="3" fontId="0" fillId="24" borderId="17" xfId="0" applyNumberFormat="1" applyFill="1" applyBorder="1" applyAlignment="1"/>
    <xf numFmtId="169" fontId="28" fillId="0" borderId="0" xfId="0" applyNumberFormat="1" applyFont="1" applyFill="1" applyBorder="1" applyProtection="1"/>
    <xf numFmtId="172" fontId="28" fillId="0" borderId="0" xfId="0" applyNumberFormat="1" applyFont="1"/>
    <xf numFmtId="169" fontId="28" fillId="24" borderId="0" xfId="0" applyNumberFormat="1" applyFont="1" applyFill="1" applyBorder="1" applyProtection="1"/>
    <xf numFmtId="3" fontId="32" fillId="0" borderId="0" xfId="0" applyNumberFormat="1" applyFont="1" applyFill="1" applyBorder="1" applyAlignment="1">
      <alignment horizontal="left"/>
    </xf>
    <xf numFmtId="169" fontId="28" fillId="24" borderId="0" xfId="0" applyNumberFormat="1" applyFont="1" applyFill="1" applyBorder="1" applyAlignment="1" applyProtection="1">
      <protection locked="0"/>
    </xf>
    <xf numFmtId="169" fontId="28" fillId="24" borderId="17" xfId="0" applyNumberFormat="1" applyFont="1" applyFill="1" applyBorder="1" applyAlignment="1" applyProtection="1">
      <protection locked="0"/>
    </xf>
    <xf numFmtId="169" fontId="28" fillId="0" borderId="0" xfId="0" applyNumberFormat="1" applyFont="1" applyFill="1" applyBorder="1" applyAlignment="1" applyProtection="1"/>
    <xf numFmtId="0" fontId="36" fillId="0" borderId="0" xfId="0" applyNumberFormat="1" applyFont="1" applyFill="1" applyBorder="1" applyAlignment="1">
      <alignment horizontal="center"/>
    </xf>
    <xf numFmtId="0" fontId="37" fillId="0" borderId="0" xfId="0" applyNumberFormat="1" applyFont="1"/>
    <xf numFmtId="0" fontId="38" fillId="0" borderId="0" xfId="0" applyNumberFormat="1" applyFont="1" applyFill="1" applyBorder="1" applyAlignment="1">
      <alignment horizontal="center"/>
    </xf>
    <xf numFmtId="0" fontId="27" fillId="0" borderId="0" xfId="0" quotePrefix="1" applyNumberFormat="1" applyFont="1" applyFill="1" applyBorder="1"/>
    <xf numFmtId="0" fontId="32" fillId="0" borderId="0" xfId="0" applyNumberFormat="1" applyFont="1" applyFill="1" applyBorder="1" applyAlignment="1">
      <alignment horizontal="left"/>
    </xf>
    <xf numFmtId="0" fontId="39" fillId="0" borderId="0" xfId="0" applyNumberFormat="1" applyFont="1" applyFill="1" applyBorder="1"/>
    <xf numFmtId="0" fontId="39" fillId="0" borderId="0" xfId="0" applyFont="1" applyFill="1" applyBorder="1" applyAlignment="1"/>
    <xf numFmtId="3" fontId="38" fillId="0" borderId="0" xfId="0" applyNumberFormat="1" applyFont="1" applyFill="1" applyBorder="1" applyAlignment="1">
      <alignment horizontal="center"/>
    </xf>
    <xf numFmtId="0" fontId="40" fillId="0" borderId="0" xfId="0" applyNumberFormat="1" applyFont="1"/>
    <xf numFmtId="0" fontId="40" fillId="0" borderId="0" xfId="0" applyNumberFormat="1" applyFont="1" applyAlignment="1">
      <alignment horizontal="center"/>
    </xf>
    <xf numFmtId="0" fontId="39" fillId="0" borderId="0" xfId="0" applyNumberFormat="1" applyFont="1"/>
    <xf numFmtId="0" fontId="39" fillId="0" borderId="0" xfId="0" applyFont="1" applyAlignment="1"/>
    <xf numFmtId="1" fontId="0" fillId="0" borderId="0" xfId="0" applyNumberFormat="1"/>
    <xf numFmtId="44" fontId="0" fillId="0" borderId="0" xfId="29" applyFont="1"/>
    <xf numFmtId="37" fontId="4" fillId="0" borderId="22" xfId="0" applyNumberFormat="1" applyFont="1" applyFill="1" applyBorder="1"/>
    <xf numFmtId="0" fontId="0" fillId="0" borderId="23" xfId="0" applyBorder="1" applyAlignment="1">
      <alignment horizontal="center"/>
    </xf>
    <xf numFmtId="0" fontId="0" fillId="0" borderId="23" xfId="0" applyBorder="1"/>
    <xf numFmtId="0" fontId="0" fillId="0" borderId="24" xfId="0" applyBorder="1" applyAlignment="1">
      <alignment horizontal="center"/>
    </xf>
    <xf numFmtId="0" fontId="4" fillId="0" borderId="25" xfId="0" applyFont="1" applyBorder="1" applyAlignment="1">
      <alignment horizontal="center"/>
    </xf>
    <xf numFmtId="43" fontId="0" fillId="0" borderId="26" xfId="28" applyFont="1" applyBorder="1"/>
    <xf numFmtId="0" fontId="0" fillId="0" borderId="26" xfId="0" applyBorder="1" applyAlignment="1">
      <alignment horizontal="center"/>
    </xf>
    <xf numFmtId="0" fontId="0" fillId="0" borderId="22" xfId="0" applyBorder="1"/>
    <xf numFmtId="37" fontId="0" fillId="0" borderId="22" xfId="28" applyNumberFormat="1" applyFont="1" applyBorder="1"/>
    <xf numFmtId="0" fontId="0" fillId="0" borderId="22" xfId="0" applyBorder="1" applyAlignment="1">
      <alignment horizontal="center"/>
    </xf>
    <xf numFmtId="0" fontId="0" fillId="0" borderId="21" xfId="0" applyBorder="1" applyAlignment="1">
      <alignment horizontal="center"/>
    </xf>
    <xf numFmtId="0" fontId="0" fillId="0" borderId="27" xfId="0" applyBorder="1"/>
    <xf numFmtId="0" fontId="0" fillId="0" borderId="27" xfId="0" applyBorder="1" applyAlignment="1">
      <alignment horizontal="center"/>
    </xf>
    <xf numFmtId="37" fontId="44" fillId="0" borderId="27" xfId="28" applyNumberFormat="1" applyFont="1" applyBorder="1"/>
    <xf numFmtId="0" fontId="0" fillId="0" borderId="28" xfId="0" applyBorder="1" applyAlignment="1">
      <alignment horizontal="center"/>
    </xf>
    <xf numFmtId="0" fontId="0" fillId="0" borderId="10" xfId="0" applyBorder="1"/>
    <xf numFmtId="0" fontId="0" fillId="0" borderId="10" xfId="0" applyBorder="1" applyAlignment="1">
      <alignment horizontal="center"/>
    </xf>
    <xf numFmtId="0" fontId="0" fillId="0" borderId="10" xfId="0" applyFill="1" applyBorder="1"/>
    <xf numFmtId="37" fontId="44" fillId="0" borderId="10" xfId="28" applyNumberFormat="1" applyFont="1" applyBorder="1"/>
    <xf numFmtId="0" fontId="4" fillId="0" borderId="10" xfId="0" applyFont="1" applyFill="1" applyBorder="1"/>
    <xf numFmtId="37" fontId="4" fillId="0" borderId="10" xfId="28" applyNumberFormat="1" applyFont="1" applyBorder="1"/>
    <xf numFmtId="0" fontId="0" fillId="0" borderId="10" xfId="0" applyFill="1" applyBorder="1" applyAlignment="1">
      <alignment horizontal="center"/>
    </xf>
    <xf numFmtId="0" fontId="4" fillId="0" borderId="26" xfId="0" applyFont="1" applyFill="1" applyBorder="1" applyAlignment="1">
      <alignment wrapText="1"/>
    </xf>
    <xf numFmtId="37" fontId="4" fillId="0" borderId="10" xfId="28" applyNumberFormat="1" applyFont="1" applyFill="1" applyBorder="1"/>
    <xf numFmtId="0" fontId="0" fillId="0" borderId="28" xfId="0" applyFill="1" applyBorder="1" applyAlignment="1">
      <alignment horizontal="center"/>
    </xf>
    <xf numFmtId="0" fontId="4" fillId="0" borderId="25" xfId="0" applyFont="1" applyFill="1" applyBorder="1" applyAlignment="1">
      <alignment horizontal="center"/>
    </xf>
    <xf numFmtId="0" fontId="0" fillId="0" borderId="0" xfId="0" applyFill="1" applyBorder="1" applyAlignment="1">
      <alignment horizontal="center"/>
    </xf>
    <xf numFmtId="37" fontId="2" fillId="0" borderId="27" xfId="28" applyNumberFormat="1" applyFont="1" applyBorder="1"/>
    <xf numFmtId="0" fontId="4" fillId="0" borderId="22" xfId="0" applyFont="1" applyBorder="1"/>
    <xf numFmtId="0" fontId="0" fillId="0" borderId="29" xfId="0" applyBorder="1" applyAlignment="1">
      <alignment horizontal="center"/>
    </xf>
    <xf numFmtId="37" fontId="4" fillId="0" borderId="27" xfId="28" applyNumberFormat="1" applyFont="1" applyBorder="1"/>
    <xf numFmtId="0" fontId="0" fillId="0" borderId="26" xfId="0" applyFill="1" applyBorder="1"/>
    <xf numFmtId="37" fontId="0" fillId="0" borderId="26" xfId="28" applyNumberFormat="1" applyFont="1" applyBorder="1"/>
    <xf numFmtId="0" fontId="0" fillId="0" borderId="10" xfId="0" applyBorder="1" applyAlignment="1">
      <alignment wrapText="1"/>
    </xf>
    <xf numFmtId="37" fontId="2" fillId="0" borderId="10" xfId="28" applyNumberFormat="1" applyFont="1" applyBorder="1"/>
    <xf numFmtId="0" fontId="0" fillId="0" borderId="28" xfId="0" quotePrefix="1" applyBorder="1" applyAlignment="1">
      <alignment horizontal="center"/>
    </xf>
    <xf numFmtId="0" fontId="0" fillId="0" borderId="27" xfId="0" applyFill="1" applyBorder="1"/>
    <xf numFmtId="0" fontId="0" fillId="0" borderId="22" xfId="0" applyFill="1" applyBorder="1"/>
    <xf numFmtId="0" fontId="4" fillId="0" borderId="22" xfId="0" applyFont="1" applyFill="1" applyBorder="1"/>
    <xf numFmtId="37" fontId="4" fillId="0" borderId="27" xfId="28" applyNumberFormat="1" applyFont="1" applyFill="1" applyBorder="1"/>
    <xf numFmtId="0" fontId="4" fillId="0" borderId="26" xfId="0" applyFont="1" applyBorder="1" applyAlignment="1">
      <alignment wrapText="1"/>
    </xf>
    <xf numFmtId="37" fontId="0" fillId="0" borderId="27" xfId="28" applyNumberFormat="1" applyFont="1" applyBorder="1"/>
    <xf numFmtId="0" fontId="4" fillId="0" borderId="27" xfId="0" applyFont="1" applyBorder="1"/>
    <xf numFmtId="0" fontId="4" fillId="0" borderId="22" xfId="0" applyFont="1" applyBorder="1" applyAlignment="1">
      <alignment wrapText="1"/>
    </xf>
    <xf numFmtId="0" fontId="0" fillId="0" borderId="22" xfId="0" applyFill="1" applyBorder="1" applyAlignment="1">
      <alignment horizontal="center"/>
    </xf>
    <xf numFmtId="0" fontId="0" fillId="0" borderId="21" xfId="0" applyFill="1" applyBorder="1" applyAlignment="1">
      <alignment horizontal="center"/>
    </xf>
    <xf numFmtId="0" fontId="0" fillId="0" borderId="27" xfId="0" quotePrefix="1" applyBorder="1"/>
    <xf numFmtId="0" fontId="0" fillId="0" borderId="21" xfId="0" applyBorder="1"/>
    <xf numFmtId="0" fontId="4" fillId="0" borderId="10" xfId="0" applyFont="1" applyBorder="1"/>
    <xf numFmtId="0" fontId="4" fillId="0" borderId="11" xfId="0" applyFont="1" applyBorder="1" applyAlignment="1">
      <alignment wrapText="1"/>
    </xf>
    <xf numFmtId="37" fontId="4" fillId="0" borderId="11" xfId="28" applyNumberFormat="1" applyFont="1" applyBorder="1"/>
    <xf numFmtId="0" fontId="0" fillId="0" borderId="11" xfId="0" applyBorder="1" applyAlignment="1">
      <alignment horizontal="center"/>
    </xf>
    <xf numFmtId="0" fontId="4" fillId="0" borderId="11" xfId="0" applyFont="1" applyBorder="1"/>
    <xf numFmtId="37" fontId="0" fillId="0" borderId="0" xfId="28" applyNumberFormat="1" applyFont="1" applyBorder="1"/>
    <xf numFmtId="43" fontId="0" fillId="0" borderId="0" xfId="28" applyFont="1" applyBorder="1"/>
    <xf numFmtId="0" fontId="5" fillId="0" borderId="0" xfId="0" applyFont="1" applyFill="1" applyBorder="1"/>
    <xf numFmtId="37" fontId="0" fillId="0" borderId="0" xfId="0" applyNumberFormat="1" applyBorder="1"/>
    <xf numFmtId="14" fontId="28" fillId="0" borderId="0" xfId="0" applyNumberFormat="1" applyFont="1" applyAlignment="1">
      <alignment horizontal="center"/>
    </xf>
    <xf numFmtId="0" fontId="0" fillId="0" borderId="30" xfId="0" applyBorder="1" applyAlignment="1">
      <alignment horizontal="center"/>
    </xf>
    <xf numFmtId="37" fontId="41" fillId="0" borderId="10" xfId="0" applyNumberFormat="1" applyFont="1" applyBorder="1"/>
    <xf numFmtId="37" fontId="44" fillId="0" borderId="10" xfId="0" applyNumberFormat="1" applyFont="1" applyBorder="1"/>
    <xf numFmtId="37" fontId="4" fillId="0" borderId="10" xfId="0" applyNumberFormat="1" applyFont="1" applyBorder="1"/>
    <xf numFmtId="37" fontId="0" fillId="0" borderId="10" xfId="0" applyNumberFormat="1" applyBorder="1"/>
    <xf numFmtId="37" fontId="45" fillId="0" borderId="10" xfId="0" applyNumberFormat="1" applyFont="1" applyBorder="1"/>
    <xf numFmtId="165" fontId="0" fillId="0" borderId="0" xfId="28" applyNumberFormat="1" applyFont="1"/>
    <xf numFmtId="37" fontId="46" fillId="0" borderId="10" xfId="0" applyNumberFormat="1" applyFont="1" applyBorder="1"/>
    <xf numFmtId="37" fontId="4" fillId="0" borderId="10" xfId="0" applyNumberFormat="1" applyFont="1" applyFill="1" applyBorder="1"/>
    <xf numFmtId="0" fontId="4" fillId="0" borderId="10" xfId="0" applyFont="1" applyBorder="1" applyAlignment="1">
      <alignment wrapText="1"/>
    </xf>
    <xf numFmtId="37" fontId="0" fillId="0" borderId="0" xfId="0" applyNumberFormat="1"/>
    <xf numFmtId="14" fontId="28" fillId="0" borderId="0" xfId="0" applyNumberFormat="1" applyFont="1" applyAlignment="1"/>
    <xf numFmtId="0" fontId="0" fillId="0" borderId="31" xfId="0" applyBorder="1" applyAlignment="1">
      <alignment horizontal="center"/>
    </xf>
    <xf numFmtId="0" fontId="0" fillId="0" borderId="26" xfId="0" applyBorder="1"/>
    <xf numFmtId="164" fontId="0" fillId="0" borderId="22" xfId="0" applyNumberFormat="1" applyBorder="1"/>
    <xf numFmtId="164" fontId="0" fillId="0" borderId="27" xfId="0" applyNumberFormat="1" applyBorder="1"/>
    <xf numFmtId="0" fontId="0" fillId="0" borderId="32" xfId="0" applyBorder="1"/>
    <xf numFmtId="0" fontId="0" fillId="0" borderId="30" xfId="0" applyBorder="1"/>
    <xf numFmtId="0" fontId="0" fillId="0" borderId="33" xfId="0" applyBorder="1"/>
    <xf numFmtId="0" fontId="0" fillId="0" borderId="34" xfId="0" applyBorder="1"/>
    <xf numFmtId="0" fontId="0" fillId="0" borderId="24" xfId="0" applyBorder="1"/>
    <xf numFmtId="0" fontId="0" fillId="0" borderId="27" xfId="0" applyBorder="1" applyAlignment="1">
      <alignment wrapText="1" readingOrder="1"/>
    </xf>
    <xf numFmtId="37" fontId="0" fillId="0" borderId="35" xfId="0" applyNumberFormat="1" applyBorder="1"/>
    <xf numFmtId="37" fontId="0" fillId="0" borderId="23" xfId="0" applyNumberFormat="1" applyBorder="1"/>
    <xf numFmtId="37" fontId="44" fillId="0" borderId="36" xfId="0" applyNumberFormat="1" applyFont="1" applyBorder="1"/>
    <xf numFmtId="37" fontId="44" fillId="0" borderId="24" xfId="0" applyNumberFormat="1" applyFont="1" applyBorder="1"/>
    <xf numFmtId="37" fontId="0" fillId="0" borderId="24" xfId="0" applyNumberFormat="1" applyBorder="1"/>
    <xf numFmtId="0" fontId="0" fillId="0" borderId="21" xfId="0" applyBorder="1" applyAlignment="1">
      <alignment wrapText="1"/>
    </xf>
    <xf numFmtId="37" fontId="0" fillId="0" borderId="37" xfId="0" applyNumberFormat="1" applyBorder="1"/>
    <xf numFmtId="0" fontId="0" fillId="0" borderId="23" xfId="0" applyFill="1" applyBorder="1"/>
    <xf numFmtId="0" fontId="0" fillId="0" borderId="0" xfId="0" applyFill="1" applyBorder="1"/>
    <xf numFmtId="0" fontId="0" fillId="0" borderId="38" xfId="0" applyFill="1" applyBorder="1"/>
    <xf numFmtId="0" fontId="0" fillId="0" borderId="21" xfId="0" applyFill="1" applyBorder="1"/>
    <xf numFmtId="0" fontId="0" fillId="0" borderId="31" xfId="0" applyFill="1" applyBorder="1"/>
    <xf numFmtId="0" fontId="0" fillId="0" borderId="28" xfId="0" applyFill="1" applyBorder="1"/>
    <xf numFmtId="37" fontId="44" fillId="0" borderId="39" xfId="0" applyNumberFormat="1" applyFont="1" applyBorder="1"/>
    <xf numFmtId="37" fontId="44" fillId="0" borderId="31" xfId="0" applyNumberFormat="1" applyFont="1" applyBorder="1"/>
    <xf numFmtId="37" fontId="0" fillId="0" borderId="31" xfId="0" applyNumberFormat="1" applyBorder="1"/>
    <xf numFmtId="37" fontId="44" fillId="0" borderId="40" xfId="0" applyNumberFormat="1" applyFont="1" applyBorder="1"/>
    <xf numFmtId="0" fontId="0" fillId="0" borderId="31" xfId="0" applyBorder="1"/>
    <xf numFmtId="37" fontId="4" fillId="0" borderId="24" xfId="0" applyNumberFormat="1" applyFont="1" applyBorder="1" applyAlignment="1">
      <alignment horizontal="right"/>
    </xf>
    <xf numFmtId="37" fontId="4" fillId="0" borderId="31" xfId="0" applyNumberFormat="1" applyFont="1" applyBorder="1"/>
    <xf numFmtId="37" fontId="0" fillId="0" borderId="31" xfId="0" applyNumberFormat="1" applyBorder="1" applyAlignment="1">
      <alignment horizontal="right"/>
    </xf>
    <xf numFmtId="37" fontId="0" fillId="0" borderId="24" xfId="0" applyNumberFormat="1" applyFill="1" applyBorder="1"/>
    <xf numFmtId="37" fontId="0" fillId="0" borderId="31" xfId="0" applyNumberFormat="1" applyFill="1" applyBorder="1"/>
    <xf numFmtId="37" fontId="4" fillId="0" borderId="31" xfId="0" applyNumberFormat="1" applyFont="1" applyBorder="1" applyAlignment="1">
      <alignment horizontal="right"/>
    </xf>
    <xf numFmtId="37" fontId="4" fillId="0" borderId="24" xfId="0" applyNumberFormat="1" applyFont="1" applyBorder="1"/>
    <xf numFmtId="37" fontId="0" fillId="0" borderId="21" xfId="0" applyNumberFormat="1" applyBorder="1"/>
    <xf numFmtId="0" fontId="44" fillId="0" borderId="10" xfId="0" applyFont="1" applyBorder="1"/>
    <xf numFmtId="0" fontId="44" fillId="0" borderId="10" xfId="0" applyFont="1" applyBorder="1" applyAlignment="1">
      <alignment horizontal="center"/>
    </xf>
    <xf numFmtId="37" fontId="44" fillId="25" borderId="10" xfId="0" applyNumberFormat="1" applyFont="1" applyFill="1" applyBorder="1"/>
    <xf numFmtId="37" fontId="44" fillId="0" borderId="10" xfId="0" applyNumberFormat="1" applyFont="1" applyFill="1" applyBorder="1"/>
    <xf numFmtId="0" fontId="44" fillId="0" borderId="10" xfId="0" applyFont="1" applyFill="1" applyBorder="1" applyAlignment="1">
      <alignment horizontal="center"/>
    </xf>
    <xf numFmtId="39" fontId="0" fillId="0" borderId="0" xfId="0" applyNumberFormat="1" applyBorder="1"/>
    <xf numFmtId="37" fontId="0" fillId="0" borderId="10" xfId="0" applyNumberFormat="1" applyFill="1" applyBorder="1"/>
    <xf numFmtId="0" fontId="44" fillId="0" borderId="22" xfId="0" applyFont="1" applyFill="1" applyBorder="1"/>
    <xf numFmtId="0" fontId="44" fillId="0" borderId="22" xfId="0" applyFont="1" applyFill="1" applyBorder="1" applyAlignment="1">
      <alignment horizontal="center"/>
    </xf>
    <xf numFmtId="41" fontId="0" fillId="0" borderId="0" xfId="0" applyNumberFormat="1"/>
    <xf numFmtId="41" fontId="0" fillId="0" borderId="0" xfId="28" applyNumberFormat="1" applyFont="1"/>
    <xf numFmtId="0" fontId="0" fillId="0" borderId="41" xfId="0" applyBorder="1"/>
    <xf numFmtId="164" fontId="0" fillId="0" borderId="41" xfId="29" applyNumberFormat="1" applyFont="1" applyBorder="1"/>
    <xf numFmtId="164" fontId="0" fillId="0" borderId="0" xfId="29" applyNumberFormat="1" applyFont="1"/>
    <xf numFmtId="0" fontId="0" fillId="0" borderId="0" xfId="0" applyNumberFormat="1" applyFill="1" applyAlignment="1">
      <alignment horizontal="center"/>
    </xf>
    <xf numFmtId="0" fontId="28" fillId="0" borderId="0" xfId="0" applyNumberFormat="1" applyFont="1" applyFill="1" applyAlignment="1"/>
    <xf numFmtId="0" fontId="34" fillId="0" borderId="0" xfId="0" applyFont="1" applyFill="1" applyAlignment="1"/>
    <xf numFmtId="3" fontId="28" fillId="0" borderId="0" xfId="0" applyNumberFormat="1" applyFont="1" applyFill="1" applyAlignment="1"/>
    <xf numFmtId="173" fontId="28" fillId="0" borderId="0" xfId="0" applyNumberFormat="1" applyFont="1" applyFill="1" applyAlignment="1"/>
    <xf numFmtId="3" fontId="28" fillId="0" borderId="0" xfId="0" applyNumberFormat="1" applyFont="1" applyBorder="1" applyAlignment="1"/>
    <xf numFmtId="174" fontId="28" fillId="0" borderId="0" xfId="0" applyNumberFormat="1" applyFont="1" applyFill="1" applyAlignment="1">
      <alignment horizontal="center"/>
    </xf>
    <xf numFmtId="174" fontId="28" fillId="0" borderId="0" xfId="0" applyNumberFormat="1" applyFont="1" applyFill="1" applyAlignment="1">
      <alignment horizontal="left"/>
    </xf>
    <xf numFmtId="0" fontId="28" fillId="0" borderId="0" xfId="0" applyFont="1" applyFill="1" applyAlignment="1"/>
    <xf numFmtId="3" fontId="28" fillId="0" borderId="0" xfId="0" applyNumberFormat="1" applyFont="1" applyFill="1" applyBorder="1" applyAlignment="1"/>
    <xf numFmtId="0" fontId="28" fillId="0" borderId="0" xfId="0" applyFont="1" applyAlignment="1">
      <alignment horizontal="left"/>
    </xf>
    <xf numFmtId="14" fontId="28" fillId="0" borderId="0" xfId="0" applyNumberFormat="1" applyFont="1" applyAlignment="1">
      <alignment horizontal="left"/>
    </xf>
    <xf numFmtId="0" fontId="0" fillId="0" borderId="0" xfId="0" applyFill="1" applyAlignment="1">
      <alignment horizontal="left"/>
    </xf>
    <xf numFmtId="0" fontId="43" fillId="0" borderId="0" xfId="0" applyFont="1" applyBorder="1" applyAlignment="1">
      <alignment horizontal="left"/>
    </xf>
    <xf numFmtId="0" fontId="0" fillId="0" borderId="30" xfId="0" applyFill="1" applyBorder="1" applyAlignment="1">
      <alignment horizontal="center"/>
    </xf>
    <xf numFmtId="0" fontId="0" fillId="0" borderId="24" xfId="0" applyFill="1" applyBorder="1" applyAlignment="1">
      <alignment horizontal="center"/>
    </xf>
    <xf numFmtId="37" fontId="47" fillId="0" borderId="24" xfId="0" applyNumberFormat="1" applyFont="1" applyFill="1" applyBorder="1"/>
    <xf numFmtId="0" fontId="4" fillId="0" borderId="31" xfId="0" applyFont="1" applyBorder="1"/>
    <xf numFmtId="37" fontId="44" fillId="0" borderId="24" xfId="0" applyNumberFormat="1" applyFont="1" applyFill="1" applyBorder="1"/>
    <xf numFmtId="0" fontId="0" fillId="0" borderId="24" xfId="0" applyBorder="1" applyAlignment="1">
      <alignment wrapText="1"/>
    </xf>
    <xf numFmtId="0" fontId="4" fillId="0" borderId="24" xfId="0" applyFont="1" applyBorder="1"/>
    <xf numFmtId="37" fontId="0" fillId="0" borderId="0" xfId="0" applyNumberFormat="1" applyFill="1"/>
    <xf numFmtId="0" fontId="0" fillId="0" borderId="0" xfId="0" applyFill="1"/>
    <xf numFmtId="170" fontId="28" fillId="0" borderId="0" xfId="0" applyNumberFormat="1" applyFont="1" applyAlignment="1">
      <alignment horizontal="left"/>
    </xf>
    <xf numFmtId="0" fontId="48" fillId="0" borderId="0" xfId="0" applyFont="1" applyAlignment="1"/>
    <xf numFmtId="0" fontId="28" fillId="0" borderId="0" xfId="0" applyNumberFormat="1" applyFont="1" applyBorder="1" applyAlignment="1"/>
    <xf numFmtId="0" fontId="28" fillId="0" borderId="0" xfId="0" applyNumberFormat="1" applyFont="1" applyBorder="1"/>
    <xf numFmtId="0" fontId="36" fillId="0" borderId="0" xfId="0" applyNumberFormat="1" applyFont="1" applyAlignment="1"/>
    <xf numFmtId="0" fontId="36" fillId="0" borderId="0" xfId="0" applyFont="1" applyAlignment="1"/>
    <xf numFmtId="0" fontId="49" fillId="0" borderId="0" xfId="0" applyFont="1" applyAlignment="1"/>
    <xf numFmtId="169" fontId="36" fillId="0" borderId="33" xfId="0" applyNumberFormat="1" applyFont="1" applyBorder="1" applyAlignment="1"/>
    <xf numFmtId="3" fontId="50" fillId="0" borderId="0" xfId="0" applyNumberFormat="1" applyFont="1" applyBorder="1" applyAlignment="1"/>
    <xf numFmtId="0" fontId="36" fillId="0" borderId="0" xfId="0" applyNumberFormat="1" applyFont="1" applyBorder="1"/>
    <xf numFmtId="3" fontId="36" fillId="0" borderId="0" xfId="0" applyNumberFormat="1" applyFont="1" applyBorder="1" applyAlignment="1"/>
    <xf numFmtId="0" fontId="36" fillId="0" borderId="0" xfId="0" applyNumberFormat="1" applyFont="1" applyBorder="1" applyAlignment="1"/>
    <xf numFmtId="0" fontId="36" fillId="0" borderId="23" xfId="0" applyFont="1" applyBorder="1" applyAlignment="1"/>
    <xf numFmtId="169" fontId="36" fillId="24" borderId="34" xfId="0" applyNumberFormat="1" applyFont="1" applyFill="1" applyBorder="1" applyAlignment="1"/>
    <xf numFmtId="0" fontId="50" fillId="0" borderId="0" xfId="0" applyFont="1" applyBorder="1" applyAlignment="1"/>
    <xf numFmtId="0" fontId="36" fillId="0" borderId="0" xfId="0" applyFont="1" applyBorder="1" applyAlignment="1"/>
    <xf numFmtId="0" fontId="36" fillId="0" borderId="33" xfId="0" applyNumberFormat="1" applyFont="1" applyBorder="1" applyAlignment="1">
      <alignment horizontal="center"/>
    </xf>
    <xf numFmtId="0" fontId="51" fillId="0" borderId="0" xfId="0" applyFont="1" applyBorder="1"/>
    <xf numFmtId="0" fontId="36" fillId="0" borderId="0" xfId="0" applyNumberFormat="1" applyFont="1" applyBorder="1" applyAlignment="1">
      <alignment horizontal="center"/>
    </xf>
    <xf numFmtId="0" fontId="36" fillId="0" borderId="23" xfId="0" applyNumberFormat="1" applyFont="1" applyBorder="1" applyAlignment="1">
      <alignment horizontal="center"/>
    </xf>
    <xf numFmtId="169" fontId="36" fillId="24" borderId="33" xfId="0" applyNumberFormat="1" applyFont="1" applyFill="1" applyBorder="1" applyAlignment="1"/>
    <xf numFmtId="0" fontId="50" fillId="0" borderId="0" xfId="0" applyFont="1" applyBorder="1"/>
    <xf numFmtId="169" fontId="36" fillId="0" borderId="33" xfId="0" applyNumberFormat="1" applyFont="1" applyFill="1" applyBorder="1" applyAlignment="1"/>
    <xf numFmtId="0" fontId="36" fillId="0" borderId="0" xfId="0" applyNumberFormat="1" applyFont="1" applyAlignment="1" applyProtection="1">
      <alignment horizontal="center" vertical="top" wrapText="1"/>
      <protection locked="0"/>
    </xf>
    <xf numFmtId="0" fontId="36" fillId="0" borderId="0" xfId="0" applyNumberFormat="1" applyFont="1"/>
    <xf numFmtId="0" fontId="36" fillId="0" borderId="0" xfId="0" applyNumberFormat="1" applyFont="1" applyAlignment="1" applyProtection="1">
      <alignment horizontal="center"/>
      <protection locked="0"/>
    </xf>
    <xf numFmtId="0" fontId="36" fillId="0" borderId="0" xfId="0" applyNumberFormat="1" applyFont="1" applyAlignment="1" applyProtection="1">
      <alignment vertical="top" wrapText="1"/>
      <protection locked="0"/>
    </xf>
    <xf numFmtId="0" fontId="36" fillId="0" borderId="0" xfId="0" applyFont="1" applyAlignment="1">
      <alignment horizontal="center" vertical="top" wrapText="1"/>
    </xf>
    <xf numFmtId="0" fontId="36" fillId="0" borderId="0" xfId="0" applyFont="1" applyFill="1" applyAlignment="1">
      <alignment horizontal="center" vertical="top" wrapText="1"/>
    </xf>
    <xf numFmtId="3" fontId="36" fillId="0" borderId="0" xfId="0" applyNumberFormat="1" applyFont="1" applyAlignment="1">
      <alignment horizontal="center"/>
    </xf>
    <xf numFmtId="0" fontId="36" fillId="0" borderId="0" xfId="0" applyNumberFormat="1" applyFont="1" applyFill="1"/>
    <xf numFmtId="0" fontId="36" fillId="0" borderId="0" xfId="0" applyFont="1" applyFill="1" applyAlignment="1"/>
    <xf numFmtId="0" fontId="36" fillId="0" borderId="0" xfId="0" applyNumberFormat="1" applyFont="1" applyFill="1" applyAlignment="1" applyProtection="1">
      <alignment horizontal="center"/>
      <protection locked="0"/>
    </xf>
    <xf numFmtId="0" fontId="52" fillId="0" borderId="0" xfId="0" applyFont="1" applyAlignment="1">
      <alignment horizontal="center" vertical="top" wrapText="1"/>
    </xf>
    <xf numFmtId="0" fontId="52" fillId="0" borderId="0" xfId="0" applyNumberFormat="1" applyFont="1"/>
    <xf numFmtId="0" fontId="52" fillId="0" borderId="0" xfId="0" applyFont="1" applyAlignment="1"/>
    <xf numFmtId="0" fontId="52" fillId="0" borderId="0" xfId="0" applyNumberFormat="1" applyFont="1" applyAlignment="1" applyProtection="1">
      <alignment horizontal="center"/>
      <protection locked="0"/>
    </xf>
    <xf numFmtId="0" fontId="36" fillId="0" borderId="0" xfId="0" applyNumberFormat="1" applyFont="1" applyAlignment="1" applyProtection="1">
      <protection locked="0"/>
    </xf>
    <xf numFmtId="0" fontId="36" fillId="0" borderId="0" xfId="0" applyNumberFormat="1" applyFont="1" applyProtection="1">
      <protection locked="0"/>
    </xf>
    <xf numFmtId="3" fontId="50" fillId="0" borderId="0" xfId="0" applyNumberFormat="1" applyFont="1" applyAlignment="1">
      <alignment horizontal="left"/>
    </xf>
    <xf numFmtId="0" fontId="52" fillId="0" borderId="0" xfId="0" applyNumberFormat="1" applyFont="1" applyAlignment="1" applyProtection="1">
      <protection locked="0"/>
    </xf>
    <xf numFmtId="0" fontId="52" fillId="0" borderId="0" xfId="0" applyNumberFormat="1" applyFont="1" applyAlignment="1"/>
    <xf numFmtId="165" fontId="0" fillId="0" borderId="0" xfId="0" applyNumberFormat="1"/>
    <xf numFmtId="0" fontId="27" fillId="24" borderId="0" xfId="0" applyNumberFormat="1" applyFont="1" applyFill="1"/>
    <xf numFmtId="43" fontId="0" fillId="0" borderId="0" xfId="0" applyNumberFormat="1"/>
    <xf numFmtId="14" fontId="0" fillId="0" borderId="0" xfId="0" applyNumberFormat="1"/>
    <xf numFmtId="37" fontId="44" fillId="0" borderId="27" xfId="28" applyNumberFormat="1" applyFont="1" applyFill="1" applyBorder="1"/>
    <xf numFmtId="37" fontId="0" fillId="0" borderId="10" xfId="28" applyNumberFormat="1" applyFont="1" applyFill="1" applyBorder="1"/>
    <xf numFmtId="37" fontId="0" fillId="0" borderId="22" xfId="28" applyNumberFormat="1" applyFont="1" applyFill="1" applyBorder="1"/>
    <xf numFmtId="37" fontId="2" fillId="0" borderId="24" xfId="0" applyNumberFormat="1" applyFont="1" applyFill="1" applyBorder="1"/>
    <xf numFmtId="44" fontId="0" fillId="0" borderId="0" xfId="0" applyNumberFormat="1"/>
    <xf numFmtId="44" fontId="5" fillId="0" borderId="0" xfId="0" applyNumberFormat="1" applyFont="1"/>
    <xf numFmtId="44" fontId="0" fillId="0" borderId="0" xfId="29" applyFont="1" applyFill="1"/>
    <xf numFmtId="0" fontId="5" fillId="0" borderId="0" xfId="0" applyFont="1"/>
    <xf numFmtId="0" fontId="5" fillId="0" borderId="0" xfId="0" applyFont="1" applyBorder="1" applyAlignment="1">
      <alignment vertical="center"/>
    </xf>
    <xf numFmtId="44" fontId="5" fillId="0" borderId="0" xfId="0" applyNumberFormat="1" applyFont="1" applyAlignment="1">
      <alignment horizontal="center"/>
    </xf>
    <xf numFmtId="44" fontId="0" fillId="0" borderId="0" xfId="0" applyNumberFormat="1" applyAlignment="1">
      <alignment horizontal="center"/>
    </xf>
    <xf numFmtId="0" fontId="0" fillId="26" borderId="0" xfId="0" applyFill="1"/>
    <xf numFmtId="164" fontId="0" fillId="0" borderId="0" xfId="0" applyNumberFormat="1"/>
    <xf numFmtId="3" fontId="28" fillId="0" borderId="21" xfId="0" applyNumberFormat="1" applyFont="1" applyFill="1" applyBorder="1" applyAlignment="1"/>
    <xf numFmtId="0" fontId="0" fillId="0" borderId="0" xfId="0" applyAlignment="1">
      <alignment horizontal="center"/>
    </xf>
    <xf numFmtId="164" fontId="0" fillId="0" borderId="0" xfId="29" applyNumberFormat="1" applyFont="1" applyFill="1"/>
    <xf numFmtId="0" fontId="0" fillId="0" borderId="0" xfId="0"/>
    <xf numFmtId="164" fontId="0" fillId="0" borderId="0" xfId="29" applyNumberFormat="1" applyFont="1"/>
    <xf numFmtId="164" fontId="0" fillId="0" borderId="0" xfId="0" applyNumberFormat="1"/>
    <xf numFmtId="0" fontId="0" fillId="0" borderId="0" xfId="0"/>
    <xf numFmtId="0" fontId="0" fillId="0" borderId="0" xfId="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xf>
    <xf numFmtId="0" fontId="54" fillId="0" borderId="10" xfId="0" applyFont="1" applyBorder="1" applyAlignment="1">
      <alignment horizontal="center"/>
    </xf>
    <xf numFmtId="0" fontId="54" fillId="0" borderId="54" xfId="0" applyFont="1" applyBorder="1" applyAlignment="1">
      <alignment horizontal="center" vertical="center" wrapText="1"/>
    </xf>
    <xf numFmtId="0" fontId="54" fillId="0" borderId="53" xfId="0" applyFont="1" applyBorder="1" applyAlignment="1">
      <alignment horizontal="center" vertical="center" wrapText="1"/>
    </xf>
    <xf numFmtId="0" fontId="54" fillId="26" borderId="53" xfId="0" applyFont="1" applyFill="1" applyBorder="1" applyAlignment="1">
      <alignment horizontal="center" vertical="center" wrapText="1"/>
    </xf>
    <xf numFmtId="0" fontId="0" fillId="0" borderId="54" xfId="0" applyBorder="1" applyAlignment="1">
      <alignment horizontal="center" wrapText="1"/>
    </xf>
    <xf numFmtId="14" fontId="0" fillId="0" borderId="53" xfId="0" applyNumberFormat="1" applyBorder="1" applyAlignment="1">
      <alignment horizontal="center" wrapText="1"/>
    </xf>
    <xf numFmtId="0" fontId="0" fillId="0" borderId="53" xfId="0" applyNumberFormat="1" applyBorder="1" applyAlignment="1">
      <alignment horizontal="center" wrapText="1"/>
    </xf>
    <xf numFmtId="0" fontId="0" fillId="0" borderId="53" xfId="0" applyBorder="1" applyAlignment="1">
      <alignment horizontal="center" wrapText="1"/>
    </xf>
    <xf numFmtId="0" fontId="0" fillId="26" borderId="53" xfId="0" applyFill="1" applyBorder="1" applyAlignment="1">
      <alignment horizontal="center" wrapText="1"/>
    </xf>
    <xf numFmtId="10" fontId="0" fillId="0" borderId="53" xfId="0" applyNumberFormat="1" applyBorder="1" applyAlignment="1">
      <alignment horizontal="center" wrapText="1"/>
    </xf>
    <xf numFmtId="0" fontId="0" fillId="0" borderId="0" xfId="0" applyAlignment="1">
      <alignment horizontal="center"/>
    </xf>
    <xf numFmtId="43" fontId="0" fillId="0" borderId="0" xfId="0" applyNumberFormat="1" applyBorder="1"/>
    <xf numFmtId="43" fontId="0" fillId="0" borderId="0" xfId="0" applyNumberFormat="1" applyFill="1" applyBorder="1"/>
    <xf numFmtId="44" fontId="53" fillId="0" borderId="0" xfId="29" applyFont="1" applyFill="1"/>
    <xf numFmtId="0" fontId="0" fillId="0" borderId="55" xfId="0" applyNumberFormat="1" applyBorder="1" applyAlignment="1">
      <alignment horizontal="center" wrapText="1"/>
    </xf>
    <xf numFmtId="0" fontId="0" fillId="0" borderId="10" xfId="0" applyNumberFormat="1" applyBorder="1" applyAlignment="1">
      <alignment horizontal="center" wrapText="1"/>
    </xf>
    <xf numFmtId="0" fontId="28" fillId="0" borderId="0" xfId="0" applyNumberFormat="1" applyFont="1" applyAlignment="1"/>
    <xf numFmtId="0" fontId="28" fillId="0" borderId="0" xfId="0" applyNumberFormat="1" applyFont="1" applyAlignment="1">
      <alignment horizontal="right"/>
    </xf>
    <xf numFmtId="0" fontId="36" fillId="0" borderId="0" xfId="0" applyNumberFormat="1" applyFont="1" applyFill="1" applyAlignment="1" applyProtection="1">
      <alignment vertical="top" wrapText="1"/>
      <protection locked="0"/>
    </xf>
    <xf numFmtId="0" fontId="36" fillId="0" borderId="0" xfId="0" applyNumberFormat="1" applyFont="1" applyAlignment="1" applyProtection="1">
      <alignment vertical="top" wrapText="1"/>
      <protection locked="0"/>
    </xf>
    <xf numFmtId="0" fontId="0" fillId="0" borderId="0" xfId="0" applyAlignment="1">
      <alignment horizontal="center"/>
    </xf>
    <xf numFmtId="3" fontId="36" fillId="58" borderId="0" xfId="0" applyNumberFormat="1" applyFont="1" applyFill="1" applyAlignment="1"/>
    <xf numFmtId="3" fontId="36" fillId="0" borderId="56" xfId="0" applyNumberFormat="1" applyFont="1" applyBorder="1" applyAlignment="1"/>
    <xf numFmtId="168" fontId="36" fillId="0" borderId="0" xfId="0" applyNumberFormat="1" applyFont="1" applyAlignment="1" applyProtection="1">
      <protection locked="0"/>
    </xf>
    <xf numFmtId="169" fontId="36" fillId="0" borderId="0" xfId="0" applyNumberFormat="1" applyFont="1" applyFill="1" applyBorder="1" applyAlignment="1" applyProtection="1"/>
    <xf numFmtId="0" fontId="36" fillId="0" borderId="0" xfId="0" applyFont="1" applyAlignment="1">
      <alignment horizontal="right"/>
    </xf>
    <xf numFmtId="0" fontId="36" fillId="0" borderId="0" xfId="0" applyNumberFormat="1" applyFont="1" applyAlignment="1">
      <alignment horizontal="right"/>
    </xf>
    <xf numFmtId="3" fontId="36" fillId="0" borderId="0" xfId="0" applyNumberFormat="1" applyFont="1" applyAlignment="1"/>
    <xf numFmtId="3" fontId="36" fillId="0" borderId="0" xfId="0" applyNumberFormat="1" applyFont="1" applyProtection="1">
      <protection locked="0"/>
    </xf>
    <xf numFmtId="169" fontId="36" fillId="0" borderId="0" xfId="0" applyNumberFormat="1" applyFont="1" applyProtection="1">
      <protection locked="0"/>
    </xf>
    <xf numFmtId="0" fontId="36" fillId="0" borderId="0" xfId="0" applyFont="1" applyFill="1" applyAlignment="1" applyProtection="1"/>
    <xf numFmtId="3" fontId="36" fillId="0" borderId="0" xfId="0" applyNumberFormat="1" applyFont="1" applyFill="1" applyAlignment="1" applyProtection="1"/>
    <xf numFmtId="0" fontId="36" fillId="0" borderId="0" xfId="0" applyNumberFormat="1" applyFont="1" applyAlignment="1" applyProtection="1">
      <alignment horizontal="left" indent="8"/>
      <protection locked="0"/>
    </xf>
    <xf numFmtId="3" fontId="36" fillId="0" borderId="0" xfId="0" applyNumberFormat="1" applyFont="1" applyAlignment="1">
      <alignment horizontal="fill"/>
    </xf>
    <xf numFmtId="0" fontId="36" fillId="0" borderId="17" xfId="0" applyNumberFormat="1" applyFont="1" applyBorder="1" applyAlignment="1" applyProtection="1">
      <alignment horizontal="center"/>
      <protection locked="0"/>
    </xf>
    <xf numFmtId="0" fontId="36" fillId="0" borderId="0" xfId="0" applyNumberFormat="1" applyFont="1" applyFill="1" applyAlignment="1" applyProtection="1">
      <alignment horizontal="left" vertical="top" wrapText="1" indent="8"/>
      <protection locked="0"/>
    </xf>
    <xf numFmtId="10" fontId="36" fillId="24" borderId="0" xfId="0" applyNumberFormat="1" applyFont="1" applyFill="1" applyAlignment="1" applyProtection="1">
      <alignment vertical="top" wrapText="1"/>
      <protection locked="0"/>
    </xf>
    <xf numFmtId="3" fontId="36" fillId="0" borderId="0" xfId="0" applyNumberFormat="1" applyFont="1" applyAlignment="1">
      <alignment vertical="top" wrapText="1"/>
    </xf>
    <xf numFmtId="0" fontId="36" fillId="0" borderId="0" xfId="0" applyNumberFormat="1" applyFont="1" applyFill="1" applyAlignment="1">
      <alignment horizontal="left" vertical="top"/>
    </xf>
    <xf numFmtId="0" fontId="52" fillId="0" borderId="0" xfId="0" applyNumberFormat="1" applyFont="1" applyAlignment="1" applyProtection="1">
      <alignment vertical="top" wrapText="1"/>
      <protection locked="0"/>
    </xf>
    <xf numFmtId="0" fontId="36" fillId="0" borderId="0" xfId="0" applyNumberFormat="1" applyFont="1" applyFill="1" applyAlignment="1">
      <alignment vertical="top"/>
    </xf>
    <xf numFmtId="0" fontId="0" fillId="0" borderId="0" xfId="0" applyFont="1" applyAlignment="1">
      <alignment horizontal="center"/>
    </xf>
    <xf numFmtId="0" fontId="0" fillId="0" borderId="54" xfId="0" applyBorder="1" applyAlignment="1">
      <alignment horizontal="center"/>
    </xf>
    <xf numFmtId="14" fontId="0" fillId="0" borderId="53" xfId="0" applyNumberFormat="1" applyBorder="1" applyAlignment="1">
      <alignment horizontal="center"/>
    </xf>
    <xf numFmtId="0" fontId="0" fillId="0" borderId="53" xfId="0" applyBorder="1" applyAlignment="1">
      <alignment horizontal="center"/>
    </xf>
    <xf numFmtId="0" fontId="0" fillId="26" borderId="53" xfId="0" applyFill="1" applyBorder="1" applyAlignment="1">
      <alignment horizontal="center"/>
    </xf>
    <xf numFmtId="4" fontId="0" fillId="0" borderId="53" xfId="0" applyNumberFormat="1" applyBorder="1" applyAlignment="1">
      <alignment horizontal="center"/>
    </xf>
    <xf numFmtId="0" fontId="0" fillId="0" borderId="57" xfId="0" applyBorder="1" applyAlignment="1">
      <alignment horizontal="center"/>
    </xf>
    <xf numFmtId="14" fontId="0" fillId="0" borderId="55" xfId="0" applyNumberFormat="1" applyBorder="1" applyAlignment="1">
      <alignment horizontal="center"/>
    </xf>
    <xf numFmtId="0" fontId="0" fillId="0" borderId="55" xfId="0" applyBorder="1" applyAlignment="1">
      <alignment horizontal="center"/>
    </xf>
    <xf numFmtId="0" fontId="0" fillId="26" borderId="55" xfId="0" applyFill="1" applyBorder="1" applyAlignment="1">
      <alignment horizontal="center"/>
    </xf>
    <xf numFmtId="4" fontId="0" fillId="0" borderId="55" xfId="0" applyNumberFormat="1" applyBorder="1" applyAlignment="1">
      <alignment horizontal="center"/>
    </xf>
    <xf numFmtId="14" fontId="0" fillId="0" borderId="10" xfId="0" applyNumberFormat="1" applyBorder="1" applyAlignment="1">
      <alignment horizontal="center"/>
    </xf>
    <xf numFmtId="0" fontId="0" fillId="26" borderId="10" xfId="0" applyFill="1" applyBorder="1" applyAlignment="1">
      <alignment horizontal="center"/>
    </xf>
    <xf numFmtId="4" fontId="0" fillId="0" borderId="10" xfId="0" applyNumberFormat="1" applyBorder="1" applyAlignment="1">
      <alignment horizontal="center"/>
    </xf>
    <xf numFmtId="0" fontId="0" fillId="0" borderId="10" xfId="0" applyBorder="1" applyAlignment="1">
      <alignment horizontal="center" wrapText="1"/>
    </xf>
    <xf numFmtId="14" fontId="0" fillId="0" borderId="10" xfId="0" applyNumberFormat="1" applyBorder="1" applyAlignment="1">
      <alignment horizontal="center" wrapText="1"/>
    </xf>
    <xf numFmtId="0" fontId="0" fillId="26" borderId="10" xfId="0" applyFill="1" applyBorder="1" applyAlignment="1">
      <alignment horizontal="center" wrapText="1"/>
    </xf>
    <xf numFmtId="10" fontId="0" fillId="0" borderId="10" xfId="0" applyNumberFormat="1" applyBorder="1" applyAlignment="1">
      <alignment horizontal="center" wrapText="1"/>
    </xf>
    <xf numFmtId="164" fontId="0" fillId="26" borderId="0" xfId="29" applyNumberFormat="1" applyFont="1" applyFill="1"/>
    <xf numFmtId="164" fontId="53" fillId="26" borderId="0" xfId="29" applyNumberFormat="1" applyFont="1" applyFill="1"/>
    <xf numFmtId="42" fontId="28" fillId="0" borderId="0" xfId="0" applyNumberFormat="1" applyFont="1" applyFill="1"/>
    <xf numFmtId="3" fontId="28" fillId="0" borderId="0" xfId="0" applyNumberFormat="1" applyFont="1" applyFill="1"/>
    <xf numFmtId="3" fontId="28" fillId="0" borderId="17" xfId="0" applyNumberFormat="1" applyFont="1" applyFill="1" applyBorder="1" applyAlignment="1"/>
    <xf numFmtId="42" fontId="28" fillId="0" borderId="20" xfId="0" applyNumberFormat="1" applyFont="1" applyFill="1" applyBorder="1" applyAlignment="1">
      <alignment horizontal="right"/>
    </xf>
    <xf numFmtId="0" fontId="0" fillId="0" borderId="0" xfId="0" applyFill="1" applyAlignment="1"/>
    <xf numFmtId="0" fontId="0" fillId="0" borderId="17" xfId="0" applyFill="1" applyBorder="1" applyAlignment="1"/>
    <xf numFmtId="3" fontId="28" fillId="0" borderId="20" xfId="0" applyNumberFormat="1" applyFont="1" applyFill="1" applyBorder="1" applyAlignment="1"/>
    <xf numFmtId="3" fontId="28" fillId="0" borderId="42" xfId="0" applyNumberFormat="1" applyFont="1" applyFill="1" applyBorder="1" applyAlignment="1"/>
    <xf numFmtId="173" fontId="28" fillId="0" borderId="0" xfId="0" applyNumberFormat="1" applyFont="1" applyFill="1" applyAlignment="1">
      <alignment horizontal="right"/>
    </xf>
    <xf numFmtId="173" fontId="28" fillId="0" borderId="0" xfId="0" applyNumberFormat="1" applyFont="1" applyFill="1"/>
    <xf numFmtId="166" fontId="28" fillId="0" borderId="0" xfId="0" applyNumberFormat="1" applyFont="1" applyFill="1"/>
    <xf numFmtId="0" fontId="0" fillId="0" borderId="17" xfId="0" applyNumberFormat="1" applyFill="1" applyBorder="1" applyAlignment="1">
      <alignment horizontal="center"/>
    </xf>
    <xf numFmtId="0" fontId="28" fillId="0" borderId="0" xfId="0" applyNumberFormat="1" applyFont="1" applyFill="1" applyAlignment="1">
      <alignment horizontal="center"/>
    </xf>
    <xf numFmtId="166" fontId="28" fillId="0" borderId="0" xfId="0" applyNumberFormat="1" applyFont="1" applyFill="1" applyAlignment="1"/>
    <xf numFmtId="169" fontId="28" fillId="58" borderId="0" xfId="0" applyNumberFormat="1" applyFont="1" applyFill="1" applyBorder="1" applyAlignment="1" applyProtection="1">
      <protection locked="0"/>
    </xf>
    <xf numFmtId="165" fontId="2" fillId="0" borderId="10" xfId="28" applyNumberFormat="1" applyFill="1" applyBorder="1" applyAlignment="1">
      <alignment vertical="center"/>
    </xf>
    <xf numFmtId="165" fontId="46" fillId="0" borderId="10" xfId="28" applyNumberFormat="1" applyFont="1" applyFill="1" applyBorder="1"/>
    <xf numFmtId="165" fontId="46" fillId="0" borderId="10" xfId="28" applyNumberFormat="1" applyFont="1" applyBorder="1"/>
    <xf numFmtId="0" fontId="0" fillId="0" borderId="0" xfId="0" applyAlignment="1">
      <alignment horizontal="center"/>
    </xf>
    <xf numFmtId="164" fontId="0" fillId="0" borderId="30" xfId="29" applyNumberFormat="1" applyFont="1" applyBorder="1"/>
    <xf numFmtId="164" fontId="0" fillId="0" borderId="24" xfId="29" applyNumberFormat="1" applyFont="1" applyBorder="1"/>
    <xf numFmtId="164" fontId="0" fillId="0" borderId="27" xfId="29" applyNumberFormat="1" applyFont="1" applyBorder="1"/>
    <xf numFmtId="37" fontId="44" fillId="0" borderId="36" xfId="0" applyNumberFormat="1" applyFont="1" applyFill="1" applyBorder="1"/>
    <xf numFmtId="37" fontId="0" fillId="0" borderId="26" xfId="0" applyNumberFormat="1" applyFill="1" applyBorder="1"/>
    <xf numFmtId="37" fontId="0" fillId="0" borderId="30" xfId="0" applyNumberFormat="1" applyFill="1" applyBorder="1"/>
    <xf numFmtId="37" fontId="44" fillId="0" borderId="27" xfId="0" applyNumberFormat="1" applyFont="1" applyFill="1" applyBorder="1"/>
    <xf numFmtId="37" fontId="0" fillId="0" borderId="23" xfId="0" applyNumberFormat="1" applyFill="1" applyBorder="1"/>
    <xf numFmtId="37" fontId="44" fillId="0" borderId="31" xfId="0" applyNumberFormat="1" applyFont="1" applyFill="1" applyBorder="1"/>
    <xf numFmtId="0" fontId="4" fillId="0" borderId="0" xfId="0" applyFont="1" applyFill="1"/>
    <xf numFmtId="164" fontId="0" fillId="0" borderId="0" xfId="0" applyNumberFormat="1" applyFill="1"/>
    <xf numFmtId="165" fontId="0" fillId="0" borderId="0" xfId="28" applyNumberFormat="1" applyFont="1" applyBorder="1"/>
    <xf numFmtId="37" fontId="44" fillId="0" borderId="10" xfId="28" applyNumberFormat="1" applyFont="1" applyFill="1" applyBorder="1"/>
    <xf numFmtId="3" fontId="28" fillId="58" borderId="0" xfId="0" applyNumberFormat="1" applyFont="1" applyFill="1" applyAlignment="1"/>
    <xf numFmtId="0" fontId="72" fillId="0" borderId="0" xfId="117">
      <alignment wrapText="1"/>
    </xf>
    <xf numFmtId="0" fontId="73" fillId="0" borderId="0" xfId="117" applyFont="1" applyFill="1" applyBorder="1" applyAlignment="1">
      <alignment vertical="top" wrapText="1"/>
    </xf>
    <xf numFmtId="0" fontId="73" fillId="0" borderId="0" xfId="117" applyFont="1" applyFill="1" applyAlignment="1">
      <alignment vertical="top" wrapText="1"/>
    </xf>
    <xf numFmtId="0" fontId="74" fillId="0" borderId="0" xfId="117" applyFont="1" applyFill="1" applyBorder="1" applyAlignment="1">
      <alignment horizontal="left" vertical="top" wrapText="1"/>
    </xf>
    <xf numFmtId="0" fontId="75" fillId="0" borderId="0" xfId="117" applyFont="1" applyFill="1" applyBorder="1" applyAlignment="1">
      <alignment horizontal="right" vertical="top" wrapText="1"/>
    </xf>
    <xf numFmtId="0" fontId="75" fillId="0" borderId="0" xfId="117" applyFont="1" applyFill="1" applyBorder="1" applyAlignment="1">
      <alignment horizontal="left" vertical="top" wrapText="1"/>
    </xf>
    <xf numFmtId="0" fontId="73" fillId="0" borderId="0" xfId="117" applyFont="1" applyFill="1" applyBorder="1" applyAlignment="1">
      <alignment horizontal="left" vertical="top" wrapText="1"/>
    </xf>
    <xf numFmtId="177" fontId="75" fillId="0" borderId="0" xfId="117" applyNumberFormat="1" applyFont="1" applyFill="1" applyBorder="1" applyAlignment="1">
      <alignment horizontal="left" vertical="top" wrapText="1"/>
    </xf>
    <xf numFmtId="43" fontId="72" fillId="0" borderId="0" xfId="118" applyFont="1" applyAlignment="1">
      <alignment horizontal="right" wrapText="1"/>
    </xf>
    <xf numFmtId="43" fontId="72" fillId="0" borderId="0" xfId="118" applyNumberFormat="1" applyFont="1" applyAlignment="1">
      <alignment horizontal="right" wrapText="1"/>
    </xf>
    <xf numFmtId="0" fontId="72" fillId="0" borderId="0" xfId="117" applyFill="1">
      <alignment wrapText="1"/>
    </xf>
    <xf numFmtId="43" fontId="0" fillId="0" borderId="0" xfId="28" applyFont="1"/>
    <xf numFmtId="164" fontId="2" fillId="0" borderId="10" xfId="29" applyNumberFormat="1" applyFill="1" applyBorder="1" applyAlignment="1">
      <alignment vertical="center"/>
    </xf>
    <xf numFmtId="37" fontId="46" fillId="0" borderId="10" xfId="0" applyNumberFormat="1" applyFont="1" applyFill="1" applyBorder="1"/>
    <xf numFmtId="37" fontId="45" fillId="0" borderId="10" xfId="0" applyNumberFormat="1" applyFont="1" applyFill="1" applyBorder="1"/>
    <xf numFmtId="37" fontId="47" fillId="0" borderId="31" xfId="0" applyNumberFormat="1" applyFont="1" applyFill="1" applyBorder="1"/>
    <xf numFmtId="164" fontId="44" fillId="0" borderId="26" xfId="29" applyNumberFormat="1" applyFont="1" applyFill="1" applyBorder="1"/>
    <xf numFmtId="37" fontId="44" fillId="0" borderId="30" xfId="0" applyNumberFormat="1" applyFont="1" applyFill="1" applyBorder="1"/>
    <xf numFmtId="0" fontId="0" fillId="0" borderId="14" xfId="0" applyBorder="1"/>
    <xf numFmtId="0" fontId="0" fillId="0" borderId="15" xfId="0" applyBorder="1"/>
    <xf numFmtId="0" fontId="0" fillId="0" borderId="14" xfId="0" applyBorder="1" applyAlignment="1">
      <alignment horizontal="center"/>
    </xf>
    <xf numFmtId="44" fontId="5" fillId="0" borderId="0" xfId="0" applyNumberFormat="1" applyFont="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44" fontId="0" fillId="0" borderId="0" xfId="0" applyNumberFormat="1" applyBorder="1" applyAlignment="1">
      <alignment horizontal="center"/>
    </xf>
    <xf numFmtId="44" fontId="0" fillId="0" borderId="15" xfId="0" applyNumberFormat="1" applyBorder="1" applyAlignment="1">
      <alignment horizontal="center"/>
    </xf>
    <xf numFmtId="164" fontId="0" fillId="0" borderId="14" xfId="0" applyNumberFormat="1" applyBorder="1"/>
    <xf numFmtId="164" fontId="0" fillId="0" borderId="0" xfId="0" applyNumberFormat="1" applyBorder="1"/>
    <xf numFmtId="164" fontId="0" fillId="0" borderId="0" xfId="29" applyNumberFormat="1" applyFont="1" applyFill="1" applyBorder="1"/>
    <xf numFmtId="164" fontId="0" fillId="0" borderId="15" xfId="0" applyNumberFormat="1" applyBorder="1"/>
    <xf numFmtId="164" fontId="0" fillId="0" borderId="0" xfId="29" applyNumberFormat="1" applyFont="1" applyBorder="1"/>
    <xf numFmtId="164" fontId="0" fillId="0" borderId="15" xfId="29" applyNumberFormat="1" applyFont="1" applyBorder="1"/>
    <xf numFmtId="164" fontId="0" fillId="0" borderId="0" xfId="0" applyNumberFormat="1" applyFill="1" applyBorder="1"/>
    <xf numFmtId="164" fontId="0" fillId="0" borderId="14" xfId="29" applyNumberFormat="1" applyFont="1" applyBorder="1"/>
    <xf numFmtId="44" fontId="0" fillId="0" borderId="0" xfId="29" applyFont="1" applyBorder="1"/>
    <xf numFmtId="0" fontId="0" fillId="0" borderId="16" xfId="0" applyBorder="1"/>
    <xf numFmtId="0" fontId="0" fillId="0" borderId="17" xfId="0" applyBorder="1"/>
    <xf numFmtId="0" fontId="0" fillId="0" borderId="18" xfId="0" applyBorder="1"/>
    <xf numFmtId="44" fontId="0" fillId="0" borderId="23" xfId="0" applyNumberFormat="1" applyBorder="1" applyAlignment="1">
      <alignment horizontal="center"/>
    </xf>
    <xf numFmtId="164" fontId="0" fillId="0" borderId="23" xfId="0" applyNumberFormat="1" applyBorder="1"/>
    <xf numFmtId="164" fontId="0" fillId="0" borderId="23" xfId="29" applyNumberFormat="1" applyFont="1" applyBorder="1"/>
    <xf numFmtId="164" fontId="0" fillId="0" borderId="61" xfId="0" applyNumberFormat="1" applyBorder="1"/>
    <xf numFmtId="0" fontId="36" fillId="0" borderId="0" xfId="0" applyNumberFormat="1" applyFont="1" applyFill="1" applyAlignment="1">
      <alignment vertical="top" wrapText="1"/>
    </xf>
    <xf numFmtId="0" fontId="36" fillId="0" borderId="0" xfId="0" applyNumberFormat="1" applyFont="1" applyAlignment="1" applyProtection="1">
      <alignment vertical="top" wrapText="1"/>
      <protection locked="0"/>
    </xf>
    <xf numFmtId="0" fontId="36" fillId="0" borderId="0" xfId="0" applyNumberFormat="1" applyFont="1" applyFill="1" applyAlignment="1" applyProtection="1">
      <alignment vertical="top" wrapText="1"/>
      <protection locked="0"/>
    </xf>
    <xf numFmtId="0" fontId="28" fillId="0" borderId="0" xfId="0" applyNumberFormat="1" applyFont="1" applyAlignment="1"/>
    <xf numFmtId="3" fontId="36" fillId="0" borderId="0" xfId="0" applyNumberFormat="1" applyFont="1" applyAlignment="1">
      <alignment horizontal="right"/>
    </xf>
    <xf numFmtId="169" fontId="36" fillId="0" borderId="0" xfId="0" applyNumberFormat="1" applyFont="1" applyAlignment="1" applyProtection="1">
      <alignment horizontal="center"/>
      <protection locked="0"/>
    </xf>
    <xf numFmtId="0" fontId="28" fillId="0" borderId="0" xfId="0" applyNumberFormat="1" applyFont="1" applyAlignment="1">
      <alignment horizontal="center"/>
    </xf>
    <xf numFmtId="0" fontId="28" fillId="0" borderId="0" xfId="0" applyNumberFormat="1" applyFont="1" applyAlignment="1">
      <alignment horizontal="right"/>
    </xf>
    <xf numFmtId="0" fontId="36" fillId="0" borderId="0" xfId="0" applyNumberFormat="1" applyFont="1" applyFill="1" applyAlignment="1">
      <alignment horizontal="left" vertical="top" wrapText="1"/>
    </xf>
    <xf numFmtId="0" fontId="42" fillId="0" borderId="0" xfId="0" applyFont="1" applyAlignment="1">
      <alignment horizontal="center"/>
    </xf>
    <xf numFmtId="0" fontId="28" fillId="0" borderId="0" xfId="0" applyFont="1" applyAlignment="1">
      <alignment horizontal="center"/>
    </xf>
    <xf numFmtId="14" fontId="42" fillId="0" borderId="0" xfId="0" applyNumberFormat="1" applyFont="1" applyAlignment="1">
      <alignment horizontal="center"/>
    </xf>
    <xf numFmtId="0" fontId="43" fillId="0" borderId="21" xfId="0" applyFont="1" applyBorder="1" applyAlignment="1">
      <alignment horizontal="center"/>
    </xf>
    <xf numFmtId="14" fontId="28" fillId="0" borderId="0" xfId="0" applyNumberFormat="1" applyFont="1" applyAlignment="1">
      <alignment horizontal="center"/>
    </xf>
    <xf numFmtId="0" fontId="4" fillId="0" borderId="0" xfId="0" applyFont="1" applyAlignment="1">
      <alignment horizontal="center"/>
    </xf>
    <xf numFmtId="0" fontId="0" fillId="0" borderId="29" xfId="0" applyBorder="1" applyAlignment="1">
      <alignment horizontal="center"/>
    </xf>
    <xf numFmtId="0" fontId="0" fillId="0" borderId="28" xfId="0" applyBorder="1" applyAlignment="1">
      <alignment horizontal="center"/>
    </xf>
    <xf numFmtId="0" fontId="0" fillId="0" borderId="31" xfId="0" applyBorder="1" applyAlignment="1">
      <alignment horizontal="center"/>
    </xf>
    <xf numFmtId="0" fontId="0" fillId="0" borderId="32" xfId="0" applyBorder="1" applyAlignment="1">
      <alignment horizontal="left"/>
    </xf>
    <xf numFmtId="0" fontId="0" fillId="0" borderId="43" xfId="0" applyBorder="1" applyAlignment="1">
      <alignment horizontal="left"/>
    </xf>
    <xf numFmtId="0" fontId="4" fillId="0" borderId="21" xfId="0" applyFont="1" applyBorder="1" applyAlignment="1">
      <alignment horizontal="center"/>
    </xf>
    <xf numFmtId="0" fontId="0" fillId="0" borderId="19"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73" fillId="0" borderId="58" xfId="117" applyFont="1" applyFill="1" applyBorder="1" applyAlignment="1">
      <alignment vertical="top" wrapText="1"/>
    </xf>
    <xf numFmtId="0" fontId="74" fillId="0" borderId="0" xfId="117" applyFont="1" applyFill="1" applyBorder="1" applyAlignment="1">
      <alignment horizontal="left" vertical="top" wrapText="1"/>
    </xf>
    <xf numFmtId="0" fontId="75" fillId="0" borderId="0" xfId="117" applyFont="1" applyFill="1" applyBorder="1" applyAlignment="1">
      <alignment horizontal="right" vertical="top" wrapText="1"/>
    </xf>
    <xf numFmtId="0" fontId="76" fillId="0" borderId="0" xfId="117" applyFont="1" applyFill="1" applyBorder="1" applyAlignment="1">
      <alignment horizontal="center" vertical="top" wrapText="1"/>
    </xf>
    <xf numFmtId="0" fontId="75" fillId="0" borderId="0" xfId="117" applyFont="1" applyFill="1" applyBorder="1" applyAlignment="1">
      <alignment horizontal="left" vertical="top" wrapText="1"/>
    </xf>
    <xf numFmtId="0" fontId="74" fillId="0" borderId="0" xfId="117" applyFont="1" applyFill="1" applyBorder="1" applyAlignment="1">
      <alignment horizontal="right" vertical="top" wrapText="1"/>
    </xf>
    <xf numFmtId="0" fontId="75" fillId="0" borderId="59" xfId="117" applyFont="1" applyFill="1" applyBorder="1" applyAlignment="1">
      <alignment horizontal="left" vertical="top" wrapText="1"/>
    </xf>
    <xf numFmtId="0" fontId="73" fillId="0" borderId="0" xfId="117" applyFont="1" applyFill="1" applyBorder="1" applyAlignment="1">
      <alignment vertical="top" wrapText="1"/>
    </xf>
    <xf numFmtId="0" fontId="73" fillId="0" borderId="0" xfId="117" applyFont="1" applyFill="1" applyBorder="1" applyAlignment="1">
      <alignment horizontal="left" vertical="top" wrapText="1"/>
    </xf>
    <xf numFmtId="176" fontId="74" fillId="0" borderId="0" xfId="117" applyNumberFormat="1" applyFont="1" applyFill="1" applyBorder="1" applyAlignment="1">
      <alignment horizontal="right" vertical="top" wrapText="1"/>
    </xf>
    <xf numFmtId="177" fontId="75" fillId="0" borderId="0" xfId="117" applyNumberFormat="1" applyFont="1" applyFill="1" applyBorder="1" applyAlignment="1">
      <alignment horizontal="left" vertical="top" wrapText="1"/>
    </xf>
    <xf numFmtId="4" fontId="74" fillId="0" borderId="0" xfId="117" applyNumberFormat="1" applyFont="1" applyFill="1" applyBorder="1" applyAlignment="1">
      <alignment horizontal="right" vertical="top" wrapText="1"/>
    </xf>
    <xf numFmtId="0" fontId="74" fillId="0" borderId="60" xfId="117" applyFont="1" applyFill="1" applyBorder="1" applyAlignment="1">
      <alignment horizontal="left" vertical="top" wrapText="1"/>
    </xf>
    <xf numFmtId="43" fontId="74" fillId="0" borderId="0" xfId="118" applyFont="1" applyFill="1" applyBorder="1" applyAlignment="1">
      <alignment horizontal="right" vertical="top" wrapText="1"/>
    </xf>
  </cellXfs>
  <cellStyles count="119">
    <cellStyle name="20% - Accent1" xfId="1" builtinId="30" customBuiltin="1"/>
    <cellStyle name="20% - Accent1 2" xfId="70"/>
    <cellStyle name="20% - Accent2" xfId="2" builtinId="34" customBuiltin="1"/>
    <cellStyle name="20% - Accent2 2" xfId="69"/>
    <cellStyle name="20% - Accent3" xfId="3" builtinId="38" customBuiltin="1"/>
    <cellStyle name="20% - Accent3 2" xfId="68"/>
    <cellStyle name="20% - Accent4" xfId="4" builtinId="42" customBuiltin="1"/>
    <cellStyle name="20% - Accent4 2" xfId="67"/>
    <cellStyle name="20% - Accent5" xfId="5" builtinId="46" customBuiltin="1"/>
    <cellStyle name="20% - Accent5 2" xfId="66"/>
    <cellStyle name="20% - Accent6" xfId="6" builtinId="50" customBuiltin="1"/>
    <cellStyle name="20% - Accent6 2" xfId="65"/>
    <cellStyle name="40% - Accent1" xfId="7" builtinId="31" customBuiltin="1"/>
    <cellStyle name="40% - Accent1 2" xfId="64"/>
    <cellStyle name="40% - Accent2" xfId="8" builtinId="35" customBuiltin="1"/>
    <cellStyle name="40% - Accent2 2" xfId="63"/>
    <cellStyle name="40% - Accent3" xfId="9" builtinId="39" customBuiltin="1"/>
    <cellStyle name="40% - Accent3 2" xfId="62"/>
    <cellStyle name="40% - Accent4" xfId="10" builtinId="43" customBuiltin="1"/>
    <cellStyle name="40% - Accent4 2" xfId="61"/>
    <cellStyle name="40% - Accent5" xfId="11" builtinId="47" customBuiltin="1"/>
    <cellStyle name="40% - Accent5 2" xfId="60"/>
    <cellStyle name="40% - Accent6" xfId="12" builtinId="51" customBuiltin="1"/>
    <cellStyle name="40% - Accent6 2" xfId="59"/>
    <cellStyle name="60% - Accent1" xfId="13" builtinId="32" customBuiltin="1"/>
    <cellStyle name="60% - Accent1 2" xfId="58"/>
    <cellStyle name="60% - Accent2" xfId="14" builtinId="36" customBuiltin="1"/>
    <cellStyle name="60% - Accent2 2" xfId="57"/>
    <cellStyle name="60% - Accent3" xfId="15" builtinId="40" customBuiltin="1"/>
    <cellStyle name="60% - Accent3 2" xfId="56"/>
    <cellStyle name="60% - Accent4" xfId="16" builtinId="44" customBuiltin="1"/>
    <cellStyle name="60% - Accent4 2" xfId="55"/>
    <cellStyle name="60% - Accent5" xfId="17" builtinId="48" customBuiltin="1"/>
    <cellStyle name="60% - Accent5 2" xfId="54"/>
    <cellStyle name="60% - Accent6" xfId="18" builtinId="52" customBuiltin="1"/>
    <cellStyle name="60% - Accent6 2" xfId="53"/>
    <cellStyle name="Accent1" xfId="19" builtinId="29" customBuiltin="1"/>
    <cellStyle name="Accent1 2" xfId="52"/>
    <cellStyle name="Accent2" xfId="20" builtinId="33" customBuiltin="1"/>
    <cellStyle name="Accent2 2" xfId="51"/>
    <cellStyle name="Accent3" xfId="21" builtinId="37" customBuiltin="1"/>
    <cellStyle name="Accent3 2" xfId="50"/>
    <cellStyle name="Accent4" xfId="22" builtinId="41" customBuiltin="1"/>
    <cellStyle name="Accent4 2" xfId="49"/>
    <cellStyle name="Accent5" xfId="23" builtinId="45" customBuiltin="1"/>
    <cellStyle name="Accent5 2" xfId="48"/>
    <cellStyle name="Accent6" xfId="24" builtinId="49" customBuiltin="1"/>
    <cellStyle name="Accent6 2" xfId="71"/>
    <cellStyle name="Bad" xfId="25" builtinId="27" customBuiltin="1"/>
    <cellStyle name="Bad 2" xfId="72"/>
    <cellStyle name="Calculation" xfId="26" builtinId="22" customBuiltin="1"/>
    <cellStyle name="Calculation 2" xfId="73"/>
    <cellStyle name="Check Cell" xfId="27" builtinId="23" customBuiltin="1"/>
    <cellStyle name="Check Cell 2" xfId="74"/>
    <cellStyle name="Comma" xfId="28" builtinId="3"/>
    <cellStyle name="Comma 2" xfId="75"/>
    <cellStyle name="Comma 2 2" xfId="76"/>
    <cellStyle name="Comma 2 2 2" xfId="105"/>
    <cellStyle name="Comma 2 3" xfId="104"/>
    <cellStyle name="Comma 3" xfId="77"/>
    <cellStyle name="Comma 3 2" xfId="106"/>
    <cellStyle name="Comma 4" xfId="78"/>
    <cellStyle name="Comma 4 2" xfId="103"/>
    <cellStyle name="Comma 5" xfId="118"/>
    <cellStyle name="Currency" xfId="29" builtinId="4"/>
    <cellStyle name="Currency 2" xfId="30"/>
    <cellStyle name="Currency 2 2" xfId="107"/>
    <cellStyle name="Currency 3" xfId="79"/>
    <cellStyle name="Currency 3 2" xfId="80"/>
    <cellStyle name="Currency 3 2 2" xfId="109"/>
    <cellStyle name="Currency 3 3" xfId="108"/>
    <cellStyle name="Currency 4" xfId="81"/>
    <cellStyle name="Currency 4 2" xfId="102"/>
    <cellStyle name="Currency 5" xfId="116"/>
    <cellStyle name="Explanatory Text" xfId="31" builtinId="53" customBuiltin="1"/>
    <cellStyle name="Explanatory Text 2" xfId="82"/>
    <cellStyle name="Good" xfId="32" builtinId="26" customBuiltin="1"/>
    <cellStyle name="Good 2" xfId="83"/>
    <cellStyle name="Heading 1" xfId="33" builtinId="16" customBuiltin="1"/>
    <cellStyle name="Heading 1 2" xfId="84"/>
    <cellStyle name="Heading 2" xfId="34" builtinId="17" customBuiltin="1"/>
    <cellStyle name="Heading 2 2" xfId="85"/>
    <cellStyle name="Heading 3" xfId="35" builtinId="18" customBuiltin="1"/>
    <cellStyle name="Heading 3 2" xfId="86"/>
    <cellStyle name="Heading 4" xfId="36" builtinId="19" customBuiltin="1"/>
    <cellStyle name="Heading 4 2" xfId="87"/>
    <cellStyle name="Input" xfId="37" builtinId="20" customBuiltin="1"/>
    <cellStyle name="Input 2" xfId="88"/>
    <cellStyle name="Linked Cell" xfId="38" builtinId="24" customBuiltin="1"/>
    <cellStyle name="Linked Cell 2" xfId="89"/>
    <cellStyle name="Neutral" xfId="39" builtinId="28" customBuiltin="1"/>
    <cellStyle name="Neutral 2" xfId="90"/>
    <cellStyle name="Normal" xfId="0" builtinId="0"/>
    <cellStyle name="Normal 2" xfId="40"/>
    <cellStyle name="Normal 2 2" xfId="110"/>
    <cellStyle name="Normal 3" xfId="91"/>
    <cellStyle name="Normal 4" xfId="92"/>
    <cellStyle name="Normal 5" xfId="101"/>
    <cellStyle name="Normal 6" xfId="115"/>
    <cellStyle name="Normal 7" xfId="117"/>
    <cellStyle name="Note" xfId="41" builtinId="10" customBuiltin="1"/>
    <cellStyle name="Note 2" xfId="93"/>
    <cellStyle name="Output" xfId="42" builtinId="21" customBuiltin="1"/>
    <cellStyle name="Output 2" xfId="94"/>
    <cellStyle name="Percent" xfId="43" builtinId="5"/>
    <cellStyle name="Percent 2" xfId="44"/>
    <cellStyle name="Percent 2 2" xfId="111"/>
    <cellStyle name="Percent 3" xfId="95"/>
    <cellStyle name="Percent 3 2" xfId="96"/>
    <cellStyle name="Percent 3 2 2" xfId="113"/>
    <cellStyle name="Percent 3 3" xfId="112"/>
    <cellStyle name="Percent 4" xfId="97"/>
    <cellStyle name="Percent 4 2" xfId="114"/>
    <cellStyle name="Title" xfId="45" builtinId="15" customBuiltin="1"/>
    <cellStyle name="Title 2" xfId="98"/>
    <cellStyle name="Total" xfId="46" builtinId="25" customBuiltin="1"/>
    <cellStyle name="Total 2" xfId="99"/>
    <cellStyle name="Warning Text" xfId="47" builtinId="11" customBuiltin="1"/>
    <cellStyle name="Warning Text 2" xfId="1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99"/>
  <sheetViews>
    <sheetView topLeftCell="A22" zoomScaleNormal="100" workbookViewId="0">
      <selection activeCell="C49" sqref="C49"/>
    </sheetView>
  </sheetViews>
  <sheetFormatPr defaultRowHeight="12.75"/>
  <cols>
    <col min="1" max="1" width="7.7109375" style="37" customWidth="1"/>
    <col min="2" max="2" width="51" style="37" customWidth="1"/>
    <col min="3" max="3" width="44.7109375" style="37" customWidth="1"/>
    <col min="4" max="4" width="17.85546875" style="37" customWidth="1"/>
    <col min="5" max="5" width="7.7109375" style="37" customWidth="1"/>
    <col min="6" max="6" width="7.28515625" style="37" customWidth="1"/>
    <col min="7" max="7" width="13.7109375" style="37" customWidth="1"/>
    <col min="8" max="8" width="7.42578125" style="37" customWidth="1"/>
    <col min="9" max="9" width="16" style="37" customWidth="1"/>
    <col min="10" max="10" width="4.42578125" style="37" customWidth="1"/>
    <col min="11" max="11" width="14.42578125" style="37" customWidth="1"/>
    <col min="12" max="12" width="2.42578125" style="37" customWidth="1"/>
    <col min="13" max="13" width="13" style="37" bestFit="1" customWidth="1"/>
    <col min="14" max="14" width="9.140625" style="37"/>
    <col min="15" max="15" width="21.5703125" style="37" customWidth="1"/>
    <col min="16" max="16" width="14.7109375" style="37" customWidth="1"/>
    <col min="17" max="16384" width="9.140625" style="37"/>
  </cols>
  <sheetData>
    <row r="1" spans="1:64" ht="15">
      <c r="B1" s="40"/>
      <c r="C1" s="40"/>
      <c r="D1" s="43"/>
      <c r="E1" s="40"/>
      <c r="F1" s="40"/>
      <c r="H1" s="514" t="s">
        <v>566</v>
      </c>
      <c r="I1" s="514"/>
      <c r="J1" s="514"/>
      <c r="K1" s="514"/>
      <c r="L1" s="514"/>
      <c r="P1" s="38"/>
      <c r="Q1" s="38"/>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row>
    <row r="2" spans="1:64" ht="15">
      <c r="B2" s="40"/>
      <c r="C2" s="40"/>
      <c r="D2" s="43"/>
      <c r="E2" s="40"/>
      <c r="F2" s="40"/>
      <c r="G2" s="40"/>
      <c r="H2" s="41"/>
      <c r="I2" s="41"/>
      <c r="J2" s="41"/>
      <c r="K2" s="518" t="s">
        <v>13</v>
      </c>
      <c r="L2" s="518"/>
      <c r="M2" s="38"/>
      <c r="N2" s="39"/>
      <c r="O2" s="38"/>
      <c r="P2" s="38"/>
      <c r="Q2" s="38"/>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row>
    <row r="3" spans="1:64" ht="15">
      <c r="B3" s="40"/>
      <c r="C3" s="40"/>
      <c r="D3" s="43"/>
      <c r="E3" s="40"/>
      <c r="F3" s="40"/>
      <c r="G3" s="40"/>
      <c r="H3" s="41"/>
      <c r="I3" s="41"/>
      <c r="J3" s="41"/>
      <c r="K3" s="44"/>
      <c r="L3" s="44"/>
      <c r="M3" s="38"/>
      <c r="N3" s="39"/>
      <c r="O3" s="38"/>
      <c r="P3" s="38"/>
      <c r="Q3" s="38"/>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row>
    <row r="4" spans="1:64" ht="15">
      <c r="B4" s="40" t="s">
        <v>14</v>
      </c>
      <c r="C4" s="40"/>
      <c r="D4" s="43" t="s">
        <v>15</v>
      </c>
      <c r="E4" s="40"/>
      <c r="F4" s="40"/>
      <c r="G4" s="40"/>
      <c r="H4" s="41"/>
      <c r="I4" s="45" t="s">
        <v>635</v>
      </c>
      <c r="J4" s="45"/>
      <c r="K4" s="45"/>
      <c r="L4" s="348"/>
      <c r="M4" s="38"/>
      <c r="N4" s="39"/>
      <c r="O4" s="38"/>
      <c r="P4" s="38"/>
      <c r="Q4" s="38"/>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row>
    <row r="5" spans="1:64" ht="15">
      <c r="B5" s="40"/>
      <c r="C5" s="46" t="s">
        <v>11</v>
      </c>
      <c r="D5" s="46" t="s">
        <v>481</v>
      </c>
      <c r="E5" s="46"/>
      <c r="F5" s="46"/>
      <c r="G5" s="46"/>
      <c r="H5" s="41"/>
      <c r="I5" s="41"/>
      <c r="J5" s="41"/>
      <c r="K5" s="41"/>
      <c r="L5" s="38"/>
      <c r="M5" s="38"/>
      <c r="N5" s="39"/>
      <c r="O5" s="38"/>
      <c r="P5" s="38"/>
      <c r="Q5" s="38"/>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row>
    <row r="6" spans="1:64" ht="15">
      <c r="B6" s="41"/>
      <c r="C6" s="41"/>
      <c r="D6" s="41"/>
      <c r="E6" s="41"/>
      <c r="F6" s="41"/>
      <c r="G6" s="41"/>
      <c r="H6" s="41"/>
      <c r="I6" s="41"/>
      <c r="J6" s="41"/>
      <c r="K6" s="41"/>
      <c r="L6" s="38"/>
      <c r="M6" s="38"/>
      <c r="N6" s="39"/>
      <c r="O6" s="38"/>
      <c r="P6" s="38"/>
      <c r="Q6" s="38"/>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1:64" ht="15">
      <c r="A7" s="47"/>
      <c r="B7" s="41"/>
      <c r="C7" s="41"/>
      <c r="D7" s="48" t="s">
        <v>528</v>
      </c>
      <c r="E7" s="45"/>
      <c r="F7" s="45"/>
      <c r="G7" s="45"/>
      <c r="H7" s="45"/>
      <c r="I7" s="41"/>
      <c r="J7" s="41"/>
      <c r="K7" s="41"/>
      <c r="L7" s="38"/>
      <c r="M7" s="38"/>
      <c r="N7" s="39"/>
      <c r="O7" s="38"/>
      <c r="P7" s="38"/>
      <c r="Q7" s="38"/>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15">
      <c r="A8" s="47"/>
      <c r="B8" s="41"/>
      <c r="C8" s="41"/>
      <c r="D8" s="49"/>
      <c r="E8" s="41"/>
      <c r="F8" s="41"/>
      <c r="G8" s="41"/>
      <c r="H8" s="41"/>
      <c r="I8" s="41"/>
      <c r="J8" s="41"/>
      <c r="K8" s="41"/>
      <c r="L8" s="38"/>
      <c r="M8" s="38"/>
      <c r="N8" s="50"/>
      <c r="O8" s="38"/>
      <c r="P8" s="38"/>
      <c r="Q8" s="38"/>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15">
      <c r="A9" s="47" t="s">
        <v>16</v>
      </c>
      <c r="B9" s="41"/>
      <c r="C9" s="41"/>
      <c r="D9" s="49"/>
      <c r="E9" s="41"/>
      <c r="F9" s="41"/>
      <c r="G9" s="41"/>
      <c r="H9" s="41"/>
      <c r="I9" s="44" t="s">
        <v>17</v>
      </c>
      <c r="J9" s="41"/>
      <c r="K9" s="41"/>
      <c r="L9" s="38"/>
      <c r="M9" s="38"/>
      <c r="N9" s="39"/>
      <c r="O9" s="38"/>
      <c r="P9" s="38"/>
      <c r="Q9" s="38"/>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thickBot="1">
      <c r="A10" s="51" t="s">
        <v>18</v>
      </c>
      <c r="B10" s="41"/>
      <c r="C10" s="41"/>
      <c r="D10" s="41"/>
      <c r="E10" s="41"/>
      <c r="F10" s="41"/>
      <c r="G10" s="41"/>
      <c r="H10" s="41"/>
      <c r="I10" s="52" t="s">
        <v>10</v>
      </c>
      <c r="J10" s="41"/>
      <c r="K10" s="41"/>
      <c r="L10" s="38"/>
      <c r="M10" s="38"/>
      <c r="N10" s="39"/>
      <c r="O10" s="38"/>
      <c r="P10" s="38"/>
      <c r="Q10" s="38"/>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row>
    <row r="11" spans="1:64" ht="15">
      <c r="A11" s="47">
        <v>1</v>
      </c>
      <c r="B11" s="41" t="s">
        <v>482</v>
      </c>
      <c r="C11" s="41"/>
      <c r="D11" s="53"/>
      <c r="E11" s="41"/>
      <c r="F11" s="41"/>
      <c r="G11" s="41"/>
      <c r="H11" s="41"/>
      <c r="I11" s="436">
        <f>+I192</f>
        <v>1220629.6723861918</v>
      </c>
      <c r="J11" s="41"/>
      <c r="K11" s="41"/>
      <c r="L11" s="38"/>
      <c r="M11" s="38"/>
      <c r="N11" s="39"/>
      <c r="O11" s="38"/>
      <c r="P11" s="38"/>
      <c r="Q11" s="38"/>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row>
    <row r="12" spans="1:64" ht="15">
      <c r="A12" s="47"/>
      <c r="B12" s="41"/>
      <c r="C12" s="41"/>
      <c r="D12" s="41"/>
      <c r="E12" s="41"/>
      <c r="F12" s="41"/>
      <c r="G12" s="41"/>
      <c r="H12" s="41"/>
      <c r="I12" s="437"/>
      <c r="J12" s="41"/>
      <c r="K12" s="41"/>
      <c r="L12" s="38"/>
      <c r="M12" s="38"/>
      <c r="N12" s="39"/>
      <c r="O12" s="38"/>
      <c r="P12" s="38"/>
      <c r="Q12" s="38"/>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row>
    <row r="13" spans="1:64" ht="15.75" thickBot="1">
      <c r="A13" s="47" t="s">
        <v>11</v>
      </c>
      <c r="B13" s="40" t="s">
        <v>19</v>
      </c>
      <c r="C13" s="46" t="s">
        <v>20</v>
      </c>
      <c r="D13" s="52" t="s">
        <v>7</v>
      </c>
      <c r="E13" s="46"/>
      <c r="F13" s="54" t="s">
        <v>21</v>
      </c>
      <c r="G13" s="54"/>
      <c r="H13" s="41"/>
      <c r="I13" s="437"/>
      <c r="J13" s="41"/>
      <c r="K13" s="41"/>
      <c r="L13" s="38"/>
      <c r="M13" s="38"/>
      <c r="N13" s="39"/>
      <c r="O13" s="38"/>
      <c r="P13" s="38"/>
      <c r="Q13" s="38"/>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row>
    <row r="14" spans="1:64" ht="15">
      <c r="A14" s="47">
        <v>2</v>
      </c>
      <c r="B14" s="40" t="s">
        <v>22</v>
      </c>
      <c r="C14" s="46" t="s">
        <v>23</v>
      </c>
      <c r="D14" s="46">
        <f>I261</f>
        <v>4270</v>
      </c>
      <c r="E14" s="46"/>
      <c r="F14" s="46" t="s">
        <v>24</v>
      </c>
      <c r="G14" s="55">
        <f>I220</f>
        <v>1</v>
      </c>
      <c r="H14" s="46"/>
      <c r="I14" s="285">
        <f>+G14*D14</f>
        <v>4270</v>
      </c>
      <c r="J14" s="41"/>
      <c r="K14" s="41"/>
      <c r="L14" s="38"/>
      <c r="M14" s="38"/>
      <c r="N14" s="39"/>
      <c r="O14" s="38"/>
      <c r="P14" s="38"/>
      <c r="Q14" s="38"/>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ht="15">
      <c r="A15" s="47">
        <v>3</v>
      </c>
      <c r="B15" s="40" t="s">
        <v>483</v>
      </c>
      <c r="C15" s="46" t="s">
        <v>25</v>
      </c>
      <c r="D15" s="46">
        <f>I268</f>
        <v>598079.28</v>
      </c>
      <c r="E15" s="46"/>
      <c r="F15" s="46" t="str">
        <f>+F14</f>
        <v>TP</v>
      </c>
      <c r="G15" s="55">
        <f>+G14</f>
        <v>1</v>
      </c>
      <c r="H15" s="46"/>
      <c r="I15" s="285">
        <f>+G15*D15</f>
        <v>598079.28</v>
      </c>
      <c r="J15" s="41"/>
      <c r="K15" s="41"/>
      <c r="L15" s="38"/>
      <c r="M15" s="56"/>
      <c r="N15" s="57"/>
      <c r="O15" s="58"/>
      <c r="P15" s="58"/>
      <c r="Q15" s="58"/>
      <c r="R15" s="57"/>
      <c r="S15" s="57"/>
      <c r="T15" s="57"/>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row>
    <row r="16" spans="1:64" ht="15">
      <c r="A16" s="47">
        <v>4</v>
      </c>
      <c r="B16" s="40" t="s">
        <v>26</v>
      </c>
      <c r="C16" s="46"/>
      <c r="D16" s="59">
        <v>0</v>
      </c>
      <c r="E16" s="46"/>
      <c r="F16" s="46" t="s">
        <v>24</v>
      </c>
      <c r="G16" s="55">
        <f>+G14</f>
        <v>1</v>
      </c>
      <c r="H16" s="46"/>
      <c r="I16" s="285">
        <f>+G16*D16</f>
        <v>0</v>
      </c>
      <c r="J16" s="41"/>
      <c r="K16" s="41"/>
      <c r="L16" s="38"/>
      <c r="M16" s="60"/>
      <c r="N16" s="57"/>
      <c r="O16" s="58"/>
      <c r="P16" s="58"/>
      <c r="Q16" s="58"/>
      <c r="R16" s="57"/>
      <c r="S16" s="57"/>
      <c r="T16" s="57"/>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row>
    <row r="17" spans="1:64" ht="15.75" thickBot="1">
      <c r="A17" s="47">
        <v>5</v>
      </c>
      <c r="B17" s="40" t="s">
        <v>27</v>
      </c>
      <c r="C17" s="46"/>
      <c r="D17" s="59">
        <v>0</v>
      </c>
      <c r="E17" s="46"/>
      <c r="F17" s="46" t="s">
        <v>24</v>
      </c>
      <c r="G17" s="55">
        <f>+G14</f>
        <v>1</v>
      </c>
      <c r="H17" s="46"/>
      <c r="I17" s="438">
        <f>+G17*D17</f>
        <v>0</v>
      </c>
      <c r="J17" s="41"/>
      <c r="K17" s="41"/>
      <c r="L17" s="38"/>
      <c r="M17" s="60"/>
      <c r="N17" s="57"/>
      <c r="O17" s="58"/>
      <c r="P17" s="58"/>
      <c r="Q17" s="58"/>
      <c r="R17" s="57"/>
      <c r="S17" s="57"/>
      <c r="T17" s="57"/>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ht="15">
      <c r="A18" s="47">
        <v>6</v>
      </c>
      <c r="B18" s="40" t="s">
        <v>28</v>
      </c>
      <c r="C18" s="41"/>
      <c r="D18" s="62" t="s">
        <v>11</v>
      </c>
      <c r="E18" s="46"/>
      <c r="F18" s="46"/>
      <c r="G18" s="55"/>
      <c r="H18" s="46"/>
      <c r="I18" s="285">
        <f>SUM(I14:I17)</f>
        <v>602349.28</v>
      </c>
      <c r="J18" s="41"/>
      <c r="K18" s="41"/>
      <c r="L18" s="38"/>
      <c r="M18" s="58"/>
      <c r="N18" s="57"/>
      <c r="O18" s="58"/>
      <c r="P18" s="58"/>
      <c r="Q18" s="58"/>
      <c r="R18" s="57"/>
      <c r="S18" s="57"/>
      <c r="T18" s="57"/>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row>
    <row r="19" spans="1:64" ht="15">
      <c r="A19" s="47"/>
      <c r="C19" s="41"/>
      <c r="D19" s="46" t="s">
        <v>11</v>
      </c>
      <c r="E19" s="41"/>
      <c r="F19" s="41"/>
      <c r="G19" s="55"/>
      <c r="H19" s="41"/>
      <c r="J19" s="41"/>
      <c r="K19" s="41"/>
      <c r="L19" s="38"/>
      <c r="M19" s="58"/>
      <c r="N19" s="57"/>
      <c r="O19" s="58"/>
      <c r="P19" s="58"/>
      <c r="Q19" s="58"/>
      <c r="R19" s="57"/>
      <c r="S19" s="57"/>
      <c r="T19" s="57"/>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row>
    <row r="20" spans="1:64" ht="15.75">
      <c r="A20" s="330" t="s">
        <v>636</v>
      </c>
      <c r="B20" s="309" t="s">
        <v>637</v>
      </c>
      <c r="C20" s="310"/>
      <c r="D20" s="310"/>
      <c r="E20" s="310"/>
      <c r="F20" s="310"/>
      <c r="G20" s="310"/>
      <c r="I20" s="396">
        <v>0</v>
      </c>
      <c r="J20" s="41"/>
      <c r="K20" s="41"/>
      <c r="L20" s="38"/>
      <c r="M20" s="58"/>
      <c r="N20" s="57"/>
      <c r="O20" s="58"/>
      <c r="P20" s="58"/>
      <c r="Q20" s="58"/>
      <c r="R20" s="57"/>
      <c r="S20" s="57"/>
      <c r="T20" s="57"/>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15.75">
      <c r="A21" s="330" t="s">
        <v>638</v>
      </c>
      <c r="B21" s="309" t="s">
        <v>639</v>
      </c>
      <c r="C21" s="310"/>
      <c r="D21" s="310"/>
      <c r="E21" s="310"/>
      <c r="F21" s="310"/>
      <c r="G21" s="310"/>
      <c r="I21" s="396">
        <v>0</v>
      </c>
      <c r="J21" s="41"/>
      <c r="K21" s="41"/>
      <c r="L21" s="38"/>
      <c r="M21" s="58"/>
      <c r="N21" s="57"/>
      <c r="O21" s="58"/>
      <c r="P21" s="58"/>
      <c r="Q21" s="58"/>
      <c r="R21" s="57"/>
      <c r="S21" s="57"/>
      <c r="T21" s="57"/>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row>
    <row r="22" spans="1:64" ht="16.5" thickBot="1">
      <c r="A22" s="330" t="s">
        <v>640</v>
      </c>
      <c r="B22" s="309" t="s">
        <v>641</v>
      </c>
      <c r="C22" s="310"/>
      <c r="D22" s="310"/>
      <c r="E22" s="310"/>
      <c r="F22" s="310"/>
      <c r="G22" s="310"/>
      <c r="I22" s="397">
        <f>I20+I21</f>
        <v>0</v>
      </c>
      <c r="J22" s="41"/>
      <c r="K22" s="41"/>
      <c r="L22" s="38"/>
      <c r="M22" s="58"/>
      <c r="N22" s="57"/>
      <c r="O22" s="58"/>
      <c r="P22" s="58"/>
      <c r="Q22" s="58"/>
      <c r="R22" s="57"/>
      <c r="S22" s="57"/>
      <c r="T22" s="57"/>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row>
    <row r="23" spans="1:64" ht="15">
      <c r="A23" s="47"/>
      <c r="B23" s="40"/>
      <c r="C23" s="41"/>
      <c r="D23" s="63"/>
      <c r="E23" s="63"/>
      <c r="F23" s="63"/>
      <c r="G23" s="63"/>
      <c r="H23" s="63"/>
      <c r="I23" s="46"/>
      <c r="J23" s="41"/>
      <c r="K23" s="41"/>
      <c r="L23" s="38"/>
      <c r="M23" s="58"/>
      <c r="N23" s="57"/>
      <c r="O23" s="58"/>
      <c r="P23" s="58"/>
      <c r="Q23" s="58"/>
      <c r="R23" s="57"/>
      <c r="S23" s="57"/>
      <c r="T23" s="57"/>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15.75" thickBot="1">
      <c r="A24" s="47">
        <v>7</v>
      </c>
      <c r="B24" s="40" t="s">
        <v>29</v>
      </c>
      <c r="C24" s="41" t="s">
        <v>642</v>
      </c>
      <c r="D24" s="62" t="s">
        <v>11</v>
      </c>
      <c r="E24" s="46"/>
      <c r="F24" s="46"/>
      <c r="G24" s="46"/>
      <c r="H24" s="46"/>
      <c r="I24" s="439">
        <f>+I11-I18+I22</f>
        <v>618280.39238619176</v>
      </c>
      <c r="J24" s="41"/>
      <c r="K24" s="41"/>
      <c r="L24" s="38"/>
      <c r="M24" s="58"/>
      <c r="N24" s="57"/>
      <c r="O24" s="58"/>
      <c r="P24" s="58"/>
      <c r="Q24" s="58"/>
      <c r="R24" s="57"/>
      <c r="S24" s="57"/>
      <c r="T24" s="57"/>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row>
    <row r="25" spans="1:64" ht="15.75" thickTop="1">
      <c r="A25" s="47"/>
      <c r="B25" s="40"/>
      <c r="C25" s="46"/>
      <c r="D25" s="63"/>
      <c r="E25" s="63"/>
      <c r="F25" s="63"/>
      <c r="G25" s="63"/>
      <c r="H25" s="63"/>
      <c r="I25" s="46"/>
      <c r="J25" s="41"/>
      <c r="K25" s="41"/>
      <c r="L25" s="38"/>
      <c r="M25" s="58"/>
      <c r="N25" s="57"/>
      <c r="O25" s="58"/>
      <c r="P25" s="58"/>
      <c r="Q25" s="58"/>
      <c r="R25" s="57"/>
      <c r="S25" s="57"/>
      <c r="T25" s="57"/>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row>
    <row r="26" spans="1:64" ht="15">
      <c r="A26" s="47" t="s">
        <v>11</v>
      </c>
      <c r="B26" s="40" t="s">
        <v>30</v>
      </c>
      <c r="C26" s="41"/>
      <c r="D26" s="53"/>
      <c r="E26" s="41"/>
      <c r="F26" s="41"/>
      <c r="G26" s="41"/>
      <c r="H26" s="41"/>
      <c r="I26" s="53"/>
      <c r="J26" s="41"/>
      <c r="K26" s="41"/>
      <c r="L26" s="38"/>
      <c r="M26" s="58"/>
      <c r="N26" s="57"/>
      <c r="O26" s="58"/>
      <c r="P26" s="58"/>
      <c r="Q26" s="58"/>
      <c r="R26" s="57"/>
      <c r="S26" s="57"/>
      <c r="T26" s="57"/>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row>
    <row r="27" spans="1:64" ht="15">
      <c r="A27" s="47">
        <v>8</v>
      </c>
      <c r="B27" s="40" t="s">
        <v>31</v>
      </c>
      <c r="C27" s="63"/>
      <c r="D27" s="53"/>
      <c r="E27" s="41"/>
      <c r="F27" s="41"/>
      <c r="G27" s="41" t="s">
        <v>32</v>
      </c>
      <c r="H27" s="41"/>
      <c r="I27" s="59">
        <f>'GL8_15 CP Load Data'!U5*1000</f>
        <v>12260.833333333332</v>
      </c>
      <c r="J27" s="41"/>
      <c r="K27" s="64"/>
      <c r="L27" s="38"/>
      <c r="M27" s="65"/>
      <c r="N27" s="57"/>
      <c r="O27" s="56"/>
      <c r="P27" s="58"/>
      <c r="Q27" s="58"/>
      <c r="R27" s="57"/>
      <c r="S27" s="57"/>
      <c r="T27" s="57"/>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row>
    <row r="28" spans="1:64" ht="15">
      <c r="A28" s="47">
        <v>9</v>
      </c>
      <c r="B28" s="40" t="s">
        <v>33</v>
      </c>
      <c r="C28" s="46"/>
      <c r="D28" s="46"/>
      <c r="E28" s="46"/>
      <c r="F28" s="46"/>
      <c r="G28" s="46" t="s">
        <v>34</v>
      </c>
      <c r="H28" s="46"/>
      <c r="I28" s="59">
        <v>0</v>
      </c>
      <c r="J28" s="41"/>
      <c r="K28" s="41"/>
      <c r="L28" s="38"/>
      <c r="M28" s="58"/>
      <c r="N28" s="57"/>
      <c r="O28" s="56"/>
      <c r="P28" s="58"/>
      <c r="Q28" s="58"/>
      <c r="R28" s="57"/>
      <c r="S28" s="57"/>
      <c r="T28" s="57"/>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
      <c r="A29" s="47">
        <v>10</v>
      </c>
      <c r="B29" s="40" t="s">
        <v>35</v>
      </c>
      <c r="C29" s="41"/>
      <c r="D29" s="41"/>
      <c r="E29" s="41"/>
      <c r="F29" s="41"/>
      <c r="G29" s="41" t="s">
        <v>36</v>
      </c>
      <c r="H29" s="41"/>
      <c r="I29" s="59">
        <v>0</v>
      </c>
      <c r="J29" s="41"/>
      <c r="K29" s="41"/>
      <c r="L29" s="38"/>
      <c r="M29" s="58"/>
      <c r="N29" s="57"/>
      <c r="O29" s="56"/>
      <c r="P29" s="58"/>
      <c r="Q29" s="58"/>
      <c r="R29" s="57"/>
      <c r="S29" s="57"/>
      <c r="T29" s="57"/>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row>
    <row r="30" spans="1:64" ht="15">
      <c r="A30" s="47">
        <v>11</v>
      </c>
      <c r="B30" s="66" t="s">
        <v>37</v>
      </c>
      <c r="C30" s="41"/>
      <c r="D30" s="41"/>
      <c r="E30" s="41"/>
      <c r="F30" s="41"/>
      <c r="G30" s="41" t="s">
        <v>38</v>
      </c>
      <c r="H30" s="41"/>
      <c r="I30" s="59">
        <v>0</v>
      </c>
      <c r="J30" s="41"/>
      <c r="K30" s="41"/>
      <c r="L30" s="38"/>
      <c r="M30" s="58"/>
      <c r="N30" s="57"/>
      <c r="O30" s="56"/>
      <c r="P30" s="58"/>
      <c r="Q30" s="58"/>
      <c r="R30" s="57"/>
      <c r="S30" s="57"/>
      <c r="T30" s="57"/>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row>
    <row r="31" spans="1:64" ht="15">
      <c r="A31" s="47">
        <v>12</v>
      </c>
      <c r="B31" s="66" t="s">
        <v>39</v>
      </c>
      <c r="C31" s="41"/>
      <c r="D31" s="41"/>
      <c r="E31" s="41"/>
      <c r="F31" s="41"/>
      <c r="G31" s="41"/>
      <c r="H31" s="41"/>
      <c r="I31" s="59">
        <v>0</v>
      </c>
      <c r="J31" s="41"/>
      <c r="K31" s="41"/>
      <c r="L31" s="38"/>
      <c r="M31" s="58"/>
      <c r="N31" s="57"/>
      <c r="O31" s="56"/>
      <c r="P31" s="58"/>
      <c r="Q31" s="58"/>
      <c r="R31" s="57"/>
      <c r="S31" s="57"/>
      <c r="T31" s="57"/>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15">
      <c r="A32" s="47">
        <v>13</v>
      </c>
      <c r="B32" s="66" t="s">
        <v>40</v>
      </c>
      <c r="C32" s="41"/>
      <c r="D32" s="41"/>
      <c r="E32" s="41"/>
      <c r="F32" s="41"/>
      <c r="G32" s="41"/>
      <c r="H32" s="41"/>
      <c r="I32" s="67">
        <v>0</v>
      </c>
      <c r="J32" s="41"/>
      <c r="K32" s="41"/>
      <c r="L32" s="38"/>
      <c r="M32" s="58"/>
      <c r="N32" s="57"/>
      <c r="O32" s="56"/>
      <c r="P32" s="58"/>
      <c r="Q32" s="58"/>
      <c r="R32" s="57"/>
      <c r="S32" s="57"/>
      <c r="T32" s="57"/>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row>
    <row r="33" spans="1:64" ht="15.75" thickBot="1">
      <c r="A33" s="47">
        <v>14</v>
      </c>
      <c r="B33" s="40" t="s">
        <v>41</v>
      </c>
      <c r="C33" s="41"/>
      <c r="D33" s="41"/>
      <c r="E33" s="41"/>
      <c r="F33" s="41"/>
      <c r="G33" s="41"/>
      <c r="H33" s="41"/>
      <c r="I33" s="68">
        <v>0</v>
      </c>
      <c r="J33" s="41"/>
      <c r="K33" s="41"/>
      <c r="L33" s="38"/>
      <c r="M33" s="58"/>
      <c r="N33" s="57"/>
      <c r="O33" s="56"/>
      <c r="P33" s="58"/>
      <c r="Q33" s="58"/>
      <c r="R33" s="57"/>
      <c r="S33" s="57"/>
      <c r="T33" s="57"/>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row>
    <row r="34" spans="1:64" ht="15">
      <c r="A34" s="47">
        <v>15</v>
      </c>
      <c r="B34" s="40" t="s">
        <v>42</v>
      </c>
      <c r="C34" s="41"/>
      <c r="D34" s="41"/>
      <c r="E34" s="41"/>
      <c r="F34" s="41"/>
      <c r="G34" s="41"/>
      <c r="H34" s="41"/>
      <c r="I34" s="53">
        <f>SUM(I27:I33)</f>
        <v>12260.833333333332</v>
      </c>
      <c r="J34" s="41"/>
      <c r="K34" s="41"/>
      <c r="L34" s="38"/>
      <c r="M34" s="58"/>
      <c r="N34" s="57"/>
      <c r="O34" s="56"/>
      <c r="P34" s="58"/>
      <c r="Q34" s="58"/>
      <c r="R34" s="57"/>
      <c r="S34" s="57"/>
      <c r="T34" s="57"/>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64" ht="15">
      <c r="A35" s="47"/>
      <c r="B35" s="40"/>
      <c r="C35" s="41"/>
      <c r="D35" s="41"/>
      <c r="E35" s="41"/>
      <c r="F35" s="41"/>
      <c r="G35" s="41"/>
      <c r="H35" s="41"/>
      <c r="I35" s="53"/>
      <c r="J35" s="41"/>
      <c r="K35" s="41"/>
      <c r="L35" s="38"/>
      <c r="M35" s="58"/>
      <c r="N35" s="57"/>
      <c r="O35" s="58"/>
      <c r="P35" s="58"/>
      <c r="Q35" s="58"/>
      <c r="R35" s="57"/>
      <c r="S35" s="57"/>
      <c r="T35" s="57"/>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row>
    <row r="36" spans="1:64" ht="15">
      <c r="A36" s="47">
        <v>16</v>
      </c>
      <c r="B36" s="40" t="s">
        <v>43</v>
      </c>
      <c r="C36" s="41" t="s">
        <v>44</v>
      </c>
      <c r="D36" s="69">
        <f>IF(I34&gt;0,I24/I34,0)</f>
        <v>50.427273218475513</v>
      </c>
      <c r="E36" s="41"/>
      <c r="F36" s="41"/>
      <c r="G36" s="41"/>
      <c r="H36" s="41"/>
      <c r="I36" s="63"/>
      <c r="J36" s="41"/>
      <c r="K36" s="41"/>
      <c r="L36" s="38"/>
      <c r="M36" s="58"/>
      <c r="N36" s="57"/>
      <c r="O36" s="58"/>
      <c r="P36" s="58"/>
      <c r="Q36" s="58"/>
      <c r="R36" s="57"/>
      <c r="S36" s="57"/>
      <c r="T36" s="57"/>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row>
    <row r="37" spans="1:64" ht="15">
      <c r="A37" s="47">
        <v>17</v>
      </c>
      <c r="B37" s="40" t="s">
        <v>45</v>
      </c>
      <c r="C37" s="41"/>
      <c r="D37" s="69">
        <f>+D36/12</f>
        <v>4.202272768206293</v>
      </c>
      <c r="E37" s="41"/>
      <c r="F37" s="41"/>
      <c r="G37" s="41"/>
      <c r="H37" s="41"/>
      <c r="I37" s="63"/>
      <c r="J37" s="41"/>
      <c r="K37" s="41"/>
      <c r="L37" s="38"/>
      <c r="M37" s="58"/>
      <c r="N37" s="57"/>
      <c r="O37" s="58"/>
      <c r="P37" s="58"/>
      <c r="Q37" s="58"/>
      <c r="R37" s="57"/>
      <c r="S37" s="57"/>
      <c r="T37" s="57"/>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64" ht="15">
      <c r="A38" s="47"/>
      <c r="B38" s="40"/>
      <c r="C38" s="41"/>
      <c r="D38" s="69"/>
      <c r="E38" s="41"/>
      <c r="F38" s="41"/>
      <c r="G38" s="41"/>
      <c r="H38" s="41"/>
      <c r="I38" s="63"/>
      <c r="J38" s="41"/>
      <c r="K38" s="41"/>
      <c r="L38" s="38"/>
      <c r="M38" s="58"/>
      <c r="N38" s="57"/>
      <c r="O38" s="58"/>
      <c r="P38" s="58"/>
      <c r="Q38" s="58"/>
      <c r="R38" s="57"/>
      <c r="S38" s="57"/>
      <c r="T38" s="57"/>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row>
    <row r="39" spans="1:64" ht="15">
      <c r="A39" s="47"/>
      <c r="B39" s="40"/>
      <c r="C39" s="41"/>
      <c r="D39" s="70" t="s">
        <v>46</v>
      </c>
      <c r="E39" s="41"/>
      <c r="F39" s="41"/>
      <c r="G39" s="41"/>
      <c r="H39" s="41"/>
      <c r="I39" s="71" t="s">
        <v>47</v>
      </c>
      <c r="J39" s="41"/>
      <c r="K39" s="41"/>
      <c r="L39" s="38"/>
      <c r="M39" s="58"/>
      <c r="N39" s="57"/>
      <c r="O39" s="58"/>
      <c r="P39" s="58"/>
      <c r="Q39" s="58"/>
      <c r="R39" s="57"/>
      <c r="S39" s="57"/>
      <c r="T39" s="57"/>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row>
    <row r="40" spans="1:64" ht="15">
      <c r="A40" s="47">
        <v>18</v>
      </c>
      <c r="B40" s="40" t="s">
        <v>48</v>
      </c>
      <c r="C40" s="41" t="s">
        <v>49</v>
      </c>
      <c r="D40" s="69">
        <f>+D36/52</f>
        <v>0.96975525420145214</v>
      </c>
      <c r="E40" s="41"/>
      <c r="F40" s="41"/>
      <c r="G40" s="41"/>
      <c r="H40" s="41"/>
      <c r="I40" s="72">
        <f>+D36/52</f>
        <v>0.96975525420145214</v>
      </c>
      <c r="J40" s="41"/>
      <c r="K40" s="41"/>
      <c r="L40" s="38"/>
      <c r="M40" s="58"/>
      <c r="N40" s="57"/>
      <c r="O40" s="58"/>
      <c r="P40" s="58"/>
      <c r="Q40" s="58"/>
      <c r="R40" s="57"/>
      <c r="S40" s="57"/>
      <c r="T40" s="57"/>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row>
    <row r="41" spans="1:64" ht="15">
      <c r="A41" s="47">
        <v>19</v>
      </c>
      <c r="B41" s="40" t="s">
        <v>50</v>
      </c>
      <c r="C41" s="41" t="s">
        <v>484</v>
      </c>
      <c r="D41" s="69">
        <f>D36/260</f>
        <v>0.19395105084029043</v>
      </c>
      <c r="E41" s="41" t="s">
        <v>51</v>
      </c>
      <c r="F41" s="63"/>
      <c r="G41" s="41"/>
      <c r="H41" s="41"/>
      <c r="I41" s="72">
        <f>D36/365</f>
        <v>0.13815691292733018</v>
      </c>
      <c r="J41" s="41"/>
      <c r="K41" s="41"/>
      <c r="L41" s="38"/>
      <c r="M41" s="58"/>
      <c r="N41" s="57"/>
      <c r="O41" s="58"/>
      <c r="P41" s="58"/>
      <c r="Q41" s="58"/>
      <c r="R41" s="57"/>
      <c r="S41" s="57"/>
      <c r="T41" s="57"/>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row>
    <row r="42" spans="1:64" ht="15">
      <c r="A42" s="47">
        <v>20</v>
      </c>
      <c r="B42" s="40" t="s">
        <v>52</v>
      </c>
      <c r="C42" s="41" t="s">
        <v>567</v>
      </c>
      <c r="D42" s="69">
        <f>D36/4160</f>
        <v>1.2121940677518152E-2</v>
      </c>
      <c r="E42" s="41" t="s">
        <v>53</v>
      </c>
      <c r="F42" s="63"/>
      <c r="G42" s="41"/>
      <c r="H42" s="41"/>
      <c r="I42" s="72">
        <f>D36/8760*1000</f>
        <v>5.756538038638757</v>
      </c>
      <c r="J42" s="41"/>
      <c r="K42" s="41" t="s">
        <v>11</v>
      </c>
      <c r="L42" s="38"/>
      <c r="M42" s="58"/>
      <c r="N42" s="57"/>
      <c r="O42" s="58"/>
      <c r="P42" s="58"/>
      <c r="Q42" s="58"/>
      <c r="R42" s="57"/>
      <c r="S42" s="57"/>
      <c r="T42" s="57"/>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row>
    <row r="43" spans="1:64" ht="15">
      <c r="A43" s="47"/>
      <c r="B43" s="40"/>
      <c r="C43" s="41" t="s">
        <v>11</v>
      </c>
      <c r="D43" s="41"/>
      <c r="E43" s="41" t="s">
        <v>54</v>
      </c>
      <c r="F43" s="63"/>
      <c r="G43" s="41"/>
      <c r="H43" s="41"/>
      <c r="I43" s="63"/>
      <c r="J43" s="41"/>
      <c r="K43" s="41" t="s">
        <v>11</v>
      </c>
      <c r="L43" s="38"/>
      <c r="M43" s="58"/>
      <c r="N43" s="57"/>
      <c r="O43" s="58"/>
      <c r="P43" s="58"/>
      <c r="Q43" s="58"/>
      <c r="R43" s="57"/>
      <c r="S43" s="57"/>
      <c r="T43" s="57"/>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row>
    <row r="44" spans="1:64" ht="15">
      <c r="A44" s="47"/>
      <c r="B44" s="40"/>
      <c r="C44" s="41"/>
      <c r="D44" s="41"/>
      <c r="E44" s="41"/>
      <c r="F44" s="63"/>
      <c r="G44" s="41"/>
      <c r="H44" s="41"/>
      <c r="I44" s="63"/>
      <c r="J44" s="41"/>
      <c r="K44" s="41" t="s">
        <v>11</v>
      </c>
      <c r="L44" s="38"/>
      <c r="M44" s="58"/>
      <c r="N44" s="57"/>
      <c r="O44" s="58"/>
      <c r="P44" s="58"/>
      <c r="Q44" s="58"/>
      <c r="R44" s="57"/>
      <c r="S44" s="57"/>
      <c r="T44" s="57"/>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row>
    <row r="45" spans="1:64" ht="15">
      <c r="A45" s="47">
        <v>21</v>
      </c>
      <c r="B45" s="40" t="s">
        <v>55</v>
      </c>
      <c r="C45" s="41" t="s">
        <v>56</v>
      </c>
      <c r="D45" s="73">
        <v>0</v>
      </c>
      <c r="E45" s="74" t="s">
        <v>57</v>
      </c>
      <c r="F45" s="74"/>
      <c r="G45" s="74"/>
      <c r="H45" s="74"/>
      <c r="I45" s="74">
        <f>D45</f>
        <v>0</v>
      </c>
      <c r="J45" s="74" t="s">
        <v>57</v>
      </c>
      <c r="K45" s="41"/>
      <c r="L45" s="38"/>
      <c r="M45" s="58"/>
      <c r="N45" s="57"/>
      <c r="O45" s="58"/>
      <c r="P45" s="58"/>
      <c r="Q45" s="58"/>
      <c r="R45" s="57"/>
      <c r="S45" s="57"/>
      <c r="T45" s="57"/>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row>
    <row r="46" spans="1:64" ht="15">
      <c r="A46" s="47">
        <v>22</v>
      </c>
      <c r="B46" s="40"/>
      <c r="C46" s="41"/>
      <c r="D46" s="73">
        <v>0</v>
      </c>
      <c r="E46" s="74" t="s">
        <v>58</v>
      </c>
      <c r="F46" s="74"/>
      <c r="G46" s="74"/>
      <c r="H46" s="74"/>
      <c r="I46" s="74">
        <f>D46</f>
        <v>0</v>
      </c>
      <c r="J46" s="74" t="s">
        <v>58</v>
      </c>
      <c r="K46" s="41"/>
      <c r="L46" s="38"/>
      <c r="M46" s="58"/>
      <c r="N46" s="57"/>
      <c r="O46" s="58"/>
      <c r="P46" s="58"/>
      <c r="Q46" s="58"/>
      <c r="R46" s="57"/>
      <c r="S46" s="57"/>
      <c r="T46" s="57"/>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row>
    <row r="47" spans="1:64" ht="15">
      <c r="J47" s="75"/>
      <c r="K47" s="41"/>
      <c r="L47" s="38"/>
      <c r="M47" s="58"/>
      <c r="N47" s="57"/>
      <c r="O47" s="58"/>
      <c r="P47" s="58"/>
      <c r="Q47" s="58"/>
      <c r="R47" s="57"/>
      <c r="S47" s="57"/>
      <c r="T47" s="57"/>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row>
    <row r="48" spans="1:64" ht="15">
      <c r="J48" s="75"/>
      <c r="K48" s="41"/>
      <c r="L48" s="38"/>
      <c r="M48" s="58"/>
      <c r="N48" s="57"/>
      <c r="O48" s="58"/>
      <c r="P48" s="58"/>
      <c r="Q48" s="58"/>
      <c r="R48" s="57"/>
      <c r="S48" s="57"/>
      <c r="T48" s="57"/>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row>
    <row r="49" spans="2:64" ht="15">
      <c r="B49" s="40"/>
      <c r="C49" s="41"/>
      <c r="D49" s="41"/>
      <c r="E49" s="41"/>
      <c r="F49" s="41"/>
      <c r="G49" s="41"/>
      <c r="H49" s="41"/>
      <c r="I49" s="38"/>
      <c r="J49" s="58"/>
      <c r="K49" s="57"/>
      <c r="L49" s="58"/>
      <c r="P49" s="58"/>
      <c r="Q49" s="58"/>
      <c r="R49" s="57"/>
      <c r="S49" s="57"/>
      <c r="T49" s="57"/>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row>
    <row r="50" spans="2:64" ht="15">
      <c r="B50" s="305"/>
      <c r="C50" s="41"/>
      <c r="D50" s="41"/>
      <c r="E50" s="41"/>
      <c r="F50" s="41"/>
      <c r="G50" s="41"/>
      <c r="H50" s="41"/>
      <c r="I50" s="76"/>
      <c r="J50" s="41"/>
      <c r="K50" s="41"/>
      <c r="L50" s="38"/>
      <c r="M50" s="58"/>
      <c r="N50" s="57"/>
      <c r="O50" s="58"/>
      <c r="P50" s="58"/>
      <c r="Q50" s="58"/>
      <c r="R50" s="57"/>
      <c r="S50" s="57"/>
      <c r="T50" s="57"/>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row>
    <row r="51" spans="2:64" ht="15">
      <c r="B51" s="40"/>
      <c r="C51" s="41"/>
      <c r="D51" s="41"/>
      <c r="E51" s="41"/>
      <c r="F51" s="41"/>
      <c r="G51" s="41"/>
      <c r="H51" s="41"/>
      <c r="I51" s="76"/>
      <c r="J51" s="41"/>
      <c r="K51" s="41"/>
      <c r="L51" s="38"/>
      <c r="M51" s="58"/>
      <c r="N51" s="57"/>
      <c r="O51" s="58"/>
      <c r="P51" s="58"/>
      <c r="Q51" s="58"/>
      <c r="R51" s="57"/>
      <c r="S51" s="57"/>
      <c r="T51" s="57"/>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row>
    <row r="52" spans="2:64" ht="15">
      <c r="B52" s="40"/>
      <c r="C52" s="40"/>
      <c r="D52" s="43"/>
      <c r="E52" s="40"/>
      <c r="F52" s="40"/>
      <c r="G52" s="40"/>
      <c r="H52" s="41"/>
      <c r="I52" s="42"/>
      <c r="J52" s="42"/>
      <c r="K52" s="42"/>
      <c r="L52" s="42"/>
      <c r="M52" s="58"/>
      <c r="N52" s="57"/>
      <c r="O52" s="58"/>
      <c r="P52" s="58"/>
      <c r="Q52" s="58"/>
      <c r="R52" s="57"/>
      <c r="S52" s="57"/>
      <c r="T52" s="57"/>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row>
    <row r="53" spans="2:64" ht="15">
      <c r="B53" s="40"/>
      <c r="C53" s="40"/>
      <c r="D53" s="43"/>
      <c r="E53" s="40"/>
      <c r="F53" s="40"/>
      <c r="G53" s="40"/>
      <c r="H53" s="41"/>
      <c r="I53" s="42"/>
      <c r="J53" s="42"/>
      <c r="K53" s="42"/>
      <c r="L53" s="42"/>
      <c r="M53" s="58"/>
      <c r="N53" s="57"/>
      <c r="O53" s="58"/>
      <c r="P53" s="58"/>
      <c r="Q53" s="58"/>
      <c r="R53" s="57"/>
      <c r="S53" s="57"/>
      <c r="T53" s="57"/>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row>
    <row r="54" spans="2:64" ht="15">
      <c r="B54" s="40"/>
      <c r="C54" s="40"/>
      <c r="D54" s="43"/>
      <c r="E54" s="40"/>
      <c r="F54" s="40"/>
      <c r="G54" s="40"/>
      <c r="H54" s="41"/>
      <c r="I54" s="42"/>
      <c r="J54" s="42"/>
      <c r="K54" s="42"/>
      <c r="L54" s="42"/>
      <c r="M54" s="58"/>
      <c r="N54" s="57"/>
      <c r="O54" s="58"/>
      <c r="P54" s="58"/>
      <c r="Q54" s="58"/>
      <c r="R54" s="57"/>
      <c r="S54" s="57"/>
      <c r="T54" s="57"/>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row>
    <row r="55" spans="2:64" ht="15">
      <c r="B55" s="391"/>
      <c r="C55" s="391"/>
      <c r="D55" s="43"/>
      <c r="E55" s="391"/>
      <c r="F55" s="391"/>
      <c r="G55" s="391"/>
      <c r="H55" s="41"/>
      <c r="I55" s="392"/>
      <c r="J55" s="392"/>
      <c r="K55" s="392"/>
      <c r="L55" s="392"/>
      <c r="M55" s="58"/>
      <c r="N55" s="57"/>
      <c r="O55" s="58"/>
      <c r="P55" s="58"/>
      <c r="Q55" s="58"/>
      <c r="R55" s="57"/>
      <c r="S55" s="57"/>
      <c r="T55" s="57"/>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row>
    <row r="56" spans="2:64" ht="15">
      <c r="B56" s="391"/>
      <c r="C56" s="391"/>
      <c r="D56" s="43"/>
      <c r="E56" s="391"/>
      <c r="F56" s="391"/>
      <c r="G56" s="391"/>
      <c r="H56" s="41"/>
      <c r="I56" s="392"/>
      <c r="J56" s="392"/>
      <c r="K56" s="392"/>
      <c r="L56" s="392"/>
      <c r="M56" s="58"/>
      <c r="N56" s="57"/>
      <c r="O56" s="58"/>
      <c r="P56" s="58"/>
      <c r="Q56" s="58"/>
      <c r="R56" s="57"/>
      <c r="S56" s="57"/>
      <c r="T56" s="57"/>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row>
    <row r="57" spans="2:64" ht="15">
      <c r="B57" s="391"/>
      <c r="C57" s="391"/>
      <c r="D57" s="43"/>
      <c r="E57" s="391"/>
      <c r="F57" s="391"/>
      <c r="G57" s="391"/>
      <c r="H57" s="41"/>
      <c r="I57" s="392"/>
      <c r="J57" s="392"/>
      <c r="K57" s="392"/>
      <c r="L57" s="392"/>
      <c r="M57" s="58"/>
      <c r="N57" s="57"/>
      <c r="O57" s="58"/>
      <c r="P57" s="58"/>
      <c r="Q57" s="58"/>
      <c r="R57" s="57"/>
      <c r="S57" s="57"/>
      <c r="T57" s="57"/>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row>
    <row r="58" spans="2:64" ht="15">
      <c r="B58" s="391"/>
      <c r="C58" s="391"/>
      <c r="D58" s="43"/>
      <c r="E58" s="391"/>
      <c r="F58" s="391"/>
      <c r="G58" s="391"/>
      <c r="H58" s="41"/>
      <c r="I58" s="392"/>
      <c r="J58" s="392"/>
      <c r="K58" s="392"/>
      <c r="L58" s="392"/>
      <c r="M58" s="58"/>
      <c r="N58" s="57"/>
      <c r="O58" s="58"/>
      <c r="P58" s="58"/>
      <c r="Q58" s="58"/>
      <c r="R58" s="57"/>
      <c r="S58" s="57"/>
      <c r="T58" s="57"/>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row>
    <row r="59" spans="2:64" ht="15">
      <c r="B59" s="391"/>
      <c r="C59" s="391"/>
      <c r="D59" s="43"/>
      <c r="E59" s="391"/>
      <c r="F59" s="391"/>
      <c r="G59" s="391"/>
      <c r="H59" s="41"/>
      <c r="I59" s="392"/>
      <c r="J59" s="392"/>
      <c r="K59" s="392"/>
      <c r="L59" s="392"/>
      <c r="M59" s="58"/>
      <c r="N59" s="57"/>
      <c r="O59" s="58"/>
      <c r="P59" s="58"/>
      <c r="Q59" s="58"/>
      <c r="R59" s="57"/>
      <c r="S59" s="57"/>
      <c r="T59" s="57"/>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row>
    <row r="60" spans="2:64" ht="15">
      <c r="B60" s="391"/>
      <c r="C60" s="391"/>
      <c r="D60" s="43"/>
      <c r="E60" s="391"/>
      <c r="F60" s="391"/>
      <c r="G60" s="391"/>
      <c r="H60" s="41"/>
      <c r="I60" s="392"/>
      <c r="J60" s="392"/>
      <c r="K60" s="392"/>
      <c r="L60" s="392"/>
      <c r="M60" s="58"/>
      <c r="N60" s="57"/>
      <c r="O60" s="58"/>
      <c r="P60" s="58"/>
      <c r="Q60" s="58"/>
      <c r="R60" s="57"/>
      <c r="S60" s="57"/>
      <c r="T60" s="57"/>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row>
    <row r="61" spans="2:64" ht="15">
      <c r="B61" s="391"/>
      <c r="C61" s="391"/>
      <c r="D61" s="43"/>
      <c r="E61" s="391"/>
      <c r="F61" s="391"/>
      <c r="G61" s="391"/>
      <c r="H61" s="41"/>
      <c r="I61" s="392"/>
      <c r="J61" s="392"/>
      <c r="K61" s="392"/>
      <c r="L61" s="392"/>
      <c r="M61" s="58"/>
      <c r="N61" s="57"/>
      <c r="O61" s="58"/>
      <c r="P61" s="58"/>
      <c r="Q61" s="58"/>
      <c r="R61" s="57"/>
      <c r="S61" s="57"/>
      <c r="T61" s="57"/>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row>
    <row r="62" spans="2:64" ht="15">
      <c r="B62" s="391"/>
      <c r="C62" s="391"/>
      <c r="D62" s="43"/>
      <c r="E62" s="391"/>
      <c r="F62" s="391"/>
      <c r="G62" s="391"/>
      <c r="H62" s="41"/>
      <c r="I62" s="392"/>
      <c r="J62" s="392"/>
      <c r="K62" s="392"/>
      <c r="L62" s="392"/>
      <c r="M62" s="58"/>
      <c r="N62" s="57"/>
      <c r="O62" s="58"/>
      <c r="P62" s="58"/>
      <c r="Q62" s="58"/>
      <c r="R62" s="57"/>
      <c r="S62" s="57"/>
      <c r="T62" s="57"/>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row>
    <row r="63" spans="2:64" ht="15">
      <c r="B63" s="391"/>
      <c r="C63" s="391"/>
      <c r="D63" s="43"/>
      <c r="E63" s="391"/>
      <c r="F63" s="391"/>
      <c r="G63" s="391"/>
      <c r="H63" s="41"/>
      <c r="I63" s="392"/>
      <c r="J63" s="392"/>
      <c r="K63" s="392"/>
      <c r="L63" s="392"/>
      <c r="M63" s="58"/>
      <c r="N63" s="57"/>
      <c r="O63" s="58"/>
      <c r="P63" s="58"/>
      <c r="Q63" s="58"/>
      <c r="R63" s="57"/>
      <c r="S63" s="57"/>
      <c r="T63" s="57"/>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row>
    <row r="64" spans="2:64" ht="15">
      <c r="B64" s="391"/>
      <c r="C64" s="391"/>
      <c r="D64" s="43"/>
      <c r="E64" s="391"/>
      <c r="F64" s="391"/>
      <c r="G64" s="391"/>
      <c r="H64" s="41"/>
      <c r="I64" s="392"/>
      <c r="J64" s="392"/>
      <c r="K64" s="392"/>
      <c r="L64" s="392"/>
      <c r="M64" s="58"/>
      <c r="N64" s="57"/>
      <c r="O64" s="58"/>
      <c r="P64" s="58"/>
      <c r="Q64" s="58"/>
      <c r="R64" s="57"/>
      <c r="S64" s="57"/>
      <c r="T64" s="57"/>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row>
    <row r="65" spans="1:64" ht="15">
      <c r="B65" s="391"/>
      <c r="C65" s="391"/>
      <c r="D65" s="43"/>
      <c r="E65" s="391"/>
      <c r="F65" s="391"/>
      <c r="G65" s="391"/>
      <c r="H65" s="41"/>
      <c r="I65" s="392"/>
      <c r="J65" s="392"/>
      <c r="K65" s="392"/>
      <c r="L65" s="392"/>
      <c r="M65" s="58"/>
      <c r="N65" s="57"/>
      <c r="O65" s="58"/>
      <c r="P65" s="58"/>
      <c r="Q65" s="58"/>
      <c r="R65" s="57"/>
      <c r="S65" s="57"/>
      <c r="T65" s="57"/>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row>
    <row r="66" spans="1:64" ht="15">
      <c r="B66" s="391"/>
      <c r="C66" s="391"/>
      <c r="D66" s="43"/>
      <c r="E66" s="391"/>
      <c r="F66" s="391"/>
      <c r="G66" s="391"/>
      <c r="H66" s="41"/>
      <c r="I66" s="392"/>
      <c r="J66" s="392"/>
      <c r="K66" s="392"/>
      <c r="L66" s="392"/>
      <c r="M66" s="58"/>
      <c r="N66" s="57"/>
      <c r="O66" s="58"/>
      <c r="P66" s="58"/>
      <c r="Q66" s="58"/>
      <c r="R66" s="57"/>
      <c r="S66" s="57"/>
      <c r="T66" s="57"/>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row>
    <row r="67" spans="1:64" ht="15">
      <c r="B67" s="391"/>
      <c r="C67" s="391"/>
      <c r="D67" s="43"/>
      <c r="E67" s="391"/>
      <c r="F67" s="391"/>
      <c r="G67" s="391"/>
      <c r="H67" s="41"/>
      <c r="I67" s="392"/>
      <c r="J67" s="392"/>
      <c r="K67" s="392"/>
      <c r="L67" s="392"/>
      <c r="M67" s="58"/>
      <c r="N67" s="57"/>
      <c r="O67" s="58"/>
      <c r="P67" s="58"/>
      <c r="Q67" s="58"/>
      <c r="R67" s="57"/>
      <c r="S67" s="57"/>
      <c r="T67" s="57"/>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row>
    <row r="68" spans="1:64" ht="15">
      <c r="B68" s="391"/>
      <c r="C68" s="391"/>
      <c r="D68" s="43"/>
      <c r="E68" s="391"/>
      <c r="F68" s="391"/>
      <c r="G68" s="391"/>
      <c r="H68" s="41"/>
      <c r="I68" s="392"/>
      <c r="J68" s="392"/>
      <c r="K68" s="392"/>
      <c r="L68" s="392"/>
      <c r="M68" s="58"/>
      <c r="N68" s="57"/>
      <c r="O68" s="58"/>
      <c r="P68" s="58"/>
      <c r="Q68" s="58"/>
      <c r="R68" s="57"/>
      <c r="S68" s="57"/>
      <c r="T68" s="57"/>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row>
    <row r="69" spans="1:64" ht="15">
      <c r="B69" s="391"/>
      <c r="C69" s="391"/>
      <c r="D69" s="43"/>
      <c r="E69" s="391"/>
      <c r="F69" s="391"/>
      <c r="G69" s="391"/>
      <c r="H69" s="41"/>
      <c r="I69" s="392"/>
      <c r="J69" s="392"/>
      <c r="K69" s="392"/>
      <c r="L69" s="392"/>
      <c r="M69" s="58"/>
      <c r="N69" s="57"/>
      <c r="O69" s="58"/>
      <c r="P69" s="58"/>
      <c r="Q69" s="58"/>
      <c r="R69" s="57"/>
      <c r="S69" s="57"/>
      <c r="T69" s="57"/>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row>
    <row r="70" spans="1:64" ht="15">
      <c r="B70" s="391"/>
      <c r="C70" s="391"/>
      <c r="D70" s="43"/>
      <c r="E70" s="391"/>
      <c r="F70" s="391"/>
      <c r="G70" s="391"/>
      <c r="H70" s="41"/>
      <c r="I70" s="392"/>
      <c r="J70" s="392"/>
      <c r="K70" s="392"/>
      <c r="L70" s="392"/>
      <c r="M70" s="58"/>
      <c r="N70" s="57"/>
      <c r="O70" s="58"/>
      <c r="P70" s="58"/>
      <c r="Q70" s="58"/>
      <c r="R70" s="57"/>
      <c r="S70" s="57"/>
      <c r="T70" s="57"/>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row>
    <row r="71" spans="1:64" ht="15">
      <c r="B71" s="391"/>
      <c r="C71" s="391"/>
      <c r="D71" s="43"/>
      <c r="E71" s="391"/>
      <c r="F71" s="391"/>
      <c r="G71" s="391"/>
      <c r="H71" s="41"/>
      <c r="I71" s="392"/>
      <c r="J71" s="392"/>
      <c r="K71" s="392"/>
      <c r="L71" s="392"/>
      <c r="M71" s="58"/>
      <c r="N71" s="57"/>
      <c r="O71" s="58"/>
      <c r="P71" s="58"/>
      <c r="Q71" s="58"/>
      <c r="R71" s="57"/>
      <c r="S71" s="57"/>
      <c r="T71" s="57"/>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row>
    <row r="72" spans="1:64" ht="15">
      <c r="B72" s="40"/>
      <c r="C72" s="40"/>
      <c r="D72" s="43"/>
      <c r="E72" s="40"/>
      <c r="F72" s="40"/>
      <c r="G72" s="40"/>
      <c r="H72" s="517" t="str">
        <f>H1</f>
        <v>Attachment O-EIA Non-Levelized Generic</v>
      </c>
      <c r="I72" s="517"/>
      <c r="J72" s="517"/>
      <c r="K72" s="517"/>
      <c r="L72" s="517"/>
      <c r="M72" s="58"/>
      <c r="N72" s="57"/>
      <c r="O72" s="58"/>
      <c r="P72" s="58"/>
      <c r="Q72" s="58"/>
      <c r="R72" s="57"/>
      <c r="S72" s="57"/>
      <c r="T72" s="57"/>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row>
    <row r="73" spans="1:64" ht="15">
      <c r="B73" s="40"/>
      <c r="C73" s="40"/>
      <c r="D73" s="43"/>
      <c r="E73" s="40"/>
      <c r="F73" s="40"/>
      <c r="G73" s="40"/>
      <c r="H73" s="41"/>
      <c r="I73" s="41"/>
      <c r="J73" s="41"/>
      <c r="K73" s="518" t="s">
        <v>59</v>
      </c>
      <c r="L73" s="518"/>
      <c r="M73" s="58"/>
      <c r="N73" s="57"/>
      <c r="O73" s="58"/>
      <c r="P73" s="58"/>
      <c r="Q73" s="58"/>
      <c r="R73" s="57"/>
      <c r="S73" s="57"/>
      <c r="T73" s="57"/>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row>
    <row r="74" spans="1:64" ht="15">
      <c r="B74" s="41"/>
      <c r="C74" s="41"/>
      <c r="D74" s="41"/>
      <c r="E74" s="41"/>
      <c r="F74" s="41"/>
      <c r="G74" s="41"/>
      <c r="H74" s="41"/>
      <c r="I74" s="41"/>
      <c r="J74" s="41"/>
      <c r="K74" s="41"/>
      <c r="L74" s="38"/>
      <c r="M74" s="58"/>
      <c r="N74" s="57"/>
      <c r="O74" s="58"/>
      <c r="P74" s="58"/>
      <c r="Q74" s="58"/>
      <c r="R74" s="57"/>
      <c r="S74" s="57"/>
      <c r="T74" s="57"/>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row>
    <row r="75" spans="1:64" ht="15">
      <c r="B75" s="40" t="str">
        <f>B4</f>
        <v xml:space="preserve">Formula Rate - Non-Levelized </v>
      </c>
      <c r="C75" s="40"/>
      <c r="D75" s="43" t="str">
        <f>D4</f>
        <v xml:space="preserve">   Rate Formula Template</v>
      </c>
      <c r="E75" s="40"/>
      <c r="F75" s="40"/>
      <c r="G75" s="40"/>
      <c r="H75" s="40"/>
      <c r="I75" s="40" t="str">
        <f>I4</f>
        <v>For the 12 months ended 12/31/15</v>
      </c>
      <c r="J75" s="40"/>
      <c r="K75" s="40"/>
      <c r="L75" s="77"/>
      <c r="M75" s="58"/>
      <c r="N75" s="57"/>
      <c r="O75" s="78"/>
      <c r="P75" s="78"/>
      <c r="Q75" s="78"/>
      <c r="R75" s="57"/>
      <c r="S75" s="57"/>
      <c r="T75" s="57"/>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row>
    <row r="76" spans="1:64" ht="15">
      <c r="B76" s="40"/>
      <c r="C76" s="46" t="s">
        <v>11</v>
      </c>
      <c r="D76" s="46" t="str">
        <f>D5</f>
        <v>Utilizing EIA Form 412 Data</v>
      </c>
      <c r="E76" s="46"/>
      <c r="F76" s="46"/>
      <c r="G76" s="46"/>
      <c r="H76" s="46"/>
      <c r="I76" s="46"/>
      <c r="J76" s="46"/>
      <c r="K76" s="46"/>
      <c r="L76" s="79"/>
      <c r="M76" s="58"/>
      <c r="N76" s="57"/>
      <c r="O76" s="58"/>
      <c r="P76" s="80"/>
      <c r="Q76" s="78"/>
      <c r="R76" s="57"/>
      <c r="S76" s="57"/>
      <c r="T76" s="57"/>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row>
    <row r="77" spans="1:64" ht="15">
      <c r="B77" s="40"/>
      <c r="C77" s="46" t="s">
        <v>11</v>
      </c>
      <c r="D77" s="46" t="s">
        <v>11</v>
      </c>
      <c r="E77" s="46"/>
      <c r="F77" s="46"/>
      <c r="G77" s="46" t="s">
        <v>11</v>
      </c>
      <c r="H77" s="46"/>
      <c r="I77" s="46"/>
      <c r="J77" s="46"/>
      <c r="K77" s="46"/>
      <c r="L77" s="79"/>
      <c r="M77" s="78"/>
      <c r="N77" s="57"/>
      <c r="O77" s="80"/>
      <c r="P77" s="80"/>
      <c r="Q77" s="78"/>
      <c r="R77" s="57"/>
      <c r="S77" s="57"/>
      <c r="T77" s="57"/>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row>
    <row r="78" spans="1:64" ht="15">
      <c r="B78" s="40"/>
      <c r="C78" s="41"/>
      <c r="D78" s="46" t="str">
        <f>D7</f>
        <v>Glencoe</v>
      </c>
      <c r="E78" s="46"/>
      <c r="F78" s="46"/>
      <c r="G78" s="46"/>
      <c r="H78" s="46"/>
      <c r="I78" s="46"/>
      <c r="J78" s="46"/>
      <c r="K78" s="46"/>
      <c r="L78" s="79"/>
      <c r="M78" s="78"/>
      <c r="N78" s="57"/>
      <c r="O78" s="80"/>
      <c r="P78" s="80"/>
      <c r="Q78" s="78"/>
      <c r="R78" s="57"/>
      <c r="S78" s="57"/>
      <c r="T78" s="57"/>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row>
    <row r="79" spans="1:64" ht="15">
      <c r="B79" s="44" t="s">
        <v>60</v>
      </c>
      <c r="C79" s="44" t="s">
        <v>61</v>
      </c>
      <c r="D79" s="44" t="s">
        <v>62</v>
      </c>
      <c r="E79" s="46" t="s">
        <v>11</v>
      </c>
      <c r="F79" s="46"/>
      <c r="G79" s="81" t="s">
        <v>63</v>
      </c>
      <c r="H79" s="46"/>
      <c r="I79" s="82" t="s">
        <v>64</v>
      </c>
      <c r="J79" s="46"/>
      <c r="K79" s="44"/>
      <c r="L79" s="79"/>
      <c r="M79" s="78"/>
      <c r="N79" s="57"/>
      <c r="O79" s="83"/>
      <c r="P79" s="80"/>
      <c r="Q79" s="78"/>
      <c r="R79" s="57"/>
      <c r="S79" s="57"/>
      <c r="T79" s="57"/>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row>
    <row r="80" spans="1:64" ht="15.75">
      <c r="A80" s="47" t="s">
        <v>16</v>
      </c>
      <c r="B80" s="40"/>
      <c r="C80" s="84" t="s">
        <v>508</v>
      </c>
      <c r="D80" s="46"/>
      <c r="E80" s="46"/>
      <c r="F80" s="46"/>
      <c r="G80" s="44"/>
      <c r="H80" s="46"/>
      <c r="I80" s="85" t="s">
        <v>5</v>
      </c>
      <c r="J80" s="46"/>
      <c r="K80" s="44"/>
      <c r="L80" s="79"/>
      <c r="M80" s="78"/>
      <c r="N80" s="57"/>
      <c r="O80" s="83"/>
      <c r="P80" s="83"/>
      <c r="Q80" s="78"/>
      <c r="R80" s="57"/>
      <c r="S80" s="57"/>
      <c r="T80" s="57"/>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row>
    <row r="81" spans="1:64" ht="16.5" thickBot="1">
      <c r="A81" s="51" t="s">
        <v>18</v>
      </c>
      <c r="B81" s="89" t="s">
        <v>68</v>
      </c>
      <c r="C81" s="86" t="s">
        <v>509</v>
      </c>
      <c r="D81" s="85" t="s">
        <v>65</v>
      </c>
      <c r="E81" s="87"/>
      <c r="F81" s="85" t="s">
        <v>66</v>
      </c>
      <c r="G81" s="63"/>
      <c r="H81" s="87"/>
      <c r="I81" s="88" t="s">
        <v>67</v>
      </c>
      <c r="J81" s="46"/>
      <c r="K81" s="44"/>
      <c r="L81" s="38"/>
      <c r="M81" s="78"/>
      <c r="N81" s="57"/>
      <c r="O81" s="83"/>
      <c r="P81" s="83"/>
      <c r="Q81" s="78"/>
      <c r="R81" s="57"/>
      <c r="S81" s="57"/>
      <c r="T81" s="57"/>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row>
    <row r="82" spans="1:64" ht="15">
      <c r="A82" s="47"/>
      <c r="B82" s="40" t="s">
        <v>569</v>
      </c>
      <c r="C82" s="46"/>
      <c r="D82" s="46"/>
      <c r="E82" s="46"/>
      <c r="F82" s="46"/>
      <c r="G82" s="46"/>
      <c r="H82" s="46"/>
      <c r="I82" s="46"/>
      <c r="J82" s="46"/>
      <c r="K82" s="46"/>
      <c r="L82" s="38"/>
      <c r="M82" s="78"/>
      <c r="N82" s="57"/>
      <c r="O82" s="80"/>
      <c r="P82" s="80"/>
      <c r="Q82" s="78"/>
      <c r="R82" s="57"/>
      <c r="S82" s="57"/>
      <c r="T82" s="57"/>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row>
    <row r="83" spans="1:64" ht="15">
      <c r="A83" s="47">
        <v>1</v>
      </c>
      <c r="B83" s="40" t="s">
        <v>69</v>
      </c>
      <c r="C83" s="46" t="s">
        <v>510</v>
      </c>
      <c r="D83" s="90">
        <f>'EIA412 ELECTRIC PLANT'!G15</f>
        <v>14820540</v>
      </c>
      <c r="E83" s="46"/>
      <c r="F83" s="46" t="s">
        <v>70</v>
      </c>
      <c r="G83" s="91" t="s">
        <v>11</v>
      </c>
      <c r="H83" s="46"/>
      <c r="I83" s="46" t="s">
        <v>11</v>
      </c>
      <c r="J83" s="46"/>
      <c r="K83" s="46"/>
      <c r="L83" s="38"/>
      <c r="M83" s="78"/>
      <c r="N83" s="57"/>
      <c r="O83" s="56"/>
      <c r="P83" s="80"/>
      <c r="Q83" s="78"/>
      <c r="R83" s="57"/>
      <c r="S83" s="57"/>
      <c r="T83" s="57"/>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row>
    <row r="84" spans="1:64" ht="15">
      <c r="A84" s="47">
        <v>2</v>
      </c>
      <c r="B84" s="40" t="s">
        <v>71</v>
      </c>
      <c r="C84" s="46" t="s">
        <v>511</v>
      </c>
      <c r="D84" s="90">
        <f>'EIA412 ELECTRIC PLANT'!G17</f>
        <v>9702416</v>
      </c>
      <c r="E84" s="46"/>
      <c r="F84" s="46" t="s">
        <v>24</v>
      </c>
      <c r="G84" s="91">
        <f>I220</f>
        <v>1</v>
      </c>
      <c r="H84" s="46"/>
      <c r="I84" s="285">
        <f>+G84*D84</f>
        <v>9702416</v>
      </c>
      <c r="J84" s="46"/>
      <c r="K84" s="46"/>
      <c r="L84" s="38"/>
      <c r="M84" s="78"/>
      <c r="N84" s="57"/>
      <c r="O84" s="56"/>
      <c r="P84" s="80"/>
      <c r="Q84" s="78"/>
      <c r="R84" s="57"/>
      <c r="S84" s="57"/>
      <c r="T84" s="57"/>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row>
    <row r="85" spans="1:64" ht="15">
      <c r="A85" s="47">
        <v>3</v>
      </c>
      <c r="B85" s="40" t="s">
        <v>72</v>
      </c>
      <c r="C85" s="46" t="s">
        <v>512</v>
      </c>
      <c r="D85" s="90">
        <f>'EIA412 ELECTRIC PLANT'!G18</f>
        <v>10189092</v>
      </c>
      <c r="E85" s="46"/>
      <c r="F85" s="46" t="s">
        <v>70</v>
      </c>
      <c r="G85" s="91" t="s">
        <v>11</v>
      </c>
      <c r="H85" s="46"/>
      <c r="I85" s="285" t="s">
        <v>11</v>
      </c>
      <c r="J85" s="46"/>
      <c r="K85" s="46"/>
      <c r="L85" s="38"/>
      <c r="M85" s="78"/>
      <c r="N85" s="57"/>
      <c r="O85" s="56"/>
      <c r="P85" s="80"/>
      <c r="Q85" s="78"/>
      <c r="R85" s="57"/>
      <c r="S85" s="57"/>
      <c r="T85" s="57"/>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row>
    <row r="86" spans="1:64" ht="15">
      <c r="A86" s="47">
        <v>4</v>
      </c>
      <c r="B86" s="40" t="s">
        <v>73</v>
      </c>
      <c r="C86" s="46" t="s">
        <v>568</v>
      </c>
      <c r="D86" s="90">
        <f>'EIA412 ELECTRIC PLANT'!G19</f>
        <v>1685743</v>
      </c>
      <c r="E86" s="46"/>
      <c r="F86" s="46" t="s">
        <v>74</v>
      </c>
      <c r="G86" s="91">
        <f>I236</f>
        <v>1.4388126816023392E-2</v>
      </c>
      <c r="H86" s="46"/>
      <c r="I86" s="285">
        <f>+G86*D86</f>
        <v>24254.684063223722</v>
      </c>
      <c r="J86" s="46"/>
      <c r="K86" s="46"/>
      <c r="L86" s="79"/>
      <c r="M86" s="78"/>
      <c r="N86" s="57"/>
      <c r="O86" s="56"/>
      <c r="P86" s="83"/>
      <c r="Q86" s="78"/>
      <c r="R86" s="57"/>
      <c r="S86" s="57"/>
      <c r="T86" s="57"/>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row>
    <row r="87" spans="1:64" ht="15.75" thickBot="1">
      <c r="A87" s="47">
        <v>5</v>
      </c>
      <c r="B87" s="40" t="s">
        <v>75</v>
      </c>
      <c r="C87" s="46"/>
      <c r="D87" s="92">
        <v>0</v>
      </c>
      <c r="E87" s="46"/>
      <c r="F87" s="46" t="s">
        <v>76</v>
      </c>
      <c r="G87" s="91">
        <f>K240</f>
        <v>1.4388126816023392E-2</v>
      </c>
      <c r="H87" s="46"/>
      <c r="I87" s="438">
        <f>+G87*D87</f>
        <v>0</v>
      </c>
      <c r="J87" s="46"/>
      <c r="K87" s="46"/>
      <c r="L87" s="79"/>
      <c r="M87" s="78"/>
      <c r="N87" s="57"/>
      <c r="O87" s="56"/>
      <c r="P87" s="83"/>
      <c r="Q87" s="78"/>
      <c r="R87" s="57"/>
      <c r="S87" s="57"/>
      <c r="T87" s="57"/>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row>
    <row r="88" spans="1:64" ht="15">
      <c r="A88" s="47">
        <v>6</v>
      </c>
      <c r="B88" s="40" t="s">
        <v>77</v>
      </c>
      <c r="C88" s="46"/>
      <c r="D88" s="46">
        <f>SUM(D83:D87)</f>
        <v>36397791</v>
      </c>
      <c r="E88" s="46"/>
      <c r="F88" s="46" t="s">
        <v>78</v>
      </c>
      <c r="G88" s="93">
        <f>IF(I88&gt;0,I88/D88,0)</f>
        <v>0.2672324450696259</v>
      </c>
      <c r="H88" s="46"/>
      <c r="I88" s="285">
        <f>SUM(I83:I87)</f>
        <v>9726670.6840632241</v>
      </c>
      <c r="J88" s="46"/>
      <c r="K88" s="93"/>
      <c r="L88" s="38"/>
      <c r="M88" s="78"/>
      <c r="N88" s="57"/>
      <c r="O88" s="80"/>
      <c r="P88" s="80"/>
      <c r="Q88" s="78"/>
      <c r="R88" s="57"/>
      <c r="S88" s="57"/>
      <c r="T88" s="57"/>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row>
    <row r="89" spans="1:64" ht="15">
      <c r="B89" s="40"/>
      <c r="C89" s="46"/>
      <c r="D89" s="46"/>
      <c r="E89" s="46"/>
      <c r="F89" s="46"/>
      <c r="G89" s="93"/>
      <c r="H89" s="46"/>
      <c r="I89" s="285"/>
      <c r="J89" s="46"/>
      <c r="K89" s="93"/>
      <c r="L89" s="38"/>
      <c r="M89" s="78"/>
      <c r="N89" s="57"/>
      <c r="O89" s="80"/>
      <c r="P89" s="80"/>
      <c r="Q89" s="78"/>
      <c r="R89" s="57"/>
      <c r="S89" s="57"/>
      <c r="T89" s="57"/>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row>
    <row r="90" spans="1:64" ht="15">
      <c r="B90" s="40" t="s">
        <v>570</v>
      </c>
      <c r="C90" s="46"/>
      <c r="D90" s="46"/>
      <c r="E90" s="46"/>
      <c r="F90" s="46"/>
      <c r="G90" s="46"/>
      <c r="H90" s="46"/>
      <c r="I90" s="285"/>
      <c r="J90" s="46"/>
      <c r="K90" s="46"/>
      <c r="L90" s="38"/>
      <c r="M90" s="78"/>
      <c r="N90" s="57"/>
      <c r="O90" s="80"/>
      <c r="P90" s="80"/>
      <c r="Q90" s="78"/>
      <c r="R90" s="57"/>
      <c r="S90" s="57"/>
      <c r="T90" s="57"/>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row>
    <row r="91" spans="1:64" ht="15">
      <c r="A91" s="47">
        <v>7</v>
      </c>
      <c r="B91" s="40" t="str">
        <f>+B83</f>
        <v xml:space="preserve">  Production</v>
      </c>
      <c r="C91" s="63"/>
      <c r="D91" s="94">
        <f>'EIA412 ELECTRIC PLANT'!I15</f>
        <v>11454387</v>
      </c>
      <c r="E91" s="46"/>
      <c r="F91" s="46" t="str">
        <f t="shared" ref="F91:G95" si="0">+F83</f>
        <v>NA</v>
      </c>
      <c r="G91" s="91" t="str">
        <f t="shared" si="0"/>
        <v xml:space="preserve"> </v>
      </c>
      <c r="H91" s="46"/>
      <c r="I91" s="285" t="s">
        <v>11</v>
      </c>
      <c r="J91" s="46"/>
      <c r="K91" s="46"/>
      <c r="L91" s="38"/>
      <c r="M91" s="78"/>
      <c r="N91" s="57"/>
      <c r="O91" s="80"/>
      <c r="P91" s="80"/>
      <c r="Q91" s="78"/>
      <c r="R91" s="57"/>
      <c r="S91" s="57"/>
      <c r="T91" s="57"/>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row>
    <row r="92" spans="1:64" ht="15">
      <c r="A92" s="47">
        <v>8</v>
      </c>
      <c r="B92" s="40" t="str">
        <f>+B84</f>
        <v xml:space="preserve">  Transmission</v>
      </c>
      <c r="C92" s="63"/>
      <c r="D92" s="94">
        <f>'EIA412 ELECTRIC PLANT'!I17</f>
        <v>1910447</v>
      </c>
      <c r="E92" s="46"/>
      <c r="F92" s="46" t="str">
        <f t="shared" si="0"/>
        <v>TP</v>
      </c>
      <c r="G92" s="91">
        <f t="shared" si="0"/>
        <v>1</v>
      </c>
      <c r="H92" s="46"/>
      <c r="I92" s="285">
        <f>+G92*D92</f>
        <v>1910447</v>
      </c>
      <c r="J92" s="46"/>
      <c r="K92" s="46"/>
      <c r="L92" s="38"/>
      <c r="M92" s="78"/>
      <c r="N92" s="57"/>
      <c r="O92" s="80"/>
      <c r="P92" s="80"/>
      <c r="Q92" s="78"/>
      <c r="R92" s="57"/>
      <c r="S92" s="57"/>
      <c r="T92" s="57"/>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row>
    <row r="93" spans="1:64" ht="15">
      <c r="A93" s="47">
        <v>9</v>
      </c>
      <c r="B93" s="40" t="str">
        <f>+B85</f>
        <v xml:space="preserve">  Distribution</v>
      </c>
      <c r="C93" s="63"/>
      <c r="D93" s="94">
        <f>'EIA412 ELECTRIC PLANT'!I18</f>
        <v>5767045</v>
      </c>
      <c r="E93" s="46"/>
      <c r="F93" s="46" t="str">
        <f t="shared" si="0"/>
        <v>NA</v>
      </c>
      <c r="G93" s="91" t="str">
        <f t="shared" si="0"/>
        <v xml:space="preserve"> </v>
      </c>
      <c r="H93" s="46"/>
      <c r="I93" s="285" t="s">
        <v>11</v>
      </c>
      <c r="J93" s="46"/>
      <c r="K93" s="46"/>
      <c r="L93" s="38"/>
      <c r="M93" s="78"/>
      <c r="N93" s="57"/>
      <c r="O93" s="80"/>
      <c r="P93" s="80"/>
      <c r="Q93" s="78"/>
      <c r="R93" s="57"/>
      <c r="S93" s="57"/>
      <c r="T93" s="57"/>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row>
    <row r="94" spans="1:64" ht="15">
      <c r="A94" s="47">
        <v>10</v>
      </c>
      <c r="B94" s="40" t="str">
        <f>+B86</f>
        <v xml:space="preserve">  General &amp; Intangible</v>
      </c>
      <c r="C94" s="63"/>
      <c r="D94" s="94">
        <f>'EIA412 ELECTRIC PLANT'!I19</f>
        <v>1012138</v>
      </c>
      <c r="E94" s="46"/>
      <c r="F94" s="46" t="str">
        <f t="shared" si="0"/>
        <v>W/S</v>
      </c>
      <c r="G94" s="91">
        <f t="shared" si="0"/>
        <v>1.4388126816023392E-2</v>
      </c>
      <c r="H94" s="46"/>
      <c r="I94" s="285">
        <f>+G94*D94</f>
        <v>14562.769899316285</v>
      </c>
      <c r="J94" s="46"/>
      <c r="K94" s="46"/>
      <c r="L94" s="38"/>
      <c r="M94" s="78"/>
      <c r="N94" s="57"/>
      <c r="O94" s="80"/>
      <c r="P94" s="83"/>
      <c r="Q94" s="78"/>
      <c r="R94" s="57"/>
      <c r="S94" s="57"/>
      <c r="T94" s="57"/>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row>
    <row r="95" spans="1:64" ht="15.75" thickBot="1">
      <c r="A95" s="47">
        <v>11</v>
      </c>
      <c r="B95" s="40" t="str">
        <f>+B87</f>
        <v xml:space="preserve">  Common</v>
      </c>
      <c r="C95" s="46"/>
      <c r="D95" s="92">
        <v>0</v>
      </c>
      <c r="E95" s="46"/>
      <c r="F95" s="46" t="str">
        <f t="shared" si="0"/>
        <v>CE</v>
      </c>
      <c r="G95" s="91">
        <f t="shared" si="0"/>
        <v>1.4388126816023392E-2</v>
      </c>
      <c r="H95" s="46"/>
      <c r="I95" s="438">
        <f>+G95*D95</f>
        <v>0</v>
      </c>
      <c r="J95" s="46"/>
      <c r="K95" s="46"/>
      <c r="L95" s="38"/>
      <c r="M95" s="78"/>
      <c r="N95" s="57"/>
      <c r="O95" s="80"/>
      <c r="P95" s="83"/>
      <c r="Q95" s="78"/>
      <c r="R95" s="57"/>
      <c r="S95" s="57"/>
      <c r="T95" s="57"/>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row>
    <row r="96" spans="1:64" ht="15">
      <c r="A96" s="47">
        <v>12</v>
      </c>
      <c r="B96" s="40" t="s">
        <v>79</v>
      </c>
      <c r="C96" s="46"/>
      <c r="D96" s="46">
        <f>SUM(D91:D95)</f>
        <v>20144017</v>
      </c>
      <c r="E96" s="46"/>
      <c r="F96" s="46"/>
      <c r="G96" s="46"/>
      <c r="H96" s="46"/>
      <c r="I96" s="285">
        <f>SUM(I91:I95)</f>
        <v>1925009.7698993164</v>
      </c>
      <c r="J96" s="46"/>
      <c r="K96" s="46"/>
      <c r="L96" s="38"/>
      <c r="M96" s="78"/>
      <c r="N96" s="57"/>
      <c r="O96" s="95"/>
      <c r="P96" s="80"/>
      <c r="Q96" s="78"/>
      <c r="R96" s="57"/>
      <c r="S96" s="57"/>
      <c r="T96" s="57"/>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row>
    <row r="97" spans="1:64" ht="15">
      <c r="A97" s="47"/>
      <c r="C97" s="46" t="s">
        <v>11</v>
      </c>
      <c r="E97" s="46"/>
      <c r="F97" s="46"/>
      <c r="G97" s="93"/>
      <c r="H97" s="46"/>
      <c r="I97" s="440"/>
      <c r="J97" s="46"/>
      <c r="K97" s="93"/>
      <c r="L97" s="38"/>
      <c r="M97" s="78"/>
      <c r="N97" s="57"/>
      <c r="O97" s="80"/>
      <c r="P97" s="80"/>
      <c r="Q97" s="78"/>
      <c r="R97" s="57"/>
      <c r="S97" s="57"/>
      <c r="T97" s="57"/>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row>
    <row r="98" spans="1:64" ht="15">
      <c r="A98" s="47"/>
      <c r="B98" s="40" t="s">
        <v>80</v>
      </c>
      <c r="C98" s="46"/>
      <c r="D98" s="46"/>
      <c r="E98" s="46"/>
      <c r="F98" s="46"/>
      <c r="G98" s="46"/>
      <c r="H98" s="46"/>
      <c r="I98" s="285"/>
      <c r="J98" s="46"/>
      <c r="K98" s="46"/>
      <c r="L98" s="38"/>
      <c r="M98" s="78"/>
      <c r="N98" s="57"/>
      <c r="O98" s="80"/>
      <c r="P98" s="80"/>
      <c r="Q98" s="78"/>
      <c r="R98" s="57"/>
      <c r="S98" s="57"/>
      <c r="T98" s="57"/>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row>
    <row r="99" spans="1:64" ht="15">
      <c r="A99" s="47">
        <v>13</v>
      </c>
      <c r="B99" s="40" t="str">
        <f>+B91</f>
        <v xml:space="preserve">  Production</v>
      </c>
      <c r="C99" s="46" t="s">
        <v>81</v>
      </c>
      <c r="D99" s="46">
        <f>D83-D91</f>
        <v>3366153</v>
      </c>
      <c r="E99" s="46"/>
      <c r="F99" s="46"/>
      <c r="G99" s="93"/>
      <c r="H99" s="46"/>
      <c r="I99" s="285" t="s">
        <v>11</v>
      </c>
      <c r="J99" s="46"/>
      <c r="K99" s="93"/>
      <c r="L99" s="38"/>
      <c r="M99" s="78"/>
      <c r="N99" s="57"/>
      <c r="O99" s="80"/>
      <c r="P99" s="80"/>
      <c r="Q99" s="78"/>
      <c r="R99" s="57"/>
      <c r="S99" s="57"/>
      <c r="T99" s="57"/>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row>
    <row r="100" spans="1:64" ht="15">
      <c r="A100" s="47">
        <v>14</v>
      </c>
      <c r="B100" s="40" t="str">
        <f>+B92</f>
        <v xml:space="preserve">  Transmission</v>
      </c>
      <c r="C100" s="46" t="s">
        <v>82</v>
      </c>
      <c r="D100" s="285">
        <f>D84-D92</f>
        <v>7791969</v>
      </c>
      <c r="E100" s="46"/>
      <c r="F100" s="46"/>
      <c r="G100" s="91"/>
      <c r="H100" s="46"/>
      <c r="I100" s="285">
        <f>I84-I92</f>
        <v>7791969</v>
      </c>
      <c r="J100" s="46"/>
      <c r="K100" s="93"/>
      <c r="L100" s="38"/>
      <c r="M100" s="78"/>
      <c r="N100" s="57"/>
      <c r="O100" s="80"/>
      <c r="P100" s="80"/>
      <c r="Q100" s="78"/>
      <c r="R100" s="57"/>
      <c r="S100" s="57"/>
      <c r="T100" s="57"/>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row>
    <row r="101" spans="1:64" ht="15">
      <c r="A101" s="47">
        <v>15</v>
      </c>
      <c r="B101" s="40" t="str">
        <f>+B93</f>
        <v xml:space="preserve">  Distribution</v>
      </c>
      <c r="C101" s="46" t="s">
        <v>83</v>
      </c>
      <c r="D101" s="285">
        <f>D85-D93</f>
        <v>4422047</v>
      </c>
      <c r="E101" s="46"/>
      <c r="F101" s="46"/>
      <c r="G101" s="93"/>
      <c r="H101" s="46"/>
      <c r="I101" s="285" t="s">
        <v>11</v>
      </c>
      <c r="J101" s="46"/>
      <c r="K101" s="93"/>
      <c r="L101" s="38"/>
      <c r="M101" s="78"/>
      <c r="N101" s="57"/>
      <c r="O101" s="80"/>
      <c r="P101" s="80"/>
      <c r="Q101" s="78"/>
      <c r="R101" s="57"/>
      <c r="S101" s="57"/>
      <c r="T101" s="57"/>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row>
    <row r="102" spans="1:64" ht="15">
      <c r="A102" s="47">
        <v>16</v>
      </c>
      <c r="B102" s="40" t="str">
        <f>+B94</f>
        <v xml:space="preserve">  General &amp; Intangible</v>
      </c>
      <c r="C102" s="46" t="s">
        <v>84</v>
      </c>
      <c r="D102" s="46">
        <f>D86-D94</f>
        <v>673605</v>
      </c>
      <c r="E102" s="46"/>
      <c r="F102" s="46"/>
      <c r="G102" s="93"/>
      <c r="H102" s="46"/>
      <c r="I102" s="285">
        <f>I86-I94</f>
        <v>9691.9141639074369</v>
      </c>
      <c r="J102" s="46"/>
      <c r="K102" s="93"/>
      <c r="L102" s="38"/>
      <c r="M102" s="78"/>
      <c r="N102" s="57"/>
      <c r="O102" s="80"/>
      <c r="P102" s="83"/>
      <c r="Q102" s="78"/>
      <c r="R102" s="57"/>
      <c r="S102" s="57"/>
      <c r="T102" s="57"/>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row>
    <row r="103" spans="1:64" ht="15.75" thickBot="1">
      <c r="A103" s="47">
        <v>17</v>
      </c>
      <c r="B103" s="40" t="str">
        <f>+B95</f>
        <v xml:space="preserve">  Common</v>
      </c>
      <c r="C103" s="46" t="s">
        <v>85</v>
      </c>
      <c r="D103" s="61">
        <f>D87-D95</f>
        <v>0</v>
      </c>
      <c r="E103" s="46"/>
      <c r="F103" s="46"/>
      <c r="G103" s="93"/>
      <c r="H103" s="46"/>
      <c r="I103" s="438">
        <f>I87-I95</f>
        <v>0</v>
      </c>
      <c r="J103" s="46"/>
      <c r="K103" s="93"/>
      <c r="L103" s="38"/>
      <c r="M103" s="78"/>
      <c r="N103" s="57"/>
      <c r="O103" s="80"/>
      <c r="P103" s="83"/>
      <c r="Q103" s="78"/>
      <c r="R103" s="57"/>
      <c r="S103" s="57"/>
      <c r="T103" s="57"/>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row>
    <row r="104" spans="1:64" ht="15">
      <c r="A104" s="47">
        <v>18</v>
      </c>
      <c r="B104" s="40" t="s">
        <v>86</v>
      </c>
      <c r="C104" s="46"/>
      <c r="D104" s="46">
        <f>SUM(D99:D103)</f>
        <v>16253774</v>
      </c>
      <c r="E104" s="46"/>
      <c r="F104" s="46" t="s">
        <v>87</v>
      </c>
      <c r="G104" s="288">
        <f>IF(I104&gt;0,I104/D104,0)</f>
        <v>0.47999073410051762</v>
      </c>
      <c r="H104" s="46"/>
      <c r="I104" s="285">
        <f>SUM(I99:I103)</f>
        <v>7801660.9141639071</v>
      </c>
      <c r="J104" s="46"/>
      <c r="K104" s="46"/>
      <c r="L104" s="38"/>
      <c r="M104" s="78"/>
      <c r="N104" s="57"/>
      <c r="O104" s="96"/>
      <c r="P104" s="80"/>
      <c r="Q104" s="78"/>
      <c r="R104" s="57"/>
      <c r="S104" s="57"/>
      <c r="T104" s="57"/>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row>
    <row r="105" spans="1:64" ht="15">
      <c r="A105" s="47"/>
      <c r="C105" s="46"/>
      <c r="E105" s="46"/>
      <c r="H105" s="46"/>
      <c r="I105" s="440"/>
      <c r="J105" s="46"/>
      <c r="K105" s="93"/>
      <c r="L105" s="38"/>
      <c r="M105" s="78"/>
      <c r="N105" s="57"/>
      <c r="O105" s="80"/>
      <c r="P105" s="80"/>
      <c r="Q105" s="78"/>
      <c r="R105" s="57"/>
      <c r="S105" s="57"/>
      <c r="T105" s="57"/>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row>
    <row r="106" spans="1:64" ht="15">
      <c r="A106" s="47"/>
      <c r="B106" s="40" t="s">
        <v>88</v>
      </c>
      <c r="C106" s="46"/>
      <c r="D106" s="46"/>
      <c r="E106" s="46"/>
      <c r="F106" s="46"/>
      <c r="G106" s="46"/>
      <c r="H106" s="46"/>
      <c r="I106" s="285"/>
      <c r="J106" s="46"/>
      <c r="K106" s="46"/>
      <c r="L106" s="38"/>
      <c r="M106" s="78"/>
      <c r="N106" s="57"/>
      <c r="O106" s="80"/>
      <c r="P106" s="80"/>
      <c r="Q106" s="78"/>
      <c r="R106" s="57"/>
      <c r="S106" s="57"/>
      <c r="T106" s="57"/>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row>
    <row r="107" spans="1:64" ht="15">
      <c r="A107" s="47">
        <v>19</v>
      </c>
      <c r="B107" s="40" t="s">
        <v>89</v>
      </c>
      <c r="C107" s="46"/>
      <c r="D107" s="94">
        <v>0</v>
      </c>
      <c r="E107" s="46"/>
      <c r="F107" s="46"/>
      <c r="G107" s="97" t="s">
        <v>90</v>
      </c>
      <c r="H107" s="46"/>
      <c r="I107" s="285">
        <v>0</v>
      </c>
      <c r="J107" s="46"/>
      <c r="K107" s="93"/>
      <c r="L107" s="38"/>
      <c r="M107" s="78"/>
      <c r="N107" s="57"/>
      <c r="O107" s="98"/>
      <c r="P107" s="83"/>
      <c r="Q107" s="78"/>
      <c r="R107" s="57"/>
      <c r="S107" s="57"/>
      <c r="T107" s="57"/>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row>
    <row r="108" spans="1:64" ht="15">
      <c r="A108" s="47">
        <v>20</v>
      </c>
      <c r="B108" s="40" t="s">
        <v>91</v>
      </c>
      <c r="C108" s="46"/>
      <c r="D108" s="94">
        <v>0</v>
      </c>
      <c r="E108" s="46"/>
      <c r="F108" s="46" t="s">
        <v>92</v>
      </c>
      <c r="G108" s="91">
        <f>+G104</f>
        <v>0.47999073410051762</v>
      </c>
      <c r="H108" s="46"/>
      <c r="I108" s="285">
        <f>D108*G108</f>
        <v>0</v>
      </c>
      <c r="J108" s="46"/>
      <c r="K108" s="93"/>
      <c r="L108" s="38"/>
      <c r="M108" s="78"/>
      <c r="N108" s="57"/>
      <c r="O108" s="98"/>
      <c r="P108" s="83"/>
      <c r="Q108" s="78"/>
      <c r="R108" s="57"/>
      <c r="S108" s="57"/>
      <c r="T108" s="57"/>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row>
    <row r="109" spans="1:64" ht="15">
      <c r="A109" s="47">
        <v>21</v>
      </c>
      <c r="B109" s="40" t="s">
        <v>93</v>
      </c>
      <c r="C109" s="46"/>
      <c r="D109" s="90">
        <v>0</v>
      </c>
      <c r="E109" s="46"/>
      <c r="F109" s="46" t="s">
        <v>92</v>
      </c>
      <c r="G109" s="91">
        <f>+G108</f>
        <v>0.47999073410051762</v>
      </c>
      <c r="H109" s="46"/>
      <c r="I109" s="285">
        <f>D109*G109</f>
        <v>0</v>
      </c>
      <c r="J109" s="46"/>
      <c r="K109" s="93"/>
      <c r="L109" s="38"/>
      <c r="M109" s="78"/>
      <c r="N109" s="57"/>
      <c r="O109" s="98"/>
      <c r="P109" s="83"/>
      <c r="Q109" s="78"/>
      <c r="R109" s="57"/>
      <c r="S109" s="57"/>
      <c r="T109" s="57"/>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row>
    <row r="110" spans="1:64" ht="15">
      <c r="A110" s="47">
        <v>22</v>
      </c>
      <c r="B110" s="40" t="s">
        <v>94</v>
      </c>
      <c r="C110" s="46"/>
      <c r="D110" s="90">
        <v>0</v>
      </c>
      <c r="E110" s="46"/>
      <c r="F110" s="46" t="str">
        <f>+F109</f>
        <v>NP</v>
      </c>
      <c r="G110" s="91">
        <f>+G109</f>
        <v>0.47999073410051762</v>
      </c>
      <c r="H110" s="46"/>
      <c r="I110" s="285">
        <f>D110*G110</f>
        <v>0</v>
      </c>
      <c r="J110" s="46"/>
      <c r="K110" s="93"/>
      <c r="L110" s="38"/>
      <c r="M110" s="78"/>
      <c r="N110" s="57"/>
      <c r="O110" s="98"/>
      <c r="P110" s="83"/>
      <c r="Q110" s="78"/>
      <c r="R110" s="57"/>
      <c r="S110" s="57"/>
      <c r="T110" s="57"/>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row>
    <row r="111" spans="1:64" ht="15.75" thickBot="1">
      <c r="A111" s="47">
        <v>23</v>
      </c>
      <c r="B111" s="306" t="s">
        <v>95</v>
      </c>
      <c r="D111" s="92">
        <v>0</v>
      </c>
      <c r="E111" s="46"/>
      <c r="F111" s="46" t="s">
        <v>92</v>
      </c>
      <c r="G111" s="91">
        <f>+G109</f>
        <v>0.47999073410051762</v>
      </c>
      <c r="H111" s="46"/>
      <c r="I111" s="438">
        <f>D111*G111</f>
        <v>0</v>
      </c>
      <c r="J111" s="46"/>
      <c r="K111" s="46"/>
      <c r="L111" s="38"/>
      <c r="M111" s="78"/>
      <c r="N111" s="57"/>
      <c r="O111" s="95"/>
      <c r="P111" s="80"/>
      <c r="Q111" s="78"/>
      <c r="R111" s="57"/>
      <c r="S111" s="57"/>
      <c r="T111" s="57"/>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row>
    <row r="112" spans="1:64" ht="15">
      <c r="A112" s="47">
        <v>24</v>
      </c>
      <c r="B112" s="40" t="s">
        <v>96</v>
      </c>
      <c r="C112" s="46"/>
      <c r="D112" s="46">
        <f>SUM(D107:D111)</f>
        <v>0</v>
      </c>
      <c r="E112" s="46"/>
      <c r="F112" s="46"/>
      <c r="G112" s="46"/>
      <c r="H112" s="46"/>
      <c r="I112" s="285">
        <f>SUM(I107:I111)</f>
        <v>0</v>
      </c>
      <c r="J112" s="46"/>
      <c r="K112" s="93"/>
      <c r="L112" s="38"/>
      <c r="M112" s="78"/>
      <c r="N112" s="57"/>
      <c r="O112" s="80"/>
      <c r="P112" s="80"/>
      <c r="Q112" s="78"/>
      <c r="R112" s="57"/>
      <c r="S112" s="57"/>
      <c r="T112" s="57"/>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row>
    <row r="113" spans="1:64" ht="15">
      <c r="A113" s="47"/>
      <c r="B113" s="40"/>
      <c r="C113" s="46"/>
      <c r="D113" s="46"/>
      <c r="E113" s="46"/>
      <c r="F113" s="46"/>
      <c r="G113" s="46"/>
      <c r="H113" s="46"/>
      <c r="I113" s="285"/>
      <c r="J113" s="46"/>
      <c r="K113" s="93"/>
      <c r="L113" s="38"/>
      <c r="M113" s="78"/>
      <c r="N113" s="57"/>
      <c r="O113" s="80"/>
      <c r="P113" s="80"/>
      <c r="Q113" s="78"/>
      <c r="R113" s="57"/>
      <c r="S113" s="57"/>
      <c r="T113" s="57"/>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row>
    <row r="114" spans="1:64" ht="15">
      <c r="A114" s="47">
        <v>25</v>
      </c>
      <c r="B114" s="40" t="s">
        <v>97</v>
      </c>
      <c r="C114" s="46" t="s">
        <v>485</v>
      </c>
      <c r="D114" s="94">
        <v>0</v>
      </c>
      <c r="E114" s="46"/>
      <c r="F114" s="46" t="str">
        <f>+F92</f>
        <v>TP</v>
      </c>
      <c r="G114" s="91">
        <f>+G92</f>
        <v>1</v>
      </c>
      <c r="H114" s="46"/>
      <c r="I114" s="285">
        <f>+G114*D114</f>
        <v>0</v>
      </c>
      <c r="J114" s="46"/>
      <c r="K114" s="46"/>
      <c r="L114" s="38"/>
      <c r="M114" s="78"/>
      <c r="N114" s="57"/>
      <c r="O114" s="80"/>
      <c r="P114" s="80"/>
      <c r="Q114" s="78"/>
      <c r="R114" s="57"/>
      <c r="S114" s="57"/>
      <c r="T114" s="57"/>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row>
    <row r="115" spans="1:64" ht="15">
      <c r="A115" s="47"/>
      <c r="B115" s="40"/>
      <c r="C115" s="46"/>
      <c r="D115" s="46"/>
      <c r="E115" s="46"/>
      <c r="F115" s="46"/>
      <c r="G115" s="46"/>
      <c r="H115" s="46"/>
      <c r="I115" s="285"/>
      <c r="J115" s="46"/>
      <c r="K115" s="46"/>
      <c r="L115" s="38"/>
      <c r="M115" s="78"/>
      <c r="N115" s="57"/>
      <c r="O115" s="80"/>
      <c r="P115" s="80"/>
      <c r="Q115" s="78"/>
      <c r="R115" s="57"/>
      <c r="S115" s="57"/>
      <c r="T115" s="57"/>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row>
    <row r="116" spans="1:64" ht="15">
      <c r="A116" s="47"/>
      <c r="B116" s="40" t="s">
        <v>98</v>
      </c>
      <c r="C116" s="46" t="s">
        <v>99</v>
      </c>
      <c r="D116" s="46"/>
      <c r="E116" s="46"/>
      <c r="F116" s="46"/>
      <c r="G116" s="46"/>
      <c r="H116" s="46"/>
      <c r="I116" s="285"/>
      <c r="J116" s="46"/>
      <c r="K116" s="46"/>
      <c r="L116" s="38"/>
      <c r="M116" s="78"/>
      <c r="N116" s="57"/>
      <c r="O116" s="80"/>
      <c r="P116" s="80"/>
      <c r="Q116" s="78"/>
      <c r="R116" s="57"/>
      <c r="S116" s="57"/>
      <c r="T116" s="57"/>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row>
    <row r="117" spans="1:64" ht="15">
      <c r="A117" s="47">
        <v>26</v>
      </c>
      <c r="B117" s="40" t="s">
        <v>100</v>
      </c>
      <c r="D117" s="46">
        <f>D158/8</f>
        <v>104387.875</v>
      </c>
      <c r="E117" s="46"/>
      <c r="F117" s="46"/>
      <c r="G117" s="93"/>
      <c r="H117" s="46"/>
      <c r="I117" s="285">
        <f>I158/8</f>
        <v>13912.770690687832</v>
      </c>
      <c r="J117" s="41"/>
      <c r="K117" s="93"/>
      <c r="L117" s="38"/>
      <c r="M117" s="78"/>
      <c r="N117" s="57"/>
      <c r="O117" s="99" t="s">
        <v>11</v>
      </c>
      <c r="P117" s="100"/>
      <c r="Q117" s="78"/>
      <c r="R117" s="57"/>
      <c r="S117" s="57"/>
      <c r="T117" s="57"/>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row>
    <row r="118" spans="1:64" ht="15">
      <c r="A118" s="47">
        <v>27</v>
      </c>
      <c r="B118" s="40" t="s">
        <v>101</v>
      </c>
      <c r="C118" s="63" t="s">
        <v>102</v>
      </c>
      <c r="D118" s="94">
        <v>0</v>
      </c>
      <c r="E118" s="46"/>
      <c r="F118" s="46" t="s">
        <v>103</v>
      </c>
      <c r="G118" s="91">
        <f>I229</f>
        <v>1</v>
      </c>
      <c r="H118" s="46"/>
      <c r="I118" s="285">
        <f>G118*D118</f>
        <v>0</v>
      </c>
      <c r="J118" s="46" t="s">
        <v>11</v>
      </c>
      <c r="K118" s="93"/>
      <c r="L118" s="38"/>
      <c r="M118" s="78"/>
      <c r="N118" s="57"/>
      <c r="O118" s="99" t="s">
        <v>11</v>
      </c>
      <c r="P118" s="83"/>
      <c r="Q118" s="78"/>
      <c r="R118" s="57"/>
      <c r="S118" s="57"/>
      <c r="T118" s="57"/>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row>
    <row r="119" spans="1:64" ht="15.75" thickBot="1">
      <c r="A119" s="47">
        <v>28</v>
      </c>
      <c r="B119" s="40" t="s">
        <v>104</v>
      </c>
      <c r="C119" s="101" t="s">
        <v>234</v>
      </c>
      <c r="D119" s="92">
        <f>'EIA412 BALANCE SHEET'!C46</f>
        <v>47211</v>
      </c>
      <c r="E119" s="46"/>
      <c r="F119" s="46" t="s">
        <v>105</v>
      </c>
      <c r="G119" s="91">
        <f>+G88</f>
        <v>0.2672324450696259</v>
      </c>
      <c r="H119" s="46"/>
      <c r="I119" s="438">
        <f>+G119*D119</f>
        <v>12616.310964182108</v>
      </c>
      <c r="J119" s="46"/>
      <c r="K119" s="93"/>
      <c r="L119" s="38"/>
      <c r="M119" s="78"/>
      <c r="N119" s="57"/>
      <c r="O119" s="99" t="s">
        <v>11</v>
      </c>
      <c r="P119" s="83"/>
      <c r="Q119" s="78"/>
      <c r="R119" s="57"/>
      <c r="S119" s="57"/>
      <c r="T119" s="57"/>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row>
    <row r="120" spans="1:64" ht="15">
      <c r="A120" s="47">
        <v>29</v>
      </c>
      <c r="B120" s="40" t="s">
        <v>106</v>
      </c>
      <c r="C120" s="41"/>
      <c r="D120" s="46">
        <f>D117+D118+D119</f>
        <v>151598.875</v>
      </c>
      <c r="E120" s="41"/>
      <c r="F120" s="41"/>
      <c r="G120" s="41"/>
      <c r="H120" s="41"/>
      <c r="I120" s="285">
        <f>I117+I118+I119</f>
        <v>26529.08165486994</v>
      </c>
      <c r="J120" s="41"/>
      <c r="K120" s="41"/>
      <c r="L120" s="38"/>
      <c r="M120" s="78"/>
      <c r="N120" s="57"/>
      <c r="O120" s="95" t="s">
        <v>11</v>
      </c>
      <c r="P120" s="80"/>
      <c r="Q120" s="78"/>
      <c r="R120" s="57"/>
      <c r="S120" s="57"/>
      <c r="T120" s="57"/>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row>
    <row r="121" spans="1:64" ht="15.75" thickBot="1">
      <c r="C121" s="46"/>
      <c r="D121" s="102"/>
      <c r="E121" s="46"/>
      <c r="F121" s="46"/>
      <c r="G121" s="46"/>
      <c r="H121" s="46"/>
      <c r="I121" s="441"/>
      <c r="J121" s="46"/>
      <c r="K121" s="46"/>
      <c r="L121" s="38"/>
      <c r="M121" s="78"/>
      <c r="N121" s="57"/>
      <c r="O121" s="80"/>
      <c r="P121" s="80"/>
      <c r="Q121" s="78"/>
      <c r="R121" s="57"/>
      <c r="S121" s="57"/>
      <c r="T121" s="57"/>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row>
    <row r="122" spans="1:64" ht="15.75" thickBot="1">
      <c r="A122" s="47">
        <v>30</v>
      </c>
      <c r="B122" s="40" t="s">
        <v>107</v>
      </c>
      <c r="C122" s="46"/>
      <c r="D122" s="103">
        <f>+D120+D114+D112+D104</f>
        <v>16405372.875</v>
      </c>
      <c r="E122" s="46"/>
      <c r="F122" s="46"/>
      <c r="G122" s="93"/>
      <c r="H122" s="46"/>
      <c r="I122" s="442">
        <f>+I120+I114+I112+I104</f>
        <v>7828189.995818777</v>
      </c>
      <c r="J122" s="46"/>
      <c r="K122" s="93"/>
      <c r="L122" s="79"/>
      <c r="M122" s="78"/>
      <c r="N122" s="57"/>
      <c r="O122" s="80"/>
      <c r="P122" s="80"/>
      <c r="Q122" s="78"/>
      <c r="R122" s="57"/>
      <c r="S122" s="57"/>
      <c r="T122" s="57"/>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row>
    <row r="123" spans="1:64" ht="15.75" thickTop="1">
      <c r="A123" s="47"/>
      <c r="B123" s="40"/>
      <c r="C123" s="46"/>
      <c r="D123" s="46"/>
      <c r="E123" s="46"/>
      <c r="F123" s="46"/>
      <c r="G123" s="46"/>
      <c r="H123" s="46"/>
      <c r="I123" s="285"/>
      <c r="J123" s="46"/>
      <c r="K123" s="46"/>
      <c r="L123" s="79"/>
      <c r="M123" s="58"/>
      <c r="N123" s="57"/>
      <c r="O123" s="80"/>
      <c r="P123" s="80"/>
      <c r="Q123" s="78"/>
      <c r="R123" s="57"/>
      <c r="S123" s="57"/>
      <c r="T123" s="57"/>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row>
    <row r="124" spans="1:64" ht="15">
      <c r="A124" s="47"/>
      <c r="B124" s="40"/>
      <c r="C124" s="46"/>
      <c r="D124" s="46"/>
      <c r="E124" s="46"/>
      <c r="F124" s="46"/>
      <c r="G124" s="46"/>
      <c r="H124" s="46"/>
      <c r="I124" s="46"/>
      <c r="J124" s="46"/>
      <c r="K124" s="46"/>
      <c r="L124" s="79"/>
      <c r="M124" s="58"/>
      <c r="N124" s="57"/>
      <c r="O124" s="80"/>
      <c r="P124" s="80"/>
      <c r="Q124" s="78"/>
      <c r="R124" s="57"/>
      <c r="S124" s="57"/>
      <c r="T124" s="57"/>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row>
    <row r="125" spans="1:64" ht="15">
      <c r="B125" s="40"/>
      <c r="C125" s="41"/>
      <c r="D125" s="41"/>
      <c r="E125" s="41"/>
      <c r="F125" s="41"/>
      <c r="G125" s="41"/>
      <c r="H125" s="41"/>
      <c r="I125" s="38"/>
      <c r="J125" s="58"/>
      <c r="K125" s="57"/>
      <c r="L125" s="79"/>
      <c r="M125" s="58"/>
      <c r="N125" s="57"/>
      <c r="O125" s="80"/>
      <c r="P125" s="80"/>
      <c r="Q125" s="78"/>
      <c r="R125" s="57"/>
      <c r="S125" s="57"/>
      <c r="T125" s="57"/>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row>
    <row r="126" spans="1:64" ht="15">
      <c r="B126" s="305"/>
      <c r="C126" s="41"/>
      <c r="D126" s="41"/>
      <c r="E126" s="41"/>
      <c r="F126" s="41"/>
      <c r="G126" s="41"/>
      <c r="H126" s="41"/>
      <c r="I126" s="76"/>
      <c r="J126" s="41"/>
      <c r="K126" s="41"/>
      <c r="L126" s="79"/>
      <c r="M126" s="58"/>
      <c r="N126" s="57"/>
      <c r="O126" s="80"/>
      <c r="P126" s="80"/>
      <c r="Q126" s="78"/>
      <c r="R126" s="57"/>
      <c r="S126" s="57"/>
      <c r="T126" s="57"/>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row>
    <row r="127" spans="1:64" ht="15">
      <c r="A127" s="47"/>
      <c r="B127" s="40"/>
      <c r="C127" s="46"/>
      <c r="D127" s="46"/>
      <c r="E127" s="46"/>
      <c r="F127" s="46"/>
      <c r="G127" s="46"/>
      <c r="H127" s="46"/>
      <c r="I127" s="46"/>
      <c r="J127" s="46"/>
      <c r="K127" s="46"/>
      <c r="L127" s="79"/>
      <c r="M127" s="58"/>
      <c r="N127" s="57"/>
      <c r="O127" s="80"/>
      <c r="P127" s="80"/>
      <c r="Q127" s="78"/>
      <c r="R127" s="57"/>
      <c r="S127" s="57"/>
      <c r="T127" s="57"/>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row>
    <row r="128" spans="1:64" ht="15">
      <c r="A128" s="47"/>
      <c r="B128" s="40"/>
      <c r="C128" s="46"/>
      <c r="D128" s="46"/>
      <c r="E128" s="46"/>
      <c r="F128" s="46"/>
      <c r="G128" s="46"/>
      <c r="H128" s="46"/>
      <c r="I128" s="46"/>
      <c r="J128" s="46"/>
      <c r="K128" s="46"/>
      <c r="L128" s="79"/>
      <c r="M128" s="58"/>
      <c r="N128" s="57"/>
      <c r="O128" s="80"/>
      <c r="P128" s="80"/>
      <c r="Q128" s="78"/>
      <c r="R128" s="57"/>
      <c r="S128" s="57"/>
      <c r="T128" s="57"/>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row>
    <row r="129" spans="1:64" ht="15">
      <c r="A129" s="47"/>
      <c r="B129" s="40"/>
      <c r="C129" s="46"/>
      <c r="D129" s="46"/>
      <c r="E129" s="46"/>
      <c r="F129" s="46"/>
      <c r="G129" s="46"/>
      <c r="H129" s="46"/>
      <c r="I129" s="46"/>
      <c r="J129" s="46"/>
      <c r="K129" s="46"/>
      <c r="L129" s="79"/>
      <c r="M129" s="58"/>
      <c r="N129" s="57"/>
      <c r="O129" s="80"/>
      <c r="P129" s="80"/>
      <c r="Q129" s="78"/>
      <c r="R129" s="57"/>
      <c r="S129" s="57"/>
      <c r="T129" s="57"/>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row>
    <row r="130" spans="1:64" ht="15">
      <c r="B130" s="40"/>
      <c r="C130" s="40"/>
      <c r="D130" s="43"/>
      <c r="E130" s="40"/>
      <c r="F130" s="40"/>
      <c r="G130" s="40"/>
      <c r="H130" s="41"/>
      <c r="I130" s="42"/>
      <c r="J130" s="42"/>
      <c r="K130" s="42"/>
      <c r="L130" s="42"/>
      <c r="M130" s="58"/>
      <c r="N130" s="57"/>
      <c r="O130" s="58"/>
      <c r="P130" s="58"/>
      <c r="Q130" s="58"/>
      <c r="R130" s="57"/>
      <c r="S130" s="57"/>
      <c r="T130" s="57"/>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row>
    <row r="131" spans="1:64" ht="15">
      <c r="B131" s="40"/>
      <c r="C131" s="40"/>
      <c r="D131" s="43"/>
      <c r="E131" s="40"/>
      <c r="F131" s="40"/>
      <c r="G131" s="40"/>
      <c r="H131" s="41"/>
      <c r="I131" s="42"/>
      <c r="J131" s="42"/>
      <c r="K131" s="42"/>
      <c r="L131" s="42"/>
      <c r="M131" s="58"/>
      <c r="N131" s="57"/>
      <c r="O131" s="58"/>
      <c r="P131" s="58"/>
      <c r="Q131" s="58"/>
      <c r="R131" s="57"/>
      <c r="S131" s="57"/>
      <c r="T131" s="57"/>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row>
    <row r="132" spans="1:64" ht="15">
      <c r="B132" s="40"/>
      <c r="C132" s="40"/>
      <c r="D132" s="43"/>
      <c r="E132" s="40"/>
      <c r="F132" s="40"/>
      <c r="G132" s="40"/>
      <c r="H132" s="41"/>
      <c r="I132" s="42"/>
      <c r="J132" s="42"/>
      <c r="K132" s="42"/>
      <c r="L132" s="42"/>
      <c r="M132" s="58"/>
      <c r="N132" s="57"/>
      <c r="O132" s="58"/>
      <c r="P132" s="58"/>
      <c r="Q132" s="58"/>
      <c r="R132" s="57"/>
      <c r="S132" s="57"/>
      <c r="T132" s="57"/>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row>
    <row r="133" spans="1:64" ht="15">
      <c r="B133" s="391"/>
      <c r="C133" s="391"/>
      <c r="D133" s="43"/>
      <c r="E133" s="391"/>
      <c r="F133" s="391"/>
      <c r="G133" s="391"/>
      <c r="H133" s="41"/>
      <c r="I133" s="392"/>
      <c r="J133" s="392"/>
      <c r="K133" s="392"/>
      <c r="L133" s="392"/>
      <c r="M133" s="58"/>
      <c r="N133" s="57"/>
      <c r="O133" s="58"/>
      <c r="P133" s="58"/>
      <c r="Q133" s="58"/>
      <c r="R133" s="57"/>
      <c r="S133" s="57"/>
      <c r="T133" s="57"/>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row>
    <row r="134" spans="1:64" ht="15">
      <c r="B134" s="391"/>
      <c r="C134" s="391"/>
      <c r="D134" s="43"/>
      <c r="E134" s="391"/>
      <c r="F134" s="391"/>
      <c r="G134" s="391"/>
      <c r="H134" s="41"/>
      <c r="I134" s="392"/>
      <c r="J134" s="392"/>
      <c r="K134" s="392"/>
      <c r="L134" s="392"/>
      <c r="M134" s="58"/>
      <c r="N134" s="57"/>
      <c r="O134" s="58"/>
      <c r="P134" s="58"/>
      <c r="Q134" s="58"/>
      <c r="R134" s="57"/>
      <c r="S134" s="57"/>
      <c r="T134" s="57"/>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row>
    <row r="135" spans="1:64" ht="15">
      <c r="B135" s="391"/>
      <c r="C135" s="391"/>
      <c r="D135" s="43"/>
      <c r="E135" s="391"/>
      <c r="F135" s="391"/>
      <c r="G135" s="391"/>
      <c r="H135" s="41"/>
      <c r="I135" s="392"/>
      <c r="J135" s="392"/>
      <c r="K135" s="392"/>
      <c r="L135" s="392"/>
      <c r="M135" s="58"/>
      <c r="N135" s="57"/>
      <c r="O135" s="58"/>
      <c r="P135" s="58"/>
      <c r="Q135" s="58"/>
      <c r="R135" s="57"/>
      <c r="S135" s="57"/>
      <c r="T135" s="57"/>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row>
    <row r="136" spans="1:64" ht="15">
      <c r="B136" s="391"/>
      <c r="C136" s="391"/>
      <c r="D136" s="43"/>
      <c r="E136" s="391"/>
      <c r="F136" s="391"/>
      <c r="G136" s="391"/>
      <c r="H136" s="41"/>
      <c r="I136" s="392"/>
      <c r="J136" s="392"/>
      <c r="K136" s="392"/>
      <c r="L136" s="392"/>
      <c r="M136" s="58"/>
      <c r="N136" s="57"/>
      <c r="O136" s="58"/>
      <c r="P136" s="58"/>
      <c r="Q136" s="58"/>
      <c r="R136" s="57"/>
      <c r="S136" s="57"/>
      <c r="T136" s="57"/>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row>
    <row r="137" spans="1:64" ht="15">
      <c r="B137" s="391"/>
      <c r="C137" s="391"/>
      <c r="D137" s="43"/>
      <c r="E137" s="391"/>
      <c r="F137" s="391"/>
      <c r="G137" s="391"/>
      <c r="H137" s="41"/>
      <c r="I137" s="392"/>
      <c r="J137" s="392"/>
      <c r="K137" s="392"/>
      <c r="L137" s="392"/>
      <c r="M137" s="58"/>
      <c r="N137" s="57"/>
      <c r="O137" s="58"/>
      <c r="P137" s="58"/>
      <c r="Q137" s="58"/>
      <c r="R137" s="57"/>
      <c r="S137" s="57"/>
      <c r="T137" s="57"/>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row>
    <row r="138" spans="1:64" ht="15">
      <c r="B138" s="40"/>
      <c r="C138" s="40"/>
      <c r="D138" s="43"/>
      <c r="E138" s="40"/>
      <c r="F138" s="40"/>
      <c r="G138" s="40"/>
      <c r="H138" s="517" t="str">
        <f>H1</f>
        <v>Attachment O-EIA Non-Levelized Generic</v>
      </c>
      <c r="I138" s="517"/>
      <c r="J138" s="517"/>
      <c r="K138" s="517"/>
      <c r="L138" s="517"/>
      <c r="M138" s="58"/>
      <c r="N138" s="57"/>
      <c r="O138" s="58"/>
      <c r="P138" s="58"/>
      <c r="Q138" s="58"/>
      <c r="R138" s="57"/>
      <c r="S138" s="57"/>
      <c r="T138" s="57"/>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row>
    <row r="139" spans="1:64" ht="15">
      <c r="B139" s="40"/>
      <c r="C139" s="40"/>
      <c r="D139" s="43"/>
      <c r="E139" s="40"/>
      <c r="F139" s="40"/>
      <c r="G139" s="40"/>
      <c r="H139" s="41"/>
      <c r="I139" s="41"/>
      <c r="J139" s="41"/>
      <c r="K139" s="518" t="s">
        <v>108</v>
      </c>
      <c r="L139" s="518"/>
      <c r="M139" s="58"/>
      <c r="N139" s="57"/>
      <c r="O139" s="58"/>
      <c r="P139" s="58"/>
      <c r="Q139" s="58"/>
      <c r="R139" s="57"/>
      <c r="S139" s="57"/>
      <c r="T139" s="57"/>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row>
    <row r="140" spans="1:64" ht="15">
      <c r="A140" s="47"/>
      <c r="B140" s="40"/>
      <c r="C140" s="46"/>
      <c r="D140" s="46"/>
      <c r="E140" s="46"/>
      <c r="F140" s="46"/>
      <c r="G140" s="46"/>
      <c r="H140" s="46"/>
      <c r="I140" s="46"/>
      <c r="J140" s="46"/>
      <c r="K140" s="46"/>
      <c r="L140" s="79"/>
      <c r="M140" s="58"/>
      <c r="N140" s="57"/>
      <c r="O140" s="80"/>
      <c r="P140" s="80"/>
      <c r="Q140" s="78"/>
      <c r="R140" s="57"/>
      <c r="S140" s="57"/>
      <c r="T140" s="57"/>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row>
    <row r="141" spans="1:64" ht="15">
      <c r="A141" s="47"/>
      <c r="B141" s="40" t="str">
        <f>B4</f>
        <v xml:space="preserve">Formula Rate - Non-Levelized </v>
      </c>
      <c r="C141" s="46"/>
      <c r="D141" s="46" t="str">
        <f>D4</f>
        <v xml:space="preserve">   Rate Formula Template</v>
      </c>
      <c r="E141" s="46"/>
      <c r="F141" s="46"/>
      <c r="G141" s="46"/>
      <c r="H141" s="46"/>
      <c r="I141" s="46" t="str">
        <f>I4</f>
        <v>For the 12 months ended 12/31/15</v>
      </c>
      <c r="J141" s="46"/>
      <c r="K141" s="46"/>
      <c r="L141" s="79"/>
      <c r="M141" s="78"/>
      <c r="N141" s="57"/>
      <c r="O141" s="80"/>
      <c r="P141" s="80"/>
      <c r="Q141" s="78"/>
      <c r="R141" s="57"/>
      <c r="S141" s="57"/>
      <c r="T141" s="57"/>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row>
    <row r="142" spans="1:64" ht="15">
      <c r="A142" s="47"/>
      <c r="B142" s="40"/>
      <c r="C142" s="46"/>
      <c r="D142" s="46" t="str">
        <f>D5</f>
        <v>Utilizing EIA Form 412 Data</v>
      </c>
      <c r="E142" s="46"/>
      <c r="F142" s="46"/>
      <c r="G142" s="46"/>
      <c r="H142" s="46"/>
      <c r="I142" s="46"/>
      <c r="J142" s="46"/>
      <c r="K142" s="46"/>
      <c r="L142" s="79"/>
      <c r="M142" s="78"/>
      <c r="N142" s="57"/>
      <c r="O142" s="80"/>
      <c r="P142" s="80"/>
      <c r="Q142" s="78"/>
      <c r="R142" s="57"/>
      <c r="S142" s="57"/>
      <c r="T142" s="57"/>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row>
    <row r="143" spans="1:64" ht="15">
      <c r="A143" s="47"/>
      <c r="C143" s="46"/>
      <c r="D143" s="46"/>
      <c r="E143" s="46"/>
      <c r="F143" s="46"/>
      <c r="G143" s="46"/>
      <c r="H143" s="46"/>
      <c r="I143" s="46"/>
      <c r="J143" s="46"/>
      <c r="K143" s="46"/>
      <c r="L143" s="79"/>
      <c r="M143" s="78"/>
      <c r="N143" s="57"/>
      <c r="O143" s="80"/>
      <c r="P143" s="80"/>
      <c r="Q143" s="78"/>
      <c r="R143" s="57"/>
      <c r="S143" s="57"/>
      <c r="T143" s="57"/>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row>
    <row r="144" spans="1:64" ht="15">
      <c r="A144" s="47"/>
      <c r="C144" s="63"/>
      <c r="D144" s="63" t="str">
        <f>D7</f>
        <v>Glencoe</v>
      </c>
      <c r="E144" s="63"/>
      <c r="F144" s="63"/>
      <c r="G144" s="63"/>
      <c r="H144" s="63"/>
      <c r="I144" s="63"/>
      <c r="J144" s="46"/>
      <c r="K144" s="46"/>
      <c r="L144" s="79"/>
      <c r="M144" s="78"/>
      <c r="N144" s="57"/>
      <c r="O144" s="80"/>
      <c r="P144" s="80"/>
      <c r="Q144" s="78"/>
      <c r="R144" s="57"/>
      <c r="S144" s="57"/>
      <c r="T144" s="57"/>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row>
    <row r="145" spans="1:64" ht="15">
      <c r="A145" s="47"/>
      <c r="B145" s="44" t="s">
        <v>60</v>
      </c>
      <c r="C145" s="44" t="s">
        <v>61</v>
      </c>
      <c r="D145" s="44" t="s">
        <v>62</v>
      </c>
      <c r="E145" s="46" t="s">
        <v>11</v>
      </c>
      <c r="F145" s="46"/>
      <c r="G145" s="81" t="s">
        <v>63</v>
      </c>
      <c r="H145" s="46"/>
      <c r="I145" s="82" t="s">
        <v>64</v>
      </c>
      <c r="J145" s="46"/>
      <c r="K145" s="46"/>
      <c r="L145" s="79"/>
      <c r="M145" s="78"/>
      <c r="N145" s="57"/>
      <c r="O145" s="58"/>
      <c r="P145" s="80"/>
      <c r="Q145" s="78"/>
      <c r="R145" s="57"/>
      <c r="S145" s="57"/>
      <c r="T145" s="57"/>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row>
    <row r="146" spans="1:64" ht="15.75">
      <c r="A146" s="47" t="s">
        <v>16</v>
      </c>
      <c r="B146" s="40"/>
      <c r="C146" s="84" t="s">
        <v>508</v>
      </c>
      <c r="D146" s="46"/>
      <c r="E146" s="46"/>
      <c r="F146" s="46"/>
      <c r="G146" s="44"/>
      <c r="H146" s="46"/>
      <c r="I146" s="85" t="s">
        <v>5</v>
      </c>
      <c r="J146" s="46"/>
      <c r="K146" s="85"/>
      <c r="L146" s="46"/>
      <c r="M146" s="78"/>
      <c r="N146" s="57"/>
      <c r="O146" s="104"/>
      <c r="P146" s="80"/>
      <c r="Q146" s="78"/>
      <c r="R146" s="57"/>
      <c r="S146" s="57"/>
      <c r="T146" s="57"/>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row>
    <row r="147" spans="1:64" ht="16.5" thickBot="1">
      <c r="A147" s="51" t="s">
        <v>18</v>
      </c>
      <c r="B147" s="40"/>
      <c r="C147" s="86" t="s">
        <v>509</v>
      </c>
      <c r="D147" s="85" t="s">
        <v>65</v>
      </c>
      <c r="E147" s="87"/>
      <c r="F147" s="85" t="s">
        <v>66</v>
      </c>
      <c r="G147" s="63"/>
      <c r="H147" s="87"/>
      <c r="I147" s="88" t="s">
        <v>67</v>
      </c>
      <c r="J147" s="46"/>
      <c r="K147" s="105"/>
      <c r="L147" s="106"/>
      <c r="M147" s="80"/>
      <c r="N147" s="57"/>
      <c r="O147" s="107"/>
      <c r="P147" s="80"/>
      <c r="Q147" s="78"/>
      <c r="R147" s="57"/>
      <c r="S147" s="57"/>
      <c r="T147" s="57"/>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row>
    <row r="148" spans="1:64" ht="15">
      <c r="A148" s="47"/>
      <c r="B148" s="40" t="s">
        <v>571</v>
      </c>
      <c r="C148" s="46"/>
      <c r="D148" s="46"/>
      <c r="E148" s="46"/>
      <c r="F148" s="46"/>
      <c r="G148" s="46"/>
      <c r="H148" s="46"/>
      <c r="I148" s="46"/>
      <c r="J148" s="46"/>
      <c r="K148" s="46"/>
      <c r="L148" s="79"/>
      <c r="M148" s="78"/>
      <c r="N148" s="57"/>
      <c r="O148" s="80"/>
      <c r="P148" s="80"/>
      <c r="Q148" s="78"/>
      <c r="R148" s="57"/>
      <c r="S148" s="57"/>
      <c r="T148" s="57"/>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row>
    <row r="149" spans="1:64" ht="15">
      <c r="A149" s="47">
        <v>1</v>
      </c>
      <c r="B149" s="40" t="s">
        <v>109</v>
      </c>
      <c r="C149" s="63" t="s">
        <v>486</v>
      </c>
      <c r="D149" s="94">
        <f>'EIA412 OP &amp; MAINT'!F21</f>
        <v>100736</v>
      </c>
      <c r="E149" s="46"/>
      <c r="F149" s="46" t="s">
        <v>103</v>
      </c>
      <c r="G149" s="91">
        <f>I229</f>
        <v>1</v>
      </c>
      <c r="H149" s="46"/>
      <c r="I149" s="285">
        <f t="shared" ref="I149:I157" si="1">+G149*D149</f>
        <v>100736</v>
      </c>
      <c r="J149" s="41"/>
      <c r="K149" s="46"/>
      <c r="L149" s="79"/>
      <c r="M149" s="78"/>
      <c r="N149" s="57"/>
      <c r="O149"/>
      <c r="P149" s="83"/>
      <c r="Q149" s="80"/>
      <c r="R149" s="57"/>
      <c r="S149" s="57"/>
      <c r="T149" s="57"/>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row>
    <row r="150" spans="1:64" ht="15">
      <c r="A150" s="282" t="s">
        <v>446</v>
      </c>
      <c r="B150" s="283" t="s">
        <v>447</v>
      </c>
      <c r="C150" s="284"/>
      <c r="D150" s="94">
        <v>0</v>
      </c>
      <c r="E150" s="285"/>
      <c r="F150" s="285"/>
      <c r="G150" s="286">
        <v>1</v>
      </c>
      <c r="H150" s="285"/>
      <c r="I150" s="285">
        <f t="shared" si="1"/>
        <v>0</v>
      </c>
      <c r="J150" s="41"/>
      <c r="K150" s="46"/>
      <c r="L150" s="79"/>
      <c r="M150" s="78"/>
      <c r="N150" s="57"/>
      <c r="O150"/>
      <c r="P150" s="83"/>
      <c r="Q150" s="80"/>
      <c r="R150" s="57"/>
      <c r="S150" s="57"/>
      <c r="T150" s="57"/>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row>
    <row r="151" spans="1:64" ht="15">
      <c r="A151" s="47">
        <v>2</v>
      </c>
      <c r="B151" s="40" t="s">
        <v>110</v>
      </c>
      <c r="C151" s="63"/>
      <c r="D151" s="94">
        <v>0</v>
      </c>
      <c r="E151" s="46"/>
      <c r="F151" s="46" t="s">
        <v>103</v>
      </c>
      <c r="G151" s="91">
        <v>0</v>
      </c>
      <c r="H151" s="46"/>
      <c r="I151" s="285">
        <f t="shared" si="1"/>
        <v>0</v>
      </c>
      <c r="J151" s="41"/>
      <c r="K151" s="46"/>
      <c r="L151" s="79"/>
      <c r="M151" s="78"/>
      <c r="N151" s="57"/>
      <c r="O151"/>
      <c r="P151" s="83"/>
      <c r="Q151" s="80"/>
      <c r="R151" s="57"/>
      <c r="S151" s="57"/>
      <c r="T151" s="57"/>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row>
    <row r="152" spans="1:64" ht="15">
      <c r="A152" s="47">
        <v>3</v>
      </c>
      <c r="B152" s="40" t="s">
        <v>111</v>
      </c>
      <c r="C152" s="63" t="s">
        <v>487</v>
      </c>
      <c r="D152" s="94">
        <f>'EIA412 OP &amp; MAINT'!F29</f>
        <v>734367</v>
      </c>
      <c r="E152" s="46"/>
      <c r="F152" s="46" t="s">
        <v>74</v>
      </c>
      <c r="G152" s="91">
        <f>I236</f>
        <v>1.4388126816023392E-2</v>
      </c>
      <c r="H152" s="46"/>
      <c r="I152" s="285">
        <f t="shared" si="1"/>
        <v>10566.165525502651</v>
      </c>
      <c r="J152" s="46"/>
      <c r="K152" s="46" t="s">
        <v>11</v>
      </c>
      <c r="L152" s="79"/>
      <c r="M152" s="78"/>
      <c r="N152" s="57"/>
      <c r="O152"/>
      <c r="P152" s="83"/>
      <c r="Q152" s="78"/>
      <c r="R152" s="57"/>
      <c r="S152" s="57"/>
      <c r="T152" s="57"/>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row>
    <row r="153" spans="1:64" ht="15">
      <c r="A153" s="47">
        <v>4</v>
      </c>
      <c r="B153" s="40" t="s">
        <v>112</v>
      </c>
      <c r="C153" s="46"/>
      <c r="D153" s="94">
        <v>0</v>
      </c>
      <c r="E153" s="46"/>
      <c r="F153" s="46" t="str">
        <f>+F152</f>
        <v>W/S</v>
      </c>
      <c r="G153" s="91">
        <f>I236</f>
        <v>1.4388126816023392E-2</v>
      </c>
      <c r="H153" s="46"/>
      <c r="I153" s="285">
        <f t="shared" si="1"/>
        <v>0</v>
      </c>
      <c r="J153" s="46"/>
      <c r="K153" s="46"/>
      <c r="L153" s="79"/>
      <c r="M153" s="78"/>
      <c r="N153" s="57"/>
      <c r="O153"/>
      <c r="P153" s="83"/>
      <c r="Q153" s="78"/>
      <c r="R153" s="57"/>
      <c r="S153" s="57"/>
      <c r="T153" s="57"/>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row>
    <row r="154" spans="1:64" ht="15">
      <c r="A154" s="47">
        <v>5</v>
      </c>
      <c r="B154" s="40" t="s">
        <v>488</v>
      </c>
      <c r="C154" s="46"/>
      <c r="D154" s="94">
        <v>0</v>
      </c>
      <c r="E154" s="46"/>
      <c r="F154" s="46" t="str">
        <f>+F153</f>
        <v>W/S</v>
      </c>
      <c r="G154" s="91">
        <f>I236</f>
        <v>1.4388126816023392E-2</v>
      </c>
      <c r="H154" s="46"/>
      <c r="I154" s="285">
        <f t="shared" si="1"/>
        <v>0</v>
      </c>
      <c r="J154" s="46"/>
      <c r="K154" s="46"/>
      <c r="L154" s="79"/>
      <c r="M154" s="78"/>
      <c r="N154" s="57"/>
      <c r="O154"/>
      <c r="P154" s="83"/>
      <c r="Q154" s="78"/>
      <c r="R154" s="57"/>
      <c r="S154" s="57"/>
      <c r="T154" s="57"/>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row>
    <row r="155" spans="1:64" ht="15">
      <c r="A155" s="47" t="s">
        <v>113</v>
      </c>
      <c r="B155" s="40" t="s">
        <v>114</v>
      </c>
      <c r="C155" s="46"/>
      <c r="D155" s="94">
        <v>0</v>
      </c>
      <c r="E155" s="46"/>
      <c r="F155" s="46" t="str">
        <f>+F149</f>
        <v>TE</v>
      </c>
      <c r="G155" s="91">
        <f>+G149</f>
        <v>1</v>
      </c>
      <c r="H155" s="46"/>
      <c r="I155" s="285">
        <f t="shared" si="1"/>
        <v>0</v>
      </c>
      <c r="J155" s="46"/>
      <c r="K155" s="46"/>
      <c r="L155" s="79"/>
      <c r="M155" s="78"/>
      <c r="N155" s="57"/>
      <c r="O155"/>
      <c r="P155" s="83"/>
      <c r="Q155" s="78"/>
      <c r="R155" s="57"/>
      <c r="S155" s="57"/>
      <c r="T155" s="57"/>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row>
    <row r="156" spans="1:64" ht="15">
      <c r="A156" s="47">
        <v>6</v>
      </c>
      <c r="B156" s="40" t="s">
        <v>75</v>
      </c>
      <c r="C156" s="46"/>
      <c r="D156" s="94">
        <v>0</v>
      </c>
      <c r="E156" s="46"/>
      <c r="F156" s="46" t="s">
        <v>76</v>
      </c>
      <c r="G156" s="91">
        <f>K240</f>
        <v>1.4388126816023392E-2</v>
      </c>
      <c r="H156" s="46"/>
      <c r="I156" s="285">
        <f t="shared" si="1"/>
        <v>0</v>
      </c>
      <c r="J156" s="46"/>
      <c r="K156" s="46"/>
      <c r="L156" s="79"/>
      <c r="M156" s="78"/>
      <c r="N156" s="57"/>
      <c r="O156"/>
      <c r="P156" s="83"/>
      <c r="Q156" s="78"/>
      <c r="R156" s="57"/>
      <c r="S156" s="57"/>
      <c r="T156" s="57"/>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row>
    <row r="157" spans="1:64" ht="15.75" thickBot="1">
      <c r="A157" s="47">
        <v>7</v>
      </c>
      <c r="B157" s="40" t="s">
        <v>115</v>
      </c>
      <c r="C157" s="46"/>
      <c r="D157" s="92">
        <v>0</v>
      </c>
      <c r="E157" s="46"/>
      <c r="F157" s="46" t="s">
        <v>70</v>
      </c>
      <c r="G157" s="91">
        <v>1</v>
      </c>
      <c r="H157" s="46"/>
      <c r="I157" s="438">
        <f t="shared" si="1"/>
        <v>0</v>
      </c>
      <c r="J157" s="46"/>
      <c r="K157" s="46"/>
      <c r="L157" s="79"/>
      <c r="M157" s="78"/>
      <c r="N157" s="57"/>
      <c r="O157"/>
      <c r="P157" s="100"/>
      <c r="Q157" s="78"/>
      <c r="R157" s="57"/>
      <c r="S157" s="57"/>
      <c r="T157" s="57"/>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row>
    <row r="158" spans="1:64" ht="15">
      <c r="A158" s="47">
        <v>8</v>
      </c>
      <c r="B158" s="40" t="s">
        <v>448</v>
      </c>
      <c r="C158" s="46"/>
      <c r="D158" s="46">
        <f>+D149-D150-D151+D152-D153-D154+D155+D156+D157</f>
        <v>835103</v>
      </c>
      <c r="E158" s="46"/>
      <c r="F158" s="46"/>
      <c r="G158" s="46"/>
      <c r="H158" s="46"/>
      <c r="I158" s="285">
        <f>+I149-I150-I151+I152-I153-I154+I155+I156+I157</f>
        <v>111302.16552550266</v>
      </c>
      <c r="J158" s="46"/>
      <c r="K158" s="46"/>
      <c r="L158" s="79"/>
      <c r="M158" s="80"/>
      <c r="N158" s="57"/>
      <c r="O158"/>
      <c r="P158" s="108"/>
      <c r="Q158" s="78"/>
      <c r="R158" s="57"/>
      <c r="S158" s="57"/>
      <c r="T158" s="57"/>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row>
    <row r="159" spans="1:64" ht="15">
      <c r="A159" s="47"/>
      <c r="C159" s="46"/>
      <c r="E159" s="46"/>
      <c r="F159" s="46"/>
      <c r="G159" s="46"/>
      <c r="H159" s="46"/>
      <c r="I159" s="440"/>
      <c r="J159" s="46"/>
      <c r="K159" s="46"/>
      <c r="L159" s="79"/>
      <c r="M159" s="80"/>
      <c r="N159" s="57"/>
      <c r="O159"/>
      <c r="P159" s="80"/>
      <c r="Q159" s="78"/>
      <c r="R159" s="57"/>
      <c r="S159" s="57"/>
      <c r="T159" s="57"/>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row>
    <row r="160" spans="1:64" ht="15">
      <c r="A160" s="47"/>
      <c r="B160" s="40" t="s">
        <v>572</v>
      </c>
      <c r="C160" s="46"/>
      <c r="D160" s="46"/>
      <c r="E160" s="46"/>
      <c r="F160" s="46"/>
      <c r="G160" s="46"/>
      <c r="H160" s="46"/>
      <c r="I160" s="285"/>
      <c r="J160" s="46"/>
      <c r="K160" s="46"/>
      <c r="L160" s="79"/>
      <c r="M160" s="80"/>
      <c r="N160" s="57"/>
      <c r="O160"/>
      <c r="P160" s="80"/>
      <c r="Q160" s="78"/>
      <c r="R160" s="57"/>
      <c r="S160" s="57"/>
      <c r="T160" s="57"/>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row>
    <row r="161" spans="1:64" ht="15">
      <c r="A161" s="47">
        <v>9</v>
      </c>
      <c r="B161" s="40" t="str">
        <f>+B149</f>
        <v xml:space="preserve">  Transmission </v>
      </c>
      <c r="C161" s="63" t="s">
        <v>11</v>
      </c>
      <c r="D161" s="468">
        <f>'EIA412 ELECTRIC PLANT'!J17</f>
        <v>319865</v>
      </c>
      <c r="E161" s="46"/>
      <c r="F161" s="46" t="s">
        <v>24</v>
      </c>
      <c r="G161" s="91">
        <f>+G114</f>
        <v>1</v>
      </c>
      <c r="H161" s="46"/>
      <c r="I161" s="285">
        <f>+G161*D161</f>
        <v>319865</v>
      </c>
      <c r="J161" s="46"/>
      <c r="K161" s="93"/>
      <c r="L161" s="79"/>
      <c r="M161" s="78"/>
      <c r="N161" s="57"/>
      <c r="O161"/>
      <c r="P161" s="83"/>
      <c r="Q161" s="80"/>
      <c r="R161" s="57"/>
      <c r="S161" s="57"/>
      <c r="T161" s="57"/>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row>
    <row r="162" spans="1:64" ht="15">
      <c r="A162" s="47">
        <v>10</v>
      </c>
      <c r="B162" s="40" t="s">
        <v>573</v>
      </c>
      <c r="C162" s="63" t="s">
        <v>11</v>
      </c>
      <c r="D162" s="94">
        <f>'EIA412 ELECTRIC PLANT'!J19</f>
        <v>75972</v>
      </c>
      <c r="E162" s="46"/>
      <c r="F162" s="46" t="s">
        <v>74</v>
      </c>
      <c r="G162" s="91">
        <f>+G152</f>
        <v>1.4388126816023392E-2</v>
      </c>
      <c r="H162" s="46"/>
      <c r="I162" s="285">
        <f>+G162*D162</f>
        <v>1093.094770466929</v>
      </c>
      <c r="J162" s="46"/>
      <c r="K162" s="93"/>
      <c r="L162" s="79"/>
      <c r="M162" s="78"/>
      <c r="N162" s="57"/>
      <c r="O162"/>
      <c r="P162" s="83"/>
      <c r="Q162" s="80"/>
      <c r="R162" s="57"/>
      <c r="S162" s="57"/>
      <c r="T162" s="57"/>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row>
    <row r="163" spans="1:64" ht="15.75" thickBot="1">
      <c r="A163" s="47">
        <v>11</v>
      </c>
      <c r="B163" s="40" t="str">
        <f>+B156</f>
        <v xml:space="preserve">  Common</v>
      </c>
      <c r="C163" s="46"/>
      <c r="D163" s="92">
        <v>0</v>
      </c>
      <c r="E163" s="46"/>
      <c r="F163" s="46" t="s">
        <v>76</v>
      </c>
      <c r="G163" s="91">
        <f>+G156</f>
        <v>1.4388126816023392E-2</v>
      </c>
      <c r="H163" s="46"/>
      <c r="I163" s="438">
        <f>+G163*D163</f>
        <v>0</v>
      </c>
      <c r="J163" s="46"/>
      <c r="K163" s="93"/>
      <c r="L163" s="79"/>
      <c r="M163" s="78"/>
      <c r="N163" s="57"/>
      <c r="O163"/>
      <c r="P163" s="83"/>
      <c r="Q163" s="80"/>
      <c r="R163" s="57"/>
      <c r="S163" s="57"/>
      <c r="T163" s="57"/>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row>
    <row r="164" spans="1:64" ht="15">
      <c r="A164" s="47">
        <v>12</v>
      </c>
      <c r="B164" s="40" t="s">
        <v>116</v>
      </c>
      <c r="C164" s="46"/>
      <c r="D164" s="285">
        <f>SUM(D161:D163)</f>
        <v>395837</v>
      </c>
      <c r="E164" s="46"/>
      <c r="F164" s="46"/>
      <c r="G164" s="46"/>
      <c r="H164" s="46"/>
      <c r="I164" s="285">
        <f>SUM(I161:I163)</f>
        <v>320958.09477046691</v>
      </c>
      <c r="J164" s="46"/>
      <c r="K164" s="46"/>
      <c r="L164" s="79"/>
      <c r="M164" s="78"/>
      <c r="N164" s="57"/>
      <c r="O164"/>
      <c r="P164" s="80"/>
      <c r="Q164" s="78"/>
      <c r="R164" s="57"/>
      <c r="S164" s="57"/>
      <c r="T164" s="57"/>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row>
    <row r="165" spans="1:64" ht="15">
      <c r="A165" s="47"/>
      <c r="B165" s="40"/>
      <c r="C165" s="46"/>
      <c r="D165" s="46"/>
      <c r="E165" s="46"/>
      <c r="F165" s="46"/>
      <c r="G165" s="46"/>
      <c r="H165" s="46"/>
      <c r="I165" s="46"/>
      <c r="J165" s="46"/>
      <c r="K165" s="46"/>
      <c r="L165" s="79"/>
      <c r="M165" s="78"/>
      <c r="N165" s="57"/>
      <c r="O165"/>
      <c r="P165" s="80"/>
      <c r="Q165" s="78"/>
      <c r="R165" s="57"/>
      <c r="S165" s="57"/>
      <c r="T165" s="57"/>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row>
    <row r="166" spans="1:64" ht="15">
      <c r="A166" s="47" t="s">
        <v>11</v>
      </c>
      <c r="B166" s="40" t="s">
        <v>117</v>
      </c>
      <c r="C166" s="63"/>
      <c r="D166" s="46"/>
      <c r="E166" s="46"/>
      <c r="F166" s="46"/>
      <c r="G166" s="46"/>
      <c r="H166" s="46"/>
      <c r="I166" s="46"/>
      <c r="J166" s="46"/>
      <c r="K166" s="46"/>
      <c r="L166" s="79"/>
      <c r="M166" s="78"/>
      <c r="N166" s="57"/>
      <c r="O166"/>
      <c r="P166" s="80"/>
      <c r="Q166" s="78"/>
      <c r="R166" s="57"/>
      <c r="S166" s="57"/>
      <c r="T166" s="57"/>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row>
    <row r="167" spans="1:64" ht="15">
      <c r="A167" s="47"/>
      <c r="B167" s="40" t="s">
        <v>118</v>
      </c>
      <c r="C167" s="63"/>
      <c r="D167" s="63"/>
      <c r="E167" s="46"/>
      <c r="F167" s="46"/>
      <c r="G167" s="63"/>
      <c r="H167" s="46"/>
      <c r="I167" s="63"/>
      <c r="J167" s="46"/>
      <c r="K167" s="93"/>
      <c r="L167" s="79"/>
      <c r="M167" s="78"/>
      <c r="N167" s="57"/>
      <c r="O167"/>
      <c r="P167" s="83"/>
      <c r="Q167" s="78"/>
      <c r="R167" s="57"/>
      <c r="S167" s="57"/>
      <c r="T167" s="57"/>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row>
    <row r="168" spans="1:64" ht="15">
      <c r="A168" s="47">
        <v>13</v>
      </c>
      <c r="B168" s="40" t="s">
        <v>119</v>
      </c>
      <c r="C168" s="46"/>
      <c r="D168" s="94">
        <v>0</v>
      </c>
      <c r="E168" s="46"/>
      <c r="F168" s="46" t="s">
        <v>74</v>
      </c>
      <c r="G168" s="55">
        <f>+G162</f>
        <v>1.4388126816023392E-2</v>
      </c>
      <c r="H168" s="46"/>
      <c r="I168" s="46">
        <f>+G168*D168</f>
        <v>0</v>
      </c>
      <c r="J168" s="46"/>
      <c r="K168" s="93"/>
      <c r="L168" s="79"/>
      <c r="M168" s="78"/>
      <c r="N168" s="57"/>
      <c r="O168"/>
      <c r="P168" s="83"/>
      <c r="Q168" s="78"/>
      <c r="R168" s="57"/>
      <c r="S168" s="57"/>
      <c r="T168" s="57"/>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row>
    <row r="169" spans="1:64" ht="15">
      <c r="A169" s="47">
        <v>14</v>
      </c>
      <c r="B169" s="40" t="s">
        <v>120</v>
      </c>
      <c r="C169" s="46"/>
      <c r="D169" s="94">
        <v>0</v>
      </c>
      <c r="E169" s="46"/>
      <c r="F169" s="46" t="str">
        <f>+F168</f>
        <v>W/S</v>
      </c>
      <c r="G169" s="55">
        <f>+G168</f>
        <v>1.4388126816023392E-2</v>
      </c>
      <c r="H169" s="46"/>
      <c r="I169" s="46">
        <f>+G169*D169</f>
        <v>0</v>
      </c>
      <c r="J169" s="46"/>
      <c r="K169" s="93"/>
      <c r="L169" s="79"/>
      <c r="M169" s="78"/>
      <c r="N169" s="57"/>
      <c r="O169"/>
      <c r="P169" s="83"/>
      <c r="Q169" s="78"/>
      <c r="R169" s="57"/>
      <c r="S169" s="57"/>
      <c r="T169" s="57"/>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row>
    <row r="170" spans="1:64" ht="15">
      <c r="A170" s="47">
        <v>15</v>
      </c>
      <c r="B170" s="40" t="s">
        <v>121</v>
      </c>
      <c r="C170" s="46"/>
      <c r="D170" s="63"/>
      <c r="E170" s="46"/>
      <c r="F170" s="46"/>
      <c r="G170" s="63"/>
      <c r="H170" s="46"/>
      <c r="I170" s="63"/>
      <c r="J170" s="46"/>
      <c r="K170" s="93"/>
      <c r="L170" s="79"/>
      <c r="M170" s="78"/>
      <c r="N170" s="57"/>
      <c r="O170"/>
      <c r="P170" s="83"/>
      <c r="Q170" s="78"/>
      <c r="R170" s="57"/>
      <c r="S170" s="57"/>
      <c r="T170" s="57"/>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row>
    <row r="171" spans="1:64" ht="15">
      <c r="A171" s="47">
        <v>16</v>
      </c>
      <c r="B171" s="40" t="s">
        <v>122</v>
      </c>
      <c r="C171" s="46"/>
      <c r="D171" s="94">
        <v>0</v>
      </c>
      <c r="E171" s="46"/>
      <c r="F171" s="46" t="s">
        <v>105</v>
      </c>
      <c r="G171" s="55">
        <f>+G88</f>
        <v>0.2672324450696259</v>
      </c>
      <c r="H171" s="46"/>
      <c r="I171" s="46">
        <f>+G171*D171</f>
        <v>0</v>
      </c>
      <c r="J171" s="46"/>
      <c r="K171" s="93"/>
      <c r="L171" s="79"/>
      <c r="M171" s="78"/>
      <c r="N171" s="57"/>
      <c r="O171"/>
      <c r="P171" s="83"/>
      <c r="Q171" s="78"/>
      <c r="R171" s="57"/>
      <c r="S171" s="57"/>
      <c r="T171" s="57"/>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row>
    <row r="172" spans="1:64" ht="15">
      <c r="A172" s="47">
        <v>17</v>
      </c>
      <c r="B172" s="40" t="s">
        <v>123</v>
      </c>
      <c r="C172" s="46"/>
      <c r="D172" s="94">
        <v>0</v>
      </c>
      <c r="E172" s="46"/>
      <c r="F172" s="46" t="s">
        <v>70</v>
      </c>
      <c r="G172" s="109" t="s">
        <v>90</v>
      </c>
      <c r="H172" s="46"/>
      <c r="I172" s="46">
        <v>0</v>
      </c>
      <c r="J172" s="46"/>
      <c r="K172" s="93"/>
      <c r="L172" s="79"/>
      <c r="M172" s="78"/>
      <c r="N172" s="57"/>
      <c r="O172"/>
      <c r="P172" s="83"/>
      <c r="Q172" s="78"/>
      <c r="R172" s="57"/>
      <c r="S172" s="57"/>
      <c r="T172" s="57"/>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row>
    <row r="173" spans="1:64" ht="15">
      <c r="A173" s="47">
        <v>18</v>
      </c>
      <c r="B173" s="40" t="s">
        <v>124</v>
      </c>
      <c r="C173" s="46"/>
      <c r="D173" s="94">
        <v>0</v>
      </c>
      <c r="E173" s="46"/>
      <c r="F173" s="46" t="str">
        <f>+F171</f>
        <v>GP</v>
      </c>
      <c r="G173" s="55">
        <f>+G171</f>
        <v>0.2672324450696259</v>
      </c>
      <c r="H173" s="46"/>
      <c r="I173" s="46">
        <f>+G173*D173</f>
        <v>0</v>
      </c>
      <c r="J173" s="46"/>
      <c r="K173" s="93"/>
      <c r="L173" s="79"/>
      <c r="M173" s="78"/>
      <c r="N173" s="57"/>
      <c r="O173"/>
      <c r="P173" s="83"/>
      <c r="Q173" s="78"/>
      <c r="R173" s="57"/>
      <c r="S173" s="57"/>
      <c r="T173" s="57"/>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row>
    <row r="174" spans="1:64" ht="15.75" thickBot="1">
      <c r="A174" s="47">
        <v>19</v>
      </c>
      <c r="B174" s="40" t="s">
        <v>125</v>
      </c>
      <c r="C174" s="46"/>
      <c r="D174" s="92">
        <f>'EIA412 TAXES'!C18</f>
        <v>85000</v>
      </c>
      <c r="E174" s="46"/>
      <c r="F174" s="46" t="s">
        <v>105</v>
      </c>
      <c r="G174" s="55">
        <f>+G173</f>
        <v>0.2672324450696259</v>
      </c>
      <c r="H174" s="46"/>
      <c r="I174" s="438">
        <f>+G174*D174</f>
        <v>22714.757830918203</v>
      </c>
      <c r="J174" s="46"/>
      <c r="K174" s="93"/>
      <c r="L174" s="79"/>
      <c r="M174" s="78"/>
      <c r="N174" s="57"/>
      <c r="O174"/>
      <c r="P174" s="83"/>
      <c r="Q174" s="78"/>
      <c r="R174" s="57"/>
      <c r="S174" s="57"/>
      <c r="T174" s="57"/>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row>
    <row r="175" spans="1:64" ht="15">
      <c r="A175" s="47">
        <v>20</v>
      </c>
      <c r="B175" s="40" t="s">
        <v>126</v>
      </c>
      <c r="C175" s="46"/>
      <c r="D175" s="46">
        <f>SUM(D168:D174)</f>
        <v>85000</v>
      </c>
      <c r="E175" s="46"/>
      <c r="F175" s="46"/>
      <c r="G175" s="55"/>
      <c r="H175" s="46"/>
      <c r="I175" s="46">
        <f>SUM(I168:I174)</f>
        <v>22714.757830918203</v>
      </c>
      <c r="J175" s="46"/>
      <c r="K175" s="46"/>
      <c r="L175" s="79"/>
      <c r="M175" s="80"/>
      <c r="N175" s="57"/>
      <c r="O175"/>
      <c r="P175" s="80"/>
      <c r="Q175" s="78"/>
      <c r="R175" s="57"/>
      <c r="S175" s="57"/>
      <c r="T175" s="57"/>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row>
    <row r="176" spans="1:64" ht="15">
      <c r="A176" s="47" t="s">
        <v>127</v>
      </c>
      <c r="B176" s="40"/>
      <c r="C176" s="46"/>
      <c r="D176" s="46"/>
      <c r="E176" s="46"/>
      <c r="F176" s="46"/>
      <c r="G176" s="55"/>
      <c r="H176" s="46"/>
      <c r="I176" s="46"/>
      <c r="J176" s="46"/>
      <c r="K176" s="46"/>
      <c r="L176" s="79"/>
      <c r="M176" s="80"/>
      <c r="N176" s="57"/>
      <c r="O176" s="80"/>
      <c r="P176" s="80"/>
      <c r="Q176" s="78"/>
      <c r="R176" s="57"/>
      <c r="S176" s="57"/>
      <c r="T176" s="57"/>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row>
    <row r="177" spans="1:64" ht="15">
      <c r="A177" s="47" t="s">
        <v>11</v>
      </c>
      <c r="B177" s="40" t="s">
        <v>128</v>
      </c>
      <c r="C177" s="110" t="s">
        <v>129</v>
      </c>
      <c r="D177" s="46"/>
      <c r="E177" s="46"/>
      <c r="F177" s="46" t="s">
        <v>70</v>
      </c>
      <c r="G177" s="111"/>
      <c r="H177" s="46"/>
      <c r="I177" s="46"/>
      <c r="J177" s="46"/>
      <c r="K177" s="63"/>
      <c r="L177" s="79"/>
      <c r="M177" s="80"/>
      <c r="N177" s="57"/>
      <c r="O177" s="80"/>
      <c r="P177" s="100"/>
      <c r="Q177" s="80"/>
      <c r="R177" s="57"/>
      <c r="S177" s="57"/>
      <c r="T177" s="57"/>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row>
    <row r="178" spans="1:64" ht="15">
      <c r="A178" s="47">
        <v>21</v>
      </c>
      <c r="B178" s="112" t="s">
        <v>130</v>
      </c>
      <c r="C178" s="46"/>
      <c r="D178" s="113">
        <f>IF(D312&gt;0,1-(((1-D313)*(1-D312))/(1-D313*D312*D314)),0)</f>
        <v>0</v>
      </c>
      <c r="E178" s="46"/>
      <c r="G178" s="111"/>
      <c r="H178" s="46"/>
      <c r="J178" s="46"/>
      <c r="K178" s="63"/>
      <c r="L178" s="79"/>
      <c r="M178" s="80"/>
      <c r="N178" s="57"/>
      <c r="O178" s="80"/>
      <c r="P178" s="100"/>
      <c r="Q178" s="80"/>
      <c r="R178" s="57"/>
      <c r="S178" s="57"/>
      <c r="T178" s="57"/>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row>
    <row r="179" spans="1:64" ht="15">
      <c r="A179" s="47">
        <v>22</v>
      </c>
      <c r="B179" s="37" t="s">
        <v>131</v>
      </c>
      <c r="C179" s="46"/>
      <c r="D179" s="113">
        <f>IF(I250&gt;0,(D178/(1-D178))*(1-I248/I250),0)</f>
        <v>0</v>
      </c>
      <c r="E179" s="46"/>
      <c r="G179" s="111"/>
      <c r="H179" s="46"/>
      <c r="J179" s="46"/>
      <c r="K179" s="63"/>
      <c r="L179" s="79"/>
      <c r="M179" s="80"/>
      <c r="N179" s="57"/>
      <c r="O179" s="80"/>
      <c r="P179" s="83"/>
      <c r="Q179" s="80"/>
      <c r="R179" s="57"/>
      <c r="S179" s="57"/>
      <c r="T179" s="57"/>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row>
    <row r="180" spans="1:64" ht="15">
      <c r="A180" s="47"/>
      <c r="B180" s="40" t="s">
        <v>132</v>
      </c>
      <c r="C180" s="46"/>
      <c r="D180" s="46"/>
      <c r="E180" s="46"/>
      <c r="G180" s="111"/>
      <c r="H180" s="46"/>
      <c r="J180" s="46"/>
      <c r="K180" s="63"/>
      <c r="L180" s="79"/>
      <c r="M180" s="80"/>
      <c r="N180" s="57"/>
      <c r="O180" s="80"/>
      <c r="P180" s="83"/>
      <c r="Q180" s="80"/>
      <c r="R180" s="57"/>
      <c r="S180" s="57"/>
      <c r="T180" s="57"/>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row>
    <row r="181" spans="1:64" ht="15">
      <c r="A181" s="47"/>
      <c r="B181" s="40" t="s">
        <v>133</v>
      </c>
      <c r="C181" s="46"/>
      <c r="D181" s="46"/>
      <c r="E181" s="46"/>
      <c r="G181" s="111"/>
      <c r="H181" s="46"/>
      <c r="J181" s="46"/>
      <c r="K181" s="63"/>
      <c r="L181" s="79"/>
      <c r="M181" s="80"/>
      <c r="N181" s="57"/>
      <c r="O181" s="80"/>
      <c r="P181" s="83"/>
      <c r="Q181" s="80"/>
      <c r="R181" s="57"/>
      <c r="S181" s="57"/>
      <c r="T181" s="57"/>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row>
    <row r="182" spans="1:64" ht="15">
      <c r="A182" s="47">
        <v>23</v>
      </c>
      <c r="B182" s="112" t="s">
        <v>134</v>
      </c>
      <c r="C182" s="46"/>
      <c r="D182" s="114">
        <f>IF(D178&gt;0,1/(1-D178),0)</f>
        <v>0</v>
      </c>
      <c r="E182" s="46"/>
      <c r="G182" s="111"/>
      <c r="H182" s="46"/>
      <c r="J182" s="46"/>
      <c r="K182" s="63"/>
      <c r="L182" s="79"/>
      <c r="M182" s="78"/>
      <c r="N182" s="57"/>
      <c r="O182" s="80"/>
      <c r="P182" s="83"/>
      <c r="Q182" s="80"/>
      <c r="R182" s="57"/>
      <c r="S182" s="57"/>
      <c r="T182" s="57"/>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row>
    <row r="183" spans="1:64" ht="15">
      <c r="A183" s="47">
        <v>24</v>
      </c>
      <c r="B183" s="40" t="s">
        <v>135</v>
      </c>
      <c r="C183" s="46"/>
      <c r="D183" s="94">
        <v>0</v>
      </c>
      <c r="E183" s="46"/>
      <c r="G183" s="111"/>
      <c r="H183" s="46"/>
      <c r="J183" s="46"/>
      <c r="K183" s="63"/>
      <c r="L183" s="79"/>
      <c r="M183" s="78"/>
      <c r="N183" s="57"/>
      <c r="O183" s="80"/>
      <c r="P183" s="83"/>
      <c r="Q183" s="80"/>
      <c r="R183" s="57"/>
      <c r="S183" s="57"/>
      <c r="T183" s="57"/>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row>
    <row r="184" spans="1:64" ht="15">
      <c r="A184" s="47"/>
      <c r="B184" s="40"/>
      <c r="C184" s="46"/>
      <c r="D184" s="46"/>
      <c r="E184" s="46"/>
      <c r="G184" s="111"/>
      <c r="H184" s="46"/>
      <c r="J184" s="46"/>
      <c r="K184" s="63"/>
      <c r="L184" s="79"/>
      <c r="M184" s="78"/>
      <c r="N184" s="57"/>
      <c r="O184" s="80"/>
      <c r="P184" s="83"/>
      <c r="Q184" s="80"/>
      <c r="R184" s="57"/>
      <c r="S184" s="57"/>
      <c r="T184" s="57"/>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row>
    <row r="185" spans="1:64" ht="15">
      <c r="A185" s="47">
        <v>25</v>
      </c>
      <c r="B185" s="112" t="s">
        <v>136</v>
      </c>
      <c r="C185" s="110"/>
      <c r="D185" s="46">
        <f>D179*D189</f>
        <v>0</v>
      </c>
      <c r="E185" s="46"/>
      <c r="F185" s="46" t="s">
        <v>70</v>
      </c>
      <c r="G185" s="55"/>
      <c r="H185" s="46"/>
      <c r="I185" s="46">
        <f>D179*I189</f>
        <v>0</v>
      </c>
      <c r="J185" s="46"/>
      <c r="K185" s="63"/>
      <c r="L185" s="79"/>
      <c r="M185" s="78"/>
      <c r="N185" s="57"/>
      <c r="O185" s="80"/>
      <c r="P185" s="83"/>
      <c r="Q185" s="80"/>
      <c r="R185" s="57"/>
      <c r="S185" s="57"/>
      <c r="T185" s="57"/>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row>
    <row r="186" spans="1:64" ht="15.75" thickBot="1">
      <c r="A186" s="47">
        <v>26</v>
      </c>
      <c r="B186" s="37" t="s">
        <v>137</v>
      </c>
      <c r="C186" s="110"/>
      <c r="D186" s="61">
        <f>D182*D183</f>
        <v>0</v>
      </c>
      <c r="E186" s="46"/>
      <c r="F186" s="37" t="s">
        <v>92</v>
      </c>
      <c r="G186" s="55">
        <f>G104</f>
        <v>0.47999073410051762</v>
      </c>
      <c r="H186" s="46"/>
      <c r="I186" s="61">
        <f>G186*D186</f>
        <v>0</v>
      </c>
      <c r="J186" s="46"/>
      <c r="K186" s="63"/>
      <c r="L186" s="79"/>
      <c r="M186" s="80"/>
      <c r="N186" s="57"/>
      <c r="O186" s="80"/>
      <c r="P186" s="83"/>
      <c r="Q186" s="80"/>
      <c r="R186" s="57"/>
      <c r="S186" s="57"/>
      <c r="T186" s="57"/>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row>
    <row r="187" spans="1:64" ht="15">
      <c r="A187" s="47">
        <v>27</v>
      </c>
      <c r="B187" s="112" t="s">
        <v>138</v>
      </c>
      <c r="C187" s="37" t="s">
        <v>139</v>
      </c>
      <c r="D187" s="115">
        <f>+D185+D186</f>
        <v>0</v>
      </c>
      <c r="E187" s="46"/>
      <c r="F187" s="46" t="s">
        <v>11</v>
      </c>
      <c r="G187" s="55" t="s">
        <v>11</v>
      </c>
      <c r="H187" s="46"/>
      <c r="I187" s="115">
        <f>+I185+I186</f>
        <v>0</v>
      </c>
      <c r="J187" s="46"/>
      <c r="K187" s="63"/>
      <c r="L187" s="79"/>
      <c r="M187" s="80"/>
      <c r="N187" s="57"/>
      <c r="O187" s="80"/>
      <c r="P187" s="83"/>
      <c r="Q187" s="80"/>
      <c r="R187" s="57"/>
      <c r="S187" s="57"/>
      <c r="T187" s="57"/>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row>
    <row r="188" spans="1:64" ht="15">
      <c r="A188" s="47" t="s">
        <v>11</v>
      </c>
      <c r="C188" s="116"/>
      <c r="D188" s="46"/>
      <c r="E188" s="46"/>
      <c r="F188" s="46"/>
      <c r="G188" s="55"/>
      <c r="H188" s="46"/>
      <c r="I188" s="46"/>
      <c r="J188" s="46"/>
      <c r="K188" s="46"/>
      <c r="L188" s="79"/>
      <c r="M188" s="80"/>
      <c r="N188" s="57"/>
      <c r="O188" s="80"/>
      <c r="P188" s="80"/>
      <c r="Q188" s="78"/>
      <c r="R188" s="57"/>
      <c r="S188" s="57"/>
      <c r="T188" s="57"/>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row>
    <row r="189" spans="1:64" ht="15">
      <c r="A189" s="282">
        <v>28</v>
      </c>
      <c r="B189" s="283" t="s">
        <v>140</v>
      </c>
      <c r="C189" s="288"/>
      <c r="D189" s="46">
        <f>+$I250*D122</f>
        <v>1604566.3305709413</v>
      </c>
      <c r="E189" s="46"/>
      <c r="F189" s="46" t="s">
        <v>70</v>
      </c>
      <c r="G189" s="111"/>
      <c r="H189" s="46"/>
      <c r="I189" s="285">
        <f>+$I250*I122</f>
        <v>765654.65425930393</v>
      </c>
      <c r="J189" s="46"/>
      <c r="K189" s="63"/>
      <c r="L189" s="79"/>
      <c r="M189" s="78"/>
      <c r="N189" s="57"/>
      <c r="O189" s="80"/>
      <c r="P189" s="83"/>
      <c r="Q189" s="80"/>
      <c r="R189" s="57"/>
      <c r="S189" s="57"/>
      <c r="T189" s="57"/>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row>
    <row r="190" spans="1:64" ht="15">
      <c r="A190" s="282"/>
      <c r="B190" s="289" t="s">
        <v>141</v>
      </c>
      <c r="C190" s="290"/>
      <c r="D190" s="46"/>
      <c r="E190" s="46"/>
      <c r="F190" s="46"/>
      <c r="G190" s="111"/>
      <c r="H190" s="46"/>
      <c r="I190" s="285"/>
      <c r="J190" s="46"/>
      <c r="K190" s="93"/>
      <c r="L190" s="79"/>
      <c r="M190" s="58"/>
      <c r="N190" s="57"/>
      <c r="O190" s="80"/>
      <c r="P190" s="83"/>
      <c r="Q190" s="80"/>
      <c r="R190" s="57"/>
      <c r="S190" s="57"/>
      <c r="T190" s="57"/>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row>
    <row r="191" spans="1:64" ht="15">
      <c r="A191" s="282"/>
      <c r="B191" s="283"/>
      <c r="C191" s="290"/>
      <c r="D191" s="287"/>
      <c r="E191" s="46"/>
      <c r="F191" s="46"/>
      <c r="G191" s="111"/>
      <c r="H191" s="46"/>
      <c r="I191" s="291"/>
      <c r="J191" s="46"/>
      <c r="K191" s="93"/>
      <c r="L191" s="79"/>
      <c r="M191" s="58"/>
      <c r="N191" s="57"/>
      <c r="O191" s="80"/>
      <c r="P191" s="83"/>
      <c r="Q191" s="80"/>
      <c r="R191" s="57"/>
      <c r="S191" s="57"/>
      <c r="T191" s="57"/>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row>
    <row r="192" spans="1:64" ht="15">
      <c r="A192" s="282">
        <v>29</v>
      </c>
      <c r="B192" s="283" t="s">
        <v>142</v>
      </c>
      <c r="C192" s="285"/>
      <c r="D192" s="291">
        <f>+D189+D187+D175+D164+D158</f>
        <v>2920506.3305709413</v>
      </c>
      <c r="E192" s="46"/>
      <c r="F192" s="46"/>
      <c r="G192" s="46"/>
      <c r="H192" s="46"/>
      <c r="I192" s="291">
        <f>+I189+I187+I175+I164+I158</f>
        <v>1220629.6723861918</v>
      </c>
      <c r="J192" s="41"/>
      <c r="K192" s="41"/>
      <c r="L192" s="38"/>
      <c r="M192" s="58"/>
      <c r="N192" s="57"/>
      <c r="O192" s="58"/>
      <c r="P192" s="100"/>
      <c r="Q192" s="78"/>
      <c r="R192" s="57"/>
      <c r="S192" s="57"/>
      <c r="T192" s="57"/>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row>
    <row r="193" spans="1:64" ht="15">
      <c r="A193" s="282"/>
      <c r="B193" s="283"/>
      <c r="C193" s="285"/>
      <c r="D193" s="291"/>
      <c r="E193" s="46"/>
      <c r="F193" s="46"/>
      <c r="G193" s="46"/>
      <c r="H193" s="46"/>
      <c r="I193" s="291"/>
      <c r="J193" s="41"/>
      <c r="K193" s="41"/>
      <c r="L193" s="38"/>
      <c r="M193" s="58"/>
      <c r="N193" s="57"/>
      <c r="O193" s="58"/>
      <c r="P193" s="100"/>
      <c r="Q193" s="78"/>
      <c r="R193" s="57"/>
      <c r="S193" s="57"/>
      <c r="T193" s="57"/>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row>
    <row r="194" spans="1:64" ht="15">
      <c r="A194" s="282">
        <v>30</v>
      </c>
      <c r="B194" s="283" t="s">
        <v>574</v>
      </c>
      <c r="C194" s="285"/>
      <c r="D194" s="291">
        <v>0</v>
      </c>
      <c r="E194" s="46"/>
      <c r="F194" s="46"/>
      <c r="G194" s="46"/>
      <c r="H194" s="46"/>
      <c r="I194" s="291">
        <v>0</v>
      </c>
      <c r="J194" s="41"/>
      <c r="K194" s="41"/>
      <c r="L194" s="38"/>
      <c r="M194" s="58"/>
      <c r="N194" s="57"/>
      <c r="O194" s="58"/>
      <c r="P194" s="100"/>
      <c r="Q194" s="78"/>
      <c r="R194" s="57"/>
      <c r="S194" s="57"/>
      <c r="T194" s="57"/>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row>
    <row r="195" spans="1:64" ht="15">
      <c r="A195" s="282"/>
      <c r="B195" s="283" t="s">
        <v>575</v>
      </c>
      <c r="C195" s="285"/>
      <c r="D195" s="291"/>
      <c r="E195" s="46"/>
      <c r="F195" s="46"/>
      <c r="G195" s="46"/>
      <c r="H195" s="46"/>
      <c r="I195" s="291"/>
      <c r="J195" s="41"/>
      <c r="K195" s="41"/>
      <c r="L195" s="38"/>
      <c r="M195" s="58"/>
      <c r="N195" s="57"/>
      <c r="O195" s="58"/>
      <c r="P195" s="100"/>
      <c r="Q195" s="78"/>
      <c r="R195" s="57"/>
      <c r="S195" s="57"/>
      <c r="T195" s="57"/>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row>
    <row r="196" spans="1:64" ht="15">
      <c r="A196" s="282"/>
      <c r="B196" s="290" t="s">
        <v>576</v>
      </c>
      <c r="C196" s="290"/>
      <c r="D196" s="291"/>
      <c r="E196" s="285"/>
      <c r="F196" s="285"/>
      <c r="G196" s="285"/>
      <c r="H196" s="285"/>
      <c r="I196" s="291"/>
      <c r="J196" s="41"/>
      <c r="K196" s="41"/>
      <c r="L196" s="38"/>
      <c r="M196" s="58"/>
      <c r="N196" s="57"/>
      <c r="O196" s="58"/>
      <c r="P196" s="100"/>
      <c r="Q196" s="78"/>
      <c r="R196" s="57"/>
      <c r="S196" s="57"/>
      <c r="T196" s="57"/>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row>
    <row r="197" spans="1:64" ht="15">
      <c r="A197" s="282"/>
      <c r="B197" s="290"/>
      <c r="C197" s="290"/>
      <c r="D197" s="291"/>
      <c r="E197" s="285"/>
      <c r="F197" s="285"/>
      <c r="G197" s="285"/>
      <c r="H197" s="285"/>
      <c r="I197" s="291"/>
      <c r="J197" s="41"/>
      <c r="K197" s="41"/>
      <c r="L197" s="38"/>
      <c r="M197" s="58"/>
      <c r="N197" s="57"/>
      <c r="O197" s="58"/>
      <c r="P197" s="100"/>
      <c r="Q197" s="78"/>
      <c r="R197" s="57"/>
      <c r="S197" s="57"/>
      <c r="T197" s="57"/>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row>
    <row r="198" spans="1:64" ht="15">
      <c r="A198" s="282" t="s">
        <v>577</v>
      </c>
      <c r="B198" s="290" t="s">
        <v>578</v>
      </c>
      <c r="C198" s="290"/>
      <c r="D198" s="364">
        <v>0</v>
      </c>
      <c r="E198" s="285"/>
      <c r="F198" s="285"/>
      <c r="G198" s="285"/>
      <c r="H198" s="285"/>
      <c r="I198" s="364">
        <v>0</v>
      </c>
      <c r="J198" s="41"/>
      <c r="K198" s="41"/>
      <c r="L198" s="38"/>
      <c r="M198" s="58"/>
      <c r="N198" s="57"/>
      <c r="O198" s="58"/>
      <c r="P198" s="100"/>
      <c r="Q198" s="78"/>
      <c r="R198" s="57"/>
      <c r="S198" s="57"/>
      <c r="T198" s="57"/>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row>
    <row r="199" spans="1:64" ht="15">
      <c r="A199" s="282"/>
      <c r="B199" s="290" t="s">
        <v>579</v>
      </c>
      <c r="C199" s="290"/>
      <c r="D199" s="291"/>
      <c r="E199" s="285"/>
      <c r="F199" s="285"/>
      <c r="G199" s="285"/>
      <c r="H199" s="285"/>
      <c r="I199" s="291"/>
      <c r="J199" s="41"/>
      <c r="K199" s="41"/>
      <c r="L199" s="38"/>
      <c r="M199" s="58"/>
      <c r="N199" s="57"/>
      <c r="O199" s="58"/>
      <c r="P199" s="100"/>
      <c r="Q199" s="78"/>
      <c r="R199" s="57"/>
      <c r="S199" s="57"/>
      <c r="T199" s="57"/>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row>
    <row r="200" spans="1:64" ht="15">
      <c r="A200" s="282"/>
      <c r="B200" s="290" t="s">
        <v>643</v>
      </c>
      <c r="C200" s="290"/>
      <c r="D200" s="291"/>
      <c r="E200" s="285"/>
      <c r="F200" s="285"/>
      <c r="G200" s="285"/>
      <c r="H200" s="285"/>
      <c r="I200" s="291"/>
      <c r="J200" s="41"/>
      <c r="K200" s="41"/>
      <c r="L200" s="38"/>
      <c r="M200" s="58"/>
      <c r="N200" s="57"/>
      <c r="O200" s="58"/>
      <c r="P200" s="100"/>
      <c r="Q200" s="78"/>
      <c r="R200" s="57"/>
      <c r="S200" s="57"/>
      <c r="T200" s="57"/>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row>
    <row r="201" spans="1:64" ht="15.75" thickBot="1">
      <c r="A201" s="282">
        <v>31</v>
      </c>
      <c r="B201" s="290" t="s">
        <v>580</v>
      </c>
      <c r="C201" s="290"/>
      <c r="D201" s="443">
        <f>D192-D194-D198</f>
        <v>2920506.3305709413</v>
      </c>
      <c r="E201" s="290"/>
      <c r="F201" s="290"/>
      <c r="G201" s="290"/>
      <c r="H201" s="290"/>
      <c r="I201" s="443">
        <f>I192-I194-I198</f>
        <v>1220629.6723861918</v>
      </c>
      <c r="J201" s="46"/>
      <c r="K201" s="46"/>
      <c r="L201" s="79"/>
      <c r="M201" s="58"/>
      <c r="N201" s="57"/>
      <c r="O201" s="80"/>
      <c r="P201" s="83"/>
      <c r="Q201" s="80"/>
      <c r="R201" s="57"/>
      <c r="S201" s="57"/>
      <c r="T201" s="57"/>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row>
    <row r="202" spans="1:64" ht="15.75" thickTop="1">
      <c r="A202" s="282"/>
      <c r="B202" s="290" t="s">
        <v>581</v>
      </c>
      <c r="C202" s="290"/>
      <c r="D202" s="63"/>
      <c r="E202" s="63"/>
      <c r="F202" s="63"/>
      <c r="G202" s="63"/>
      <c r="H202" s="63"/>
      <c r="I202" s="290"/>
      <c r="J202" s="46"/>
      <c r="K202" s="46"/>
      <c r="L202" s="79"/>
      <c r="M202" s="58"/>
      <c r="N202" s="57"/>
      <c r="O202" s="80"/>
      <c r="P202" s="83"/>
      <c r="Q202" s="80"/>
      <c r="R202" s="57"/>
      <c r="S202" s="57"/>
      <c r="T202" s="57"/>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row>
    <row r="203" spans="1:64" ht="15">
      <c r="A203" s="282"/>
      <c r="B203" s="290" t="s">
        <v>11</v>
      </c>
      <c r="C203" s="290"/>
      <c r="D203" s="63"/>
      <c r="E203" s="63"/>
      <c r="F203" s="63"/>
      <c r="G203" s="63"/>
      <c r="H203" s="63"/>
      <c r="I203" s="63"/>
      <c r="J203" s="46"/>
      <c r="K203" s="46"/>
      <c r="L203" s="79"/>
      <c r="M203" s="58"/>
      <c r="N203" s="57"/>
      <c r="O203" s="80"/>
      <c r="P203" s="83"/>
      <c r="Q203" s="80"/>
      <c r="R203" s="57"/>
      <c r="S203" s="57"/>
      <c r="T203" s="57"/>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row>
    <row r="204" spans="1:64" ht="15">
      <c r="A204"/>
      <c r="B204"/>
      <c r="C204" s="41"/>
      <c r="D204" s="41"/>
      <c r="E204" s="41"/>
      <c r="F204" s="41"/>
      <c r="G204" s="41"/>
      <c r="H204"/>
      <c r="I204"/>
      <c r="J204"/>
      <c r="K204"/>
      <c r="L204"/>
      <c r="M204" s="58"/>
      <c r="N204" s="57"/>
      <c r="O204" s="80"/>
      <c r="P204" s="83"/>
      <c r="Q204" s="80"/>
      <c r="R204" s="57"/>
      <c r="S204" s="57"/>
      <c r="T204" s="57"/>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row>
    <row r="205" spans="1:64" ht="15">
      <c r="B205" s="40"/>
      <c r="C205" s="40"/>
      <c r="D205" s="43"/>
      <c r="E205" s="40"/>
      <c r="F205" s="40"/>
      <c r="G205" s="40"/>
      <c r="H205" s="517" t="str">
        <f>H1</f>
        <v>Attachment O-EIA Non-Levelized Generic</v>
      </c>
      <c r="I205" s="517"/>
      <c r="J205" s="517"/>
      <c r="K205" s="517"/>
      <c r="L205" s="517"/>
      <c r="M205" s="78"/>
      <c r="N205" s="57"/>
      <c r="O205" s="58"/>
      <c r="P205" s="58"/>
      <c r="Q205" s="58"/>
      <c r="R205" s="57"/>
      <c r="S205" s="57"/>
      <c r="T205" s="57"/>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row>
    <row r="206" spans="1:64" ht="15">
      <c r="B206" s="40"/>
      <c r="C206" s="40"/>
      <c r="D206" s="43"/>
      <c r="E206" s="40"/>
      <c r="F206" s="40"/>
      <c r="G206" s="40"/>
      <c r="H206" s="41"/>
      <c r="I206" s="41"/>
      <c r="J206" s="41"/>
      <c r="K206" s="518" t="s">
        <v>143</v>
      </c>
      <c r="L206" s="518"/>
      <c r="M206" s="78"/>
      <c r="N206" s="57"/>
      <c r="O206" s="58"/>
      <c r="P206" s="58"/>
      <c r="Q206" s="58"/>
      <c r="R206" s="57"/>
      <c r="S206" s="57"/>
      <c r="T206" s="57"/>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row>
    <row r="207" spans="1:64" ht="15">
      <c r="A207" s="47"/>
      <c r="B207" s="63"/>
      <c r="C207" s="63"/>
      <c r="D207" s="63"/>
      <c r="E207" s="63"/>
      <c r="F207" s="63"/>
      <c r="G207" s="63"/>
      <c r="H207" s="63"/>
      <c r="I207" s="63"/>
      <c r="J207" s="46"/>
      <c r="K207" s="46"/>
      <c r="L207" s="79"/>
      <c r="M207" s="78"/>
      <c r="N207" s="57"/>
      <c r="O207" s="80"/>
      <c r="P207" s="83"/>
      <c r="Q207" s="80"/>
      <c r="R207" s="57"/>
      <c r="S207" s="57"/>
      <c r="T207" s="57"/>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row>
    <row r="208" spans="1:64" ht="15">
      <c r="A208" s="47"/>
      <c r="B208" s="40" t="str">
        <f>B4</f>
        <v xml:space="preserve">Formula Rate - Non-Levelized </v>
      </c>
      <c r="C208" s="63"/>
      <c r="D208" s="63" t="str">
        <f>D4</f>
        <v xml:space="preserve">   Rate Formula Template</v>
      </c>
      <c r="E208" s="63"/>
      <c r="F208" s="63"/>
      <c r="G208" s="63"/>
      <c r="H208" s="63"/>
      <c r="I208" s="63" t="str">
        <f>I4</f>
        <v>For the 12 months ended 12/31/15</v>
      </c>
      <c r="J208" s="46"/>
      <c r="K208" s="46"/>
      <c r="L208" s="79"/>
      <c r="M208" s="78"/>
      <c r="N208" s="57"/>
      <c r="O208" s="80"/>
      <c r="P208" s="80"/>
      <c r="Q208" s="78"/>
      <c r="R208" s="57"/>
      <c r="S208" s="57"/>
      <c r="T208" s="57"/>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row>
    <row r="209" spans="1:64" ht="15">
      <c r="A209" s="47"/>
      <c r="B209" s="40"/>
      <c r="C209" s="63"/>
      <c r="D209" s="63" t="str">
        <f>D5</f>
        <v>Utilizing EIA Form 412 Data</v>
      </c>
      <c r="E209" s="63"/>
      <c r="F209" s="63"/>
      <c r="G209" s="63"/>
      <c r="H209" s="63"/>
      <c r="I209" s="63"/>
      <c r="J209" s="46"/>
      <c r="K209" s="46"/>
      <c r="L209" s="79"/>
      <c r="M209" s="78"/>
      <c r="N209" s="57"/>
      <c r="O209" s="80"/>
      <c r="P209" s="80"/>
      <c r="Q209" s="78"/>
      <c r="R209" s="57"/>
      <c r="S209" s="57"/>
      <c r="T209" s="57"/>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row>
    <row r="210" spans="1:64" ht="15">
      <c r="A210" s="47"/>
      <c r="B210" s="63"/>
      <c r="C210" s="63"/>
      <c r="D210" s="63"/>
      <c r="E210" s="63"/>
      <c r="F210" s="63"/>
      <c r="G210" s="63"/>
      <c r="H210" s="63"/>
      <c r="I210" s="63"/>
      <c r="J210" s="46"/>
      <c r="K210" s="46"/>
      <c r="L210" s="79"/>
      <c r="M210" s="78"/>
      <c r="N210" s="57"/>
      <c r="O210" s="80"/>
      <c r="P210" s="80"/>
      <c r="Q210" s="78"/>
      <c r="R210" s="57"/>
      <c r="S210" s="57"/>
      <c r="T210" s="57"/>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row>
    <row r="211" spans="1:64" ht="15">
      <c r="A211" s="47"/>
      <c r="C211" s="63"/>
      <c r="D211" s="63" t="str">
        <f>D7</f>
        <v>Glencoe</v>
      </c>
      <c r="E211" s="63"/>
      <c r="F211" s="63"/>
      <c r="G211" s="63"/>
      <c r="H211" s="63"/>
      <c r="I211" s="63"/>
      <c r="J211" s="46"/>
      <c r="K211" s="46"/>
      <c r="L211" s="79"/>
      <c r="M211" s="78"/>
      <c r="N211" s="57"/>
      <c r="O211" s="80"/>
      <c r="P211" s="80"/>
      <c r="Q211" s="78"/>
      <c r="R211" s="57"/>
      <c r="S211" s="57"/>
      <c r="T211" s="57"/>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row>
    <row r="212" spans="1:64" ht="15.75">
      <c r="A212" s="47" t="s">
        <v>16</v>
      </c>
      <c r="C212" s="40" t="s">
        <v>11</v>
      </c>
      <c r="D212" s="40"/>
      <c r="E212" s="40"/>
      <c r="F212" s="40"/>
      <c r="G212" s="40"/>
      <c r="H212" s="40"/>
      <c r="I212" s="40"/>
      <c r="J212" s="40"/>
      <c r="K212" s="40"/>
      <c r="L212" s="77"/>
      <c r="M212" s="117"/>
      <c r="N212" s="57"/>
      <c r="O212" s="78"/>
      <c r="P212" s="78"/>
      <c r="Q212" s="78"/>
      <c r="R212" s="57"/>
      <c r="S212" s="57"/>
      <c r="T212" s="57"/>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row>
    <row r="213" spans="1:64" ht="16.5" thickBot="1">
      <c r="A213" s="51" t="s">
        <v>18</v>
      </c>
      <c r="B213" s="63"/>
      <c r="C213" s="89" t="s">
        <v>144</v>
      </c>
      <c r="E213" s="41"/>
      <c r="F213" s="41"/>
      <c r="G213" s="41"/>
      <c r="H213" s="41"/>
      <c r="I213" s="41"/>
      <c r="J213" s="46"/>
      <c r="K213" s="46"/>
      <c r="L213" s="79"/>
      <c r="M213" s="117"/>
      <c r="N213" s="57"/>
      <c r="O213" s="58"/>
      <c r="P213" s="80"/>
      <c r="Q213" s="78"/>
      <c r="R213" s="57"/>
      <c r="S213" s="57"/>
      <c r="T213" s="57"/>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row>
    <row r="214" spans="1:64" ht="15">
      <c r="A214" s="47"/>
      <c r="B214" s="40" t="s">
        <v>145</v>
      </c>
      <c r="C214" s="41"/>
      <c r="D214" s="41"/>
      <c r="E214" s="41"/>
      <c r="F214" s="41"/>
      <c r="G214" s="41"/>
      <c r="H214" s="41"/>
      <c r="I214" s="41"/>
      <c r="J214" s="46"/>
      <c r="K214" s="46"/>
      <c r="L214" s="79"/>
      <c r="M214" s="78"/>
      <c r="N214" s="57"/>
      <c r="O214" s="58"/>
      <c r="P214" s="80"/>
      <c r="Q214" s="78"/>
      <c r="R214" s="57"/>
      <c r="S214" s="57"/>
      <c r="T214" s="57"/>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row>
    <row r="215" spans="1:64" ht="15">
      <c r="A215" s="47">
        <v>1</v>
      </c>
      <c r="B215" s="41" t="s">
        <v>146</v>
      </c>
      <c r="C215" s="41"/>
      <c r="D215" s="46"/>
      <c r="E215" s="46"/>
      <c r="F215" s="46"/>
      <c r="G215" s="46"/>
      <c r="H215" s="46"/>
      <c r="I215" s="285">
        <f>D84</f>
        <v>9702416</v>
      </c>
      <c r="J215" s="46"/>
      <c r="K215" s="46"/>
      <c r="L215" s="79"/>
      <c r="M215" s="78"/>
      <c r="N215" s="57"/>
      <c r="O215" s="58"/>
      <c r="P215" s="80"/>
      <c r="Q215" s="78"/>
      <c r="R215" s="57"/>
      <c r="S215" s="57"/>
      <c r="T215" s="57"/>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row>
    <row r="216" spans="1:64" ht="15">
      <c r="A216" s="47">
        <v>2</v>
      </c>
      <c r="B216" s="41" t="s">
        <v>147</v>
      </c>
      <c r="C216" s="63"/>
      <c r="D216" s="63"/>
      <c r="E216" s="63"/>
      <c r="F216" s="63"/>
      <c r="G216" s="63"/>
      <c r="H216" s="63"/>
      <c r="I216" s="285">
        <v>0</v>
      </c>
      <c r="J216" s="46"/>
      <c r="K216" s="46"/>
      <c r="L216" s="79"/>
      <c r="M216" s="78"/>
      <c r="N216" s="57"/>
      <c r="O216" s="58"/>
      <c r="P216" s="80"/>
      <c r="Q216" s="78"/>
      <c r="R216" s="57"/>
      <c r="S216" s="57"/>
      <c r="T216" s="57"/>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row>
    <row r="217" spans="1:64" ht="15.75" thickBot="1">
      <c r="A217" s="47">
        <v>3</v>
      </c>
      <c r="B217" s="118" t="s">
        <v>148</v>
      </c>
      <c r="C217" s="118"/>
      <c r="D217" s="61"/>
      <c r="E217" s="46"/>
      <c r="F217" s="46"/>
      <c r="G217" s="119"/>
      <c r="H217" s="46"/>
      <c r="I217" s="438">
        <v>0</v>
      </c>
      <c r="J217" s="46"/>
      <c r="K217" s="46"/>
      <c r="L217" s="79"/>
      <c r="M217" s="78"/>
      <c r="N217" s="57"/>
      <c r="O217" s="58"/>
      <c r="P217" s="80"/>
      <c r="Q217" s="78"/>
      <c r="R217" s="57"/>
      <c r="S217" s="57"/>
      <c r="T217" s="57"/>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row>
    <row r="218" spans="1:64" ht="15">
      <c r="A218" s="47">
        <v>4</v>
      </c>
      <c r="B218" s="41" t="s">
        <v>149</v>
      </c>
      <c r="C218" s="41"/>
      <c r="D218" s="46"/>
      <c r="E218" s="46"/>
      <c r="F218" s="46"/>
      <c r="G218" s="119"/>
      <c r="H218" s="46"/>
      <c r="I218" s="285">
        <f>I215-I216-I217</f>
        <v>9702416</v>
      </c>
      <c r="J218" s="46"/>
      <c r="K218" s="46"/>
      <c r="L218" s="79"/>
      <c r="M218" s="78"/>
      <c r="N218" s="57"/>
      <c r="O218" s="58"/>
      <c r="P218" s="80"/>
      <c r="Q218" s="78"/>
      <c r="R218" s="57"/>
      <c r="S218" s="57"/>
      <c r="T218" s="57"/>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row>
    <row r="219" spans="1:64" ht="15">
      <c r="A219" s="47"/>
      <c r="B219" s="63"/>
      <c r="C219" s="41"/>
      <c r="D219" s="46"/>
      <c r="E219" s="46"/>
      <c r="F219" s="46"/>
      <c r="G219" s="119"/>
      <c r="H219" s="46"/>
      <c r="I219" s="440"/>
      <c r="J219" s="46"/>
      <c r="K219" s="46"/>
      <c r="L219" s="79"/>
      <c r="M219" s="56"/>
      <c r="N219" s="56"/>
      <c r="O219" s="58"/>
      <c r="P219" s="80"/>
      <c r="Q219" s="78"/>
      <c r="R219" s="57"/>
      <c r="S219" s="57"/>
      <c r="T219" s="57"/>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row>
    <row r="220" spans="1:64" ht="15">
      <c r="A220" s="47">
        <v>5</v>
      </c>
      <c r="B220" s="41" t="s">
        <v>150</v>
      </c>
      <c r="C220" s="49"/>
      <c r="D220" s="120"/>
      <c r="E220" s="120"/>
      <c r="F220" s="120"/>
      <c r="G220" s="82"/>
      <c r="H220" s="46" t="s">
        <v>151</v>
      </c>
      <c r="I220" s="444">
        <f>IF(I215&gt;0,I218/I215,0)</f>
        <v>1</v>
      </c>
      <c r="J220" s="46"/>
      <c r="K220" s="46"/>
      <c r="L220" s="79"/>
      <c r="M220" s="121"/>
      <c r="N220" s="57"/>
      <c r="O220" s="58"/>
      <c r="P220" s="80"/>
      <c r="Q220" s="78"/>
      <c r="R220" s="57"/>
      <c r="S220" s="57"/>
      <c r="T220" s="57"/>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row>
    <row r="221" spans="1:64" ht="15.75">
      <c r="J221" s="46"/>
      <c r="K221" s="46"/>
      <c r="L221" s="79"/>
      <c r="M221" s="310"/>
      <c r="N221" s="311" t="s">
        <v>494</v>
      </c>
      <c r="O221" s="310"/>
      <c r="P221" s="310"/>
      <c r="Q221" s="310"/>
      <c r="R221" s="310"/>
      <c r="S221" s="57"/>
      <c r="T221" s="57"/>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row>
    <row r="222" spans="1:64" ht="15.75">
      <c r="B222" s="40" t="s">
        <v>152</v>
      </c>
      <c r="J222" s="46"/>
      <c r="K222" s="46"/>
      <c r="L222" s="79"/>
      <c r="M222" s="310"/>
      <c r="N222" s="310"/>
      <c r="O222" s="310"/>
      <c r="P222" s="310"/>
      <c r="Q222" s="310"/>
      <c r="R222" s="310"/>
      <c r="S222" s="57"/>
      <c r="T222" s="57"/>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row>
    <row r="223" spans="1:64" ht="15.75">
      <c r="A223" s="47">
        <v>6</v>
      </c>
      <c r="B223" s="63" t="s">
        <v>153</v>
      </c>
      <c r="C223" s="63"/>
      <c r="D223" s="41"/>
      <c r="E223" s="41"/>
      <c r="F223" s="41"/>
      <c r="G223" s="44"/>
      <c r="H223" s="41"/>
      <c r="I223" s="46">
        <f>D149</f>
        <v>100736</v>
      </c>
      <c r="J223" s="46"/>
      <c r="K223" s="46"/>
      <c r="L223" s="79"/>
      <c r="M223" s="312">
        <f>+J223</f>
        <v>0</v>
      </c>
      <c r="N223" s="313" t="s">
        <v>495</v>
      </c>
      <c r="O223" s="314"/>
      <c r="P223" s="315"/>
      <c r="Q223" s="316"/>
      <c r="R223" s="317"/>
      <c r="S223" s="57"/>
      <c r="T223" s="57"/>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row>
    <row r="224" spans="1:64" ht="16.5" thickBot="1">
      <c r="A224" s="47">
        <v>7</v>
      </c>
      <c r="B224" s="118" t="s">
        <v>154</v>
      </c>
      <c r="C224" s="118"/>
      <c r="D224" s="61"/>
      <c r="E224" s="61"/>
      <c r="F224" s="46"/>
      <c r="G224" s="46"/>
      <c r="H224" s="46"/>
      <c r="I224" s="92">
        <v>0</v>
      </c>
      <c r="J224" s="46"/>
      <c r="K224" s="46"/>
      <c r="L224" s="79"/>
      <c r="M224" s="318">
        <v>0</v>
      </c>
      <c r="N224" s="319" t="s">
        <v>496</v>
      </c>
      <c r="O224" s="320"/>
      <c r="P224" s="320"/>
      <c r="Q224" s="320"/>
      <c r="R224" s="317"/>
      <c r="S224" s="57"/>
      <c r="T224" s="57"/>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row>
    <row r="225" spans="1:64" ht="15.75">
      <c r="A225" s="47">
        <v>8</v>
      </c>
      <c r="B225" s="41" t="s">
        <v>489</v>
      </c>
      <c r="C225" s="49"/>
      <c r="D225" s="120"/>
      <c r="E225" s="120"/>
      <c r="F225" s="120"/>
      <c r="G225" s="82"/>
      <c r="H225" s="120"/>
      <c r="I225" s="46">
        <f>+I223-I224</f>
        <v>100736</v>
      </c>
      <c r="J225" s="46"/>
      <c r="K225" s="46"/>
      <c r="L225" s="79"/>
      <c r="M225" s="312">
        <f>M223-M224</f>
        <v>0</v>
      </c>
      <c r="N225" s="319" t="s">
        <v>497</v>
      </c>
      <c r="O225" s="320"/>
      <c r="P225" s="320"/>
      <c r="Q225" s="320"/>
      <c r="R225" s="317"/>
      <c r="S225" s="57"/>
      <c r="T225" s="57"/>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row>
    <row r="226" spans="1:64" ht="15.75">
      <c r="A226" s="47"/>
      <c r="B226" s="41"/>
      <c r="C226" s="41"/>
      <c r="D226" s="46"/>
      <c r="E226" s="46"/>
      <c r="F226" s="46"/>
      <c r="G226" s="46"/>
      <c r="H226" s="63"/>
      <c r="J226" s="46"/>
      <c r="K226" s="46"/>
      <c r="L226" s="79"/>
      <c r="M226" s="321"/>
      <c r="N226" s="322" t="s">
        <v>498</v>
      </c>
      <c r="O226" s="323"/>
      <c r="P226" s="323"/>
      <c r="Q226" s="323"/>
      <c r="R226" s="324"/>
      <c r="S226" s="57"/>
      <c r="T226" s="57"/>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row>
    <row r="227" spans="1:64" ht="15.75">
      <c r="A227" s="47">
        <v>9</v>
      </c>
      <c r="B227" s="41" t="s">
        <v>155</v>
      </c>
      <c r="C227" s="41"/>
      <c r="D227" s="46"/>
      <c r="E227" s="46"/>
      <c r="F227" s="46"/>
      <c r="G227" s="46"/>
      <c r="H227" s="46"/>
      <c r="I227" s="91">
        <f>IF(I223&gt;0,I225/I223,0)</f>
        <v>1</v>
      </c>
      <c r="J227" s="46"/>
      <c r="K227" s="46"/>
      <c r="L227" s="79"/>
      <c r="M227" s="325">
        <v>0</v>
      </c>
      <c r="N227" s="326" t="s">
        <v>499</v>
      </c>
      <c r="O227" s="315"/>
      <c r="P227" s="316"/>
      <c r="Q227" s="320"/>
      <c r="R227" s="317"/>
      <c r="S227" s="57"/>
      <c r="T227" s="57"/>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row>
    <row r="228" spans="1:64" ht="15.75">
      <c r="A228" s="47">
        <v>10</v>
      </c>
      <c r="B228" s="41" t="s">
        <v>156</v>
      </c>
      <c r="C228" s="41"/>
      <c r="D228" s="46"/>
      <c r="E228" s="46"/>
      <c r="F228" s="46"/>
      <c r="G228" s="46"/>
      <c r="H228" s="41" t="s">
        <v>24</v>
      </c>
      <c r="I228" s="445">
        <f>I220</f>
        <v>1</v>
      </c>
      <c r="J228" s="46"/>
      <c r="K228" s="46"/>
      <c r="L228" s="79"/>
      <c r="M228" s="325">
        <v>0</v>
      </c>
      <c r="N228" s="326" t="s">
        <v>500</v>
      </c>
      <c r="O228" s="315"/>
      <c r="P228" s="316"/>
      <c r="Q228" s="320"/>
      <c r="R228" s="317"/>
      <c r="S228" s="57"/>
      <c r="T228" s="57"/>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row>
    <row r="229" spans="1:64" ht="15.75">
      <c r="A229" s="47">
        <v>11</v>
      </c>
      <c r="B229" s="41" t="s">
        <v>157</v>
      </c>
      <c r="C229" s="41"/>
      <c r="D229" s="41"/>
      <c r="E229" s="41"/>
      <c r="F229" s="41"/>
      <c r="G229" s="41"/>
      <c r="H229" s="41" t="s">
        <v>158</v>
      </c>
      <c r="I229" s="446">
        <f>+I228*I227</f>
        <v>1</v>
      </c>
      <c r="J229" s="46"/>
      <c r="K229" s="46"/>
      <c r="L229" s="79"/>
      <c r="M229" s="318">
        <v>0</v>
      </c>
      <c r="N229" s="326" t="s">
        <v>501</v>
      </c>
      <c r="O229" s="315"/>
      <c r="P229" s="316"/>
      <c r="Q229" s="320"/>
      <c r="R229" s="317"/>
      <c r="S229" s="57"/>
      <c r="T229" s="57"/>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row>
    <row r="230" spans="1:64" ht="15.75">
      <c r="J230" s="63"/>
      <c r="K230" s="63"/>
      <c r="L230" s="79"/>
      <c r="M230" s="327">
        <f>SUM(M227:M229)</f>
        <v>0</v>
      </c>
      <c r="N230" s="319" t="s">
        <v>502</v>
      </c>
      <c r="O230" s="320"/>
      <c r="P230" s="320"/>
      <c r="Q230" s="320"/>
      <c r="R230" s="317"/>
      <c r="S230" s="57"/>
      <c r="T230" s="57"/>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row>
    <row r="231" spans="1:64" ht="15.75" thickBot="1">
      <c r="A231" s="47" t="s">
        <v>11</v>
      </c>
      <c r="B231" s="40" t="s">
        <v>159</v>
      </c>
      <c r="C231" s="61"/>
      <c r="D231" s="123" t="s">
        <v>160</v>
      </c>
      <c r="E231" s="123" t="s">
        <v>24</v>
      </c>
      <c r="F231" s="46"/>
      <c r="G231" s="123" t="s">
        <v>161</v>
      </c>
      <c r="H231" s="46"/>
      <c r="I231" s="46"/>
      <c r="J231" s="46"/>
      <c r="K231" s="46"/>
      <c r="L231" s="79"/>
      <c r="M231" s="122"/>
      <c r="N231" s="65"/>
      <c r="O231" s="80"/>
      <c r="P231" s="78"/>
      <c r="Q231" s="57"/>
      <c r="R231" s="57"/>
      <c r="S231" s="57"/>
      <c r="T231" s="57"/>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row>
    <row r="232" spans="1:64" ht="15">
      <c r="A232" s="47">
        <v>12</v>
      </c>
      <c r="B232" s="40" t="s">
        <v>69</v>
      </c>
      <c r="C232" s="46"/>
      <c r="D232" s="94">
        <f>'GLS1_Salary and Wages Allocator'!F7</f>
        <v>375827</v>
      </c>
      <c r="E232" s="124">
        <v>0</v>
      </c>
      <c r="F232" s="124"/>
      <c r="G232" s="46">
        <f>D232*E232</f>
        <v>0</v>
      </c>
      <c r="H232" s="46"/>
      <c r="I232" s="46"/>
      <c r="J232" s="46"/>
      <c r="K232" s="46"/>
      <c r="L232" s="79"/>
      <c r="M232" s="78"/>
      <c r="N232" s="57"/>
      <c r="O232" s="80"/>
      <c r="P232" s="80"/>
      <c r="Q232" s="78"/>
      <c r="R232" s="57"/>
      <c r="S232" s="57"/>
      <c r="T232" s="57"/>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row>
    <row r="233" spans="1:64" ht="15">
      <c r="A233" s="47">
        <v>13</v>
      </c>
      <c r="B233" s="40" t="s">
        <v>71</v>
      </c>
      <c r="C233" s="46"/>
      <c r="D233" s="94">
        <f>'GLS1_Salary and Wages Allocator'!F8</f>
        <v>11711</v>
      </c>
      <c r="E233" s="124">
        <f>+I220</f>
        <v>1</v>
      </c>
      <c r="F233" s="124"/>
      <c r="G233" s="285">
        <f>D233*E233</f>
        <v>11711</v>
      </c>
      <c r="H233" s="285"/>
      <c r="I233" s="285"/>
      <c r="J233" s="46"/>
      <c r="K233" s="46"/>
      <c r="L233" s="79"/>
      <c r="M233" s="78"/>
      <c r="N233" s="57"/>
      <c r="O233" s="80" t="s">
        <v>11</v>
      </c>
      <c r="P233" s="80"/>
      <c r="Q233" s="78"/>
      <c r="R233" s="57"/>
      <c r="S233" s="57"/>
      <c r="T233" s="57"/>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row>
    <row r="234" spans="1:64" ht="15">
      <c r="A234" s="47">
        <v>14</v>
      </c>
      <c r="B234" s="40" t="s">
        <v>72</v>
      </c>
      <c r="C234" s="46"/>
      <c r="D234" s="94">
        <f>'GLS1_Salary and Wages Allocator'!F9</f>
        <v>249273</v>
      </c>
      <c r="E234" s="124">
        <v>0</v>
      </c>
      <c r="F234" s="124"/>
      <c r="G234" s="285">
        <f>D234*E234</f>
        <v>0</v>
      </c>
      <c r="H234" s="285"/>
      <c r="I234" s="134" t="s">
        <v>162</v>
      </c>
      <c r="J234" s="46"/>
      <c r="K234" s="46"/>
      <c r="L234" s="38"/>
      <c r="M234" s="78"/>
      <c r="N234" s="57"/>
      <c r="O234" s="80" t="s">
        <v>11</v>
      </c>
      <c r="P234" s="80"/>
      <c r="Q234" s="78"/>
      <c r="R234" s="57"/>
      <c r="S234" s="57"/>
      <c r="T234" s="57"/>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row>
    <row r="235" spans="1:64" ht="15.75" thickBot="1">
      <c r="A235" s="47">
        <v>15</v>
      </c>
      <c r="B235" s="40" t="s">
        <v>163</v>
      </c>
      <c r="C235" s="46"/>
      <c r="D235" s="92">
        <f>'GLS1_Salary and Wages Allocator'!F10</f>
        <v>177124</v>
      </c>
      <c r="E235" s="124">
        <v>0</v>
      </c>
      <c r="F235" s="124"/>
      <c r="G235" s="438">
        <f>D235*E235</f>
        <v>0</v>
      </c>
      <c r="H235" s="285"/>
      <c r="I235" s="447" t="s">
        <v>164</v>
      </c>
      <c r="J235" s="46"/>
      <c r="K235" s="46"/>
      <c r="L235" s="79"/>
      <c r="M235" s="78"/>
      <c r="N235" s="57"/>
      <c r="O235" s="80" t="s">
        <v>11</v>
      </c>
      <c r="P235" s="80"/>
      <c r="Q235" s="78"/>
      <c r="R235" s="57"/>
      <c r="S235" s="57"/>
      <c r="T235" s="57"/>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row>
    <row r="236" spans="1:64" ht="15">
      <c r="A236" s="47">
        <v>16</v>
      </c>
      <c r="B236" s="40" t="s">
        <v>165</v>
      </c>
      <c r="C236" s="46"/>
      <c r="D236" s="46">
        <f>SUM(D232:D235)</f>
        <v>813935</v>
      </c>
      <c r="E236" s="46"/>
      <c r="F236" s="46"/>
      <c r="G236" s="285">
        <f>SUM(G232:G235)</f>
        <v>11711</v>
      </c>
      <c r="H236" s="448" t="s">
        <v>166</v>
      </c>
      <c r="I236" s="286">
        <f>IF(G236&gt;0,G233/D236,0)</f>
        <v>1.4388126816023392E-2</v>
      </c>
      <c r="J236" s="46" t="s">
        <v>167</v>
      </c>
      <c r="K236" s="46" t="s">
        <v>74</v>
      </c>
      <c r="L236" s="79"/>
      <c r="M236" s="78"/>
      <c r="N236" s="57"/>
      <c r="O236" s="80" t="s">
        <v>11</v>
      </c>
      <c r="P236" s="80"/>
      <c r="Q236" s="78"/>
      <c r="R236" s="57"/>
      <c r="S236" s="57"/>
      <c r="T236" s="57"/>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row>
    <row r="237" spans="1:64" ht="15">
      <c r="L237" s="79"/>
      <c r="M237" s="78"/>
      <c r="N237" s="57"/>
      <c r="O237" s="80" t="s">
        <v>11</v>
      </c>
      <c r="P237" s="80"/>
      <c r="Q237" s="78"/>
      <c r="R237" s="57"/>
      <c r="S237" s="57"/>
      <c r="T237" s="57"/>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row>
    <row r="238" spans="1:64" ht="15.75">
      <c r="A238" s="47"/>
      <c r="B238" s="40" t="s">
        <v>168</v>
      </c>
      <c r="C238" s="46"/>
      <c r="D238" s="84" t="s">
        <v>160</v>
      </c>
      <c r="E238" s="46"/>
      <c r="F238" s="46"/>
      <c r="G238" s="119" t="s">
        <v>169</v>
      </c>
      <c r="H238" s="111" t="s">
        <v>11</v>
      </c>
      <c r="I238" s="93" t="s">
        <v>170</v>
      </c>
      <c r="J238" s="63"/>
      <c r="K238" s="63"/>
      <c r="L238" s="79"/>
      <c r="M238" s="78"/>
      <c r="N238" s="57"/>
      <c r="O238" s="80"/>
      <c r="P238" s="80"/>
      <c r="Q238" s="78"/>
      <c r="R238" s="57"/>
      <c r="S238" s="57"/>
      <c r="T238" s="57"/>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row>
    <row r="239" spans="1:64" ht="15">
      <c r="A239" s="47">
        <v>17</v>
      </c>
      <c r="B239" s="40" t="s">
        <v>171</v>
      </c>
      <c r="C239" s="46"/>
      <c r="D239" s="94">
        <f>D88</f>
        <v>36397791</v>
      </c>
      <c r="E239" s="46"/>
      <c r="F239" s="63"/>
      <c r="G239" s="47" t="s">
        <v>172</v>
      </c>
      <c r="H239" s="111"/>
      <c r="I239" s="47" t="s">
        <v>173</v>
      </c>
      <c r="J239" s="46"/>
      <c r="K239" s="44" t="s">
        <v>76</v>
      </c>
      <c r="L239" s="79"/>
      <c r="M239" s="78"/>
      <c r="N239" s="57"/>
      <c r="O239" s="80"/>
      <c r="P239" s="80"/>
      <c r="Q239" s="78"/>
      <c r="R239" s="57"/>
      <c r="S239" s="57"/>
      <c r="T239" s="57"/>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row>
    <row r="240" spans="1:64" ht="15">
      <c r="A240" s="47">
        <v>18</v>
      </c>
      <c r="B240" s="40" t="s">
        <v>174</v>
      </c>
      <c r="C240" s="46"/>
      <c r="D240" s="94">
        <v>0</v>
      </c>
      <c r="E240" s="46"/>
      <c r="F240" s="63"/>
      <c r="G240" s="55">
        <f>IF(D242&gt;0,D239/D242,0)</f>
        <v>1</v>
      </c>
      <c r="H240" s="119" t="s">
        <v>175</v>
      </c>
      <c r="I240" s="55">
        <f>I236</f>
        <v>1.4388126816023392E-2</v>
      </c>
      <c r="J240" s="111" t="s">
        <v>166</v>
      </c>
      <c r="K240" s="449">
        <f>I240*G240</f>
        <v>1.4388126816023392E-2</v>
      </c>
      <c r="L240" s="79"/>
      <c r="M240" s="78"/>
      <c r="N240" s="57"/>
      <c r="O240" s="80"/>
      <c r="P240" s="80"/>
      <c r="Q240" s="78"/>
      <c r="R240" s="57"/>
      <c r="S240" s="57"/>
      <c r="T240" s="57"/>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row>
    <row r="241" spans="1:64" ht="15.75" thickBot="1">
      <c r="A241" s="47">
        <v>19</v>
      </c>
      <c r="B241" s="125" t="s">
        <v>176</v>
      </c>
      <c r="C241" s="61"/>
      <c r="D241" s="92">
        <v>0</v>
      </c>
      <c r="E241" s="46"/>
      <c r="F241" s="46"/>
      <c r="G241" s="46" t="s">
        <v>11</v>
      </c>
      <c r="H241" s="46"/>
      <c r="I241" s="46"/>
      <c r="J241" s="46"/>
      <c r="K241" s="46"/>
      <c r="L241" s="79"/>
      <c r="M241" s="78"/>
      <c r="N241" s="57"/>
      <c r="O241" s="80"/>
      <c r="P241" s="80"/>
      <c r="Q241" s="78"/>
      <c r="R241" s="57"/>
      <c r="S241" s="57"/>
      <c r="T241" s="57"/>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row>
    <row r="242" spans="1:64" ht="15">
      <c r="A242" s="47">
        <v>20</v>
      </c>
      <c r="B242" s="40" t="s">
        <v>177</v>
      </c>
      <c r="C242" s="46"/>
      <c r="D242" s="46">
        <f>D239+D240+D241</f>
        <v>36397791</v>
      </c>
      <c r="E242" s="46"/>
      <c r="F242" s="46"/>
      <c r="G242" s="46"/>
      <c r="H242" s="46"/>
      <c r="I242" s="46"/>
      <c r="J242" s="46"/>
      <c r="K242" s="46"/>
      <c r="L242" s="79"/>
      <c r="M242" s="78"/>
      <c r="N242" s="57"/>
      <c r="O242" s="80"/>
      <c r="P242" s="80"/>
      <c r="Q242" s="78"/>
      <c r="R242" s="57"/>
      <c r="S242" s="57"/>
      <c r="T242" s="57"/>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row>
    <row r="243" spans="1:64" ht="15">
      <c r="L243" s="79"/>
      <c r="M243" s="78"/>
      <c r="N243" s="57"/>
      <c r="O243" s="80"/>
      <c r="P243" s="80"/>
      <c r="Q243" s="78"/>
      <c r="R243" s="57"/>
      <c r="S243" s="57"/>
      <c r="T243" s="57"/>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row>
    <row r="244" spans="1:64" ht="15.75" thickBot="1">
      <c r="A244" s="47"/>
      <c r="B244" s="40" t="s">
        <v>178</v>
      </c>
      <c r="C244" s="46"/>
      <c r="D244" s="123" t="s">
        <v>160</v>
      </c>
      <c r="E244" s="46"/>
      <c r="F244" s="46"/>
      <c r="G244" s="46"/>
      <c r="H244" s="46"/>
      <c r="J244" s="46"/>
      <c r="K244" s="46"/>
      <c r="L244" s="79"/>
      <c r="M244" s="78"/>
      <c r="N244" s="57"/>
      <c r="O244" s="80"/>
      <c r="P244" s="80"/>
      <c r="Q244" s="78"/>
      <c r="R244" s="57"/>
      <c r="S244" s="57"/>
      <c r="T244" s="57"/>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row>
    <row r="245" spans="1:64" ht="15">
      <c r="A245" s="47">
        <v>21</v>
      </c>
      <c r="B245" s="46" t="s">
        <v>179</v>
      </c>
      <c r="C245" s="30" t="s">
        <v>490</v>
      </c>
      <c r="D245" s="126">
        <f>'EIA412 INCOME STATEMENT'!C23</f>
        <v>130779</v>
      </c>
      <c r="E245" s="46"/>
      <c r="F245" s="46"/>
      <c r="G245" s="46"/>
      <c r="H245" s="46"/>
      <c r="I245" s="46"/>
      <c r="J245" s="46"/>
      <c r="K245" s="46"/>
      <c r="L245" s="79"/>
      <c r="M245" s="78"/>
      <c r="N245" s="57"/>
      <c r="O245" s="80"/>
      <c r="P245" s="80"/>
      <c r="Q245" s="78"/>
      <c r="R245" s="57"/>
      <c r="S245" s="57"/>
      <c r="T245" s="57"/>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row>
    <row r="246" spans="1:64" ht="15">
      <c r="A246" s="47"/>
      <c r="B246" s="40"/>
      <c r="D246" s="46"/>
      <c r="E246" s="46"/>
      <c r="F246" s="46"/>
      <c r="G246" s="119" t="s">
        <v>180</v>
      </c>
      <c r="H246" s="46"/>
      <c r="I246" s="46"/>
      <c r="J246" s="46"/>
      <c r="K246" s="46"/>
      <c r="L246" s="79"/>
      <c r="M246" s="78"/>
      <c r="N246" s="57"/>
      <c r="O246" s="80"/>
      <c r="P246" s="80"/>
      <c r="Q246" s="78"/>
      <c r="R246" s="57"/>
      <c r="S246" s="57"/>
      <c r="T246" s="57"/>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row>
    <row r="247" spans="1:64" ht="15.75" thickBot="1">
      <c r="A247" s="47"/>
      <c r="B247" s="40"/>
      <c r="C247" s="30"/>
      <c r="D247" s="52" t="s">
        <v>160</v>
      </c>
      <c r="E247" s="52" t="s">
        <v>181</v>
      </c>
      <c r="F247" s="46"/>
      <c r="G247" s="52" t="s">
        <v>182</v>
      </c>
      <c r="H247" s="46"/>
      <c r="I247" s="52" t="s">
        <v>183</v>
      </c>
      <c r="J247" s="46"/>
      <c r="K247" s="46"/>
      <c r="L247" s="79"/>
      <c r="M247" s="78"/>
      <c r="N247" s="57"/>
      <c r="O247" s="80"/>
      <c r="P247" s="80"/>
      <c r="Q247" s="78"/>
      <c r="R247" s="57"/>
      <c r="S247" s="57"/>
      <c r="T247" s="57"/>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row>
    <row r="248" spans="1:64" ht="15">
      <c r="A248" s="47">
        <v>22</v>
      </c>
      <c r="B248" s="40" t="s">
        <v>184</v>
      </c>
      <c r="C248" s="38" t="s">
        <v>582</v>
      </c>
      <c r="D248" s="94">
        <f>'EIA412 BALANCE SHEET'!F19</f>
        <v>5799783</v>
      </c>
      <c r="E248" s="127">
        <f>D248/D250</f>
        <v>0.25671469033959754</v>
      </c>
      <c r="F248" s="128"/>
      <c r="G248" s="129">
        <f>IF(D248&gt;0,D245/D248,0)</f>
        <v>2.2548947089916983E-2</v>
      </c>
      <c r="I248" s="128">
        <f>G248*E248</f>
        <v>5.7886459696720079E-3</v>
      </c>
      <c r="J248" s="130" t="s">
        <v>185</v>
      </c>
      <c r="L248" s="79"/>
      <c r="M248" s="78"/>
      <c r="N248" s="57"/>
      <c r="O248" s="80"/>
      <c r="P248" s="80"/>
      <c r="Q248" s="78"/>
      <c r="R248" s="57"/>
      <c r="S248" s="57"/>
      <c r="T248" s="57"/>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row>
    <row r="249" spans="1:64" ht="15.75" thickBot="1">
      <c r="A249" s="47">
        <v>23</v>
      </c>
      <c r="B249" s="40" t="s">
        <v>186</v>
      </c>
      <c r="C249" s="38" t="s">
        <v>491</v>
      </c>
      <c r="D249" s="92">
        <f>'EIA412 BALANCE SHEET'!F15</f>
        <v>16792547</v>
      </c>
      <c r="E249" s="127">
        <f>D249/D250</f>
        <v>0.7432853096604024</v>
      </c>
      <c r="F249" s="128"/>
      <c r="G249" s="131">
        <f>I252</f>
        <v>0.12379999999999999</v>
      </c>
      <c r="I249" s="132">
        <f>G249*E249</f>
        <v>9.2018721335957815E-2</v>
      </c>
      <c r="J249" s="46"/>
      <c r="L249" s="79"/>
      <c r="M249" s="78"/>
      <c r="N249" s="57"/>
      <c r="O249" s="80"/>
      <c r="P249" s="80"/>
      <c r="Q249" s="78"/>
      <c r="R249" s="57"/>
      <c r="S249" s="57"/>
      <c r="T249" s="57"/>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row>
    <row r="250" spans="1:64" ht="15">
      <c r="A250" s="47">
        <v>24</v>
      </c>
      <c r="B250" s="40" t="s">
        <v>187</v>
      </c>
      <c r="C250" s="30"/>
      <c r="D250" s="46">
        <f>SUM(D248:D249)</f>
        <v>22592330</v>
      </c>
      <c r="E250" s="127">
        <f>SUM(E248:E249)</f>
        <v>1</v>
      </c>
      <c r="F250" s="128"/>
      <c r="G250" s="128"/>
      <c r="I250" s="128">
        <f>SUM(I248:I249)</f>
        <v>9.7807367305629819E-2</v>
      </c>
      <c r="J250" s="130" t="s">
        <v>188</v>
      </c>
      <c r="L250" s="79"/>
      <c r="M250" s="78"/>
      <c r="N250" s="57"/>
      <c r="O250" s="80"/>
      <c r="P250" s="80"/>
      <c r="Q250" s="78"/>
      <c r="R250" s="57"/>
      <c r="S250" s="57"/>
      <c r="T250" s="57"/>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row>
    <row r="251" spans="1:64" ht="15">
      <c r="A251" s="47" t="s">
        <v>11</v>
      </c>
      <c r="B251" s="40"/>
      <c r="D251" s="46"/>
      <c r="E251" s="46" t="s">
        <v>11</v>
      </c>
      <c r="F251" s="46"/>
      <c r="G251" s="46"/>
      <c r="H251" s="46"/>
      <c r="I251" s="128"/>
      <c r="L251" s="79"/>
      <c r="M251" s="78"/>
      <c r="N251" s="57"/>
      <c r="O251" s="80"/>
      <c r="P251" s="80"/>
      <c r="Q251" s="78"/>
      <c r="R251" s="57"/>
      <c r="S251" s="57"/>
      <c r="T251" s="57"/>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row>
    <row r="252" spans="1:64" ht="15">
      <c r="A252" s="47">
        <v>25</v>
      </c>
      <c r="D252" s="37" t="s">
        <v>189</v>
      </c>
      <c r="E252" s="46"/>
      <c r="F252" s="46"/>
      <c r="G252" s="46"/>
      <c r="H252" s="46"/>
      <c r="I252" s="133">
        <v>0.12379999999999999</v>
      </c>
      <c r="L252" s="79"/>
      <c r="M252" s="78"/>
      <c r="N252" s="57"/>
      <c r="O252" s="80"/>
      <c r="P252" s="80"/>
      <c r="Q252" s="78"/>
      <c r="R252" s="57"/>
      <c r="S252" s="57"/>
      <c r="T252" s="57"/>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row>
    <row r="253" spans="1:64" ht="15">
      <c r="A253" s="47">
        <v>26</v>
      </c>
      <c r="B253" s="63"/>
      <c r="D253" s="63"/>
      <c r="E253" s="63"/>
      <c r="F253" s="63"/>
      <c r="G253" s="63" t="s">
        <v>190</v>
      </c>
      <c r="H253" s="63"/>
      <c r="I253" s="124">
        <f>IF(G248&gt;0,I250/G248,0)</f>
        <v>4.3375580649335728</v>
      </c>
      <c r="J253" s="63"/>
      <c r="K253" s="46"/>
      <c r="L253" s="79"/>
      <c r="M253" s="78"/>
      <c r="N253" s="57"/>
      <c r="O253" s="80"/>
      <c r="P253" s="80"/>
      <c r="Q253" s="78"/>
      <c r="R253" s="57"/>
      <c r="S253" s="57"/>
      <c r="T253" s="57"/>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row>
    <row r="254" spans="1:64" ht="15">
      <c r="A254" s="47"/>
      <c r="B254" s="40" t="s">
        <v>191</v>
      </c>
      <c r="C254" s="41"/>
      <c r="D254" s="41"/>
      <c r="E254" s="41"/>
      <c r="F254" s="41"/>
      <c r="G254" s="41"/>
      <c r="H254" s="41"/>
      <c r="I254" s="41"/>
      <c r="J254" s="41"/>
      <c r="K254" s="41"/>
      <c r="L254" s="46"/>
      <c r="M254" s="78"/>
      <c r="N254" s="57"/>
      <c r="O254" s="134"/>
      <c r="P254" s="80"/>
      <c r="Q254" s="78"/>
      <c r="R254" s="57"/>
      <c r="S254" s="57"/>
      <c r="T254" s="57"/>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row>
    <row r="255" spans="1:64" ht="15.75" thickBot="1">
      <c r="A255" s="47"/>
      <c r="B255" s="40"/>
      <c r="C255" s="40"/>
      <c r="D255" s="40"/>
      <c r="E255" s="40"/>
      <c r="F255" s="40"/>
      <c r="G255" s="40"/>
      <c r="H255" s="40"/>
      <c r="I255" s="52" t="s">
        <v>192</v>
      </c>
      <c r="J255" s="40"/>
      <c r="K255" s="40"/>
      <c r="L255" s="40"/>
      <c r="M255" s="78"/>
      <c r="N255" s="57"/>
      <c r="O255" s="135"/>
      <c r="P255" s="80"/>
      <c r="Q255" s="78"/>
      <c r="R255" s="57"/>
      <c r="S255" s="57"/>
      <c r="T255" s="57"/>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row>
    <row r="256" spans="1:64" ht="15">
      <c r="A256" s="47"/>
      <c r="B256" s="40" t="s">
        <v>193</v>
      </c>
      <c r="C256" s="41"/>
      <c r="D256" s="41"/>
      <c r="E256" s="41"/>
      <c r="F256" s="41"/>
      <c r="G256" s="64" t="s">
        <v>11</v>
      </c>
      <c r="H256" s="136"/>
      <c r="I256" s="137"/>
      <c r="J256" s="40"/>
      <c r="K256" s="40"/>
      <c r="L256" s="40"/>
      <c r="M256" s="78"/>
      <c r="N256" s="57"/>
      <c r="O256" s="135"/>
      <c r="P256" s="80"/>
      <c r="Q256" s="78"/>
      <c r="R256" s="57"/>
      <c r="S256" s="57"/>
      <c r="T256" s="57"/>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c r="BH256" s="39"/>
      <c r="BI256" s="39"/>
      <c r="BJ256" s="39"/>
      <c r="BK256" s="39"/>
      <c r="BL256" s="39"/>
    </row>
    <row r="257" spans="1:64" ht="15">
      <c r="A257" s="47">
        <v>27</v>
      </c>
      <c r="B257" s="37" t="s">
        <v>194</v>
      </c>
      <c r="C257" s="41"/>
      <c r="D257" s="41"/>
      <c r="E257" s="41" t="s">
        <v>195</v>
      </c>
      <c r="F257" s="41"/>
      <c r="G257" s="63"/>
      <c r="H257" s="136"/>
      <c r="I257" s="138">
        <v>0</v>
      </c>
      <c r="J257" s="40"/>
      <c r="K257" s="40"/>
      <c r="L257" s="40"/>
      <c r="M257" s="78"/>
      <c r="N257" s="57"/>
      <c r="O257" s="135"/>
      <c r="P257" s="80"/>
      <c r="Q257" s="78"/>
      <c r="R257" s="57"/>
      <c r="S257" s="57"/>
      <c r="T257" s="57"/>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row>
    <row r="258" spans="1:64" ht="15.75" thickBot="1">
      <c r="A258" s="47">
        <v>28</v>
      </c>
      <c r="B258" s="139" t="s">
        <v>196</v>
      </c>
      <c r="C258" s="118"/>
      <c r="D258" s="139"/>
      <c r="E258" s="118"/>
      <c r="F258" s="118"/>
      <c r="G258" s="118"/>
      <c r="H258" s="41"/>
      <c r="I258" s="140">
        <v>0</v>
      </c>
      <c r="J258" s="40"/>
      <c r="K258" s="40"/>
      <c r="L258" s="40"/>
      <c r="M258" s="56"/>
      <c r="N258" s="57"/>
      <c r="O258" s="135"/>
      <c r="P258" s="80"/>
      <c r="Q258" s="78"/>
      <c r="R258" s="57"/>
      <c r="S258" s="57"/>
      <c r="T258" s="57"/>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row>
    <row r="259" spans="1:64" ht="15">
      <c r="A259" s="47">
        <v>29</v>
      </c>
      <c r="B259" s="63" t="s">
        <v>197</v>
      </c>
      <c r="C259" s="41"/>
      <c r="D259" s="63"/>
      <c r="E259" s="41"/>
      <c r="F259" s="41"/>
      <c r="G259" s="41"/>
      <c r="H259" s="41"/>
      <c r="I259" s="138">
        <f>+I257-I258</f>
        <v>0</v>
      </c>
      <c r="J259" s="40"/>
      <c r="K259" s="40"/>
      <c r="L259" s="40"/>
      <c r="M259" s="56"/>
      <c r="N259" s="57"/>
      <c r="O259" s="135"/>
      <c r="P259" s="80"/>
      <c r="Q259" s="78"/>
      <c r="R259" s="57"/>
      <c r="S259" s="57"/>
      <c r="T259" s="57"/>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row>
    <row r="260" spans="1:64" ht="15">
      <c r="A260" s="47"/>
      <c r="B260" s="63" t="s">
        <v>11</v>
      </c>
      <c r="C260" s="41"/>
      <c r="D260" s="63"/>
      <c r="E260" s="41"/>
      <c r="F260" s="41"/>
      <c r="G260" s="142"/>
      <c r="H260" s="41"/>
      <c r="I260" s="141" t="s">
        <v>11</v>
      </c>
      <c r="J260" s="40"/>
      <c r="K260" s="40"/>
      <c r="L260" s="40"/>
      <c r="M260" s="56"/>
      <c r="N260" s="57"/>
      <c r="O260" s="135"/>
      <c r="P260" s="80"/>
      <c r="Q260" s="78"/>
      <c r="R260" s="57"/>
      <c r="S260" s="57"/>
      <c r="T260" s="57"/>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row>
    <row r="261" spans="1:64" ht="15">
      <c r="A261" s="47">
        <v>30</v>
      </c>
      <c r="B261" s="40" t="s">
        <v>198</v>
      </c>
      <c r="C261" s="41"/>
      <c r="D261" s="63"/>
      <c r="E261" s="41"/>
      <c r="F261" s="41"/>
      <c r="G261" s="142"/>
      <c r="H261" s="41"/>
      <c r="I261" s="143">
        <f>'EIA412 INCOME STATEMENT'!C16</f>
        <v>4270</v>
      </c>
      <c r="J261" s="40"/>
      <c r="K261" s="40"/>
      <c r="L261" s="40"/>
      <c r="M261" s="144"/>
      <c r="N261" s="57"/>
      <c r="O261" s="135"/>
      <c r="P261" s="80"/>
      <c r="Q261" s="78"/>
      <c r="R261" s="57"/>
      <c r="S261" s="57"/>
      <c r="T261" s="57"/>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row>
    <row r="262" spans="1:64" ht="15">
      <c r="A262" s="47"/>
      <c r="C262" s="41"/>
      <c r="D262" s="41"/>
      <c r="E262" s="41"/>
      <c r="F262" s="41"/>
      <c r="G262" s="41"/>
      <c r="H262" s="41"/>
      <c r="I262" s="141"/>
      <c r="J262" s="40"/>
      <c r="K262" s="40"/>
      <c r="L262" s="40"/>
      <c r="M262" s="134"/>
      <c r="N262" s="57"/>
      <c r="O262" s="135"/>
      <c r="P262" s="80"/>
      <c r="Q262" s="78"/>
      <c r="R262" s="57"/>
      <c r="S262" s="57"/>
      <c r="T262" s="57"/>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row>
    <row r="263" spans="1:64" ht="15">
      <c r="B263" s="40" t="s">
        <v>492</v>
      </c>
      <c r="C263" s="41"/>
      <c r="D263" s="41"/>
      <c r="E263" s="41"/>
      <c r="F263" s="41"/>
      <c r="G263" s="41"/>
      <c r="H263" s="41"/>
      <c r="J263" s="40"/>
      <c r="K263" s="40"/>
      <c r="L263" s="40"/>
      <c r="M263" s="134"/>
      <c r="N263" s="57"/>
      <c r="O263" s="135"/>
      <c r="P263" s="80"/>
      <c r="Q263" s="78"/>
      <c r="R263" s="57"/>
      <c r="S263" s="57"/>
      <c r="T263" s="57"/>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c r="BG263" s="39"/>
      <c r="BH263" s="39"/>
      <c r="BI263" s="39"/>
      <c r="BJ263" s="39"/>
      <c r="BK263" s="39"/>
      <c r="BL263" s="39"/>
    </row>
    <row r="264" spans="1:64" ht="15.75">
      <c r="A264" s="47">
        <v>31</v>
      </c>
      <c r="B264" s="40" t="s">
        <v>199</v>
      </c>
      <c r="C264" s="46"/>
      <c r="D264" s="46"/>
      <c r="E264" s="46"/>
      <c r="F264" s="46"/>
      <c r="G264" s="46"/>
      <c r="H264" s="46"/>
      <c r="I264" s="450">
        <f>'TARIFF RECEIPTS'!V144</f>
        <v>1086162.07</v>
      </c>
      <c r="J264" s="40"/>
      <c r="K264" s="40"/>
      <c r="L264" s="40"/>
      <c r="M264" s="344" t="s">
        <v>506</v>
      </c>
      <c r="Q264" s="37" t="s">
        <v>630</v>
      </c>
      <c r="R264" s="57"/>
      <c r="S264" s="57"/>
      <c r="T264" s="57"/>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c r="BH264" s="39"/>
      <c r="BI264" s="39"/>
      <c r="BJ264" s="39"/>
      <c r="BK264" s="39"/>
      <c r="BL264" s="39"/>
    </row>
    <row r="265" spans="1:64" ht="15.75">
      <c r="A265" s="47">
        <v>32</v>
      </c>
      <c r="B265" s="307" t="s">
        <v>200</v>
      </c>
      <c r="C265" s="308"/>
      <c r="D265" s="308"/>
      <c r="E265" s="308"/>
      <c r="F265" s="308"/>
      <c r="G265" s="41"/>
      <c r="H265" s="41"/>
      <c r="I265" s="450">
        <f>'TARIFF RECEIPTS'!V139</f>
        <v>488082.79000000004</v>
      </c>
      <c r="J265" s="40"/>
      <c r="K265" s="40"/>
      <c r="L265" s="40"/>
      <c r="M265" s="344" t="s">
        <v>507</v>
      </c>
      <c r="Q265" s="37" t="s">
        <v>631</v>
      </c>
      <c r="R265" s="57"/>
      <c r="S265" s="57"/>
      <c r="T265" s="57"/>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row>
    <row r="266" spans="1:64" ht="15.75">
      <c r="A266" s="47" t="s">
        <v>493</v>
      </c>
      <c r="B266" s="307" t="s">
        <v>629</v>
      </c>
      <c r="C266" s="308"/>
      <c r="D266" s="308"/>
      <c r="E266" s="308"/>
      <c r="F266" s="308"/>
      <c r="G266" s="41"/>
      <c r="H266" s="41"/>
      <c r="I266" s="145">
        <v>0</v>
      </c>
      <c r="J266" s="40"/>
      <c r="K266" s="40"/>
      <c r="L266" s="40"/>
      <c r="N266" s="310"/>
      <c r="O266" s="342"/>
      <c r="P266" s="329"/>
      <c r="Q266" s="78"/>
      <c r="R266" s="57"/>
      <c r="S266" s="57"/>
      <c r="T266" s="57"/>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row>
    <row r="267" spans="1:64" ht="16.5" thickBot="1">
      <c r="A267" s="47" t="s">
        <v>583</v>
      </c>
      <c r="B267" s="307" t="s">
        <v>584</v>
      </c>
      <c r="C267" s="308"/>
      <c r="D267" s="308"/>
      <c r="E267" s="308"/>
      <c r="F267" s="308"/>
      <c r="G267" s="41"/>
      <c r="H267" s="41"/>
      <c r="I267" s="146">
        <v>0</v>
      </c>
      <c r="J267" s="40"/>
      <c r="K267" s="40"/>
      <c r="L267" s="40"/>
      <c r="N267" s="340"/>
      <c r="O267" s="345"/>
      <c r="P267" s="339"/>
      <c r="Q267" s="78"/>
      <c r="R267" s="57"/>
      <c r="S267" s="57"/>
      <c r="T267" s="57"/>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row>
    <row r="268" spans="1:64" ht="15.75">
      <c r="A268" s="47">
        <v>33</v>
      </c>
      <c r="B268" s="40" t="s">
        <v>585</v>
      </c>
      <c r="C268" s="44" t="s">
        <v>11</v>
      </c>
      <c r="D268" s="46"/>
      <c r="E268" s="46"/>
      <c r="F268" s="46"/>
      <c r="G268" s="46"/>
      <c r="H268" s="41"/>
      <c r="I268" s="147">
        <f>+I264-I265-I266-I267</f>
        <v>598079.28</v>
      </c>
      <c r="J268" s="40"/>
      <c r="K268" s="40"/>
      <c r="L268" s="40"/>
      <c r="Q268" s="309"/>
      <c r="R268" s="57"/>
      <c r="S268" s="57"/>
      <c r="T268" s="57"/>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row>
    <row r="269" spans="1:64" ht="15.75">
      <c r="A269" s="47"/>
      <c r="B269" s="40"/>
      <c r="C269" s="44"/>
      <c r="D269" s="46"/>
      <c r="E269" s="46"/>
      <c r="F269" s="46"/>
      <c r="G269" s="46"/>
      <c r="H269" s="41"/>
      <c r="I269" s="147"/>
      <c r="J269" s="40"/>
      <c r="K269" s="40"/>
      <c r="L269" s="40"/>
      <c r="Q269" s="346"/>
      <c r="R269" s="57"/>
      <c r="S269" s="57"/>
      <c r="T269" s="57"/>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c r="BH269" s="39"/>
      <c r="BI269" s="39"/>
      <c r="BJ269" s="39"/>
      <c r="BK269" s="39"/>
      <c r="BL269" s="39"/>
    </row>
    <row r="270" spans="1:64" ht="15">
      <c r="B270" s="40"/>
      <c r="C270" s="41"/>
      <c r="D270" s="41"/>
      <c r="E270" s="41"/>
      <c r="F270" s="41"/>
      <c r="G270" s="41"/>
      <c r="H270" s="41"/>
      <c r="I270" s="38"/>
      <c r="J270" s="58"/>
      <c r="K270" s="57"/>
      <c r="L270" s="40"/>
      <c r="M270" s="58"/>
      <c r="N270" s="57"/>
      <c r="O270" s="135"/>
      <c r="P270" s="58"/>
      <c r="Q270" s="78"/>
      <c r="R270" s="57"/>
      <c r="S270" s="57"/>
      <c r="T270" s="57"/>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c r="BH270" s="39"/>
      <c r="BI270" s="39"/>
      <c r="BJ270" s="39"/>
      <c r="BK270" s="39"/>
      <c r="BL270" s="39"/>
    </row>
    <row r="271" spans="1:64" ht="15.75">
      <c r="A271" s="309"/>
      <c r="B271" s="40"/>
      <c r="C271" s="44"/>
      <c r="D271" s="46"/>
      <c r="E271" s="46"/>
      <c r="F271" s="46"/>
      <c r="G271" s="46"/>
      <c r="H271" s="41"/>
      <c r="I271" s="147"/>
      <c r="J271" s="40"/>
      <c r="K271" s="40"/>
      <c r="L271" s="40"/>
      <c r="M271" s="58"/>
      <c r="N271" s="57"/>
      <c r="O271" s="135"/>
      <c r="P271" s="58"/>
      <c r="Q271" s="78"/>
      <c r="R271" s="57"/>
      <c r="S271" s="57"/>
      <c r="T271" s="57"/>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c r="BH271" s="39"/>
      <c r="BI271" s="39"/>
      <c r="BJ271" s="39"/>
      <c r="BK271" s="39"/>
      <c r="BL271" s="39"/>
    </row>
    <row r="272" spans="1:64" ht="15.75">
      <c r="A272" s="330"/>
      <c r="B272" s="398"/>
      <c r="C272" s="330"/>
      <c r="D272" s="315"/>
      <c r="E272" s="315"/>
      <c r="F272" s="315"/>
      <c r="G272" s="315"/>
      <c r="H272" s="343"/>
      <c r="I272" s="399"/>
      <c r="J272" s="342"/>
      <c r="K272" s="400" t="s">
        <v>566</v>
      </c>
      <c r="L272" s="371"/>
      <c r="M272" s="58"/>
      <c r="N272" s="57"/>
      <c r="O272" s="135"/>
      <c r="P272" s="58"/>
      <c r="Q272" s="78"/>
      <c r="R272" s="57"/>
      <c r="S272" s="57"/>
      <c r="T272" s="57"/>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row>
    <row r="273" spans="1:64" ht="15.75">
      <c r="A273" s="310"/>
      <c r="B273" s="342"/>
      <c r="C273" s="342"/>
      <c r="D273" s="310"/>
      <c r="E273" s="342"/>
      <c r="F273" s="342"/>
      <c r="G273" s="342"/>
      <c r="H273" s="343"/>
      <c r="I273" s="343"/>
      <c r="J273" s="310"/>
      <c r="K273" s="401" t="s">
        <v>201</v>
      </c>
      <c r="L273" s="392"/>
      <c r="M273" s="58"/>
      <c r="N273" s="57"/>
      <c r="O273" s="58"/>
      <c r="P273" s="58"/>
      <c r="Q273" s="58"/>
      <c r="R273" s="57"/>
      <c r="S273" s="57"/>
      <c r="T273" s="57"/>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row>
    <row r="274" spans="1:64" ht="15.75">
      <c r="A274" s="330"/>
      <c r="B274" s="398" t="str">
        <f>B4</f>
        <v xml:space="preserve">Formula Rate - Non-Levelized </v>
      </c>
      <c r="C274" s="515" t="str">
        <f>D4</f>
        <v xml:space="preserve">   Rate Formula Template</v>
      </c>
      <c r="D274" s="515"/>
      <c r="E274" s="402"/>
      <c r="F274" s="402"/>
      <c r="G274" s="402"/>
      <c r="H274" s="403"/>
      <c r="I274" s="516" t="str">
        <f>I4</f>
        <v>For the 12 months ended 12/31/15</v>
      </c>
      <c r="J274" s="516"/>
      <c r="K274" s="516"/>
      <c r="L274" s="30"/>
      <c r="M274" s="58"/>
      <c r="N274" s="57"/>
      <c r="O274" s="58"/>
      <c r="P274" s="58"/>
      <c r="Q274" s="58"/>
      <c r="R274" s="57"/>
      <c r="S274" s="57"/>
      <c r="T274" s="57"/>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row>
    <row r="275" spans="1:64" ht="15.75">
      <c r="A275" s="330"/>
      <c r="B275" s="398"/>
      <c r="C275" s="330"/>
      <c r="D275" s="402" t="str">
        <f>D5</f>
        <v>Utilizing EIA Form 412 Data</v>
      </c>
      <c r="E275" s="402"/>
      <c r="F275" s="402"/>
      <c r="G275" s="402"/>
      <c r="H275" s="343"/>
      <c r="I275" s="404"/>
      <c r="J275" s="405"/>
      <c r="K275" s="406"/>
      <c r="L275" s="30"/>
      <c r="M275" s="58"/>
      <c r="N275" s="57"/>
      <c r="O275" s="58"/>
      <c r="P275" s="58"/>
      <c r="Q275" s="58"/>
      <c r="R275" s="57"/>
      <c r="S275" s="57"/>
      <c r="T275" s="57"/>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row>
    <row r="276" spans="1:64" ht="15.75">
      <c r="A276" s="330"/>
      <c r="B276" s="398"/>
      <c r="C276" s="330"/>
      <c r="D276" s="402" t="str">
        <f>D7</f>
        <v>Glencoe</v>
      </c>
      <c r="E276" s="402"/>
      <c r="F276" s="402"/>
      <c r="G276" s="402"/>
      <c r="H276" s="343"/>
      <c r="I276" s="404"/>
      <c r="J276" s="405"/>
      <c r="K276" s="406"/>
      <c r="L276" s="30"/>
      <c r="M276" s="58"/>
      <c r="N276" s="57"/>
      <c r="O276" s="58"/>
      <c r="P276" s="58"/>
      <c r="Q276" s="58"/>
      <c r="R276" s="57"/>
      <c r="S276" s="57"/>
      <c r="T276" s="57"/>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row>
    <row r="277" spans="1:64" ht="20.25">
      <c r="A277" s="330"/>
      <c r="B277" s="342" t="s">
        <v>202</v>
      </c>
      <c r="C277" s="330"/>
      <c r="D277" s="402"/>
      <c r="E277" s="402"/>
      <c r="F277" s="402"/>
      <c r="G277" s="402"/>
      <c r="H277" s="343"/>
      <c r="I277" s="402"/>
      <c r="J277" s="405"/>
      <c r="K277" s="406"/>
      <c r="L277" s="149"/>
      <c r="M277" s="58"/>
      <c r="N277" s="57"/>
      <c r="O277" s="58"/>
      <c r="P277" s="58"/>
      <c r="Q277" s="58"/>
      <c r="R277" s="57"/>
      <c r="S277" s="57"/>
      <c r="T277" s="57"/>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row>
    <row r="278" spans="1:64" ht="20.25">
      <c r="A278" s="330"/>
      <c r="B278" s="407" t="s">
        <v>644</v>
      </c>
      <c r="C278" s="330"/>
      <c r="D278" s="402"/>
      <c r="E278" s="402"/>
      <c r="F278" s="402"/>
      <c r="G278" s="402"/>
      <c r="H278" s="343"/>
      <c r="I278" s="402"/>
      <c r="J278" s="343"/>
      <c r="K278" s="402"/>
      <c r="L278" s="149"/>
      <c r="M278" s="58"/>
      <c r="N278" s="57"/>
      <c r="O278" s="148"/>
      <c r="P278" s="58"/>
      <c r="Q278" s="78"/>
      <c r="R278" s="57"/>
      <c r="S278" s="57"/>
      <c r="T278" s="57"/>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row>
    <row r="279" spans="1:64" ht="20.25">
      <c r="A279" s="310"/>
      <c r="B279" s="407" t="s">
        <v>645</v>
      </c>
      <c r="C279" s="330"/>
      <c r="D279" s="402"/>
      <c r="E279" s="402"/>
      <c r="F279" s="402"/>
      <c r="G279" s="402"/>
      <c r="H279" s="343"/>
      <c r="I279" s="402"/>
      <c r="J279" s="343"/>
      <c r="K279" s="402"/>
      <c r="L279" s="149"/>
      <c r="M279" s="58"/>
      <c r="N279" s="57"/>
      <c r="O279" s="148"/>
      <c r="P279" s="58"/>
      <c r="Q279" s="78"/>
      <c r="R279" s="57"/>
      <c r="S279" s="57"/>
      <c r="T279" s="57"/>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row>
    <row r="280" spans="1:64" ht="20.25">
      <c r="A280" s="330" t="s">
        <v>203</v>
      </c>
      <c r="B280" s="342" t="s">
        <v>646</v>
      </c>
      <c r="C280" s="343"/>
      <c r="D280" s="402"/>
      <c r="E280" s="402"/>
      <c r="F280" s="402"/>
      <c r="G280" s="408"/>
      <c r="H280" s="343"/>
      <c r="I280" s="402"/>
      <c r="J280" s="343"/>
      <c r="K280" s="402"/>
      <c r="L280" s="149"/>
      <c r="M280" s="58"/>
      <c r="N280" s="57"/>
      <c r="O280" s="148"/>
      <c r="P280" s="58"/>
      <c r="Q280" s="58"/>
      <c r="R280" s="57"/>
      <c r="S280" s="57"/>
      <c r="T280" s="57"/>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row>
    <row r="281" spans="1:64" ht="21" thickBot="1">
      <c r="A281" s="409" t="s">
        <v>204</v>
      </c>
      <c r="B281" s="310"/>
      <c r="C281" s="343"/>
      <c r="D281" s="402"/>
      <c r="E281" s="402"/>
      <c r="F281" s="402"/>
      <c r="G281" s="402"/>
      <c r="H281" s="343"/>
      <c r="I281" s="402"/>
      <c r="J281" s="343"/>
      <c r="K281" s="402"/>
      <c r="L281" s="149"/>
      <c r="M281" s="58"/>
      <c r="N281" s="57"/>
      <c r="O281" s="150"/>
      <c r="P281" s="58"/>
      <c r="Q281" s="58"/>
      <c r="R281" s="57"/>
      <c r="S281" s="57"/>
      <c r="T281" s="57"/>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row>
    <row r="282" spans="1:64" ht="20.25">
      <c r="A282" s="328" t="s">
        <v>205</v>
      </c>
      <c r="B282" s="512" t="s">
        <v>647</v>
      </c>
      <c r="C282" s="512"/>
      <c r="D282" s="512"/>
      <c r="E282" s="512"/>
      <c r="F282" s="512"/>
      <c r="G282" s="512"/>
      <c r="H282" s="512"/>
      <c r="I282" s="512"/>
      <c r="J282" s="512"/>
      <c r="K282" s="512"/>
      <c r="L282" s="149"/>
      <c r="M282" s="58"/>
      <c r="N282" s="57"/>
      <c r="O282" s="150"/>
      <c r="P282" s="58"/>
      <c r="Q282" s="58"/>
      <c r="R282" s="57"/>
      <c r="S282" s="57"/>
      <c r="T282" s="57"/>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c r="BJ282" s="39"/>
      <c r="BK282" s="39"/>
      <c r="BL282" s="39"/>
    </row>
    <row r="283" spans="1:64" ht="20.25">
      <c r="A283" s="328" t="s">
        <v>206</v>
      </c>
      <c r="B283" s="512" t="s">
        <v>648</v>
      </c>
      <c r="C283" s="512"/>
      <c r="D283" s="512"/>
      <c r="E283" s="512"/>
      <c r="F283" s="512"/>
      <c r="G283" s="512"/>
      <c r="H283" s="512"/>
      <c r="I283" s="512"/>
      <c r="J283" s="512"/>
      <c r="K283" s="512"/>
      <c r="L283" s="149"/>
      <c r="M283" s="58"/>
      <c r="N283" s="57"/>
      <c r="O283" s="150"/>
      <c r="P283" s="58"/>
      <c r="Q283" s="58"/>
      <c r="R283" s="57"/>
      <c r="S283" s="57"/>
      <c r="T283" s="57"/>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row>
    <row r="284" spans="1:64" ht="20.25">
      <c r="A284" s="328" t="s">
        <v>207</v>
      </c>
      <c r="B284" s="512" t="s">
        <v>649</v>
      </c>
      <c r="C284" s="512"/>
      <c r="D284" s="512"/>
      <c r="E284" s="512"/>
      <c r="F284" s="512"/>
      <c r="G284" s="512"/>
      <c r="H284" s="512"/>
      <c r="I284" s="512"/>
      <c r="J284" s="512"/>
      <c r="K284" s="512"/>
      <c r="L284" s="149"/>
      <c r="M284" s="58"/>
      <c r="N284" s="57"/>
      <c r="O284" s="150"/>
      <c r="P284" s="58"/>
      <c r="Q284" s="58"/>
      <c r="R284" s="57"/>
      <c r="S284" s="57"/>
      <c r="T284" s="57"/>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c r="BJ284" s="39"/>
      <c r="BK284" s="39"/>
      <c r="BL284" s="39"/>
    </row>
    <row r="285" spans="1:64" ht="20.25">
      <c r="A285" s="328" t="s">
        <v>208</v>
      </c>
      <c r="B285" s="512" t="s">
        <v>649</v>
      </c>
      <c r="C285" s="512"/>
      <c r="D285" s="512"/>
      <c r="E285" s="512"/>
      <c r="F285" s="512"/>
      <c r="G285" s="512"/>
      <c r="H285" s="512"/>
      <c r="I285" s="512"/>
      <c r="J285" s="512"/>
      <c r="K285" s="512"/>
      <c r="L285" s="149"/>
      <c r="M285" s="58"/>
      <c r="N285" s="57"/>
      <c r="O285" s="150"/>
      <c r="P285" s="58"/>
      <c r="Q285" s="58"/>
      <c r="R285" s="57"/>
      <c r="S285" s="57"/>
      <c r="T285" s="57"/>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row>
    <row r="286" spans="1:64" ht="20.25">
      <c r="A286" s="328" t="s">
        <v>209</v>
      </c>
      <c r="B286" s="512" t="s">
        <v>650</v>
      </c>
      <c r="C286" s="512"/>
      <c r="D286" s="512"/>
      <c r="E286" s="512"/>
      <c r="F286" s="512"/>
      <c r="G286" s="512"/>
      <c r="H286" s="512"/>
      <c r="I286" s="512"/>
      <c r="J286" s="512"/>
      <c r="K286" s="512"/>
      <c r="L286" s="149"/>
      <c r="M286" s="58"/>
      <c r="N286" s="57"/>
      <c r="O286" s="150"/>
      <c r="P286" s="58"/>
      <c r="Q286" s="58"/>
      <c r="R286" s="57"/>
      <c r="S286" s="57"/>
      <c r="T286" s="57"/>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row>
    <row r="287" spans="1:64" ht="20.25">
      <c r="A287" s="328" t="s">
        <v>210</v>
      </c>
      <c r="B287" s="513" t="s">
        <v>651</v>
      </c>
      <c r="C287" s="513"/>
      <c r="D287" s="513"/>
      <c r="E287" s="513"/>
      <c r="F287" s="513"/>
      <c r="G287" s="513"/>
      <c r="H287" s="513"/>
      <c r="I287" s="513"/>
      <c r="J287" s="513"/>
      <c r="K287" s="513"/>
      <c r="L287" s="149"/>
      <c r="M287" s="58"/>
      <c r="N287" s="57"/>
      <c r="O287" s="150"/>
      <c r="P287" s="151"/>
      <c r="Q287" s="58"/>
      <c r="R287" s="57"/>
      <c r="S287" s="57"/>
      <c r="T287" s="57"/>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row>
    <row r="288" spans="1:64" ht="20.25">
      <c r="A288" s="328" t="s">
        <v>211</v>
      </c>
      <c r="B288" s="513" t="s">
        <v>212</v>
      </c>
      <c r="C288" s="513"/>
      <c r="D288" s="513"/>
      <c r="E288" s="513"/>
      <c r="F288" s="513"/>
      <c r="G288" s="513"/>
      <c r="H288" s="513"/>
      <c r="I288" s="513"/>
      <c r="J288" s="513"/>
      <c r="K288" s="513"/>
      <c r="L288" s="149"/>
      <c r="M288" s="58"/>
      <c r="N288" s="57"/>
      <c r="O288" s="150"/>
      <c r="P288" s="58"/>
      <c r="Q288" s="58"/>
      <c r="R288" s="57"/>
      <c r="S288" s="57"/>
      <c r="T288" s="57"/>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row>
    <row r="289" spans="1:64" ht="20.25">
      <c r="A289" s="328" t="s">
        <v>213</v>
      </c>
      <c r="B289" s="513" t="s">
        <v>652</v>
      </c>
      <c r="C289" s="513"/>
      <c r="D289" s="513"/>
      <c r="E289" s="513"/>
      <c r="F289" s="513"/>
      <c r="G289" s="513"/>
      <c r="H289" s="513"/>
      <c r="I289" s="513"/>
      <c r="J289" s="513"/>
      <c r="K289" s="513"/>
      <c r="L289" s="149"/>
      <c r="M289" s="58"/>
      <c r="N289" s="57"/>
      <c r="O289" s="150"/>
      <c r="P289" s="58"/>
      <c r="Q289" s="58"/>
      <c r="R289" s="57"/>
      <c r="S289" s="57"/>
      <c r="T289" s="57"/>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row>
    <row r="290" spans="1:64" ht="20.25">
      <c r="A290" s="328" t="s">
        <v>214</v>
      </c>
      <c r="B290" s="512" t="s">
        <v>653</v>
      </c>
      <c r="C290" s="512"/>
      <c r="D290" s="512"/>
      <c r="E290" s="512"/>
      <c r="F290" s="512"/>
      <c r="G290" s="512"/>
      <c r="H290" s="512"/>
      <c r="I290" s="512"/>
      <c r="J290" s="512"/>
      <c r="K290" s="512"/>
      <c r="L290" s="149"/>
      <c r="M290" s="58"/>
      <c r="N290" s="57"/>
      <c r="O290" s="150"/>
      <c r="P290" s="58"/>
      <c r="Q290" s="58"/>
      <c r="R290" s="57"/>
      <c r="S290" s="57"/>
      <c r="T290" s="57"/>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row>
    <row r="291" spans="1:64" ht="20.25">
      <c r="A291" s="328" t="s">
        <v>215</v>
      </c>
      <c r="B291" s="513" t="s">
        <v>654</v>
      </c>
      <c r="C291" s="513"/>
      <c r="D291" s="513"/>
      <c r="E291" s="513"/>
      <c r="F291" s="513"/>
      <c r="G291" s="513"/>
      <c r="H291" s="513"/>
      <c r="I291" s="513"/>
      <c r="J291" s="513"/>
      <c r="K291" s="513"/>
      <c r="L291" s="149"/>
      <c r="M291" s="58"/>
      <c r="N291" s="57"/>
      <c r="O291" s="150"/>
      <c r="P291" s="58"/>
      <c r="Q291" s="58"/>
      <c r="R291" s="57"/>
      <c r="S291" s="57"/>
      <c r="T291" s="57"/>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c r="BJ291" s="39"/>
      <c r="BK291" s="39"/>
      <c r="BL291" s="39"/>
    </row>
    <row r="292" spans="1:64" ht="20.25">
      <c r="A292" s="328" t="s">
        <v>216</v>
      </c>
      <c r="B292" s="513" t="s">
        <v>655</v>
      </c>
      <c r="C292" s="513"/>
      <c r="D292" s="513"/>
      <c r="E292" s="513"/>
      <c r="F292" s="513"/>
      <c r="G292" s="513"/>
      <c r="H292" s="513"/>
      <c r="I292" s="513"/>
      <c r="J292" s="513"/>
      <c r="K292" s="513"/>
      <c r="L292" s="149"/>
      <c r="M292" s="58"/>
      <c r="N292" s="57"/>
      <c r="O292" s="150"/>
      <c r="P292" s="58"/>
      <c r="Q292" s="58"/>
      <c r="R292" s="57"/>
      <c r="S292" s="57"/>
      <c r="T292" s="57"/>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c r="BJ292" s="39"/>
      <c r="BK292" s="39"/>
      <c r="BL292" s="39"/>
    </row>
    <row r="293" spans="1:64" ht="20.25">
      <c r="A293" s="328" t="s">
        <v>11</v>
      </c>
      <c r="B293" s="410" t="s">
        <v>656</v>
      </c>
      <c r="C293" s="393" t="s">
        <v>217</v>
      </c>
      <c r="D293" s="411">
        <v>0</v>
      </c>
      <c r="E293" s="393"/>
      <c r="F293" s="412"/>
      <c r="G293" s="412"/>
      <c r="H293" s="394"/>
      <c r="I293" s="412"/>
      <c r="J293" s="394"/>
      <c r="K293" s="412"/>
      <c r="L293" s="149"/>
      <c r="M293" s="58"/>
      <c r="N293" s="57"/>
      <c r="O293" s="150"/>
      <c r="P293" s="58"/>
      <c r="Q293" s="58"/>
      <c r="R293" s="57"/>
      <c r="S293" s="57"/>
      <c r="T293" s="57"/>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row>
    <row r="294" spans="1:64" ht="20.25">
      <c r="A294" s="328"/>
      <c r="B294" s="393"/>
      <c r="C294" s="393" t="s">
        <v>218</v>
      </c>
      <c r="D294" s="411">
        <v>0</v>
      </c>
      <c r="E294" s="513" t="s">
        <v>219</v>
      </c>
      <c r="F294" s="513"/>
      <c r="G294" s="513"/>
      <c r="H294" s="513"/>
      <c r="I294" s="513"/>
      <c r="J294" s="513"/>
      <c r="K294" s="513"/>
      <c r="L294" s="149"/>
      <c r="M294" s="58"/>
      <c r="N294" s="57"/>
      <c r="O294" s="150"/>
      <c r="P294" s="58"/>
      <c r="Q294" s="58"/>
      <c r="R294" s="57"/>
      <c r="S294" s="57"/>
      <c r="T294" s="57"/>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row>
    <row r="295" spans="1:64" ht="20.25">
      <c r="A295" s="328"/>
      <c r="B295" s="393"/>
      <c r="C295" s="393" t="s">
        <v>220</v>
      </c>
      <c r="D295" s="411">
        <v>0</v>
      </c>
      <c r="E295" s="513" t="s">
        <v>221</v>
      </c>
      <c r="F295" s="513"/>
      <c r="G295" s="513"/>
      <c r="H295" s="513"/>
      <c r="I295" s="513"/>
      <c r="J295" s="513"/>
      <c r="K295" s="513"/>
      <c r="L295" s="149"/>
      <c r="M295" s="58"/>
      <c r="N295" s="57"/>
      <c r="O295" s="150"/>
      <c r="P295" s="58"/>
      <c r="Q295" s="58"/>
      <c r="R295" s="57"/>
      <c r="S295" s="57"/>
      <c r="T295" s="57"/>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c r="BJ295" s="39"/>
      <c r="BK295" s="39"/>
      <c r="BL295" s="39"/>
    </row>
    <row r="296" spans="1:64" ht="20.25">
      <c r="A296" s="328" t="s">
        <v>222</v>
      </c>
      <c r="B296" s="513" t="s">
        <v>503</v>
      </c>
      <c r="C296" s="513"/>
      <c r="D296" s="513"/>
      <c r="E296" s="513"/>
      <c r="F296" s="513"/>
      <c r="G296" s="513"/>
      <c r="H296" s="513"/>
      <c r="I296" s="513"/>
      <c r="J296" s="513"/>
      <c r="K296" s="513"/>
      <c r="L296" s="149"/>
      <c r="M296" s="58"/>
      <c r="N296" s="57"/>
      <c r="O296" s="150"/>
      <c r="P296" s="58"/>
      <c r="Q296" s="58"/>
      <c r="R296" s="57"/>
      <c r="S296" s="57"/>
      <c r="T296" s="57"/>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row>
    <row r="297" spans="1:64" ht="20.25">
      <c r="A297" s="328" t="s">
        <v>223</v>
      </c>
      <c r="B297" s="513" t="s">
        <v>657</v>
      </c>
      <c r="C297" s="513"/>
      <c r="D297" s="513"/>
      <c r="E297" s="513"/>
      <c r="F297" s="513"/>
      <c r="G297" s="513"/>
      <c r="H297" s="513"/>
      <c r="I297" s="513"/>
      <c r="J297" s="513"/>
      <c r="K297" s="513"/>
      <c r="L297" s="149"/>
      <c r="M297" s="58"/>
      <c r="N297" s="57"/>
      <c r="O297" s="150"/>
      <c r="P297" s="58"/>
      <c r="Q297" s="58"/>
      <c r="R297" s="57"/>
      <c r="S297" s="57"/>
      <c r="T297" s="57"/>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c r="BJ297" s="39"/>
      <c r="BK297" s="39"/>
      <c r="BL297" s="39"/>
    </row>
    <row r="298" spans="1:64" ht="20.25">
      <c r="A298" s="328" t="s">
        <v>224</v>
      </c>
      <c r="B298" s="513" t="s">
        <v>504</v>
      </c>
      <c r="C298" s="513"/>
      <c r="D298" s="513"/>
      <c r="E298" s="513"/>
      <c r="F298" s="513"/>
      <c r="G298" s="513"/>
      <c r="H298" s="513"/>
      <c r="I298" s="513"/>
      <c r="J298" s="513"/>
      <c r="K298" s="513"/>
      <c r="L298" s="149"/>
      <c r="M298" s="58"/>
      <c r="N298" s="57"/>
      <c r="O298" s="150"/>
      <c r="P298" s="58"/>
      <c r="Q298" s="58"/>
      <c r="R298" s="57"/>
      <c r="S298" s="57"/>
      <c r="T298" s="57"/>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row>
    <row r="299" spans="1:64" ht="20.25">
      <c r="A299" s="328" t="s">
        <v>225</v>
      </c>
      <c r="B299" s="513" t="s">
        <v>226</v>
      </c>
      <c r="C299" s="513"/>
      <c r="D299" s="513"/>
      <c r="E299" s="513"/>
      <c r="F299" s="513"/>
      <c r="G299" s="513"/>
      <c r="H299" s="513"/>
      <c r="I299" s="513"/>
      <c r="J299" s="513"/>
      <c r="K299" s="513"/>
      <c r="L299" s="149"/>
      <c r="M299" s="58"/>
      <c r="N299" s="57"/>
      <c r="O299" s="150"/>
      <c r="P299" s="58"/>
      <c r="Q299" s="58"/>
      <c r="R299" s="57"/>
      <c r="S299" s="57"/>
      <c r="T299" s="57"/>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row>
    <row r="300" spans="1:64" ht="20.25">
      <c r="A300" s="328" t="s">
        <v>227</v>
      </c>
      <c r="B300" s="512" t="s">
        <v>658</v>
      </c>
      <c r="C300" s="512"/>
      <c r="D300" s="512"/>
      <c r="E300" s="512"/>
      <c r="F300" s="512"/>
      <c r="G300" s="512"/>
      <c r="H300" s="512"/>
      <c r="I300" s="512"/>
      <c r="J300" s="512"/>
      <c r="K300" s="512"/>
      <c r="L300" s="149"/>
      <c r="M300" s="58"/>
      <c r="N300" s="57"/>
      <c r="O300" s="150"/>
      <c r="P300" s="100"/>
      <c r="Q300" s="58"/>
      <c r="R300" s="57"/>
      <c r="S300" s="57"/>
      <c r="T300" s="57"/>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row>
    <row r="301" spans="1:64" ht="20.25">
      <c r="A301" s="328" t="s">
        <v>228</v>
      </c>
      <c r="B301" s="513" t="s">
        <v>505</v>
      </c>
      <c r="C301" s="513"/>
      <c r="D301" s="513"/>
      <c r="E301" s="513"/>
      <c r="F301" s="513"/>
      <c r="G301" s="513"/>
      <c r="H301" s="513"/>
      <c r="I301" s="513"/>
      <c r="J301" s="513"/>
      <c r="K301" s="513"/>
      <c r="L301" s="149"/>
      <c r="M301" s="58"/>
      <c r="N301" s="57"/>
      <c r="O301" s="150"/>
      <c r="P301" s="100"/>
      <c r="Q301" s="58"/>
      <c r="R301" s="57"/>
      <c r="S301" s="57"/>
      <c r="T301" s="57"/>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row>
    <row r="302" spans="1:64" ht="20.25">
      <c r="A302" s="328" t="s">
        <v>229</v>
      </c>
      <c r="B302" s="513" t="s">
        <v>230</v>
      </c>
      <c r="C302" s="513"/>
      <c r="D302" s="513"/>
      <c r="E302" s="513"/>
      <c r="F302" s="513"/>
      <c r="G302" s="513"/>
      <c r="H302" s="513"/>
      <c r="I302" s="513"/>
      <c r="J302" s="513"/>
      <c r="K302" s="513"/>
      <c r="L302" s="149"/>
      <c r="M302" s="58"/>
      <c r="N302" s="57"/>
      <c r="O302" s="150"/>
      <c r="P302" s="58"/>
      <c r="Q302" s="58"/>
      <c r="R302" s="57"/>
      <c r="S302" s="57"/>
      <c r="T302" s="57"/>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row>
    <row r="303" spans="1:64" ht="20.25">
      <c r="A303" s="328" t="s">
        <v>231</v>
      </c>
      <c r="B303" s="513" t="s">
        <v>595</v>
      </c>
      <c r="C303" s="513"/>
      <c r="D303" s="513"/>
      <c r="E303" s="513"/>
      <c r="F303" s="513"/>
      <c r="G303" s="513"/>
      <c r="H303" s="513"/>
      <c r="I303" s="513"/>
      <c r="J303" s="513"/>
      <c r="K303" s="513"/>
      <c r="L303" s="149"/>
      <c r="M303" s="58"/>
      <c r="N303" s="57"/>
      <c r="O303" s="150"/>
      <c r="P303" s="58"/>
      <c r="Q303" s="58"/>
      <c r="R303" s="57"/>
      <c r="S303" s="57"/>
      <c r="T303" s="57"/>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row>
    <row r="304" spans="1:64" ht="20.25">
      <c r="A304" s="332" t="s">
        <v>232</v>
      </c>
      <c r="B304" s="511" t="s">
        <v>0</v>
      </c>
      <c r="C304" s="511"/>
      <c r="D304" s="511"/>
      <c r="E304" s="511"/>
      <c r="F304" s="511"/>
      <c r="G304" s="511"/>
      <c r="H304" s="511"/>
      <c r="I304" s="511"/>
      <c r="J304" s="511"/>
      <c r="K304" s="511"/>
      <c r="L304" s="149"/>
      <c r="M304" s="58"/>
      <c r="N304" s="57"/>
      <c r="O304" s="150"/>
      <c r="P304" s="58"/>
      <c r="Q304" s="58"/>
      <c r="R304" s="57"/>
      <c r="S304" s="57"/>
      <c r="T304" s="57"/>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row>
    <row r="305" spans="1:64" ht="20.25">
      <c r="A305" s="332" t="s">
        <v>233</v>
      </c>
      <c r="B305" s="511" t="s">
        <v>659</v>
      </c>
      <c r="C305" s="511"/>
      <c r="D305" s="511"/>
      <c r="E305" s="511"/>
      <c r="F305" s="511"/>
      <c r="G305" s="511"/>
      <c r="H305" s="511"/>
      <c r="I305" s="511"/>
      <c r="J305" s="511"/>
      <c r="K305" s="511"/>
      <c r="L305" s="149"/>
      <c r="M305" s="58"/>
      <c r="N305" s="57"/>
      <c r="O305" s="150"/>
      <c r="P305" s="58"/>
      <c r="Q305" s="58"/>
      <c r="R305" s="57"/>
      <c r="S305" s="57"/>
      <c r="T305" s="57"/>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row>
    <row r="306" spans="1:64" ht="20.25">
      <c r="A306" s="333" t="s">
        <v>1</v>
      </c>
      <c r="B306" s="511" t="s">
        <v>594</v>
      </c>
      <c r="C306" s="511"/>
      <c r="D306" s="511"/>
      <c r="E306" s="511"/>
      <c r="F306" s="511"/>
      <c r="G306" s="511"/>
      <c r="H306" s="511"/>
      <c r="I306" s="511"/>
      <c r="J306" s="511"/>
      <c r="K306" s="511"/>
      <c r="L306" s="149"/>
      <c r="M306" s="58"/>
      <c r="N306" s="57"/>
      <c r="O306" s="150"/>
      <c r="P306" s="58"/>
      <c r="Q306" s="58"/>
      <c r="R306" s="57"/>
      <c r="S306" s="57"/>
      <c r="T306" s="57"/>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row>
    <row r="307" spans="1:64" ht="20.25">
      <c r="A307" s="333" t="s">
        <v>2</v>
      </c>
      <c r="B307" s="511" t="s">
        <v>593</v>
      </c>
      <c r="C307" s="511"/>
      <c r="D307" s="511"/>
      <c r="E307" s="511"/>
      <c r="F307" s="511"/>
      <c r="G307" s="511"/>
      <c r="H307" s="511"/>
      <c r="I307" s="511"/>
      <c r="J307" s="511"/>
      <c r="K307" s="511"/>
      <c r="L307" s="149"/>
      <c r="M307" s="58"/>
      <c r="N307" s="57"/>
      <c r="O307" s="150"/>
      <c r="P307" s="58"/>
      <c r="Q307" s="58"/>
      <c r="R307" s="57"/>
      <c r="S307" s="57"/>
      <c r="T307" s="57"/>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row>
    <row r="308" spans="1:64" ht="20.25">
      <c r="A308" s="332" t="s">
        <v>3</v>
      </c>
      <c r="B308" s="511" t="s">
        <v>660</v>
      </c>
      <c r="C308" s="511"/>
      <c r="D308" s="511"/>
      <c r="E308" s="511"/>
      <c r="F308" s="511"/>
      <c r="G308" s="511"/>
      <c r="H308" s="511"/>
      <c r="I308" s="511"/>
      <c r="J308" s="511"/>
      <c r="K308" s="511"/>
      <c r="L308" s="149"/>
      <c r="M308" s="58"/>
      <c r="N308" s="57"/>
      <c r="O308" s="150"/>
      <c r="P308" s="58"/>
      <c r="Q308" s="58"/>
      <c r="R308" s="57"/>
      <c r="S308" s="57"/>
      <c r="T308" s="57"/>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row>
    <row r="309" spans="1:64" ht="20.25">
      <c r="A309" s="333" t="s">
        <v>586</v>
      </c>
      <c r="B309" s="511" t="s">
        <v>587</v>
      </c>
      <c r="C309" s="511"/>
      <c r="D309" s="511"/>
      <c r="E309" s="511"/>
      <c r="F309" s="511"/>
      <c r="G309" s="511"/>
      <c r="H309" s="511"/>
      <c r="I309" s="511"/>
      <c r="J309" s="511"/>
      <c r="K309" s="511"/>
      <c r="L309" s="149"/>
      <c r="M309" s="58"/>
      <c r="N309" s="57"/>
      <c r="O309" s="150"/>
      <c r="P309" s="58"/>
      <c r="Q309" s="58"/>
      <c r="R309" s="57"/>
      <c r="S309" s="57"/>
      <c r="T309" s="57"/>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row>
    <row r="310" spans="1:64" ht="20.25">
      <c r="A310" s="332" t="s">
        <v>588</v>
      </c>
      <c r="B310" s="511" t="s">
        <v>661</v>
      </c>
      <c r="C310" s="511"/>
      <c r="D310" s="511"/>
      <c r="E310" s="511"/>
      <c r="F310" s="511"/>
      <c r="G310" s="511"/>
      <c r="H310" s="511"/>
      <c r="I310" s="511"/>
      <c r="J310" s="511"/>
      <c r="K310" s="511"/>
      <c r="L310" s="149"/>
      <c r="M310" s="56"/>
      <c r="N310" s="57"/>
      <c r="O310" s="150"/>
      <c r="P310" s="58"/>
      <c r="Q310" s="58"/>
      <c r="R310" s="57"/>
      <c r="S310" s="57"/>
      <c r="T310" s="57"/>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row>
    <row r="311" spans="1:64" ht="18.75">
      <c r="A311" s="332" t="s">
        <v>589</v>
      </c>
      <c r="B311" s="413" t="s">
        <v>590</v>
      </c>
      <c r="C311" s="414"/>
      <c r="D311" s="414"/>
      <c r="E311" s="414"/>
      <c r="F311" s="414"/>
      <c r="G311" s="414"/>
      <c r="H311" s="414"/>
      <c r="I311" s="414"/>
      <c r="J311" s="414"/>
      <c r="K311" s="414"/>
      <c r="L311" s="310"/>
      <c r="M311" s="58"/>
      <c r="N311" s="57"/>
      <c r="O311" s="150"/>
      <c r="P311" s="58"/>
      <c r="Q311" s="58"/>
      <c r="R311" s="57"/>
      <c r="S311" s="57"/>
      <c r="T311" s="57"/>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row>
    <row r="312" spans="1:64" ht="18.75">
      <c r="A312" s="332" t="s">
        <v>591</v>
      </c>
      <c r="B312" s="415" t="s">
        <v>592</v>
      </c>
      <c r="C312" s="414"/>
      <c r="D312" s="414"/>
      <c r="E312" s="414"/>
      <c r="F312" s="414"/>
      <c r="G312" s="414"/>
      <c r="H312" s="414"/>
      <c r="I312" s="414"/>
      <c r="J312" s="414"/>
      <c r="K312" s="414"/>
      <c r="L312" s="310"/>
      <c r="M312" s="58"/>
      <c r="N312" s="57"/>
      <c r="O312" s="150"/>
      <c r="P312" s="58"/>
      <c r="Q312" s="58"/>
      <c r="R312" s="57"/>
      <c r="S312" s="57"/>
      <c r="T312" s="57"/>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row>
    <row r="313" spans="1:64" ht="18.75">
      <c r="A313" s="416" t="s">
        <v>662</v>
      </c>
      <c r="B313" s="335" t="s">
        <v>663</v>
      </c>
      <c r="C313" s="310"/>
      <c r="D313" s="394"/>
      <c r="E313" s="394"/>
      <c r="F313" s="394"/>
      <c r="G313" s="394"/>
      <c r="H313" s="394"/>
      <c r="I313" s="394"/>
      <c r="J313" s="394"/>
      <c r="K313" s="394"/>
      <c r="L313" s="310"/>
      <c r="M313" s="152"/>
      <c r="N313" s="57"/>
      <c r="O313" s="150"/>
      <c r="P313" s="58"/>
      <c r="Q313" s="58"/>
      <c r="R313" s="57"/>
      <c r="S313" s="57"/>
      <c r="T313" s="57"/>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row>
    <row r="314" spans="1:64" ht="18.75">
      <c r="A314" s="416"/>
      <c r="B314" s="335" t="s">
        <v>664</v>
      </c>
      <c r="C314" s="310"/>
      <c r="D314" s="394"/>
      <c r="E314" s="394"/>
      <c r="F314" s="394"/>
      <c r="G314" s="394"/>
      <c r="H314" s="394"/>
      <c r="I314" s="394"/>
      <c r="J314" s="394"/>
      <c r="K314" s="394"/>
      <c r="L314" s="310"/>
      <c r="M314" s="58"/>
      <c r="N314" s="57"/>
      <c r="O314" s="150"/>
      <c r="P314" s="58"/>
      <c r="Q314" s="58"/>
      <c r="R314" s="57"/>
      <c r="S314" s="57"/>
      <c r="T314" s="57"/>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row>
    <row r="315" spans="1:64" ht="18.75">
      <c r="A315" s="416" t="s">
        <v>665</v>
      </c>
      <c r="B315" s="335" t="s">
        <v>666</v>
      </c>
      <c r="C315" s="310"/>
      <c r="D315" s="343"/>
      <c r="E315" s="343"/>
      <c r="F315" s="343"/>
      <c r="G315" s="343"/>
      <c r="H315" s="343"/>
      <c r="I315" s="343"/>
      <c r="J315" s="343"/>
      <c r="K315" s="343"/>
      <c r="L315" s="310"/>
      <c r="M315" s="330"/>
      <c r="N315" s="57"/>
      <c r="O315" s="150"/>
      <c r="P315" s="58"/>
      <c r="Q315" s="58"/>
      <c r="R315" s="57"/>
      <c r="S315" s="57"/>
      <c r="T315" s="57"/>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row>
    <row r="316" spans="1:64" ht="20.25" customHeight="1">
      <c r="A316" s="416"/>
      <c r="B316" s="335" t="s">
        <v>667</v>
      </c>
      <c r="C316" s="310"/>
      <c r="D316" s="343"/>
      <c r="E316" s="343"/>
      <c r="F316" s="343"/>
      <c r="G316" s="343"/>
      <c r="H316" s="343"/>
      <c r="I316" s="343"/>
      <c r="J316" s="343"/>
      <c r="K316" s="343"/>
      <c r="L316" s="310"/>
      <c r="M316" s="330"/>
      <c r="N316" s="57"/>
      <c r="O316" s="150"/>
      <c r="P316" s="100"/>
      <c r="Q316" s="58"/>
      <c r="R316" s="57"/>
      <c r="S316" s="57"/>
      <c r="T316" s="57"/>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row>
    <row r="317" spans="1:64" ht="34.5" customHeight="1">
      <c r="A317" s="328" t="s">
        <v>224</v>
      </c>
      <c r="B317" s="513"/>
      <c r="C317" s="513"/>
      <c r="D317" s="513"/>
      <c r="E317" s="513"/>
      <c r="F317" s="513"/>
      <c r="G317" s="513"/>
      <c r="H317" s="513"/>
      <c r="I317" s="513"/>
      <c r="J317" s="513"/>
      <c r="K317" s="329"/>
      <c r="L317" s="310"/>
      <c r="M317" s="330"/>
      <c r="N317" s="57"/>
      <c r="O317" s="150"/>
      <c r="P317" s="100"/>
      <c r="Q317" s="58"/>
      <c r="R317" s="57"/>
      <c r="S317" s="57"/>
      <c r="T317" s="57"/>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row>
    <row r="318" spans="1:64" ht="18.75">
      <c r="A318" s="328" t="s">
        <v>225</v>
      </c>
      <c r="B318" s="513"/>
      <c r="C318" s="513"/>
      <c r="D318" s="513"/>
      <c r="E318" s="513"/>
      <c r="F318" s="513"/>
      <c r="G318" s="513"/>
      <c r="H318" s="513"/>
      <c r="I318" s="513"/>
      <c r="J318" s="513"/>
      <c r="K318" s="329"/>
      <c r="L318" s="310"/>
      <c r="M318" s="330"/>
      <c r="N318" s="57"/>
      <c r="O318" s="150"/>
      <c r="P318" s="100"/>
      <c r="Q318" s="58"/>
      <c r="R318" s="57"/>
      <c r="S318" s="57"/>
      <c r="T318" s="57"/>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row>
    <row r="319" spans="1:64" ht="38.25" customHeight="1">
      <c r="A319" s="328" t="s">
        <v>227</v>
      </c>
      <c r="B319" s="512"/>
      <c r="C319" s="512"/>
      <c r="D319" s="512"/>
      <c r="E319" s="512"/>
      <c r="F319" s="512"/>
      <c r="G319" s="512"/>
      <c r="H319" s="512"/>
      <c r="I319" s="512"/>
      <c r="J319" s="512"/>
      <c r="K319" s="329"/>
      <c r="L319" s="310"/>
      <c r="M319" s="330"/>
      <c r="N319" s="57"/>
      <c r="O319" s="150"/>
      <c r="P319" s="100"/>
      <c r="Q319" s="58"/>
      <c r="R319" s="57"/>
      <c r="S319" s="57"/>
      <c r="T319" s="57"/>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c r="BH319" s="39"/>
      <c r="BI319" s="39"/>
      <c r="BJ319" s="39"/>
      <c r="BK319" s="39"/>
      <c r="BL319" s="39"/>
    </row>
    <row r="320" spans="1:64" ht="30.75" customHeight="1">
      <c r="A320" s="328" t="s">
        <v>228</v>
      </c>
      <c r="B320" s="513"/>
      <c r="C320" s="513"/>
      <c r="D320" s="513"/>
      <c r="E320" s="513"/>
      <c r="F320" s="513"/>
      <c r="G320" s="513"/>
      <c r="H320" s="513"/>
      <c r="I320" s="513"/>
      <c r="J320" s="513"/>
      <c r="K320" s="329"/>
      <c r="L320" s="310"/>
      <c r="M320" s="330"/>
      <c r="N320" s="57"/>
      <c r="O320" s="150"/>
      <c r="P320" s="58"/>
      <c r="Q320" s="58"/>
      <c r="R320" s="57"/>
      <c r="S320" s="57"/>
      <c r="T320" s="57"/>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row>
    <row r="321" spans="1:64" ht="26.25" customHeight="1">
      <c r="A321" s="328" t="s">
        <v>229</v>
      </c>
      <c r="B321" s="513"/>
      <c r="C321" s="513"/>
      <c r="D321" s="513"/>
      <c r="E321" s="513"/>
      <c r="F321" s="513"/>
      <c r="G321" s="513"/>
      <c r="H321" s="513"/>
      <c r="I321" s="513"/>
      <c r="J321" s="513"/>
      <c r="K321" s="329"/>
      <c r="L321" s="310"/>
      <c r="M321" s="330"/>
      <c r="N321" s="57"/>
      <c r="O321" s="150"/>
      <c r="P321" s="58"/>
      <c r="Q321" s="58"/>
      <c r="R321" s="57"/>
      <c r="S321" s="57"/>
      <c r="T321" s="57"/>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row>
    <row r="322" spans="1:64" ht="38.25" customHeight="1">
      <c r="A322" s="328" t="s">
        <v>231</v>
      </c>
      <c r="B322" s="513"/>
      <c r="C322" s="513"/>
      <c r="D322" s="513"/>
      <c r="E322" s="513"/>
      <c r="F322" s="513"/>
      <c r="G322" s="513"/>
      <c r="H322" s="513"/>
      <c r="I322" s="513"/>
      <c r="J322" s="513"/>
      <c r="K322" s="329"/>
      <c r="L322" s="310"/>
      <c r="M322" s="330"/>
      <c r="N322" s="57"/>
      <c r="O322" s="150"/>
      <c r="P322" s="58"/>
      <c r="Q322" s="58"/>
      <c r="R322" s="57"/>
      <c r="S322" s="57"/>
      <c r="T322" s="57"/>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row>
    <row r="323" spans="1:64" ht="52.5" customHeight="1">
      <c r="A323" s="332" t="s">
        <v>232</v>
      </c>
      <c r="B323" s="511"/>
      <c r="C323" s="511"/>
      <c r="D323" s="511"/>
      <c r="E323" s="511"/>
      <c r="F323" s="511"/>
      <c r="G323" s="511"/>
      <c r="H323" s="511"/>
      <c r="I323" s="511"/>
      <c r="J323" s="511"/>
      <c r="K323" s="329"/>
      <c r="L323" s="310"/>
      <c r="M323" s="330"/>
      <c r="N323" s="57"/>
      <c r="O323" s="150"/>
      <c r="P323" s="58"/>
      <c r="Q323" s="58"/>
      <c r="R323" s="57"/>
      <c r="S323" s="57"/>
      <c r="T323" s="57"/>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row>
    <row r="324" spans="1:64" ht="24" customHeight="1">
      <c r="A324" s="332" t="s">
        <v>233</v>
      </c>
      <c r="B324" s="511"/>
      <c r="C324" s="511"/>
      <c r="D324" s="511"/>
      <c r="E324" s="511"/>
      <c r="F324" s="511"/>
      <c r="G324" s="511"/>
      <c r="H324" s="511"/>
      <c r="I324" s="511"/>
      <c r="J324" s="511"/>
      <c r="K324" s="329"/>
      <c r="L324" s="310"/>
      <c r="M324" s="330"/>
      <c r="N324" s="57"/>
      <c r="O324" s="150"/>
      <c r="P324" s="58"/>
      <c r="Q324" s="58"/>
      <c r="R324" s="57"/>
      <c r="S324" s="57"/>
      <c r="T324" s="57"/>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row>
    <row r="325" spans="1:64" ht="26.25" customHeight="1">
      <c r="A325" s="333" t="s">
        <v>1</v>
      </c>
      <c r="B325" s="511"/>
      <c r="C325" s="511"/>
      <c r="D325" s="511"/>
      <c r="E325" s="511"/>
      <c r="F325" s="511"/>
      <c r="G325" s="511"/>
      <c r="H325" s="511"/>
      <c r="I325" s="511"/>
      <c r="J325" s="511"/>
      <c r="K325" s="329"/>
      <c r="L325" s="310"/>
      <c r="M325" s="334"/>
      <c r="N325" s="57"/>
      <c r="O325" s="150"/>
      <c r="P325" s="58"/>
      <c r="Q325" s="58"/>
      <c r="R325" s="57"/>
      <c r="S325" s="57"/>
      <c r="T325" s="57"/>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row>
    <row r="326" spans="1:64" ht="32.25" customHeight="1">
      <c r="A326" s="333" t="s">
        <v>2</v>
      </c>
      <c r="B326" s="511"/>
      <c r="C326" s="511"/>
      <c r="D326" s="511"/>
      <c r="E326" s="511"/>
      <c r="F326" s="511"/>
      <c r="G326" s="511"/>
      <c r="H326" s="511"/>
      <c r="I326" s="511"/>
      <c r="J326" s="511"/>
      <c r="K326" s="329"/>
      <c r="L326" s="310"/>
      <c r="M326" s="334"/>
      <c r="N326" s="57"/>
      <c r="O326" s="150"/>
      <c r="P326" s="58"/>
      <c r="Q326" s="58"/>
      <c r="R326" s="57"/>
      <c r="S326" s="57"/>
      <c r="T326" s="57"/>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row>
    <row r="327" spans="1:64" ht="36" customHeight="1">
      <c r="A327" s="332" t="s">
        <v>3</v>
      </c>
      <c r="B327" s="511"/>
      <c r="C327" s="511"/>
      <c r="D327" s="511"/>
      <c r="E327" s="511"/>
      <c r="F327" s="511"/>
      <c r="G327" s="511"/>
      <c r="H327" s="511"/>
      <c r="I327" s="511"/>
      <c r="J327" s="511"/>
      <c r="K327" s="335"/>
      <c r="L327" s="336"/>
      <c r="M327" s="337"/>
      <c r="N327" s="57"/>
      <c r="O327" s="150"/>
      <c r="P327" s="58"/>
      <c r="Q327" s="58"/>
      <c r="R327" s="57"/>
      <c r="S327" s="57"/>
      <c r="T327" s="57"/>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row>
    <row r="328" spans="1:64" ht="18.75">
      <c r="A328" s="332" t="s">
        <v>586</v>
      </c>
      <c r="B328" s="519"/>
      <c r="C328" s="519"/>
      <c r="D328" s="519"/>
      <c r="E328" s="519"/>
      <c r="F328" s="519"/>
      <c r="G328" s="519"/>
      <c r="H328" s="519"/>
      <c r="I328" s="519"/>
      <c r="J328" s="519"/>
      <c r="K328" s="339"/>
      <c r="L328" s="340"/>
      <c r="M328" s="341"/>
      <c r="N328" s="57"/>
      <c r="O328" s="150"/>
      <c r="P328" s="58"/>
      <c r="Q328" s="58"/>
      <c r="R328" s="57"/>
      <c r="S328" s="57"/>
      <c r="T328" s="57"/>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row>
    <row r="329" spans="1:64" ht="18.75">
      <c r="A329" s="332" t="s">
        <v>588</v>
      </c>
      <c r="B329" s="519"/>
      <c r="C329" s="519"/>
      <c r="D329" s="519"/>
      <c r="E329" s="519"/>
      <c r="F329" s="519"/>
      <c r="G329" s="519"/>
      <c r="H329" s="519"/>
      <c r="I329" s="519"/>
      <c r="J329" s="519"/>
      <c r="K329" s="339"/>
      <c r="L329" s="340"/>
      <c r="M329" s="341"/>
      <c r="N329" s="57"/>
      <c r="O329" s="150"/>
      <c r="P329" s="58"/>
      <c r="Q329" s="58"/>
      <c r="R329" s="57"/>
      <c r="S329" s="57"/>
      <c r="T329" s="57"/>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row>
    <row r="330" spans="1:64" ht="18.75">
      <c r="A330" s="338"/>
      <c r="B330" s="519"/>
      <c r="C330" s="519"/>
      <c r="D330" s="519"/>
      <c r="E330" s="519"/>
      <c r="F330" s="519"/>
      <c r="G330" s="519"/>
      <c r="H330" s="519"/>
      <c r="I330" s="519"/>
      <c r="J330" s="519"/>
      <c r="K330" s="339"/>
      <c r="L330" s="340"/>
      <c r="M330" s="341"/>
      <c r="N330" s="154"/>
      <c r="O330" s="150"/>
      <c r="P330" s="58"/>
      <c r="Q330" s="58"/>
      <c r="R330" s="57"/>
      <c r="S330" s="57"/>
      <c r="T330" s="57"/>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c r="BH330" s="39"/>
      <c r="BI330" s="39"/>
      <c r="BJ330" s="39"/>
      <c r="BK330" s="39"/>
      <c r="BL330" s="39"/>
    </row>
    <row r="331" spans="1:64" ht="18.75">
      <c r="A331" s="332" t="s">
        <v>589</v>
      </c>
      <c r="B331" s="519"/>
      <c r="C331" s="519"/>
      <c r="D331" s="519"/>
      <c r="E331" s="519"/>
      <c r="F331" s="519"/>
      <c r="G331" s="519"/>
      <c r="H331" s="519"/>
      <c r="I331" s="519"/>
      <c r="J331" s="519"/>
      <c r="K331" s="339"/>
      <c r="L331" s="340"/>
      <c r="M331" s="341"/>
      <c r="N331" s="154"/>
      <c r="O331" s="150"/>
      <c r="P331" s="58"/>
      <c r="Q331" s="58"/>
      <c r="R331" s="57"/>
      <c r="S331" s="57"/>
      <c r="T331" s="57"/>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row>
    <row r="332" spans="1:64" ht="18.75">
      <c r="A332" s="332" t="s">
        <v>591</v>
      </c>
      <c r="B332" s="519"/>
      <c r="C332" s="519"/>
      <c r="D332" s="519"/>
      <c r="E332" s="519"/>
      <c r="F332" s="519"/>
      <c r="G332" s="519"/>
      <c r="H332" s="519"/>
      <c r="I332" s="519"/>
      <c r="J332" s="519"/>
      <c r="K332" s="339"/>
      <c r="L332" s="340"/>
      <c r="M332" s="341"/>
      <c r="N332" s="154"/>
      <c r="O332" s="150"/>
      <c r="P332" s="58"/>
      <c r="Q332" s="58"/>
      <c r="R332" s="57"/>
      <c r="S332" s="57"/>
      <c r="T332" s="57"/>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row>
    <row r="333" spans="1:64" ht="18.75">
      <c r="A333" s="332"/>
      <c r="B333" s="331"/>
      <c r="C333" s="331"/>
      <c r="D333" s="331"/>
      <c r="E333" s="331"/>
      <c r="F333" s="331"/>
      <c r="G333" s="331"/>
      <c r="H333" s="331"/>
      <c r="I333" s="331"/>
      <c r="J333" s="331"/>
      <c r="K333" s="339"/>
      <c r="L333" s="340"/>
      <c r="M333" s="341"/>
      <c r="N333" s="154"/>
      <c r="O333" s="155"/>
      <c r="P333" s="58"/>
      <c r="Q333" s="58"/>
      <c r="R333" s="57"/>
      <c r="S333" s="57"/>
      <c r="T333" s="57"/>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row>
    <row r="334" spans="1:64" ht="18.75">
      <c r="A334" s="332"/>
      <c r="B334" s="331"/>
      <c r="C334" s="331"/>
      <c r="D334" s="331"/>
      <c r="E334" s="331"/>
      <c r="F334" s="331"/>
      <c r="G334" s="331"/>
      <c r="H334" s="331"/>
      <c r="I334" s="331"/>
      <c r="J334" s="331"/>
      <c r="K334" s="329"/>
      <c r="L334" s="310"/>
      <c r="M334" s="330"/>
      <c r="N334" s="154"/>
      <c r="O334" s="155"/>
      <c r="P334" s="58"/>
      <c r="Q334" s="58"/>
      <c r="R334" s="57"/>
      <c r="S334" s="57"/>
      <c r="T334" s="57"/>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row>
    <row r="335" spans="1:64" ht="18.75">
      <c r="A335" s="332"/>
      <c r="B335" s="331"/>
      <c r="C335" s="331"/>
      <c r="D335" s="331"/>
      <c r="E335" s="331"/>
      <c r="F335" s="331"/>
      <c r="G335" s="331"/>
      <c r="H335" s="331"/>
      <c r="I335" s="331"/>
      <c r="J335" s="331"/>
      <c r="K335" s="329"/>
      <c r="L335" s="310"/>
      <c r="M335" s="330"/>
      <c r="N335" s="154"/>
      <c r="O335" s="150"/>
      <c r="P335" s="58"/>
      <c r="Q335" s="58"/>
      <c r="R335" s="57"/>
      <c r="S335" s="57"/>
      <c r="T335" s="57"/>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row>
    <row r="336" spans="1:64" ht="18.75">
      <c r="A336" s="329"/>
      <c r="B336" s="330"/>
      <c r="C336" s="154"/>
      <c r="D336" s="150"/>
      <c r="E336" s="58"/>
      <c r="F336" s="58"/>
      <c r="G336" s="57"/>
      <c r="H336" s="57"/>
      <c r="I336" s="57"/>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row>
    <row r="337" spans="1:64" ht="18.75">
      <c r="A337" s="329"/>
      <c r="B337" s="342"/>
      <c r="C337" s="154"/>
      <c r="D337" s="150"/>
      <c r="E337" s="58"/>
      <c r="F337" s="58"/>
      <c r="G337" s="57"/>
      <c r="H337" s="57"/>
      <c r="I337" s="57"/>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row>
    <row r="338" spans="1:64" ht="18.75">
      <c r="A338" s="330"/>
      <c r="B338" s="343"/>
      <c r="C338" s="343"/>
      <c r="D338" s="343"/>
      <c r="E338" s="343"/>
      <c r="F338" s="343"/>
      <c r="G338" s="343"/>
      <c r="H338" s="343"/>
      <c r="I338" s="343"/>
      <c r="J338" s="343"/>
      <c r="K338" s="329"/>
      <c r="L338" s="310"/>
      <c r="M338" s="330"/>
      <c r="N338" s="154"/>
      <c r="O338" s="150"/>
      <c r="P338" s="58"/>
      <c r="Q338" s="58"/>
      <c r="R338" s="57"/>
      <c r="S338" s="57"/>
      <c r="T338" s="57"/>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row>
    <row r="339" spans="1:64" ht="18.75">
      <c r="A339" s="330"/>
      <c r="B339" s="343"/>
      <c r="C339" s="343"/>
      <c r="D339" s="343"/>
      <c r="E339" s="343"/>
      <c r="F339" s="343"/>
      <c r="G339" s="343"/>
      <c r="H339" s="343"/>
      <c r="I339" s="343"/>
      <c r="J339" s="343"/>
      <c r="K339" s="329"/>
      <c r="L339" s="310"/>
      <c r="M339" s="329"/>
      <c r="N339" s="154"/>
      <c r="O339" s="150"/>
      <c r="P339" s="58"/>
      <c r="Q339" s="58"/>
      <c r="R339" s="57"/>
      <c r="S339" s="57"/>
      <c r="T339" s="57"/>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row>
    <row r="340" spans="1:64" ht="18.75">
      <c r="A340" s="330"/>
      <c r="B340" s="343"/>
      <c r="C340" s="343"/>
      <c r="D340" s="343"/>
      <c r="E340" s="343"/>
      <c r="F340" s="343"/>
      <c r="G340" s="343"/>
      <c r="H340" s="343"/>
      <c r="I340" s="343"/>
      <c r="J340" s="343"/>
      <c r="K340" s="310"/>
      <c r="L340" s="310"/>
      <c r="M340" s="330"/>
      <c r="N340" s="154"/>
      <c r="O340" s="150"/>
      <c r="P340" s="58"/>
      <c r="Q340" s="58"/>
      <c r="R340" s="57"/>
      <c r="S340" s="57"/>
      <c r="T340" s="57"/>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row>
    <row r="341" spans="1:64" ht="20.25">
      <c r="A341" s="157"/>
      <c r="B341" s="156"/>
      <c r="C341" s="156"/>
      <c r="D341" s="156"/>
      <c r="E341" s="156"/>
      <c r="F341" s="156"/>
      <c r="G341" s="156"/>
      <c r="H341" s="156"/>
      <c r="I341" s="156"/>
      <c r="J341" s="149"/>
      <c r="K341" s="149"/>
      <c r="L341" s="149"/>
      <c r="M341" s="154"/>
      <c r="N341" s="154"/>
      <c r="O341" s="150"/>
      <c r="P341" s="58"/>
      <c r="Q341" s="58"/>
      <c r="R341" s="57"/>
      <c r="S341" s="57"/>
      <c r="T341" s="57"/>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row>
    <row r="342" spans="1:64" ht="20.25">
      <c r="A342" s="157"/>
      <c r="B342" s="156"/>
      <c r="C342" s="156"/>
      <c r="D342" s="156"/>
      <c r="E342" s="156"/>
      <c r="F342" s="156"/>
      <c r="G342" s="156"/>
      <c r="H342" s="156"/>
      <c r="I342" s="156"/>
      <c r="J342" s="149"/>
      <c r="K342" s="149"/>
      <c r="L342" s="149"/>
      <c r="M342" s="154"/>
      <c r="N342" s="154"/>
      <c r="O342" s="150"/>
      <c r="P342" s="58"/>
      <c r="Q342" s="58"/>
      <c r="R342" s="57"/>
      <c r="S342" s="57"/>
      <c r="T342" s="57"/>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row>
    <row r="343" spans="1:64" ht="20.25">
      <c r="A343" s="157"/>
      <c r="B343" s="156"/>
      <c r="C343" s="156"/>
      <c r="D343" s="156"/>
      <c r="E343" s="156"/>
      <c r="F343" s="156"/>
      <c r="G343" s="156"/>
      <c r="H343" s="156"/>
      <c r="I343" s="156"/>
      <c r="J343" s="149"/>
      <c r="K343" s="149"/>
      <c r="L343" s="149"/>
      <c r="M343" s="154"/>
      <c r="N343" s="154"/>
      <c r="O343" s="150"/>
      <c r="P343" s="58"/>
      <c r="Q343" s="58"/>
      <c r="R343" s="57"/>
      <c r="S343" s="57"/>
      <c r="T343" s="57"/>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39"/>
      <c r="BK343" s="39"/>
      <c r="BL343" s="39"/>
    </row>
    <row r="344" spans="1:64" ht="20.25">
      <c r="A344" s="157"/>
      <c r="B344" s="156"/>
      <c r="C344" s="156"/>
      <c r="D344" s="156"/>
      <c r="E344" s="156"/>
      <c r="F344" s="156"/>
      <c r="G344" s="156"/>
      <c r="H344" s="156"/>
      <c r="I344" s="156"/>
      <c r="J344" s="149"/>
      <c r="K344" s="149"/>
      <c r="L344" s="149"/>
      <c r="M344" s="154"/>
      <c r="N344" s="154"/>
      <c r="O344" s="150"/>
      <c r="P344" s="58"/>
      <c r="Q344" s="58"/>
      <c r="R344" s="57"/>
      <c r="S344" s="57"/>
      <c r="T344" s="57"/>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row>
    <row r="345" spans="1:64" ht="20.25">
      <c r="A345" s="157"/>
      <c r="B345" s="156"/>
      <c r="C345" s="156"/>
      <c r="D345" s="156"/>
      <c r="E345" s="156"/>
      <c r="F345" s="156"/>
      <c r="G345" s="156"/>
      <c r="H345" s="156"/>
      <c r="I345" s="156"/>
      <c r="J345" s="149"/>
      <c r="K345" s="149"/>
      <c r="L345" s="149"/>
      <c r="M345" s="154"/>
      <c r="N345" s="154"/>
      <c r="O345" s="150"/>
      <c r="P345" s="58"/>
      <c r="Q345" s="58"/>
      <c r="R345" s="57"/>
      <c r="S345" s="57"/>
      <c r="T345" s="57"/>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row>
    <row r="346" spans="1:64" ht="20.25">
      <c r="A346" s="157"/>
      <c r="B346" s="156"/>
      <c r="C346" s="156"/>
      <c r="D346" s="156"/>
      <c r="E346" s="156"/>
      <c r="F346" s="156"/>
      <c r="G346" s="156"/>
      <c r="H346" s="156"/>
      <c r="I346" s="156"/>
      <c r="J346" s="149"/>
      <c r="K346" s="149"/>
      <c r="L346" s="149"/>
      <c r="M346" s="154"/>
      <c r="N346" s="154"/>
      <c r="O346" s="150"/>
      <c r="P346" s="58"/>
      <c r="Q346" s="58"/>
      <c r="R346" s="57"/>
      <c r="S346" s="57"/>
      <c r="T346" s="57"/>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c r="BH346" s="39"/>
      <c r="BI346" s="39"/>
      <c r="BJ346" s="39"/>
      <c r="BK346" s="39"/>
      <c r="BL346" s="39"/>
    </row>
    <row r="347" spans="1:64" ht="20.25">
      <c r="A347" s="157"/>
      <c r="B347" s="156"/>
      <c r="C347" s="156"/>
      <c r="D347" s="156"/>
      <c r="E347" s="156"/>
      <c r="F347" s="156"/>
      <c r="G347" s="156"/>
      <c r="H347" s="156"/>
      <c r="I347" s="156"/>
      <c r="J347" s="149"/>
      <c r="K347" s="149"/>
      <c r="L347" s="149"/>
      <c r="M347" s="154"/>
      <c r="N347" s="154"/>
      <c r="O347" s="150"/>
      <c r="P347" s="58"/>
      <c r="Q347" s="58"/>
      <c r="R347" s="57"/>
      <c r="S347" s="57"/>
      <c r="T347" s="57"/>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c r="BH347" s="39"/>
      <c r="BI347" s="39"/>
      <c r="BJ347" s="39"/>
      <c r="BK347" s="39"/>
      <c r="BL347" s="39"/>
    </row>
    <row r="348" spans="1:64" ht="20.25">
      <c r="A348" s="157"/>
      <c r="B348" s="156"/>
      <c r="C348" s="156"/>
      <c r="D348" s="156"/>
      <c r="E348" s="156"/>
      <c r="F348" s="156"/>
      <c r="G348" s="156"/>
      <c r="H348" s="156"/>
      <c r="I348" s="156"/>
      <c r="J348" s="149"/>
      <c r="K348" s="149"/>
      <c r="L348" s="149"/>
      <c r="M348" s="154"/>
      <c r="N348" s="154"/>
      <c r="O348" s="150"/>
      <c r="P348" s="58"/>
      <c r="Q348" s="58"/>
      <c r="R348" s="57"/>
      <c r="S348" s="57"/>
      <c r="T348" s="57"/>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c r="BG348" s="39"/>
      <c r="BH348" s="39"/>
      <c r="BI348" s="39"/>
      <c r="BJ348" s="39"/>
      <c r="BK348" s="39"/>
      <c r="BL348" s="39"/>
    </row>
    <row r="349" spans="1:64" ht="20.25">
      <c r="A349" s="157"/>
      <c r="B349" s="156"/>
      <c r="C349" s="156"/>
      <c r="D349" s="156"/>
      <c r="E349" s="156"/>
      <c r="F349" s="156"/>
      <c r="G349" s="156"/>
      <c r="H349" s="156"/>
      <c r="I349" s="156"/>
      <c r="J349" s="149"/>
      <c r="K349" s="149"/>
      <c r="L349" s="149"/>
      <c r="M349" s="154"/>
      <c r="N349" s="154"/>
      <c r="O349" s="150"/>
      <c r="P349" s="58"/>
      <c r="Q349" s="58"/>
      <c r="R349" s="57"/>
      <c r="S349" s="57"/>
      <c r="T349" s="57"/>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row>
    <row r="350" spans="1:64" ht="20.25">
      <c r="A350" s="157"/>
      <c r="B350" s="156"/>
      <c r="C350" s="156"/>
      <c r="D350" s="156"/>
      <c r="E350" s="156"/>
      <c r="F350" s="156"/>
      <c r="G350" s="156"/>
      <c r="H350" s="156"/>
      <c r="I350" s="156"/>
      <c r="J350" s="149"/>
      <c r="K350" s="149"/>
      <c r="L350" s="149"/>
      <c r="M350" s="154"/>
      <c r="N350" s="154"/>
      <c r="O350" s="150"/>
      <c r="P350" s="58"/>
      <c r="Q350" s="58"/>
      <c r="R350" s="57"/>
      <c r="S350" s="57"/>
      <c r="T350" s="57"/>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row>
    <row r="351" spans="1:64" ht="20.25">
      <c r="A351" s="157"/>
      <c r="B351" s="156"/>
      <c r="C351" s="156"/>
      <c r="D351" s="156"/>
      <c r="E351" s="156"/>
      <c r="F351" s="156"/>
      <c r="G351" s="156"/>
      <c r="H351" s="156"/>
      <c r="I351" s="156"/>
      <c r="J351" s="149"/>
      <c r="K351" s="149"/>
      <c r="L351" s="149"/>
      <c r="M351" s="154"/>
      <c r="N351" s="154"/>
      <c r="O351" s="150"/>
      <c r="P351" s="58"/>
      <c r="Q351" s="58"/>
      <c r="R351" s="57"/>
      <c r="S351" s="57"/>
      <c r="T351" s="57"/>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c r="BG351" s="39"/>
      <c r="BH351" s="39"/>
      <c r="BI351" s="39"/>
      <c r="BJ351" s="39"/>
      <c r="BK351" s="39"/>
      <c r="BL351" s="39"/>
    </row>
    <row r="352" spans="1:64" ht="20.25">
      <c r="A352" s="157"/>
      <c r="B352" s="156"/>
      <c r="C352" s="156"/>
      <c r="D352" s="156"/>
      <c r="E352" s="156"/>
      <c r="F352" s="156"/>
      <c r="G352" s="156"/>
      <c r="H352" s="156"/>
      <c r="I352" s="156"/>
      <c r="J352" s="149"/>
      <c r="K352" s="149"/>
      <c r="L352" s="149"/>
      <c r="M352" s="154"/>
      <c r="N352" s="154"/>
      <c r="O352" s="150"/>
      <c r="P352" s="58"/>
      <c r="Q352" s="58"/>
      <c r="R352" s="57"/>
      <c r="S352" s="57"/>
      <c r="T352" s="57"/>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c r="BF352" s="39"/>
      <c r="BG352" s="39"/>
      <c r="BH352" s="39"/>
      <c r="BI352" s="39"/>
      <c r="BJ352" s="39"/>
      <c r="BK352" s="39"/>
      <c r="BL352" s="39"/>
    </row>
    <row r="353" spans="1:64" ht="20.25">
      <c r="A353" s="157"/>
      <c r="B353" s="156"/>
      <c r="C353" s="156"/>
      <c r="D353" s="156"/>
      <c r="E353" s="156"/>
      <c r="F353" s="156"/>
      <c r="G353" s="156"/>
      <c r="H353" s="156"/>
      <c r="I353" s="156"/>
      <c r="J353" s="149"/>
      <c r="K353" s="149"/>
      <c r="L353" s="149"/>
      <c r="M353" s="154"/>
      <c r="N353" s="154"/>
      <c r="O353" s="150"/>
      <c r="P353" s="58"/>
      <c r="Q353" s="58"/>
      <c r="R353" s="57"/>
      <c r="S353" s="57"/>
      <c r="T353" s="57"/>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c r="BK353" s="39"/>
      <c r="BL353" s="39"/>
    </row>
    <row r="354" spans="1:64" ht="20.25">
      <c r="A354" s="157"/>
      <c r="B354" s="156"/>
      <c r="C354" s="156"/>
      <c r="D354" s="156"/>
      <c r="E354" s="156"/>
      <c r="F354" s="156"/>
      <c r="G354" s="156"/>
      <c r="H354" s="156"/>
      <c r="I354" s="156"/>
      <c r="J354" s="149"/>
      <c r="K354" s="149"/>
      <c r="L354" s="149"/>
      <c r="M354" s="154"/>
      <c r="N354" s="154"/>
      <c r="O354" s="150"/>
      <c r="P354" s="58"/>
      <c r="Q354" s="58"/>
      <c r="R354" s="57"/>
      <c r="S354" s="57"/>
      <c r="T354" s="57"/>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9"/>
    </row>
    <row r="355" spans="1:64" ht="15.75">
      <c r="A355" s="47"/>
      <c r="B355" s="30"/>
      <c r="C355" s="30"/>
      <c r="D355" s="30"/>
      <c r="E355" s="30"/>
      <c r="F355" s="30"/>
      <c r="G355" s="30"/>
      <c r="H355" s="30"/>
      <c r="I355" s="30"/>
      <c r="J355" s="30"/>
      <c r="K355" s="30"/>
      <c r="L355" s="30"/>
      <c r="M355" s="154"/>
      <c r="N355" s="154"/>
      <c r="O355" s="148"/>
      <c r="P355" s="58"/>
      <c r="Q355" s="58"/>
      <c r="R355" s="57"/>
      <c r="S355" s="57"/>
      <c r="T355" s="57"/>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c r="BK355" s="39"/>
      <c r="BL355" s="39"/>
    </row>
    <row r="356" spans="1:64" ht="15.75">
      <c r="A356" s="47"/>
      <c r="B356" s="30"/>
      <c r="C356" s="30"/>
      <c r="D356" s="30"/>
      <c r="E356" s="30"/>
      <c r="F356" s="30"/>
      <c r="G356" s="30"/>
      <c r="H356" s="30"/>
      <c r="I356" s="30"/>
      <c r="J356" s="30"/>
      <c r="K356" s="30"/>
      <c r="L356" s="30"/>
      <c r="M356" s="154"/>
      <c r="N356" s="154"/>
      <c r="O356" s="148"/>
      <c r="P356" s="58"/>
      <c r="Q356" s="58"/>
      <c r="R356" s="57"/>
      <c r="S356" s="57"/>
      <c r="T356" s="57"/>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c r="BK356" s="39"/>
      <c r="BL356" s="39"/>
    </row>
    <row r="357" spans="1:64" ht="15">
      <c r="B357" s="38"/>
      <c r="C357" s="38"/>
      <c r="D357" s="38"/>
      <c r="E357" s="38"/>
      <c r="F357" s="38"/>
      <c r="G357" s="38"/>
      <c r="H357" s="38"/>
      <c r="I357" s="38"/>
      <c r="J357" s="38"/>
      <c r="K357" s="38"/>
      <c r="L357" s="38"/>
      <c r="M357" s="154"/>
      <c r="N357" s="154"/>
      <c r="O357" s="58"/>
      <c r="P357" s="58"/>
      <c r="Q357" s="58"/>
      <c r="R357" s="57"/>
      <c r="S357" s="57"/>
      <c r="T357" s="57"/>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c r="BK357" s="39"/>
      <c r="BL357" s="39"/>
    </row>
    <row r="358" spans="1:64" ht="15">
      <c r="B358" s="38"/>
      <c r="C358" s="38"/>
      <c r="D358" s="38"/>
      <c r="E358" s="38"/>
      <c r="F358" s="38"/>
      <c r="G358" s="38"/>
      <c r="H358" s="38"/>
      <c r="I358" s="38"/>
      <c r="J358" s="38"/>
      <c r="K358" s="38"/>
      <c r="L358" s="38"/>
      <c r="M358" s="154"/>
      <c r="N358" s="154"/>
      <c r="O358" s="58"/>
      <c r="P358" s="58"/>
      <c r="Q358" s="58"/>
      <c r="R358" s="57"/>
      <c r="S358" s="57"/>
      <c r="T358" s="57"/>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row>
    <row r="359" spans="1:64" ht="15">
      <c r="B359" s="38"/>
      <c r="C359" s="38"/>
      <c r="D359" s="38"/>
      <c r="E359" s="38"/>
      <c r="F359" s="38"/>
      <c r="G359" s="38"/>
      <c r="H359" s="38"/>
      <c r="I359" s="38"/>
      <c r="J359" s="38"/>
      <c r="K359" s="38"/>
      <c r="L359" s="38"/>
      <c r="M359" s="154"/>
      <c r="N359" s="154"/>
      <c r="O359" s="58"/>
      <c r="P359" s="58"/>
      <c r="Q359" s="58"/>
      <c r="R359" s="57"/>
      <c r="S359" s="57"/>
      <c r="T359" s="57"/>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39"/>
      <c r="BK359" s="39"/>
      <c r="BL359" s="39"/>
    </row>
    <row r="360" spans="1:64">
      <c r="B360" s="158"/>
      <c r="C360" s="158"/>
      <c r="D360" s="158"/>
      <c r="E360" s="158"/>
      <c r="F360" s="158"/>
      <c r="G360" s="158"/>
      <c r="H360" s="158"/>
      <c r="I360" s="158"/>
      <c r="J360" s="158"/>
      <c r="K360" s="158"/>
      <c r="L360" s="158"/>
      <c r="M360" s="154"/>
      <c r="N360" s="154"/>
      <c r="O360" s="153"/>
      <c r="P360" s="153"/>
      <c r="Q360" s="153"/>
      <c r="R360" s="154"/>
      <c r="S360" s="154"/>
      <c r="T360" s="154"/>
    </row>
    <row r="361" spans="1:64">
      <c r="B361" s="158"/>
      <c r="C361" s="158"/>
      <c r="D361" s="158"/>
      <c r="E361" s="158"/>
      <c r="F361" s="158"/>
      <c r="G361" s="158"/>
      <c r="H361" s="158"/>
      <c r="I361" s="158"/>
      <c r="J361" s="158"/>
      <c r="K361" s="158"/>
      <c r="L361" s="158"/>
      <c r="M361" s="154"/>
      <c r="N361" s="154"/>
      <c r="O361" s="153"/>
      <c r="P361" s="153"/>
      <c r="Q361" s="153"/>
      <c r="R361" s="154"/>
      <c r="S361" s="154"/>
      <c r="T361" s="154"/>
    </row>
    <row r="362" spans="1:64">
      <c r="B362" s="158"/>
      <c r="C362" s="158"/>
      <c r="D362" s="158"/>
      <c r="E362" s="158"/>
      <c r="F362" s="158"/>
      <c r="G362" s="158"/>
      <c r="H362" s="158"/>
      <c r="I362" s="158"/>
      <c r="J362" s="158"/>
      <c r="K362" s="158"/>
      <c r="L362" s="158"/>
      <c r="M362" s="154"/>
      <c r="N362" s="154"/>
      <c r="O362" s="153"/>
      <c r="P362" s="153"/>
      <c r="Q362" s="153"/>
      <c r="R362" s="154"/>
      <c r="S362" s="154"/>
      <c r="T362" s="154"/>
    </row>
    <row r="363" spans="1:64">
      <c r="B363" s="158"/>
      <c r="C363" s="158"/>
      <c r="D363" s="158"/>
      <c r="E363" s="158"/>
      <c r="F363" s="158"/>
      <c r="G363" s="158"/>
      <c r="H363" s="158"/>
      <c r="I363" s="158"/>
      <c r="J363" s="158"/>
      <c r="K363" s="158"/>
      <c r="L363" s="158"/>
      <c r="M363" s="154"/>
      <c r="N363" s="154"/>
      <c r="O363" s="153"/>
      <c r="P363" s="153"/>
      <c r="Q363" s="153"/>
      <c r="R363" s="154"/>
      <c r="S363" s="154"/>
      <c r="T363" s="154"/>
    </row>
    <row r="364" spans="1:64">
      <c r="B364" s="158"/>
      <c r="C364" s="158"/>
      <c r="D364" s="158"/>
      <c r="E364" s="158"/>
      <c r="F364" s="158"/>
      <c r="G364" s="158"/>
      <c r="H364" s="158"/>
      <c r="I364" s="158"/>
      <c r="J364" s="158"/>
      <c r="K364" s="158"/>
      <c r="L364" s="158"/>
      <c r="M364" s="154"/>
      <c r="N364" s="154"/>
      <c r="O364" s="153"/>
      <c r="P364" s="153"/>
      <c r="Q364" s="153"/>
      <c r="R364" s="154"/>
      <c r="S364" s="154"/>
      <c r="T364" s="154"/>
    </row>
    <row r="365" spans="1:64">
      <c r="B365" s="158"/>
      <c r="C365" s="158"/>
      <c r="D365" s="158"/>
      <c r="E365" s="158"/>
      <c r="F365" s="158"/>
      <c r="G365" s="158"/>
      <c r="H365" s="158"/>
      <c r="I365" s="158"/>
      <c r="J365" s="158"/>
      <c r="K365" s="158"/>
      <c r="L365" s="158"/>
      <c r="M365" s="154"/>
      <c r="N365" s="154"/>
      <c r="O365" s="153"/>
      <c r="P365" s="153"/>
      <c r="Q365" s="153"/>
      <c r="R365" s="154"/>
      <c r="S365" s="154"/>
      <c r="T365" s="154"/>
    </row>
    <row r="366" spans="1:64">
      <c r="B366" s="159"/>
      <c r="C366" s="159"/>
      <c r="D366" s="159"/>
      <c r="E366" s="159"/>
      <c r="F366" s="159"/>
      <c r="G366" s="159"/>
      <c r="H366" s="159"/>
      <c r="I366" s="159"/>
      <c r="J366" s="159"/>
      <c r="K366" s="159"/>
      <c r="L366" s="159"/>
      <c r="M366" s="154"/>
      <c r="N366" s="154"/>
      <c r="O366" s="154"/>
      <c r="P366" s="154"/>
      <c r="Q366" s="154"/>
      <c r="R366" s="154"/>
      <c r="S366" s="154"/>
      <c r="T366" s="154"/>
    </row>
    <row r="367" spans="1:64">
      <c r="B367" s="159"/>
      <c r="C367" s="159"/>
      <c r="D367" s="159"/>
      <c r="E367" s="159"/>
      <c r="F367" s="159"/>
      <c r="G367" s="159"/>
      <c r="H367" s="159"/>
      <c r="I367" s="159"/>
      <c r="J367" s="159"/>
      <c r="K367" s="159"/>
      <c r="L367" s="159"/>
      <c r="M367" s="154"/>
      <c r="N367" s="154"/>
      <c r="O367" s="154"/>
      <c r="P367" s="154"/>
      <c r="Q367" s="154"/>
      <c r="R367" s="154"/>
      <c r="S367" s="154"/>
      <c r="T367" s="154"/>
    </row>
    <row r="368" spans="1:64">
      <c r="B368" s="159"/>
      <c r="C368" s="159"/>
      <c r="D368" s="159"/>
      <c r="E368" s="159"/>
      <c r="F368" s="159"/>
      <c r="G368" s="159"/>
      <c r="H368" s="159"/>
      <c r="I368" s="159"/>
      <c r="J368" s="159"/>
      <c r="K368" s="159"/>
      <c r="L368" s="159"/>
      <c r="M368" s="154"/>
      <c r="N368" s="154"/>
      <c r="O368" s="154"/>
      <c r="P368" s="154"/>
      <c r="Q368" s="154"/>
      <c r="R368" s="154"/>
      <c r="S368" s="154"/>
      <c r="T368" s="154"/>
    </row>
    <row r="369" spans="2:20">
      <c r="B369" s="159"/>
      <c r="C369" s="159"/>
      <c r="D369" s="159"/>
      <c r="E369" s="159"/>
      <c r="F369" s="159"/>
      <c r="G369" s="159"/>
      <c r="H369" s="159"/>
      <c r="I369" s="159"/>
      <c r="J369" s="159"/>
      <c r="K369" s="159"/>
      <c r="L369" s="159"/>
      <c r="M369" s="154"/>
      <c r="N369" s="154"/>
      <c r="O369" s="154"/>
      <c r="P369" s="154"/>
      <c r="Q369" s="154"/>
      <c r="R369" s="154"/>
      <c r="S369" s="154"/>
      <c r="T369" s="154"/>
    </row>
    <row r="370" spans="2:20">
      <c r="B370" s="159"/>
      <c r="C370" s="159"/>
      <c r="D370" s="159"/>
      <c r="E370" s="159"/>
      <c r="F370" s="159"/>
      <c r="G370" s="159"/>
      <c r="H370" s="159"/>
      <c r="I370" s="159"/>
      <c r="J370" s="159"/>
      <c r="K370" s="159"/>
      <c r="L370" s="159"/>
      <c r="M370" s="154"/>
      <c r="N370" s="154"/>
      <c r="O370" s="154"/>
      <c r="P370" s="154"/>
      <c r="Q370" s="154"/>
      <c r="R370" s="154"/>
      <c r="S370" s="154"/>
      <c r="T370" s="154"/>
    </row>
    <row r="371" spans="2:20">
      <c r="B371" s="159"/>
      <c r="C371" s="159"/>
      <c r="D371" s="159"/>
      <c r="E371" s="159"/>
      <c r="F371" s="159"/>
      <c r="G371" s="159"/>
      <c r="H371" s="159"/>
      <c r="I371" s="159"/>
      <c r="J371" s="159"/>
      <c r="K371" s="159"/>
      <c r="L371" s="159"/>
      <c r="M371" s="154"/>
      <c r="N371" s="154"/>
      <c r="O371" s="154"/>
      <c r="P371" s="154"/>
      <c r="Q371" s="154"/>
      <c r="R371" s="154"/>
      <c r="S371" s="154"/>
      <c r="T371" s="154"/>
    </row>
    <row r="372" spans="2:20">
      <c r="B372" s="159"/>
      <c r="C372" s="159"/>
      <c r="D372" s="159"/>
      <c r="E372" s="159"/>
      <c r="F372" s="159"/>
      <c r="G372" s="159"/>
      <c r="H372" s="159"/>
      <c r="I372" s="159"/>
      <c r="J372" s="159"/>
      <c r="K372" s="159"/>
      <c r="L372" s="159"/>
      <c r="M372" s="154"/>
      <c r="N372" s="154"/>
      <c r="O372" s="154"/>
      <c r="P372" s="154"/>
      <c r="Q372" s="154"/>
      <c r="R372" s="154"/>
      <c r="S372" s="154"/>
      <c r="T372" s="154"/>
    </row>
    <row r="373" spans="2:20">
      <c r="B373" s="159"/>
      <c r="C373" s="159"/>
      <c r="D373" s="159"/>
      <c r="E373" s="159"/>
      <c r="F373" s="159"/>
      <c r="G373" s="159"/>
      <c r="H373" s="159"/>
      <c r="I373" s="159"/>
      <c r="J373" s="159"/>
      <c r="K373" s="159"/>
      <c r="L373" s="159"/>
      <c r="M373" s="154"/>
      <c r="N373" s="154"/>
      <c r="O373" s="154"/>
      <c r="P373" s="154"/>
      <c r="Q373" s="154"/>
      <c r="R373" s="154"/>
      <c r="S373" s="154"/>
      <c r="T373" s="154"/>
    </row>
    <row r="374" spans="2:20">
      <c r="B374" s="159"/>
      <c r="C374" s="159"/>
      <c r="D374" s="159"/>
      <c r="E374" s="159"/>
      <c r="F374" s="159"/>
      <c r="G374" s="159"/>
      <c r="H374" s="159"/>
      <c r="I374" s="159"/>
      <c r="J374" s="159"/>
      <c r="K374" s="159"/>
      <c r="L374" s="159"/>
      <c r="M374" s="154"/>
      <c r="N374" s="154"/>
      <c r="O374" s="154"/>
      <c r="P374" s="154"/>
      <c r="Q374" s="154"/>
      <c r="R374" s="154"/>
      <c r="S374" s="154"/>
      <c r="T374" s="154"/>
    </row>
    <row r="375" spans="2:20">
      <c r="B375" s="159"/>
      <c r="C375" s="159"/>
      <c r="D375" s="159"/>
      <c r="E375" s="159"/>
      <c r="F375" s="159"/>
      <c r="G375" s="159"/>
      <c r="H375" s="159"/>
      <c r="I375" s="159"/>
      <c r="J375" s="159"/>
      <c r="K375" s="159"/>
      <c r="L375" s="159"/>
      <c r="M375" s="154"/>
      <c r="N375" s="154"/>
      <c r="O375" s="154"/>
      <c r="P375" s="154"/>
      <c r="Q375" s="154"/>
      <c r="R375" s="154"/>
      <c r="S375" s="154"/>
      <c r="T375" s="154"/>
    </row>
    <row r="376" spans="2:20">
      <c r="B376" s="159"/>
      <c r="C376" s="159"/>
      <c r="D376" s="159"/>
      <c r="E376" s="159"/>
      <c r="F376" s="159"/>
      <c r="G376" s="159"/>
      <c r="H376" s="159"/>
      <c r="I376" s="159"/>
      <c r="J376" s="159"/>
      <c r="K376" s="159"/>
      <c r="L376" s="159"/>
      <c r="M376" s="154"/>
      <c r="N376" s="154"/>
      <c r="O376" s="154"/>
      <c r="P376" s="154"/>
      <c r="Q376" s="154"/>
      <c r="R376" s="154"/>
      <c r="S376" s="154"/>
      <c r="T376" s="154"/>
    </row>
    <row r="377" spans="2:20">
      <c r="B377" s="159"/>
      <c r="C377" s="159"/>
      <c r="D377" s="159"/>
      <c r="E377" s="159"/>
      <c r="F377" s="159"/>
      <c r="G377" s="159"/>
      <c r="H377" s="159"/>
      <c r="I377" s="159"/>
      <c r="J377" s="159"/>
      <c r="K377" s="159"/>
      <c r="L377" s="159"/>
      <c r="M377" s="154"/>
      <c r="N377" s="154"/>
      <c r="O377" s="154"/>
      <c r="P377" s="154"/>
      <c r="Q377" s="154"/>
      <c r="R377" s="154"/>
      <c r="S377" s="154"/>
      <c r="T377" s="154"/>
    </row>
    <row r="378" spans="2:20">
      <c r="B378" s="159"/>
      <c r="C378" s="159"/>
      <c r="D378" s="159"/>
      <c r="E378" s="159"/>
      <c r="F378" s="159"/>
      <c r="G378" s="159"/>
      <c r="H378" s="159"/>
      <c r="I378" s="159"/>
      <c r="J378" s="159"/>
      <c r="K378" s="159"/>
      <c r="L378" s="159"/>
      <c r="M378" s="154"/>
      <c r="N378" s="154"/>
      <c r="O378" s="154"/>
      <c r="P378" s="154"/>
      <c r="Q378" s="154"/>
      <c r="R378" s="154"/>
      <c r="S378" s="154"/>
      <c r="T378" s="154"/>
    </row>
    <row r="379" spans="2:20">
      <c r="B379" s="159"/>
      <c r="C379" s="159"/>
      <c r="D379" s="159"/>
      <c r="E379" s="159"/>
      <c r="F379" s="159"/>
      <c r="G379" s="159"/>
      <c r="H379" s="159"/>
      <c r="I379" s="159"/>
      <c r="J379" s="159"/>
      <c r="K379" s="159"/>
      <c r="L379" s="159"/>
      <c r="M379" s="154"/>
      <c r="N379" s="154"/>
      <c r="O379" s="154"/>
      <c r="P379" s="154"/>
      <c r="Q379" s="154"/>
      <c r="R379" s="154"/>
      <c r="S379" s="154"/>
      <c r="T379" s="154"/>
    </row>
    <row r="380" spans="2:20">
      <c r="B380" s="159"/>
      <c r="C380" s="159"/>
      <c r="D380" s="159"/>
      <c r="E380" s="159"/>
      <c r="F380" s="159"/>
      <c r="G380" s="159"/>
      <c r="H380" s="159"/>
      <c r="I380" s="159"/>
      <c r="J380" s="159"/>
      <c r="K380" s="159"/>
      <c r="L380" s="159"/>
      <c r="M380" s="154"/>
      <c r="N380" s="154"/>
      <c r="O380" s="154"/>
      <c r="P380" s="154"/>
      <c r="Q380" s="154"/>
      <c r="R380" s="154"/>
      <c r="S380" s="154"/>
      <c r="T380" s="154"/>
    </row>
    <row r="381" spans="2:20">
      <c r="B381" s="159"/>
      <c r="C381" s="159"/>
      <c r="D381" s="159"/>
      <c r="E381" s="159"/>
      <c r="F381" s="159"/>
      <c r="G381" s="159"/>
      <c r="H381" s="159"/>
      <c r="I381" s="159"/>
      <c r="J381" s="159"/>
      <c r="K381" s="159"/>
      <c r="L381" s="159"/>
      <c r="M381" s="154"/>
      <c r="N381" s="154"/>
      <c r="O381" s="154"/>
      <c r="P381" s="154"/>
      <c r="Q381" s="154"/>
      <c r="R381" s="154"/>
      <c r="S381" s="154"/>
      <c r="T381" s="154"/>
    </row>
    <row r="382" spans="2:20">
      <c r="B382" s="159"/>
      <c r="C382" s="159"/>
      <c r="D382" s="159"/>
      <c r="E382" s="159"/>
      <c r="F382" s="159"/>
      <c r="G382" s="159"/>
      <c r="H382" s="159"/>
      <c r="I382" s="159"/>
      <c r="J382" s="159"/>
      <c r="K382" s="159"/>
      <c r="L382" s="159"/>
      <c r="M382" s="154"/>
      <c r="N382" s="154"/>
      <c r="O382" s="154"/>
      <c r="P382" s="154"/>
      <c r="Q382" s="154"/>
      <c r="R382" s="154"/>
      <c r="S382" s="154"/>
      <c r="T382" s="154"/>
    </row>
    <row r="383" spans="2:20">
      <c r="B383" s="159"/>
      <c r="C383" s="159"/>
      <c r="D383" s="159"/>
      <c r="E383" s="159"/>
      <c r="F383" s="159"/>
      <c r="G383" s="159"/>
      <c r="H383" s="159"/>
      <c r="I383" s="159"/>
      <c r="J383" s="159"/>
      <c r="K383" s="159"/>
      <c r="L383" s="159"/>
      <c r="M383" s="154"/>
      <c r="N383" s="154"/>
      <c r="O383" s="154"/>
      <c r="P383" s="154"/>
      <c r="Q383" s="154"/>
      <c r="R383" s="154"/>
      <c r="S383" s="154"/>
      <c r="T383" s="154"/>
    </row>
    <row r="384" spans="2:20">
      <c r="B384" s="159"/>
      <c r="C384" s="159"/>
      <c r="D384" s="159"/>
      <c r="E384" s="159"/>
      <c r="F384" s="159"/>
      <c r="G384" s="159"/>
      <c r="H384" s="159"/>
      <c r="I384" s="159"/>
      <c r="J384" s="159"/>
      <c r="K384" s="159"/>
      <c r="L384" s="159"/>
      <c r="M384" s="154"/>
      <c r="N384" s="154"/>
      <c r="O384" s="154"/>
      <c r="P384" s="154"/>
      <c r="Q384" s="154"/>
      <c r="R384" s="154"/>
      <c r="S384" s="154"/>
      <c r="T384" s="154"/>
    </row>
    <row r="385" spans="2:20">
      <c r="B385" s="159"/>
      <c r="C385" s="159"/>
      <c r="D385" s="159"/>
      <c r="E385" s="159"/>
      <c r="F385" s="159"/>
      <c r="G385" s="159"/>
      <c r="H385" s="159"/>
      <c r="I385" s="159"/>
      <c r="J385" s="159"/>
      <c r="K385" s="159"/>
      <c r="L385" s="159"/>
      <c r="M385" s="154"/>
      <c r="N385" s="154"/>
      <c r="O385" s="154"/>
      <c r="P385" s="154"/>
      <c r="Q385" s="154"/>
      <c r="R385" s="154"/>
      <c r="S385" s="154"/>
      <c r="T385" s="154"/>
    </row>
    <row r="386" spans="2:20">
      <c r="B386" s="159"/>
      <c r="C386" s="159"/>
      <c r="D386" s="159"/>
      <c r="E386" s="159"/>
      <c r="F386" s="159"/>
      <c r="G386" s="159"/>
      <c r="H386" s="159"/>
      <c r="I386" s="159"/>
      <c r="J386" s="159"/>
      <c r="K386" s="159"/>
      <c r="L386" s="159"/>
      <c r="M386" s="154"/>
      <c r="N386" s="154"/>
      <c r="O386" s="154"/>
      <c r="P386" s="154"/>
      <c r="Q386" s="154"/>
      <c r="R386" s="154"/>
      <c r="S386" s="154"/>
      <c r="T386" s="154"/>
    </row>
    <row r="387" spans="2:20">
      <c r="B387" s="159"/>
      <c r="C387" s="159"/>
      <c r="D387" s="159"/>
      <c r="E387" s="159"/>
      <c r="F387" s="159"/>
      <c r="G387" s="159"/>
      <c r="H387" s="159"/>
      <c r="I387" s="159"/>
      <c r="J387" s="159"/>
      <c r="K387" s="159"/>
      <c r="L387" s="159"/>
      <c r="M387" s="154"/>
      <c r="N387" s="154"/>
      <c r="O387" s="154"/>
      <c r="P387" s="154"/>
      <c r="Q387" s="154"/>
      <c r="R387" s="154"/>
      <c r="S387" s="154"/>
      <c r="T387" s="154"/>
    </row>
    <row r="388" spans="2:20">
      <c r="B388" s="159"/>
      <c r="C388" s="159"/>
      <c r="D388" s="159"/>
      <c r="E388" s="159"/>
      <c r="F388" s="159"/>
      <c r="G388" s="159"/>
      <c r="H388" s="159"/>
      <c r="I388" s="159"/>
      <c r="J388" s="159"/>
      <c r="K388" s="159"/>
      <c r="L388" s="159"/>
      <c r="M388" s="154"/>
      <c r="N388" s="154"/>
      <c r="O388" s="154"/>
      <c r="P388" s="154"/>
      <c r="Q388" s="154"/>
      <c r="R388" s="154"/>
      <c r="S388" s="154"/>
      <c r="T388" s="154"/>
    </row>
    <row r="389" spans="2:20">
      <c r="B389" s="159"/>
      <c r="C389" s="159"/>
      <c r="D389" s="159"/>
      <c r="E389" s="159"/>
      <c r="F389" s="159"/>
      <c r="G389" s="159"/>
      <c r="H389" s="159"/>
      <c r="I389" s="159"/>
      <c r="J389" s="159"/>
      <c r="K389" s="159"/>
      <c r="L389" s="159"/>
      <c r="M389" s="154"/>
      <c r="N389" s="154"/>
      <c r="O389" s="154"/>
      <c r="P389" s="154"/>
      <c r="Q389" s="154"/>
      <c r="R389" s="154"/>
      <c r="S389" s="154"/>
      <c r="T389" s="154"/>
    </row>
    <row r="390" spans="2:20">
      <c r="B390" s="159"/>
      <c r="C390" s="159"/>
      <c r="D390" s="159"/>
      <c r="E390" s="159"/>
      <c r="F390" s="159"/>
      <c r="G390" s="159"/>
      <c r="H390" s="159"/>
      <c r="I390" s="159"/>
      <c r="J390" s="159"/>
      <c r="K390" s="159"/>
      <c r="L390" s="159"/>
      <c r="M390" s="154"/>
      <c r="N390" s="154"/>
      <c r="O390" s="154"/>
      <c r="P390" s="154"/>
      <c r="Q390" s="154"/>
      <c r="R390" s="154"/>
      <c r="S390" s="154"/>
      <c r="T390" s="154"/>
    </row>
    <row r="391" spans="2:20">
      <c r="B391" s="159"/>
      <c r="C391" s="159"/>
      <c r="D391" s="159"/>
      <c r="E391" s="159"/>
      <c r="F391" s="159"/>
      <c r="G391" s="159"/>
      <c r="H391" s="159"/>
      <c r="I391" s="159"/>
      <c r="J391" s="159"/>
      <c r="K391" s="159"/>
      <c r="L391" s="159"/>
      <c r="M391" s="154"/>
      <c r="N391" s="154"/>
      <c r="O391" s="154"/>
      <c r="P391" s="154"/>
      <c r="Q391" s="154"/>
      <c r="R391" s="154"/>
      <c r="S391" s="154"/>
      <c r="T391" s="154"/>
    </row>
    <row r="392" spans="2:20">
      <c r="B392" s="159"/>
      <c r="C392" s="159"/>
      <c r="D392" s="159"/>
      <c r="E392" s="159"/>
      <c r="F392" s="159"/>
      <c r="G392" s="159"/>
      <c r="H392" s="159"/>
      <c r="I392" s="159"/>
      <c r="J392" s="159"/>
      <c r="K392" s="159"/>
      <c r="L392" s="159"/>
      <c r="M392" s="159"/>
      <c r="N392" s="159"/>
      <c r="O392" s="159"/>
      <c r="P392" s="159"/>
      <c r="Q392" s="159"/>
      <c r="R392" s="159"/>
      <c r="S392" s="159"/>
      <c r="T392" s="159"/>
    </row>
    <row r="393" spans="2:20">
      <c r="B393" s="159"/>
      <c r="C393" s="159"/>
      <c r="D393" s="159"/>
      <c r="E393" s="159"/>
      <c r="F393" s="159"/>
      <c r="G393" s="159"/>
      <c r="H393" s="159"/>
      <c r="I393" s="159"/>
      <c r="J393" s="159"/>
      <c r="K393" s="159"/>
      <c r="L393" s="159"/>
      <c r="M393" s="159"/>
      <c r="N393" s="159"/>
      <c r="O393" s="159"/>
      <c r="P393" s="159"/>
      <c r="Q393" s="159"/>
      <c r="R393" s="159"/>
      <c r="S393" s="159"/>
      <c r="T393" s="159"/>
    </row>
    <row r="394" spans="2:20">
      <c r="B394" s="159"/>
      <c r="C394" s="159"/>
      <c r="D394" s="159"/>
      <c r="E394" s="159"/>
      <c r="F394" s="159"/>
      <c r="G394" s="159"/>
      <c r="H394" s="159"/>
      <c r="I394" s="159"/>
      <c r="J394" s="159"/>
      <c r="K394" s="159"/>
      <c r="L394" s="159"/>
      <c r="M394" s="159"/>
      <c r="N394" s="159"/>
      <c r="O394" s="159"/>
      <c r="P394" s="159"/>
      <c r="Q394" s="159"/>
      <c r="R394" s="159"/>
      <c r="S394" s="159"/>
      <c r="T394" s="159"/>
    </row>
    <row r="395" spans="2:20">
      <c r="B395" s="159"/>
      <c r="C395" s="159"/>
      <c r="D395" s="159"/>
      <c r="E395" s="159"/>
      <c r="F395" s="159"/>
      <c r="G395" s="159"/>
      <c r="H395" s="159"/>
      <c r="I395" s="159"/>
      <c r="J395" s="159"/>
      <c r="K395" s="159"/>
      <c r="L395" s="159"/>
      <c r="M395" s="159"/>
      <c r="N395" s="159"/>
      <c r="O395" s="159"/>
      <c r="P395" s="159"/>
      <c r="Q395" s="159"/>
      <c r="R395" s="159"/>
      <c r="S395" s="159"/>
      <c r="T395" s="159"/>
    </row>
    <row r="396" spans="2:20">
      <c r="B396" s="159"/>
      <c r="C396" s="159"/>
      <c r="D396" s="159"/>
      <c r="E396" s="159"/>
      <c r="F396" s="159"/>
      <c r="G396" s="159"/>
      <c r="H396" s="159"/>
      <c r="I396" s="159"/>
      <c r="J396" s="159"/>
      <c r="K396" s="159"/>
      <c r="L396" s="159"/>
      <c r="M396" s="159"/>
      <c r="N396" s="159"/>
      <c r="O396" s="159"/>
      <c r="P396" s="159"/>
      <c r="Q396" s="159"/>
      <c r="R396" s="159"/>
      <c r="S396" s="159"/>
      <c r="T396" s="159"/>
    </row>
    <row r="397" spans="2:20">
      <c r="B397" s="159"/>
      <c r="C397" s="159"/>
      <c r="D397" s="159"/>
      <c r="E397" s="159"/>
      <c r="F397" s="159"/>
      <c r="G397" s="159"/>
      <c r="H397" s="159"/>
      <c r="I397" s="159"/>
      <c r="J397" s="159"/>
      <c r="K397" s="159"/>
      <c r="L397" s="159"/>
      <c r="M397" s="159"/>
      <c r="N397" s="159"/>
      <c r="O397" s="159"/>
      <c r="P397" s="159"/>
      <c r="Q397" s="159"/>
      <c r="R397" s="159"/>
      <c r="S397" s="159"/>
      <c r="T397" s="159"/>
    </row>
    <row r="398" spans="2:20">
      <c r="B398" s="159"/>
      <c r="C398" s="159"/>
      <c r="D398" s="159"/>
      <c r="E398" s="159"/>
      <c r="F398" s="159"/>
      <c r="G398" s="159"/>
      <c r="H398" s="159"/>
      <c r="I398" s="159"/>
      <c r="J398" s="159"/>
      <c r="K398" s="159"/>
      <c r="L398" s="159"/>
      <c r="M398" s="159"/>
      <c r="N398" s="159"/>
      <c r="O398" s="159"/>
      <c r="P398" s="159"/>
      <c r="Q398" s="159"/>
      <c r="R398" s="159"/>
      <c r="S398" s="159"/>
      <c r="T398" s="159"/>
    </row>
    <row r="399" spans="2:20">
      <c r="B399" s="159"/>
      <c r="C399" s="159"/>
      <c r="D399" s="159"/>
      <c r="E399" s="159"/>
      <c r="F399" s="159"/>
      <c r="G399" s="159"/>
      <c r="H399" s="159"/>
      <c r="I399" s="159"/>
      <c r="J399" s="159"/>
      <c r="K399" s="159"/>
      <c r="L399" s="159"/>
      <c r="M399" s="159"/>
      <c r="N399" s="159"/>
      <c r="O399" s="159"/>
      <c r="P399" s="159"/>
      <c r="Q399" s="159"/>
      <c r="R399" s="159"/>
      <c r="S399" s="159"/>
      <c r="T399" s="159"/>
    </row>
    <row r="400" spans="2:20">
      <c r="B400" s="159"/>
      <c r="C400" s="159"/>
      <c r="D400" s="159"/>
      <c r="E400" s="159"/>
      <c r="F400" s="159"/>
      <c r="G400" s="159"/>
      <c r="H400" s="159"/>
      <c r="I400" s="159"/>
      <c r="J400" s="159"/>
      <c r="K400" s="159"/>
      <c r="L400" s="159"/>
      <c r="M400" s="159"/>
      <c r="N400" s="159"/>
      <c r="O400" s="159"/>
      <c r="P400" s="159"/>
      <c r="Q400" s="159"/>
      <c r="R400" s="159"/>
      <c r="S400" s="159"/>
      <c r="T400" s="159"/>
    </row>
    <row r="401" spans="2:20">
      <c r="B401" s="159"/>
      <c r="C401" s="159"/>
      <c r="D401" s="159"/>
      <c r="E401" s="159"/>
      <c r="F401" s="159"/>
      <c r="G401" s="159"/>
      <c r="H401" s="159"/>
      <c r="I401" s="159"/>
      <c r="J401" s="159"/>
      <c r="K401" s="159"/>
      <c r="L401" s="159"/>
      <c r="M401" s="159"/>
      <c r="N401" s="159"/>
      <c r="O401" s="159"/>
      <c r="P401" s="159"/>
      <c r="Q401" s="159"/>
      <c r="R401" s="159"/>
      <c r="S401" s="159"/>
      <c r="T401" s="159"/>
    </row>
    <row r="402" spans="2:20">
      <c r="B402" s="159"/>
      <c r="C402" s="159"/>
      <c r="D402" s="159"/>
      <c r="E402" s="159"/>
      <c r="F402" s="159"/>
      <c r="G402" s="159"/>
      <c r="H402" s="159"/>
      <c r="I402" s="159"/>
      <c r="J402" s="159"/>
      <c r="K402" s="159"/>
      <c r="L402" s="159"/>
      <c r="M402" s="159"/>
      <c r="N402" s="159"/>
      <c r="O402" s="159"/>
      <c r="P402" s="159"/>
      <c r="Q402" s="159"/>
      <c r="R402" s="159"/>
      <c r="S402" s="159"/>
      <c r="T402" s="159"/>
    </row>
    <row r="403" spans="2:20">
      <c r="B403" s="159"/>
      <c r="C403" s="159"/>
      <c r="D403" s="159"/>
      <c r="E403" s="159"/>
      <c r="F403" s="159"/>
      <c r="G403" s="159"/>
      <c r="H403" s="159"/>
      <c r="I403" s="159"/>
      <c r="J403" s="159"/>
      <c r="K403" s="159"/>
      <c r="L403" s="159"/>
      <c r="M403" s="159"/>
      <c r="N403" s="159"/>
      <c r="O403" s="159"/>
      <c r="P403" s="159"/>
      <c r="Q403" s="159"/>
      <c r="R403" s="159"/>
      <c r="S403" s="159"/>
      <c r="T403" s="159"/>
    </row>
    <row r="404" spans="2:20">
      <c r="B404" s="159"/>
      <c r="C404" s="159"/>
      <c r="D404" s="159"/>
      <c r="E404" s="159"/>
      <c r="F404" s="159"/>
      <c r="G404" s="159"/>
      <c r="H404" s="159"/>
      <c r="I404" s="159"/>
      <c r="J404" s="159"/>
      <c r="K404" s="159"/>
      <c r="L404" s="159"/>
      <c r="M404" s="159"/>
      <c r="N404" s="159"/>
      <c r="O404" s="159"/>
      <c r="P404" s="159"/>
      <c r="Q404" s="159"/>
      <c r="R404" s="159"/>
      <c r="S404" s="159"/>
      <c r="T404" s="159"/>
    </row>
    <row r="405" spans="2:20">
      <c r="B405" s="159"/>
      <c r="C405" s="159"/>
      <c r="D405" s="159"/>
      <c r="E405" s="159"/>
      <c r="F405" s="159"/>
      <c r="G405" s="159"/>
      <c r="H405" s="159"/>
      <c r="I405" s="159"/>
      <c r="J405" s="159"/>
      <c r="K405" s="159"/>
      <c r="L405" s="159"/>
      <c r="M405" s="159"/>
      <c r="N405" s="159"/>
      <c r="O405" s="159"/>
      <c r="P405" s="159"/>
      <c r="Q405" s="159"/>
      <c r="R405" s="159"/>
      <c r="S405" s="159"/>
      <c r="T405" s="159"/>
    </row>
    <row r="406" spans="2:20">
      <c r="B406" s="159"/>
      <c r="C406" s="159"/>
      <c r="D406" s="159"/>
      <c r="E406" s="159"/>
      <c r="F406" s="159"/>
      <c r="G406" s="159"/>
      <c r="H406" s="159"/>
      <c r="I406" s="159"/>
      <c r="J406" s="159"/>
      <c r="K406" s="159"/>
      <c r="L406" s="159"/>
      <c r="M406" s="159"/>
      <c r="N406" s="159"/>
      <c r="O406" s="159"/>
      <c r="P406" s="159"/>
      <c r="Q406" s="159"/>
      <c r="R406" s="159"/>
      <c r="S406" s="159"/>
      <c r="T406" s="159"/>
    </row>
    <row r="407" spans="2:20">
      <c r="B407" s="159"/>
      <c r="C407" s="159"/>
      <c r="D407" s="159"/>
      <c r="E407" s="159"/>
      <c r="F407" s="159"/>
      <c r="G407" s="159"/>
      <c r="H407" s="159"/>
      <c r="I407" s="159"/>
      <c r="J407" s="159"/>
      <c r="K407" s="159"/>
      <c r="L407" s="159"/>
      <c r="M407" s="159"/>
      <c r="N407" s="159"/>
      <c r="O407" s="159"/>
      <c r="P407" s="159"/>
      <c r="Q407" s="159"/>
      <c r="R407" s="159"/>
      <c r="S407" s="159"/>
      <c r="T407" s="159"/>
    </row>
    <row r="408" spans="2:20">
      <c r="B408" s="159"/>
      <c r="C408" s="159"/>
      <c r="D408" s="159"/>
      <c r="E408" s="159"/>
      <c r="F408" s="159"/>
      <c r="G408" s="159"/>
      <c r="H408" s="159"/>
      <c r="I408" s="159"/>
      <c r="J408" s="159"/>
      <c r="K408" s="159"/>
      <c r="L408" s="159"/>
      <c r="M408" s="159"/>
      <c r="N408" s="159"/>
      <c r="O408" s="159"/>
      <c r="P408" s="159"/>
      <c r="Q408" s="159"/>
      <c r="R408" s="159"/>
      <c r="S408" s="159"/>
      <c r="T408" s="159"/>
    </row>
    <row r="409" spans="2:20">
      <c r="B409" s="159"/>
      <c r="C409" s="159"/>
      <c r="D409" s="159"/>
      <c r="E409" s="159"/>
      <c r="F409" s="159"/>
      <c r="G409" s="159"/>
      <c r="H409" s="159"/>
      <c r="I409" s="159"/>
      <c r="J409" s="159"/>
      <c r="K409" s="159"/>
      <c r="L409" s="159"/>
      <c r="M409" s="159"/>
      <c r="N409" s="159"/>
      <c r="O409" s="159"/>
      <c r="P409" s="159"/>
      <c r="Q409" s="159"/>
      <c r="R409" s="159"/>
      <c r="S409" s="159"/>
      <c r="T409" s="159"/>
    </row>
    <row r="410" spans="2:20">
      <c r="B410" s="159"/>
      <c r="C410" s="159"/>
      <c r="D410" s="159"/>
      <c r="E410" s="159"/>
      <c r="F410" s="159"/>
      <c r="G410" s="159"/>
      <c r="H410" s="159"/>
      <c r="I410" s="159"/>
      <c r="J410" s="159"/>
      <c r="K410" s="159"/>
      <c r="L410" s="159"/>
      <c r="M410" s="159"/>
      <c r="N410" s="159"/>
      <c r="O410" s="159"/>
      <c r="P410" s="159"/>
      <c r="Q410" s="159"/>
      <c r="R410" s="159"/>
      <c r="S410" s="159"/>
      <c r="T410" s="159"/>
    </row>
    <row r="411" spans="2:20">
      <c r="B411" s="159"/>
      <c r="C411" s="159"/>
      <c r="D411" s="159"/>
      <c r="E411" s="159"/>
      <c r="F411" s="159"/>
      <c r="G411" s="159"/>
      <c r="H411" s="159"/>
      <c r="I411" s="159"/>
      <c r="J411" s="159"/>
      <c r="K411" s="159"/>
      <c r="L411" s="159"/>
      <c r="M411" s="159"/>
      <c r="N411" s="159"/>
      <c r="O411" s="159"/>
      <c r="P411" s="159"/>
      <c r="Q411" s="159"/>
      <c r="R411" s="159"/>
      <c r="S411" s="159"/>
      <c r="T411" s="159"/>
    </row>
    <row r="412" spans="2:20">
      <c r="B412" s="159"/>
      <c r="C412" s="159"/>
      <c r="D412" s="159"/>
      <c r="E412" s="159"/>
      <c r="F412" s="159"/>
      <c r="G412" s="159"/>
      <c r="H412" s="159"/>
      <c r="I412" s="159"/>
      <c r="J412" s="159"/>
      <c r="K412" s="159"/>
      <c r="L412" s="159"/>
      <c r="M412" s="159"/>
      <c r="N412" s="159"/>
      <c r="O412" s="159"/>
      <c r="P412" s="159"/>
      <c r="Q412" s="159"/>
      <c r="R412" s="159"/>
      <c r="S412" s="159"/>
      <c r="T412" s="159"/>
    </row>
    <row r="413" spans="2:20">
      <c r="B413" s="159"/>
      <c r="C413" s="159"/>
      <c r="D413" s="159"/>
      <c r="E413" s="159"/>
      <c r="F413" s="159"/>
      <c r="G413" s="159"/>
      <c r="H413" s="159"/>
      <c r="I413" s="159"/>
      <c r="J413" s="159"/>
      <c r="K413" s="159"/>
      <c r="L413" s="159"/>
      <c r="M413" s="159"/>
      <c r="N413" s="159"/>
      <c r="O413" s="159"/>
      <c r="P413" s="159"/>
      <c r="Q413" s="159"/>
      <c r="R413" s="159"/>
      <c r="S413" s="159"/>
      <c r="T413" s="159"/>
    </row>
    <row r="414" spans="2:20">
      <c r="B414" s="159"/>
      <c r="C414" s="159"/>
      <c r="D414" s="159"/>
      <c r="E414" s="159"/>
      <c r="F414" s="159"/>
      <c r="G414" s="159"/>
      <c r="H414" s="159"/>
      <c r="I414" s="159"/>
      <c r="J414" s="159"/>
      <c r="K414" s="159"/>
      <c r="L414" s="159"/>
      <c r="M414" s="159"/>
      <c r="N414" s="159"/>
      <c r="O414" s="159"/>
      <c r="P414" s="159"/>
      <c r="Q414" s="159"/>
      <c r="R414" s="159"/>
      <c r="S414" s="159"/>
      <c r="T414" s="159"/>
    </row>
    <row r="415" spans="2:20">
      <c r="B415" s="159"/>
      <c r="C415" s="159"/>
      <c r="D415" s="159"/>
      <c r="E415" s="159"/>
      <c r="F415" s="159"/>
      <c r="G415" s="159"/>
      <c r="H415" s="159"/>
      <c r="I415" s="159"/>
      <c r="J415" s="159"/>
      <c r="K415" s="159"/>
      <c r="L415" s="159"/>
      <c r="M415" s="159"/>
      <c r="N415" s="159"/>
      <c r="O415" s="159"/>
      <c r="P415" s="159"/>
      <c r="Q415" s="159"/>
      <c r="R415" s="159"/>
      <c r="S415" s="159"/>
      <c r="T415" s="159"/>
    </row>
    <row r="416" spans="2:20">
      <c r="B416" s="159"/>
      <c r="C416" s="159"/>
      <c r="D416" s="159"/>
      <c r="E416" s="159"/>
      <c r="F416" s="159"/>
      <c r="G416" s="159"/>
      <c r="H416" s="159"/>
      <c r="I416" s="159"/>
      <c r="J416" s="159"/>
      <c r="K416" s="159"/>
      <c r="L416" s="159"/>
      <c r="M416" s="159"/>
      <c r="N416" s="159"/>
      <c r="O416" s="159"/>
      <c r="P416" s="159"/>
      <c r="Q416" s="159"/>
      <c r="R416" s="159"/>
      <c r="S416" s="159"/>
      <c r="T416" s="159"/>
    </row>
    <row r="417" spans="2:20">
      <c r="B417" s="159"/>
      <c r="C417" s="159"/>
      <c r="D417" s="159"/>
      <c r="E417" s="159"/>
      <c r="F417" s="159"/>
      <c r="G417" s="159"/>
      <c r="H417" s="159"/>
      <c r="I417" s="159"/>
      <c r="J417" s="159"/>
      <c r="K417" s="159"/>
      <c r="L417" s="159"/>
      <c r="M417" s="159"/>
      <c r="N417" s="159"/>
      <c r="O417" s="159"/>
      <c r="P417" s="159"/>
      <c r="Q417" s="159"/>
      <c r="R417" s="159"/>
      <c r="S417" s="159"/>
      <c r="T417" s="159"/>
    </row>
    <row r="418" spans="2:20">
      <c r="B418" s="159"/>
      <c r="C418" s="159"/>
      <c r="D418" s="159"/>
      <c r="E418" s="159"/>
      <c r="F418" s="159"/>
      <c r="G418" s="159"/>
      <c r="H418" s="159"/>
      <c r="I418" s="159"/>
      <c r="J418" s="159"/>
      <c r="K418" s="159"/>
      <c r="L418" s="159"/>
      <c r="M418" s="159"/>
      <c r="N418" s="159"/>
      <c r="O418" s="159"/>
      <c r="P418" s="159"/>
      <c r="Q418" s="159"/>
      <c r="R418" s="159"/>
      <c r="S418" s="159"/>
      <c r="T418" s="159"/>
    </row>
    <row r="419" spans="2:20">
      <c r="B419" s="159"/>
      <c r="C419" s="159"/>
      <c r="D419" s="159"/>
      <c r="E419" s="159"/>
      <c r="F419" s="159"/>
      <c r="G419" s="159"/>
      <c r="H419" s="159"/>
      <c r="I419" s="159"/>
      <c r="J419" s="159"/>
      <c r="K419" s="159"/>
      <c r="L419" s="159"/>
      <c r="M419" s="159"/>
      <c r="N419" s="159"/>
      <c r="O419" s="159"/>
      <c r="P419" s="159"/>
      <c r="Q419" s="159"/>
      <c r="R419" s="159"/>
      <c r="S419" s="159"/>
      <c r="T419" s="159"/>
    </row>
    <row r="420" spans="2:20">
      <c r="B420" s="159"/>
      <c r="C420" s="159"/>
      <c r="D420" s="159"/>
      <c r="E420" s="159"/>
      <c r="F420" s="159"/>
      <c r="G420" s="159"/>
      <c r="H420" s="159"/>
      <c r="I420" s="159"/>
      <c r="J420" s="159"/>
      <c r="K420" s="159"/>
      <c r="L420" s="159"/>
      <c r="M420" s="159"/>
      <c r="N420" s="159"/>
      <c r="O420" s="159"/>
      <c r="P420" s="159"/>
      <c r="Q420" s="159"/>
      <c r="R420" s="159"/>
      <c r="S420" s="159"/>
      <c r="T420" s="159"/>
    </row>
    <row r="421" spans="2:20">
      <c r="B421" s="159"/>
      <c r="C421" s="159"/>
      <c r="D421" s="159"/>
      <c r="E421" s="159"/>
      <c r="F421" s="159"/>
      <c r="G421" s="159"/>
      <c r="H421" s="159"/>
      <c r="I421" s="159"/>
      <c r="J421" s="159"/>
      <c r="K421" s="159"/>
      <c r="L421" s="159"/>
      <c r="M421" s="159"/>
      <c r="N421" s="159"/>
      <c r="O421" s="159"/>
      <c r="P421" s="159"/>
      <c r="Q421" s="159"/>
      <c r="R421" s="159"/>
      <c r="S421" s="159"/>
      <c r="T421" s="159"/>
    </row>
    <row r="422" spans="2:20">
      <c r="B422" s="159"/>
      <c r="C422" s="159"/>
      <c r="D422" s="159"/>
      <c r="E422" s="159"/>
      <c r="F422" s="159"/>
      <c r="G422" s="159"/>
      <c r="H422" s="159"/>
      <c r="I422" s="159"/>
      <c r="J422" s="159"/>
      <c r="K422" s="159"/>
      <c r="L422" s="159"/>
      <c r="M422" s="159"/>
      <c r="N422" s="159"/>
      <c r="O422" s="159"/>
      <c r="P422" s="159"/>
      <c r="Q422" s="159"/>
      <c r="R422" s="159"/>
      <c r="S422" s="159"/>
      <c r="T422" s="159"/>
    </row>
    <row r="423" spans="2:20">
      <c r="B423" s="159"/>
      <c r="C423" s="159"/>
      <c r="D423" s="159"/>
      <c r="E423" s="159"/>
      <c r="F423" s="159"/>
      <c r="G423" s="159"/>
      <c r="H423" s="159"/>
      <c r="I423" s="159"/>
      <c r="J423" s="159"/>
      <c r="K423" s="159"/>
      <c r="L423" s="159"/>
      <c r="M423" s="159"/>
      <c r="N423" s="159"/>
      <c r="O423" s="159"/>
      <c r="P423" s="159"/>
      <c r="Q423" s="159"/>
      <c r="R423" s="159"/>
      <c r="S423" s="159"/>
      <c r="T423" s="159"/>
    </row>
    <row r="424" spans="2:20">
      <c r="B424" s="159"/>
      <c r="C424" s="159"/>
      <c r="D424" s="159"/>
      <c r="E424" s="159"/>
      <c r="F424" s="159"/>
      <c r="G424" s="159"/>
      <c r="H424" s="159"/>
      <c r="I424" s="159"/>
      <c r="J424" s="159"/>
      <c r="K424" s="159"/>
      <c r="L424" s="159"/>
      <c r="M424" s="159"/>
      <c r="N424" s="159"/>
      <c r="O424" s="159"/>
      <c r="P424" s="159"/>
      <c r="Q424" s="159"/>
      <c r="R424" s="159"/>
      <c r="S424" s="159"/>
      <c r="T424" s="159"/>
    </row>
    <row r="425" spans="2:20">
      <c r="B425" s="159"/>
      <c r="C425" s="159"/>
      <c r="D425" s="159"/>
      <c r="E425" s="159"/>
      <c r="F425" s="159"/>
      <c r="G425" s="159"/>
      <c r="H425" s="159"/>
      <c r="I425" s="159"/>
      <c r="J425" s="159"/>
      <c r="K425" s="159"/>
      <c r="L425" s="159"/>
      <c r="M425" s="159"/>
      <c r="N425" s="159"/>
      <c r="O425" s="159"/>
      <c r="P425" s="159"/>
      <c r="Q425" s="159"/>
      <c r="R425" s="159"/>
      <c r="S425" s="159"/>
      <c r="T425" s="159"/>
    </row>
    <row r="426" spans="2:20">
      <c r="B426" s="159"/>
      <c r="C426" s="159"/>
      <c r="D426" s="159"/>
      <c r="E426" s="159"/>
      <c r="F426" s="159"/>
      <c r="G426" s="159"/>
      <c r="H426" s="159"/>
      <c r="I426" s="159"/>
      <c r="J426" s="159"/>
      <c r="K426" s="159"/>
      <c r="L426" s="159"/>
      <c r="M426" s="159"/>
      <c r="N426" s="159"/>
      <c r="O426" s="159"/>
      <c r="P426" s="159"/>
      <c r="Q426" s="159"/>
      <c r="R426" s="159"/>
      <c r="S426" s="159"/>
      <c r="T426" s="159"/>
    </row>
    <row r="427" spans="2:20">
      <c r="B427" s="159"/>
      <c r="C427" s="159"/>
      <c r="D427" s="159"/>
      <c r="E427" s="159"/>
      <c r="F427" s="159"/>
      <c r="G427" s="159"/>
      <c r="H427" s="159"/>
      <c r="I427" s="159"/>
      <c r="J427" s="159"/>
      <c r="K427" s="159"/>
      <c r="L427" s="159"/>
      <c r="M427" s="159"/>
      <c r="N427" s="159"/>
      <c r="O427" s="159"/>
      <c r="P427" s="159"/>
      <c r="Q427" s="159"/>
      <c r="R427" s="159"/>
      <c r="S427" s="159"/>
      <c r="T427" s="159"/>
    </row>
    <row r="428" spans="2:20">
      <c r="B428" s="159"/>
      <c r="C428" s="159"/>
      <c r="D428" s="159"/>
      <c r="E428" s="159"/>
      <c r="F428" s="159"/>
      <c r="G428" s="159"/>
      <c r="H428" s="159"/>
      <c r="I428" s="159"/>
      <c r="J428" s="159"/>
      <c r="K428" s="159"/>
      <c r="L428" s="159"/>
      <c r="M428" s="159"/>
      <c r="N428" s="159"/>
      <c r="O428" s="159"/>
      <c r="P428" s="159"/>
      <c r="Q428" s="159"/>
      <c r="R428" s="159"/>
      <c r="S428" s="159"/>
      <c r="T428" s="159"/>
    </row>
    <row r="429" spans="2:20">
      <c r="B429" s="159"/>
      <c r="C429" s="159"/>
      <c r="D429" s="159"/>
      <c r="E429" s="159"/>
      <c r="F429" s="159"/>
      <c r="G429" s="159"/>
      <c r="H429" s="159"/>
      <c r="I429" s="159"/>
      <c r="J429" s="159"/>
      <c r="K429" s="159"/>
      <c r="L429" s="159"/>
      <c r="M429" s="159"/>
      <c r="N429" s="159"/>
      <c r="O429" s="159"/>
      <c r="P429" s="159"/>
      <c r="Q429" s="159"/>
      <c r="R429" s="159"/>
      <c r="S429" s="159"/>
      <c r="T429" s="159"/>
    </row>
    <row r="430" spans="2:20">
      <c r="B430" s="159"/>
      <c r="C430" s="159"/>
      <c r="D430" s="159"/>
      <c r="E430" s="159"/>
      <c r="F430" s="159"/>
      <c r="G430" s="159"/>
      <c r="H430" s="159"/>
      <c r="I430" s="159"/>
      <c r="J430" s="159"/>
      <c r="K430" s="159"/>
      <c r="L430" s="159"/>
      <c r="M430" s="159"/>
      <c r="N430" s="159"/>
      <c r="O430" s="159"/>
      <c r="P430" s="159"/>
      <c r="Q430" s="159"/>
      <c r="R430" s="159"/>
      <c r="S430" s="159"/>
      <c r="T430" s="159"/>
    </row>
    <row r="431" spans="2:20">
      <c r="B431" s="159"/>
      <c r="C431" s="159"/>
      <c r="D431" s="159"/>
      <c r="E431" s="159"/>
      <c r="F431" s="159"/>
      <c r="G431" s="159"/>
      <c r="H431" s="159"/>
      <c r="I431" s="159"/>
      <c r="J431" s="159"/>
      <c r="K431" s="159"/>
      <c r="L431" s="159"/>
      <c r="M431" s="159"/>
      <c r="N431" s="159"/>
      <c r="O431" s="159"/>
      <c r="P431" s="159"/>
      <c r="Q431" s="159"/>
      <c r="R431" s="159"/>
      <c r="S431" s="159"/>
      <c r="T431" s="159"/>
    </row>
    <row r="432" spans="2:20">
      <c r="B432" s="159"/>
      <c r="C432" s="159"/>
      <c r="D432" s="159"/>
      <c r="E432" s="159"/>
      <c r="F432" s="159"/>
      <c r="G432" s="159"/>
      <c r="H432" s="159"/>
      <c r="I432" s="159"/>
      <c r="J432" s="159"/>
      <c r="K432" s="159"/>
      <c r="L432" s="159"/>
      <c r="M432" s="159"/>
      <c r="N432" s="159"/>
      <c r="O432" s="159"/>
      <c r="P432" s="159"/>
      <c r="Q432" s="159"/>
      <c r="R432" s="159"/>
      <c r="S432" s="159"/>
      <c r="T432" s="159"/>
    </row>
    <row r="433" spans="2:20">
      <c r="B433" s="159"/>
      <c r="C433" s="159"/>
      <c r="D433" s="159"/>
      <c r="E433" s="159"/>
      <c r="F433" s="159"/>
      <c r="G433" s="159"/>
      <c r="H433" s="159"/>
      <c r="I433" s="159"/>
      <c r="J433" s="159"/>
      <c r="K433" s="159"/>
      <c r="L433" s="159"/>
      <c r="M433" s="159"/>
      <c r="N433" s="159"/>
      <c r="O433" s="159"/>
      <c r="P433" s="159"/>
      <c r="Q433" s="159"/>
      <c r="R433" s="159"/>
      <c r="S433" s="159"/>
      <c r="T433" s="159"/>
    </row>
    <row r="434" spans="2:20">
      <c r="B434" s="159"/>
      <c r="C434" s="159"/>
      <c r="D434" s="159"/>
      <c r="E434" s="159"/>
      <c r="F434" s="159"/>
      <c r="G434" s="159"/>
      <c r="H434" s="159"/>
      <c r="I434" s="159"/>
      <c r="J434" s="159"/>
      <c r="K434" s="159"/>
      <c r="L434" s="159"/>
      <c r="M434" s="159"/>
      <c r="N434" s="159"/>
      <c r="O434" s="159"/>
      <c r="P434" s="159"/>
      <c r="Q434" s="159"/>
      <c r="R434" s="159"/>
      <c r="S434" s="159"/>
      <c r="T434" s="159"/>
    </row>
    <row r="435" spans="2:20">
      <c r="B435" s="159"/>
      <c r="C435" s="159"/>
      <c r="D435" s="159"/>
      <c r="E435" s="159"/>
      <c r="F435" s="159"/>
      <c r="G435" s="159"/>
      <c r="H435" s="159"/>
      <c r="I435" s="159"/>
      <c r="J435" s="159"/>
      <c r="K435" s="159"/>
      <c r="L435" s="159"/>
      <c r="M435" s="159"/>
      <c r="N435" s="159"/>
      <c r="O435" s="159"/>
      <c r="P435" s="159"/>
      <c r="Q435" s="159"/>
      <c r="R435" s="159"/>
      <c r="S435" s="159"/>
      <c r="T435" s="159"/>
    </row>
    <row r="436" spans="2:20">
      <c r="B436" s="159"/>
      <c r="C436" s="159"/>
      <c r="D436" s="159"/>
      <c r="E436" s="159"/>
      <c r="F436" s="159"/>
      <c r="G436" s="159"/>
      <c r="H436" s="159"/>
      <c r="I436" s="159"/>
      <c r="J436" s="159"/>
      <c r="K436" s="159"/>
      <c r="L436" s="159"/>
      <c r="M436" s="159"/>
      <c r="N436" s="159"/>
      <c r="O436" s="159"/>
      <c r="P436" s="159"/>
      <c r="Q436" s="159"/>
      <c r="R436" s="159"/>
      <c r="S436" s="159"/>
      <c r="T436" s="159"/>
    </row>
    <row r="437" spans="2:20">
      <c r="B437" s="159"/>
      <c r="C437" s="159"/>
      <c r="D437" s="159"/>
      <c r="E437" s="159"/>
      <c r="F437" s="159"/>
      <c r="G437" s="159"/>
      <c r="H437" s="159"/>
      <c r="I437" s="159"/>
      <c r="J437" s="159"/>
      <c r="K437" s="159"/>
      <c r="L437" s="159"/>
      <c r="M437" s="159"/>
      <c r="N437" s="159"/>
      <c r="O437" s="159"/>
      <c r="P437" s="159"/>
      <c r="Q437" s="159"/>
      <c r="R437" s="159"/>
      <c r="S437" s="159"/>
      <c r="T437" s="159"/>
    </row>
    <row r="438" spans="2:20">
      <c r="B438" s="159"/>
      <c r="C438" s="159"/>
      <c r="D438" s="159"/>
      <c r="E438" s="159"/>
      <c r="F438" s="159"/>
      <c r="G438" s="159"/>
      <c r="H438" s="159"/>
      <c r="I438" s="159"/>
      <c r="J438" s="159"/>
      <c r="K438" s="159"/>
      <c r="L438" s="159"/>
      <c r="M438" s="159"/>
      <c r="N438" s="159"/>
      <c r="O438" s="159"/>
      <c r="P438" s="159"/>
      <c r="Q438" s="159"/>
      <c r="R438" s="159"/>
      <c r="S438" s="159"/>
      <c r="T438" s="159"/>
    </row>
    <row r="439" spans="2:20">
      <c r="B439" s="159"/>
      <c r="C439" s="159"/>
      <c r="D439" s="159"/>
      <c r="E439" s="159"/>
      <c r="F439" s="159"/>
      <c r="G439" s="159"/>
      <c r="H439" s="159"/>
      <c r="I439" s="159"/>
      <c r="J439" s="159"/>
      <c r="K439" s="159"/>
      <c r="L439" s="159"/>
      <c r="M439" s="159"/>
      <c r="N439" s="159"/>
      <c r="O439" s="159"/>
      <c r="P439" s="159"/>
      <c r="Q439" s="159"/>
      <c r="R439" s="159"/>
      <c r="S439" s="159"/>
      <c r="T439" s="159"/>
    </row>
    <row r="440" spans="2:20">
      <c r="B440" s="159"/>
      <c r="C440" s="159"/>
      <c r="D440" s="159"/>
      <c r="E440" s="159"/>
      <c r="F440" s="159"/>
      <c r="G440" s="159"/>
      <c r="H440" s="159"/>
      <c r="I440" s="159"/>
      <c r="J440" s="159"/>
      <c r="K440" s="159"/>
      <c r="L440" s="159"/>
      <c r="M440" s="159"/>
      <c r="N440" s="159"/>
      <c r="O440" s="159"/>
      <c r="P440" s="159"/>
      <c r="Q440" s="159"/>
      <c r="R440" s="159"/>
      <c r="S440" s="159"/>
      <c r="T440" s="159"/>
    </row>
    <row r="441" spans="2:20">
      <c r="B441" s="159"/>
      <c r="C441" s="159"/>
      <c r="D441" s="159"/>
      <c r="E441" s="159"/>
      <c r="F441" s="159"/>
      <c r="G441" s="159"/>
      <c r="H441" s="159"/>
      <c r="I441" s="159"/>
      <c r="J441" s="159"/>
      <c r="K441" s="159"/>
      <c r="L441" s="159"/>
      <c r="M441" s="159"/>
      <c r="N441" s="159"/>
      <c r="O441" s="159"/>
      <c r="P441" s="159"/>
      <c r="Q441" s="159"/>
      <c r="R441" s="159"/>
      <c r="S441" s="159"/>
      <c r="T441" s="159"/>
    </row>
    <row r="442" spans="2:20">
      <c r="B442" s="159"/>
      <c r="C442" s="159"/>
      <c r="D442" s="159"/>
      <c r="E442" s="159"/>
      <c r="F442" s="159"/>
      <c r="G442" s="159"/>
      <c r="H442" s="159"/>
      <c r="I442" s="159"/>
      <c r="J442" s="159"/>
      <c r="K442" s="159"/>
      <c r="L442" s="159"/>
      <c r="M442" s="159"/>
      <c r="N442" s="159"/>
      <c r="O442" s="159"/>
      <c r="P442" s="159"/>
      <c r="Q442" s="159"/>
      <c r="R442" s="159"/>
      <c r="S442" s="159"/>
      <c r="T442" s="159"/>
    </row>
    <row r="443" spans="2:20">
      <c r="B443" s="159"/>
      <c r="C443" s="159"/>
      <c r="D443" s="159"/>
      <c r="E443" s="159"/>
      <c r="F443" s="159"/>
      <c r="G443" s="159"/>
      <c r="H443" s="159"/>
      <c r="I443" s="159"/>
      <c r="J443" s="159"/>
      <c r="K443" s="159"/>
      <c r="L443" s="159"/>
      <c r="M443" s="159"/>
      <c r="N443" s="159"/>
      <c r="O443" s="159"/>
      <c r="P443" s="159"/>
      <c r="Q443" s="159"/>
      <c r="R443" s="159"/>
      <c r="S443" s="159"/>
      <c r="T443" s="159"/>
    </row>
    <row r="444" spans="2:20">
      <c r="B444" s="159"/>
      <c r="C444" s="159"/>
      <c r="D444" s="159"/>
      <c r="E444" s="159"/>
      <c r="F444" s="159"/>
      <c r="G444" s="159"/>
      <c r="H444" s="159"/>
      <c r="I444" s="159"/>
      <c r="J444" s="159"/>
      <c r="K444" s="159"/>
      <c r="L444" s="159"/>
      <c r="M444" s="159"/>
      <c r="N444" s="159"/>
      <c r="O444" s="159"/>
      <c r="P444" s="159"/>
      <c r="Q444" s="159"/>
      <c r="R444" s="159"/>
      <c r="S444" s="159"/>
      <c r="T444" s="159"/>
    </row>
    <row r="445" spans="2:20">
      <c r="B445" s="159"/>
      <c r="C445" s="159"/>
      <c r="D445" s="159"/>
      <c r="E445" s="159"/>
      <c r="F445" s="159"/>
      <c r="G445" s="159"/>
      <c r="H445" s="159"/>
      <c r="I445" s="159"/>
      <c r="J445" s="159"/>
      <c r="K445" s="159"/>
      <c r="L445" s="159"/>
      <c r="M445" s="159"/>
      <c r="N445" s="159"/>
      <c r="O445" s="159"/>
      <c r="P445" s="159"/>
      <c r="Q445" s="159"/>
      <c r="R445" s="159"/>
      <c r="S445" s="159"/>
      <c r="T445" s="159"/>
    </row>
    <row r="446" spans="2:20">
      <c r="B446" s="159"/>
      <c r="C446" s="159"/>
      <c r="D446" s="159"/>
      <c r="E446" s="159"/>
      <c r="F446" s="159"/>
      <c r="G446" s="159"/>
      <c r="H446" s="159"/>
      <c r="I446" s="159"/>
      <c r="J446" s="159"/>
      <c r="K446" s="159"/>
      <c r="L446" s="159"/>
      <c r="M446" s="159"/>
      <c r="N446" s="159"/>
      <c r="O446" s="159"/>
      <c r="P446" s="159"/>
      <c r="Q446" s="159"/>
      <c r="R446" s="159"/>
      <c r="S446" s="159"/>
      <c r="T446" s="159"/>
    </row>
    <row r="447" spans="2:20">
      <c r="B447" s="159"/>
      <c r="C447" s="159"/>
      <c r="D447" s="159"/>
      <c r="E447" s="159"/>
      <c r="F447" s="159"/>
      <c r="G447" s="159"/>
      <c r="H447" s="159"/>
      <c r="I447" s="159"/>
      <c r="J447" s="159"/>
      <c r="K447" s="159"/>
      <c r="L447" s="159"/>
      <c r="M447" s="159"/>
      <c r="N447" s="159"/>
      <c r="O447" s="159"/>
      <c r="P447" s="159"/>
      <c r="Q447" s="159"/>
      <c r="R447" s="159"/>
      <c r="S447" s="159"/>
      <c r="T447" s="159"/>
    </row>
    <row r="448" spans="2:20">
      <c r="B448" s="159"/>
      <c r="C448" s="159"/>
      <c r="D448" s="159"/>
      <c r="E448" s="159"/>
      <c r="F448" s="159"/>
      <c r="G448" s="159"/>
      <c r="H448" s="159"/>
      <c r="I448" s="159"/>
      <c r="J448" s="159"/>
      <c r="K448" s="159"/>
      <c r="L448" s="159"/>
      <c r="M448" s="159"/>
      <c r="N448" s="159"/>
      <c r="O448" s="159"/>
      <c r="P448" s="159"/>
      <c r="Q448" s="159"/>
      <c r="R448" s="159"/>
      <c r="S448" s="159"/>
      <c r="T448" s="159"/>
    </row>
    <row r="449" spans="2:20">
      <c r="B449" s="159"/>
      <c r="C449" s="159"/>
      <c r="D449" s="159"/>
      <c r="E449" s="159"/>
      <c r="F449" s="159"/>
      <c r="G449" s="159"/>
      <c r="H449" s="159"/>
      <c r="I449" s="159"/>
      <c r="J449" s="159"/>
      <c r="K449" s="159"/>
      <c r="L449" s="159"/>
      <c r="M449" s="159"/>
      <c r="N449" s="159"/>
      <c r="O449" s="159"/>
      <c r="P449" s="159"/>
      <c r="Q449" s="159"/>
      <c r="R449" s="159"/>
      <c r="S449" s="159"/>
      <c r="T449" s="159"/>
    </row>
    <row r="450" spans="2:20">
      <c r="B450" s="159"/>
      <c r="C450" s="159"/>
      <c r="D450" s="159"/>
      <c r="E450" s="159"/>
      <c r="F450" s="159"/>
      <c r="G450" s="159"/>
      <c r="H450" s="159"/>
      <c r="I450" s="159"/>
      <c r="J450" s="159"/>
      <c r="K450" s="159"/>
      <c r="L450" s="159"/>
      <c r="M450" s="159"/>
      <c r="N450" s="159"/>
      <c r="O450" s="159"/>
      <c r="P450" s="159"/>
      <c r="Q450" s="159"/>
      <c r="R450" s="159"/>
      <c r="S450" s="159"/>
      <c r="T450" s="159"/>
    </row>
    <row r="451" spans="2:20">
      <c r="B451" s="159"/>
      <c r="C451" s="159"/>
      <c r="D451" s="159"/>
      <c r="E451" s="159"/>
      <c r="F451" s="159"/>
      <c r="G451" s="159"/>
      <c r="H451" s="159"/>
      <c r="I451" s="159"/>
      <c r="J451" s="159"/>
      <c r="K451" s="159"/>
      <c r="L451" s="159"/>
      <c r="M451" s="159"/>
      <c r="N451" s="159"/>
      <c r="O451" s="159"/>
      <c r="P451" s="159"/>
      <c r="Q451" s="159"/>
      <c r="R451" s="159"/>
      <c r="S451" s="159"/>
      <c r="T451" s="159"/>
    </row>
    <row r="452" spans="2:20">
      <c r="B452" s="159"/>
      <c r="C452" s="159"/>
      <c r="D452" s="159"/>
      <c r="E452" s="159"/>
      <c r="F452" s="159"/>
      <c r="G452" s="159"/>
      <c r="H452" s="159"/>
      <c r="I452" s="159"/>
      <c r="J452" s="159"/>
      <c r="K452" s="159"/>
      <c r="L452" s="159"/>
      <c r="M452" s="159"/>
      <c r="N452" s="159"/>
      <c r="O452" s="159"/>
      <c r="P452" s="159"/>
      <c r="Q452" s="159"/>
      <c r="R452" s="159"/>
      <c r="S452" s="159"/>
      <c r="T452" s="159"/>
    </row>
    <row r="453" spans="2:20">
      <c r="B453" s="159"/>
      <c r="C453" s="159"/>
      <c r="D453" s="159"/>
      <c r="E453" s="159"/>
      <c r="F453" s="159"/>
      <c r="G453" s="159"/>
      <c r="H453" s="159"/>
      <c r="I453" s="159"/>
      <c r="J453" s="159"/>
      <c r="K453" s="159"/>
      <c r="L453" s="159"/>
      <c r="M453" s="159"/>
      <c r="N453" s="159"/>
      <c r="O453" s="159"/>
      <c r="P453" s="159"/>
      <c r="Q453" s="159"/>
      <c r="R453" s="159"/>
      <c r="S453" s="159"/>
      <c r="T453" s="159"/>
    </row>
    <row r="454" spans="2:20">
      <c r="B454" s="159"/>
      <c r="C454" s="159"/>
      <c r="D454" s="159"/>
      <c r="E454" s="159"/>
      <c r="F454" s="159"/>
      <c r="G454" s="159"/>
      <c r="H454" s="159"/>
      <c r="I454" s="159"/>
      <c r="J454" s="159"/>
      <c r="K454" s="159"/>
      <c r="L454" s="159"/>
      <c r="M454" s="159"/>
      <c r="N454" s="159"/>
      <c r="O454" s="159"/>
      <c r="P454" s="159"/>
      <c r="Q454" s="159"/>
      <c r="R454" s="159"/>
      <c r="S454" s="159"/>
      <c r="T454" s="159"/>
    </row>
    <row r="455" spans="2:20">
      <c r="B455" s="159"/>
      <c r="C455" s="159"/>
      <c r="D455" s="159"/>
      <c r="E455" s="159"/>
      <c r="F455" s="159"/>
      <c r="G455" s="159"/>
      <c r="H455" s="159"/>
      <c r="I455" s="159"/>
      <c r="J455" s="159"/>
      <c r="K455" s="159"/>
      <c r="L455" s="159"/>
      <c r="M455" s="159"/>
      <c r="N455" s="159"/>
      <c r="O455" s="159"/>
      <c r="P455" s="159"/>
      <c r="Q455" s="159"/>
      <c r="R455" s="159"/>
      <c r="S455" s="159"/>
      <c r="T455" s="159"/>
    </row>
    <row r="456" spans="2:20">
      <c r="B456" s="159"/>
      <c r="C456" s="159"/>
      <c r="D456" s="159"/>
      <c r="E456" s="159"/>
      <c r="F456" s="159"/>
      <c r="G456" s="159"/>
      <c r="H456" s="159"/>
      <c r="I456" s="159"/>
      <c r="J456" s="159"/>
      <c r="K456" s="159"/>
      <c r="L456" s="159"/>
      <c r="M456" s="159"/>
      <c r="N456" s="159"/>
      <c r="O456" s="159"/>
      <c r="P456" s="159"/>
      <c r="Q456" s="159"/>
      <c r="R456" s="159"/>
      <c r="S456" s="159"/>
      <c r="T456" s="159"/>
    </row>
    <row r="457" spans="2:20">
      <c r="B457" s="159"/>
      <c r="C457" s="159"/>
      <c r="D457" s="159"/>
      <c r="E457" s="159"/>
      <c r="F457" s="159"/>
      <c r="G457" s="159"/>
      <c r="H457" s="159"/>
      <c r="I457" s="159"/>
      <c r="J457" s="159"/>
      <c r="K457" s="159"/>
      <c r="L457" s="159"/>
      <c r="M457" s="159"/>
      <c r="N457" s="159"/>
      <c r="O457" s="159"/>
      <c r="P457" s="159"/>
      <c r="Q457" s="159"/>
      <c r="R457" s="159"/>
      <c r="S457" s="159"/>
      <c r="T457" s="159"/>
    </row>
    <row r="458" spans="2:20">
      <c r="B458" s="159"/>
      <c r="C458" s="159"/>
      <c r="D458" s="159"/>
      <c r="E458" s="159"/>
      <c r="F458" s="159"/>
      <c r="G458" s="159"/>
      <c r="H458" s="159"/>
      <c r="I458" s="159"/>
      <c r="J458" s="159"/>
      <c r="K458" s="159"/>
      <c r="L458" s="159"/>
      <c r="M458" s="159"/>
      <c r="N458" s="159"/>
      <c r="O458" s="159"/>
      <c r="P458" s="159"/>
      <c r="Q458" s="159"/>
      <c r="R458" s="159"/>
      <c r="S458" s="159"/>
      <c r="T458" s="159"/>
    </row>
    <row r="459" spans="2:20">
      <c r="B459" s="159"/>
      <c r="C459" s="159"/>
      <c r="D459" s="159"/>
      <c r="E459" s="159"/>
      <c r="F459" s="159"/>
      <c r="G459" s="159"/>
      <c r="H459" s="159"/>
      <c r="I459" s="159"/>
      <c r="J459" s="159"/>
      <c r="K459" s="159"/>
      <c r="L459" s="159"/>
      <c r="M459" s="159"/>
      <c r="N459" s="159"/>
      <c r="O459" s="159"/>
      <c r="P459" s="159"/>
      <c r="Q459" s="159"/>
      <c r="R459" s="159"/>
      <c r="S459" s="159"/>
      <c r="T459" s="159"/>
    </row>
    <row r="460" spans="2:20">
      <c r="B460" s="159"/>
      <c r="C460" s="159"/>
      <c r="D460" s="159"/>
      <c r="E460" s="159"/>
      <c r="F460" s="159"/>
      <c r="G460" s="159"/>
      <c r="H460" s="159"/>
      <c r="I460" s="159"/>
      <c r="J460" s="159"/>
      <c r="K460" s="159"/>
      <c r="L460" s="159"/>
      <c r="M460" s="159"/>
      <c r="N460" s="159"/>
      <c r="O460" s="159"/>
      <c r="P460" s="159"/>
      <c r="Q460" s="159"/>
      <c r="R460" s="159"/>
      <c r="S460" s="159"/>
      <c r="T460" s="159"/>
    </row>
    <row r="461" spans="2:20">
      <c r="B461" s="159"/>
      <c r="C461" s="159"/>
      <c r="D461" s="159"/>
      <c r="E461" s="159"/>
      <c r="F461" s="159"/>
      <c r="G461" s="159"/>
      <c r="H461" s="159"/>
      <c r="I461" s="159"/>
      <c r="J461" s="159"/>
      <c r="K461" s="159"/>
      <c r="L461" s="159"/>
      <c r="M461" s="159"/>
      <c r="N461" s="159"/>
      <c r="O461" s="159"/>
      <c r="P461" s="159"/>
      <c r="Q461" s="159"/>
      <c r="R461" s="159"/>
      <c r="S461" s="159"/>
      <c r="T461" s="159"/>
    </row>
    <row r="462" spans="2:20">
      <c r="B462" s="159"/>
      <c r="C462" s="159"/>
      <c r="D462" s="159"/>
      <c r="E462" s="159"/>
      <c r="F462" s="159"/>
      <c r="G462" s="159"/>
      <c r="H462" s="159"/>
      <c r="I462" s="159"/>
      <c r="J462" s="159"/>
      <c r="K462" s="159"/>
      <c r="L462" s="159"/>
      <c r="M462" s="159"/>
      <c r="N462" s="159"/>
      <c r="O462" s="159"/>
      <c r="P462" s="159"/>
      <c r="Q462" s="159"/>
      <c r="R462" s="159"/>
      <c r="S462" s="159"/>
      <c r="T462" s="159"/>
    </row>
    <row r="463" spans="2:20">
      <c r="B463" s="159"/>
      <c r="C463" s="159"/>
      <c r="D463" s="159"/>
      <c r="E463" s="159"/>
      <c r="F463" s="159"/>
      <c r="G463" s="159"/>
      <c r="H463" s="159"/>
      <c r="I463" s="159"/>
      <c r="J463" s="159"/>
      <c r="K463" s="159"/>
      <c r="L463" s="159"/>
      <c r="M463" s="159"/>
      <c r="N463" s="159"/>
      <c r="O463" s="159"/>
      <c r="P463" s="159"/>
      <c r="Q463" s="159"/>
      <c r="R463" s="159"/>
      <c r="S463" s="159"/>
      <c r="T463" s="159"/>
    </row>
    <row r="464" spans="2:20">
      <c r="B464" s="159"/>
      <c r="C464" s="159"/>
      <c r="D464" s="159"/>
      <c r="E464" s="159"/>
      <c r="F464" s="159"/>
      <c r="G464" s="159"/>
      <c r="H464" s="159"/>
      <c r="I464" s="159"/>
      <c r="J464" s="159"/>
      <c r="K464" s="159"/>
      <c r="L464" s="159"/>
      <c r="M464" s="159"/>
      <c r="N464" s="159"/>
      <c r="O464" s="159"/>
      <c r="P464" s="159"/>
      <c r="Q464" s="159"/>
      <c r="R464" s="159"/>
      <c r="S464" s="159"/>
      <c r="T464" s="159"/>
    </row>
    <row r="465" spans="2:20">
      <c r="B465" s="159"/>
      <c r="C465" s="159"/>
      <c r="D465" s="159"/>
      <c r="E465" s="159"/>
      <c r="F465" s="159"/>
      <c r="G465" s="159"/>
      <c r="H465" s="159"/>
      <c r="I465" s="159"/>
      <c r="J465" s="159"/>
      <c r="K465" s="159"/>
      <c r="L465" s="159"/>
      <c r="M465" s="159"/>
      <c r="N465" s="159"/>
      <c r="O465" s="159"/>
      <c r="P465" s="159"/>
      <c r="Q465" s="159"/>
      <c r="R465" s="159"/>
      <c r="S465" s="159"/>
      <c r="T465" s="159"/>
    </row>
    <row r="466" spans="2:20">
      <c r="B466" s="159"/>
      <c r="C466" s="159"/>
      <c r="D466" s="159"/>
      <c r="E466" s="159"/>
      <c r="F466" s="159"/>
      <c r="G466" s="159"/>
      <c r="H466" s="159"/>
      <c r="I466" s="159"/>
      <c r="J466" s="159"/>
      <c r="K466" s="159"/>
      <c r="L466" s="159"/>
      <c r="M466" s="159"/>
      <c r="N466" s="159"/>
      <c r="O466" s="159"/>
      <c r="P466" s="159"/>
      <c r="Q466" s="159"/>
      <c r="R466" s="159"/>
      <c r="S466" s="159"/>
      <c r="T466" s="159"/>
    </row>
    <row r="467" spans="2:20">
      <c r="B467" s="159"/>
      <c r="C467" s="159"/>
      <c r="D467" s="159"/>
      <c r="E467" s="159"/>
      <c r="F467" s="159"/>
      <c r="G467" s="159"/>
      <c r="H467" s="159"/>
      <c r="I467" s="159"/>
      <c r="J467" s="159"/>
      <c r="K467" s="159"/>
      <c r="L467" s="159"/>
      <c r="M467" s="159"/>
      <c r="N467" s="159"/>
      <c r="O467" s="159"/>
      <c r="P467" s="159"/>
      <c r="Q467" s="159"/>
      <c r="R467" s="159"/>
      <c r="S467" s="159"/>
      <c r="T467" s="159"/>
    </row>
    <row r="468" spans="2:20">
      <c r="B468" s="159"/>
      <c r="C468" s="159"/>
      <c r="D468" s="159"/>
      <c r="E468" s="159"/>
      <c r="F468" s="159"/>
      <c r="G468" s="159"/>
      <c r="H468" s="159"/>
      <c r="I468" s="159"/>
      <c r="J468" s="159"/>
      <c r="K468" s="159"/>
      <c r="L468" s="159"/>
      <c r="M468" s="159"/>
      <c r="N468" s="159"/>
      <c r="O468" s="159"/>
      <c r="P468" s="159"/>
      <c r="Q468" s="159"/>
      <c r="R468" s="159"/>
      <c r="S468" s="159"/>
      <c r="T468" s="159"/>
    </row>
    <row r="469" spans="2:20">
      <c r="B469" s="159"/>
      <c r="C469" s="159"/>
      <c r="D469" s="159"/>
      <c r="E469" s="159"/>
      <c r="F469" s="159"/>
      <c r="G469" s="159"/>
      <c r="H469" s="159"/>
      <c r="I469" s="159"/>
      <c r="J469" s="159"/>
      <c r="K469" s="159"/>
      <c r="L469" s="159"/>
      <c r="M469" s="159"/>
      <c r="N469" s="159"/>
      <c r="O469" s="159"/>
      <c r="P469" s="159"/>
      <c r="Q469" s="159"/>
      <c r="R469" s="159"/>
      <c r="S469" s="159"/>
      <c r="T469" s="159"/>
    </row>
    <row r="470" spans="2:20">
      <c r="B470" s="159"/>
      <c r="C470" s="159"/>
      <c r="D470" s="159"/>
      <c r="E470" s="159"/>
      <c r="F470" s="159"/>
      <c r="G470" s="159"/>
      <c r="H470" s="159"/>
      <c r="I470" s="159"/>
      <c r="J470" s="159"/>
      <c r="K470" s="159"/>
      <c r="L470" s="159"/>
      <c r="M470" s="159"/>
      <c r="N470" s="159"/>
      <c r="O470" s="159"/>
      <c r="P470" s="159"/>
      <c r="Q470" s="159"/>
      <c r="R470" s="159"/>
      <c r="S470" s="159"/>
      <c r="T470" s="159"/>
    </row>
    <row r="471" spans="2:20">
      <c r="B471" s="159"/>
      <c r="C471" s="159"/>
      <c r="D471" s="159"/>
      <c r="E471" s="159"/>
      <c r="F471" s="159"/>
      <c r="G471" s="159"/>
      <c r="H471" s="159"/>
      <c r="I471" s="159"/>
      <c r="J471" s="159"/>
      <c r="K471" s="159"/>
      <c r="L471" s="159"/>
      <c r="M471" s="159"/>
      <c r="N471" s="159"/>
      <c r="O471" s="159"/>
      <c r="P471" s="159"/>
      <c r="Q471" s="159"/>
      <c r="R471" s="159"/>
      <c r="S471" s="159"/>
      <c r="T471" s="159"/>
    </row>
    <row r="472" spans="2:20">
      <c r="B472" s="159"/>
      <c r="C472" s="159"/>
      <c r="D472" s="159"/>
      <c r="E472" s="159"/>
      <c r="F472" s="159"/>
      <c r="G472" s="159"/>
      <c r="H472" s="159"/>
      <c r="I472" s="159"/>
      <c r="J472" s="159"/>
      <c r="K472" s="159"/>
      <c r="L472" s="159"/>
      <c r="M472" s="159"/>
      <c r="N472" s="159"/>
      <c r="O472" s="159"/>
      <c r="P472" s="159"/>
      <c r="Q472" s="159"/>
      <c r="R472" s="159"/>
      <c r="S472" s="159"/>
      <c r="T472" s="159"/>
    </row>
    <row r="473" spans="2:20">
      <c r="B473" s="159"/>
      <c r="C473" s="159"/>
      <c r="D473" s="159"/>
      <c r="E473" s="159"/>
      <c r="F473" s="159"/>
      <c r="G473" s="159"/>
      <c r="H473" s="159"/>
      <c r="I473" s="159"/>
      <c r="J473" s="159"/>
      <c r="K473" s="159"/>
      <c r="L473" s="159"/>
      <c r="M473" s="159"/>
      <c r="N473" s="159"/>
      <c r="O473" s="159"/>
      <c r="P473" s="159"/>
      <c r="Q473" s="159"/>
      <c r="R473" s="159"/>
      <c r="S473" s="159"/>
      <c r="T473" s="159"/>
    </row>
    <row r="474" spans="2:20">
      <c r="B474" s="159"/>
      <c r="C474" s="159"/>
      <c r="D474" s="159"/>
      <c r="E474" s="159"/>
      <c r="F474" s="159"/>
      <c r="G474" s="159"/>
      <c r="H474" s="159"/>
      <c r="I474" s="159"/>
      <c r="J474" s="159"/>
      <c r="K474" s="159"/>
      <c r="L474" s="159"/>
      <c r="M474" s="159"/>
      <c r="N474" s="159"/>
      <c r="O474" s="159"/>
      <c r="P474" s="159"/>
      <c r="Q474" s="159"/>
      <c r="R474" s="159"/>
      <c r="S474" s="159"/>
      <c r="T474" s="159"/>
    </row>
    <row r="475" spans="2:20">
      <c r="B475" s="159"/>
      <c r="C475" s="159"/>
      <c r="D475" s="159"/>
      <c r="E475" s="159"/>
      <c r="F475" s="159"/>
      <c r="G475" s="159"/>
      <c r="H475" s="159"/>
      <c r="I475" s="159"/>
      <c r="J475" s="159"/>
      <c r="K475" s="159"/>
      <c r="L475" s="159"/>
      <c r="M475" s="159"/>
      <c r="N475" s="159"/>
      <c r="O475" s="159"/>
      <c r="P475" s="159"/>
      <c r="Q475" s="159"/>
      <c r="R475" s="159"/>
      <c r="S475" s="159"/>
      <c r="T475" s="159"/>
    </row>
    <row r="476" spans="2:20">
      <c r="B476" s="159"/>
      <c r="C476" s="159"/>
      <c r="D476" s="159"/>
      <c r="E476" s="159"/>
      <c r="F476" s="159"/>
      <c r="G476" s="159"/>
      <c r="H476" s="159"/>
      <c r="I476" s="159"/>
      <c r="J476" s="159"/>
      <c r="K476" s="159"/>
      <c r="L476" s="159"/>
      <c r="M476" s="159"/>
      <c r="N476" s="159"/>
      <c r="O476" s="159"/>
      <c r="P476" s="159"/>
      <c r="Q476" s="159"/>
      <c r="R476" s="159"/>
      <c r="S476" s="159"/>
      <c r="T476" s="159"/>
    </row>
    <row r="477" spans="2:20">
      <c r="B477" s="159"/>
      <c r="C477" s="159"/>
      <c r="D477" s="159"/>
      <c r="E477" s="159"/>
      <c r="F477" s="159"/>
      <c r="G477" s="159"/>
      <c r="H477" s="159"/>
      <c r="I477" s="159"/>
      <c r="J477" s="159"/>
      <c r="K477" s="159"/>
      <c r="L477" s="159"/>
      <c r="M477" s="159"/>
      <c r="N477" s="159"/>
      <c r="O477" s="159"/>
      <c r="P477" s="159"/>
      <c r="Q477" s="159"/>
      <c r="R477" s="159"/>
      <c r="S477" s="159"/>
      <c r="T477" s="159"/>
    </row>
    <row r="478" spans="2:20">
      <c r="B478" s="159"/>
      <c r="C478" s="159"/>
      <c r="D478" s="159"/>
      <c r="E478" s="159"/>
      <c r="F478" s="159"/>
      <c r="G478" s="159"/>
      <c r="H478" s="159"/>
      <c r="I478" s="159"/>
      <c r="J478" s="159"/>
      <c r="K478" s="159"/>
      <c r="L478" s="159"/>
      <c r="M478" s="159"/>
      <c r="N478" s="159"/>
      <c r="O478" s="159"/>
      <c r="P478" s="159"/>
      <c r="Q478" s="159"/>
      <c r="R478" s="159"/>
      <c r="S478" s="159"/>
      <c r="T478" s="159"/>
    </row>
    <row r="479" spans="2:20">
      <c r="B479" s="159"/>
      <c r="C479" s="159"/>
      <c r="D479" s="159"/>
      <c r="E479" s="159"/>
      <c r="F479" s="159"/>
      <c r="G479" s="159"/>
      <c r="H479" s="159"/>
      <c r="I479" s="159"/>
      <c r="J479" s="159"/>
      <c r="K479" s="159"/>
      <c r="L479" s="159"/>
      <c r="M479" s="159"/>
      <c r="N479" s="159"/>
      <c r="O479" s="159"/>
      <c r="P479" s="159"/>
      <c r="Q479" s="159"/>
      <c r="R479" s="159"/>
      <c r="S479" s="159"/>
      <c r="T479" s="159"/>
    </row>
    <row r="480" spans="2:20">
      <c r="B480" s="159"/>
      <c r="C480" s="159"/>
      <c r="D480" s="159"/>
      <c r="E480" s="159"/>
      <c r="F480" s="159"/>
      <c r="G480" s="159"/>
      <c r="H480" s="159"/>
      <c r="I480" s="159"/>
      <c r="J480" s="159"/>
      <c r="K480" s="159"/>
      <c r="L480" s="159"/>
      <c r="M480" s="159"/>
      <c r="N480" s="159"/>
      <c r="O480" s="159"/>
      <c r="P480" s="159"/>
      <c r="Q480" s="159"/>
      <c r="R480" s="159"/>
      <c r="S480" s="159"/>
      <c r="T480" s="159"/>
    </row>
    <row r="481" spans="2:20">
      <c r="B481" s="159"/>
      <c r="C481" s="159"/>
      <c r="D481" s="159"/>
      <c r="E481" s="159"/>
      <c r="F481" s="159"/>
      <c r="G481" s="159"/>
      <c r="H481" s="159"/>
      <c r="I481" s="159"/>
      <c r="J481" s="159"/>
      <c r="K481" s="159"/>
      <c r="L481" s="159"/>
      <c r="M481" s="159"/>
      <c r="N481" s="159"/>
      <c r="O481" s="159"/>
      <c r="P481" s="159"/>
      <c r="Q481" s="159"/>
      <c r="R481" s="159"/>
      <c r="S481" s="159"/>
      <c r="T481" s="159"/>
    </row>
    <row r="482" spans="2:20">
      <c r="B482" s="159"/>
      <c r="C482" s="159"/>
      <c r="D482" s="159"/>
      <c r="E482" s="159"/>
      <c r="F482" s="159"/>
      <c r="G482" s="159"/>
      <c r="H482" s="159"/>
      <c r="I482" s="159"/>
      <c r="J482" s="159"/>
      <c r="K482" s="159"/>
      <c r="L482" s="159"/>
      <c r="M482" s="159"/>
      <c r="N482" s="159"/>
      <c r="O482" s="159"/>
      <c r="P482" s="159"/>
      <c r="Q482" s="159"/>
      <c r="R482" s="159"/>
      <c r="S482" s="159"/>
      <c r="T482" s="159"/>
    </row>
    <row r="483" spans="2:20">
      <c r="B483" s="159"/>
      <c r="C483" s="159"/>
      <c r="D483" s="159"/>
      <c r="E483" s="159"/>
      <c r="F483" s="159"/>
      <c r="G483" s="159"/>
      <c r="H483" s="159"/>
      <c r="I483" s="159"/>
      <c r="J483" s="159"/>
      <c r="K483" s="159"/>
      <c r="L483" s="159"/>
      <c r="M483" s="159"/>
      <c r="N483" s="159"/>
      <c r="O483" s="159"/>
      <c r="P483" s="159"/>
      <c r="Q483" s="159"/>
      <c r="R483" s="159"/>
      <c r="S483" s="159"/>
      <c r="T483" s="159"/>
    </row>
    <row r="484" spans="2:20">
      <c r="B484" s="159"/>
      <c r="C484" s="159"/>
      <c r="D484" s="159"/>
      <c r="E484" s="159"/>
      <c r="F484" s="159"/>
      <c r="G484" s="159"/>
      <c r="H484" s="159"/>
      <c r="I484" s="159"/>
      <c r="J484" s="159"/>
      <c r="K484" s="159"/>
      <c r="L484" s="159"/>
      <c r="M484" s="159"/>
      <c r="N484" s="159"/>
      <c r="O484" s="159"/>
      <c r="P484" s="159"/>
      <c r="Q484" s="159"/>
      <c r="R484" s="159"/>
      <c r="S484" s="159"/>
      <c r="T484" s="159"/>
    </row>
    <row r="485" spans="2:20">
      <c r="B485" s="159"/>
      <c r="C485" s="159"/>
      <c r="D485" s="159"/>
      <c r="E485" s="159"/>
      <c r="F485" s="159"/>
      <c r="G485" s="159"/>
      <c r="H485" s="159"/>
      <c r="I485" s="159"/>
      <c r="J485" s="159"/>
      <c r="K485" s="159"/>
      <c r="L485" s="159"/>
      <c r="M485" s="159"/>
      <c r="N485" s="159"/>
      <c r="O485" s="159"/>
      <c r="P485" s="159"/>
      <c r="Q485" s="159"/>
      <c r="R485" s="159"/>
      <c r="S485" s="159"/>
      <c r="T485" s="159"/>
    </row>
    <row r="486" spans="2:20">
      <c r="B486" s="159"/>
      <c r="C486" s="159"/>
      <c r="D486" s="159"/>
      <c r="E486" s="159"/>
      <c r="F486" s="159"/>
      <c r="G486" s="159"/>
      <c r="H486" s="159"/>
      <c r="I486" s="159"/>
      <c r="J486" s="159"/>
      <c r="K486" s="159"/>
      <c r="L486" s="159"/>
      <c r="M486" s="159"/>
      <c r="N486" s="159"/>
      <c r="O486" s="159"/>
      <c r="P486" s="159"/>
      <c r="Q486" s="159"/>
      <c r="R486" s="159"/>
      <c r="S486" s="159"/>
      <c r="T486" s="159"/>
    </row>
    <row r="487" spans="2:20">
      <c r="B487" s="159"/>
      <c r="C487" s="159"/>
      <c r="D487" s="159"/>
      <c r="E487" s="159"/>
      <c r="F487" s="159"/>
      <c r="G487" s="159"/>
      <c r="H487" s="159"/>
      <c r="I487" s="159"/>
      <c r="J487" s="159"/>
      <c r="K487" s="159"/>
      <c r="L487" s="159"/>
      <c r="M487" s="159"/>
      <c r="N487" s="159"/>
      <c r="O487" s="159"/>
      <c r="P487" s="159"/>
      <c r="Q487" s="159"/>
      <c r="R487" s="159"/>
      <c r="S487" s="159"/>
      <c r="T487" s="159"/>
    </row>
    <row r="488" spans="2:20">
      <c r="B488" s="159"/>
      <c r="C488" s="159"/>
      <c r="D488" s="159"/>
      <c r="E488" s="159"/>
      <c r="F488" s="159"/>
      <c r="G488" s="159"/>
      <c r="H488" s="159"/>
      <c r="I488" s="159"/>
      <c r="J488" s="159"/>
      <c r="K488" s="159"/>
      <c r="L488" s="159"/>
      <c r="M488" s="159"/>
      <c r="N488" s="159"/>
      <c r="O488" s="159"/>
      <c r="P488" s="159"/>
      <c r="Q488" s="159"/>
      <c r="R488" s="159"/>
      <c r="S488" s="159"/>
      <c r="T488" s="159"/>
    </row>
    <row r="489" spans="2:20">
      <c r="B489" s="159"/>
      <c r="C489" s="159"/>
      <c r="D489" s="159"/>
      <c r="E489" s="159"/>
      <c r="F489" s="159"/>
      <c r="G489" s="159"/>
      <c r="H489" s="159"/>
      <c r="I489" s="159"/>
      <c r="J489" s="159"/>
      <c r="K489" s="159"/>
      <c r="L489" s="159"/>
      <c r="M489" s="159"/>
      <c r="N489" s="159"/>
      <c r="O489" s="159"/>
      <c r="P489" s="159"/>
      <c r="Q489" s="159"/>
      <c r="R489" s="159"/>
      <c r="S489" s="159"/>
      <c r="T489" s="159"/>
    </row>
    <row r="490" spans="2:20">
      <c r="B490" s="159"/>
      <c r="C490" s="159"/>
      <c r="D490" s="159"/>
      <c r="E490" s="159"/>
      <c r="F490" s="159"/>
      <c r="G490" s="159"/>
      <c r="H490" s="159"/>
      <c r="I490" s="159"/>
      <c r="J490" s="159"/>
      <c r="K490" s="159"/>
      <c r="L490" s="159"/>
      <c r="M490" s="159"/>
      <c r="N490" s="159"/>
      <c r="O490" s="159"/>
      <c r="P490" s="159"/>
      <c r="Q490" s="159"/>
      <c r="R490" s="159"/>
      <c r="S490" s="159"/>
      <c r="T490" s="159"/>
    </row>
    <row r="491" spans="2:20">
      <c r="B491" s="159"/>
      <c r="C491" s="159"/>
      <c r="D491" s="159"/>
      <c r="E491" s="159"/>
      <c r="F491" s="159"/>
      <c r="G491" s="159"/>
      <c r="H491" s="159"/>
      <c r="I491" s="159"/>
      <c r="J491" s="159"/>
      <c r="K491" s="159"/>
      <c r="L491" s="159"/>
      <c r="M491" s="159"/>
      <c r="N491" s="159"/>
      <c r="O491" s="159"/>
      <c r="P491" s="159"/>
      <c r="Q491" s="159"/>
      <c r="R491" s="159"/>
      <c r="S491" s="159"/>
      <c r="T491" s="159"/>
    </row>
    <row r="492" spans="2:20">
      <c r="B492" s="159"/>
      <c r="C492" s="159"/>
      <c r="D492" s="159"/>
      <c r="E492" s="159"/>
      <c r="F492" s="159"/>
      <c r="G492" s="159"/>
      <c r="H492" s="159"/>
      <c r="I492" s="159"/>
      <c r="J492" s="159"/>
      <c r="K492" s="159"/>
      <c r="L492" s="159"/>
      <c r="M492" s="159"/>
      <c r="N492" s="159"/>
      <c r="O492" s="159"/>
      <c r="P492" s="159"/>
      <c r="Q492" s="159"/>
      <c r="R492" s="159"/>
      <c r="S492" s="159"/>
      <c r="T492" s="159"/>
    </row>
    <row r="493" spans="2:20">
      <c r="B493" s="159"/>
      <c r="C493" s="159"/>
      <c r="D493" s="159"/>
      <c r="E493" s="159"/>
      <c r="F493" s="159"/>
      <c r="G493" s="159"/>
      <c r="H493" s="159"/>
      <c r="I493" s="159"/>
      <c r="J493" s="159"/>
      <c r="K493" s="159"/>
      <c r="L493" s="159"/>
      <c r="M493" s="159"/>
      <c r="N493" s="159"/>
      <c r="O493" s="159"/>
      <c r="P493" s="159"/>
      <c r="Q493" s="159"/>
      <c r="R493" s="159"/>
      <c r="S493" s="159"/>
      <c r="T493" s="159"/>
    </row>
    <row r="494" spans="2:20">
      <c r="B494" s="159"/>
      <c r="C494" s="159"/>
      <c r="D494" s="159"/>
      <c r="E494" s="159"/>
      <c r="F494" s="159"/>
      <c r="G494" s="159"/>
      <c r="H494" s="159"/>
      <c r="I494" s="159"/>
      <c r="J494" s="159"/>
      <c r="K494" s="159"/>
      <c r="L494" s="159"/>
      <c r="M494" s="159"/>
      <c r="N494" s="159"/>
      <c r="O494" s="159"/>
      <c r="P494" s="159"/>
      <c r="Q494" s="159"/>
      <c r="R494" s="159"/>
      <c r="S494" s="159"/>
      <c r="T494" s="159"/>
    </row>
    <row r="495" spans="2:20">
      <c r="B495" s="159"/>
      <c r="C495" s="159"/>
      <c r="D495" s="159"/>
      <c r="E495" s="159"/>
      <c r="F495" s="159"/>
      <c r="G495" s="159"/>
      <c r="H495" s="159"/>
      <c r="I495" s="159"/>
      <c r="J495" s="159"/>
      <c r="K495" s="159"/>
      <c r="L495" s="159"/>
      <c r="M495" s="159"/>
      <c r="N495" s="159"/>
      <c r="O495" s="159"/>
      <c r="P495" s="159"/>
      <c r="Q495" s="159"/>
      <c r="R495" s="159"/>
      <c r="S495" s="159"/>
      <c r="T495" s="159"/>
    </row>
    <row r="496" spans="2:20">
      <c r="B496" s="159"/>
      <c r="C496" s="159"/>
      <c r="D496" s="159"/>
      <c r="E496" s="159"/>
      <c r="F496" s="159"/>
      <c r="G496" s="159"/>
      <c r="H496" s="159"/>
      <c r="I496" s="159"/>
      <c r="J496" s="159"/>
      <c r="K496" s="159"/>
      <c r="L496" s="159"/>
      <c r="M496" s="159"/>
      <c r="N496" s="159"/>
      <c r="O496" s="159"/>
      <c r="P496" s="159"/>
      <c r="Q496" s="159"/>
      <c r="R496" s="159"/>
      <c r="S496" s="159"/>
      <c r="T496" s="159"/>
    </row>
    <row r="497" spans="2:20">
      <c r="B497" s="159"/>
      <c r="C497" s="159"/>
      <c r="D497" s="159"/>
      <c r="E497" s="159"/>
      <c r="F497" s="159"/>
      <c r="G497" s="159"/>
      <c r="H497" s="159"/>
      <c r="I497" s="159"/>
      <c r="J497" s="159"/>
      <c r="K497" s="159"/>
      <c r="L497" s="159"/>
      <c r="M497" s="159"/>
      <c r="N497" s="159"/>
      <c r="O497" s="159"/>
      <c r="P497" s="159"/>
      <c r="Q497" s="159"/>
      <c r="R497" s="159"/>
      <c r="S497" s="159"/>
      <c r="T497" s="159"/>
    </row>
    <row r="498" spans="2:20">
      <c r="B498" s="159"/>
      <c r="C498" s="159"/>
      <c r="D498" s="159"/>
      <c r="E498" s="159"/>
      <c r="F498" s="159"/>
      <c r="G498" s="159"/>
      <c r="H498" s="159"/>
      <c r="I498" s="159"/>
      <c r="J498" s="159"/>
      <c r="K498" s="159"/>
      <c r="L498" s="159"/>
      <c r="M498" s="159"/>
      <c r="N498" s="159"/>
      <c r="O498" s="159"/>
      <c r="P498" s="159"/>
      <c r="Q498" s="159"/>
      <c r="R498" s="159"/>
      <c r="S498" s="159"/>
      <c r="T498" s="159"/>
    </row>
    <row r="499" spans="2:20">
      <c r="B499" s="159"/>
      <c r="C499" s="159"/>
      <c r="D499" s="159"/>
      <c r="E499" s="159"/>
      <c r="F499" s="159"/>
      <c r="G499" s="159"/>
      <c r="H499" s="159"/>
      <c r="I499" s="159"/>
      <c r="J499" s="159"/>
      <c r="K499" s="159"/>
      <c r="L499" s="159"/>
      <c r="M499" s="159"/>
      <c r="N499" s="159"/>
      <c r="O499" s="159"/>
      <c r="P499" s="159"/>
      <c r="Q499" s="159"/>
      <c r="R499" s="159"/>
      <c r="S499" s="159"/>
      <c r="T499" s="159"/>
    </row>
    <row r="500" spans="2:20">
      <c r="B500" s="159"/>
      <c r="C500" s="159"/>
      <c r="D500" s="159"/>
      <c r="E500" s="159"/>
      <c r="F500" s="159"/>
      <c r="G500" s="159"/>
      <c r="H500" s="159"/>
      <c r="I500" s="159"/>
      <c r="J500" s="159"/>
      <c r="K500" s="159"/>
      <c r="L500" s="159"/>
      <c r="M500" s="159"/>
      <c r="N500" s="159"/>
      <c r="O500" s="159"/>
      <c r="P500" s="159"/>
      <c r="Q500" s="159"/>
      <c r="R500" s="159"/>
      <c r="S500" s="159"/>
      <c r="T500" s="159"/>
    </row>
    <row r="501" spans="2:20">
      <c r="B501" s="159"/>
      <c r="C501" s="159"/>
      <c r="D501" s="159"/>
      <c r="E501" s="159"/>
      <c r="F501" s="159"/>
      <c r="G501" s="159"/>
      <c r="H501" s="159"/>
      <c r="I501" s="159"/>
      <c r="J501" s="159"/>
      <c r="K501" s="159"/>
      <c r="L501" s="159"/>
      <c r="M501" s="159"/>
      <c r="N501" s="159"/>
      <c r="O501" s="159"/>
      <c r="P501" s="159"/>
      <c r="Q501" s="159"/>
      <c r="R501" s="159"/>
      <c r="S501" s="159"/>
      <c r="T501" s="159"/>
    </row>
    <row r="502" spans="2:20">
      <c r="B502" s="159"/>
      <c r="C502" s="159"/>
      <c r="D502" s="159"/>
      <c r="E502" s="159"/>
      <c r="F502" s="159"/>
      <c r="G502" s="159"/>
      <c r="H502" s="159"/>
      <c r="I502" s="159"/>
      <c r="J502" s="159"/>
      <c r="K502" s="159"/>
      <c r="L502" s="159"/>
      <c r="M502" s="159"/>
      <c r="N502" s="159"/>
      <c r="O502" s="159"/>
      <c r="P502" s="159"/>
      <c r="Q502" s="159"/>
      <c r="R502" s="159"/>
      <c r="S502" s="159"/>
      <c r="T502" s="159"/>
    </row>
    <row r="503" spans="2:20">
      <c r="B503" s="159"/>
      <c r="C503" s="159"/>
      <c r="D503" s="159"/>
      <c r="E503" s="159"/>
      <c r="F503" s="159"/>
      <c r="G503" s="159"/>
      <c r="H503" s="159"/>
      <c r="I503" s="159"/>
      <c r="J503" s="159"/>
      <c r="K503" s="159"/>
      <c r="L503" s="159"/>
      <c r="M503" s="159"/>
      <c r="N503" s="159"/>
      <c r="O503" s="159"/>
      <c r="P503" s="159"/>
      <c r="Q503" s="159"/>
      <c r="R503" s="159"/>
      <c r="S503" s="159"/>
      <c r="T503" s="159"/>
    </row>
    <row r="504" spans="2:20">
      <c r="B504" s="159"/>
      <c r="C504" s="159"/>
      <c r="D504" s="159"/>
      <c r="E504" s="159"/>
      <c r="F504" s="159"/>
      <c r="G504" s="159"/>
      <c r="H504" s="159"/>
      <c r="I504" s="159"/>
      <c r="J504" s="159"/>
      <c r="K504" s="159"/>
      <c r="L504" s="159"/>
      <c r="M504" s="159"/>
      <c r="N504" s="159"/>
      <c r="O504" s="159"/>
      <c r="P504" s="159"/>
      <c r="Q504" s="159"/>
      <c r="R504" s="159"/>
      <c r="S504" s="159"/>
      <c r="T504" s="159"/>
    </row>
    <row r="505" spans="2:20">
      <c r="B505" s="159"/>
      <c r="C505" s="159"/>
      <c r="D505" s="159"/>
      <c r="E505" s="159"/>
      <c r="F505" s="159"/>
      <c r="G505" s="159"/>
      <c r="H505" s="159"/>
      <c r="I505" s="159"/>
      <c r="J505" s="159"/>
      <c r="K505" s="159"/>
      <c r="L505" s="159"/>
      <c r="M505" s="159"/>
      <c r="N505" s="159"/>
      <c r="O505" s="159"/>
      <c r="P505" s="159"/>
      <c r="Q505" s="159"/>
      <c r="R505" s="159"/>
      <c r="S505" s="159"/>
      <c r="T505" s="159"/>
    </row>
    <row r="506" spans="2:20">
      <c r="B506" s="159"/>
      <c r="C506" s="159"/>
      <c r="D506" s="159"/>
      <c r="E506" s="159"/>
      <c r="F506" s="159"/>
      <c r="G506" s="159"/>
      <c r="H506" s="159"/>
      <c r="I506" s="159"/>
      <c r="J506" s="159"/>
      <c r="K506" s="159"/>
      <c r="L506" s="159"/>
      <c r="M506" s="159"/>
      <c r="N506" s="159"/>
      <c r="O506" s="159"/>
      <c r="P506" s="159"/>
      <c r="Q506" s="159"/>
      <c r="R506" s="159"/>
      <c r="S506" s="159"/>
      <c r="T506" s="159"/>
    </row>
    <row r="507" spans="2:20">
      <c r="B507" s="159"/>
      <c r="C507" s="159"/>
      <c r="D507" s="159"/>
      <c r="E507" s="159"/>
      <c r="F507" s="159"/>
      <c r="G507" s="159"/>
      <c r="H507" s="159"/>
      <c r="I507" s="159"/>
      <c r="J507" s="159"/>
      <c r="K507" s="159"/>
      <c r="L507" s="159"/>
      <c r="M507" s="159"/>
      <c r="N507" s="159"/>
      <c r="O507" s="159"/>
      <c r="P507" s="159"/>
      <c r="Q507" s="159"/>
      <c r="R507" s="159"/>
      <c r="S507" s="159"/>
      <c r="T507" s="159"/>
    </row>
    <row r="508" spans="2:20">
      <c r="B508" s="159"/>
      <c r="C508" s="159"/>
      <c r="D508" s="159"/>
      <c r="E508" s="159"/>
      <c r="F508" s="159"/>
      <c r="G508" s="159"/>
      <c r="H508" s="159"/>
      <c r="I508" s="159"/>
      <c r="J508" s="159"/>
      <c r="K508" s="159"/>
      <c r="L508" s="159"/>
      <c r="M508" s="159"/>
      <c r="N508" s="159"/>
      <c r="O508" s="159"/>
      <c r="P508" s="159"/>
      <c r="Q508" s="159"/>
      <c r="R508" s="159"/>
      <c r="S508" s="159"/>
      <c r="T508" s="159"/>
    </row>
    <row r="509" spans="2:20">
      <c r="B509" s="159"/>
      <c r="C509" s="159"/>
      <c r="D509" s="159"/>
      <c r="E509" s="159"/>
      <c r="F509" s="159"/>
      <c r="G509" s="159"/>
      <c r="H509" s="159"/>
      <c r="I509" s="159"/>
      <c r="J509" s="159"/>
      <c r="K509" s="159"/>
      <c r="L509" s="159"/>
      <c r="M509" s="159"/>
      <c r="N509" s="159"/>
      <c r="O509" s="159"/>
      <c r="P509" s="159"/>
      <c r="Q509" s="159"/>
      <c r="R509" s="159"/>
      <c r="S509" s="159"/>
      <c r="T509" s="159"/>
    </row>
    <row r="510" spans="2:20">
      <c r="B510" s="159"/>
      <c r="C510" s="159"/>
      <c r="D510" s="159"/>
      <c r="E510" s="159"/>
      <c r="F510" s="159"/>
      <c r="G510" s="159"/>
      <c r="H510" s="159"/>
      <c r="I510" s="159"/>
      <c r="J510" s="159"/>
      <c r="K510" s="159"/>
      <c r="L510" s="159"/>
      <c r="M510" s="159"/>
      <c r="N510" s="159"/>
      <c r="O510" s="159"/>
      <c r="P510" s="159"/>
      <c r="Q510" s="159"/>
      <c r="R510" s="159"/>
      <c r="S510" s="159"/>
      <c r="T510" s="159"/>
    </row>
    <row r="511" spans="2:20">
      <c r="B511" s="159"/>
      <c r="C511" s="159"/>
      <c r="D511" s="159"/>
      <c r="E511" s="159"/>
      <c r="F511" s="159"/>
      <c r="G511" s="159"/>
      <c r="H511" s="159"/>
      <c r="I511" s="159"/>
      <c r="J511" s="159"/>
      <c r="K511" s="159"/>
      <c r="L511" s="159"/>
      <c r="M511" s="159"/>
      <c r="N511" s="159"/>
      <c r="O511" s="159"/>
      <c r="P511" s="159"/>
      <c r="Q511" s="159"/>
      <c r="R511" s="159"/>
      <c r="S511" s="159"/>
      <c r="T511" s="159"/>
    </row>
    <row r="512" spans="2:20">
      <c r="B512" s="159"/>
      <c r="C512" s="159"/>
      <c r="D512" s="159"/>
      <c r="E512" s="159"/>
      <c r="F512" s="159"/>
      <c r="G512" s="159"/>
      <c r="H512" s="159"/>
      <c r="I512" s="159"/>
      <c r="J512" s="159"/>
      <c r="K512" s="159"/>
      <c r="L512" s="159"/>
      <c r="M512" s="159"/>
      <c r="N512" s="159"/>
      <c r="O512" s="159"/>
      <c r="P512" s="159"/>
      <c r="Q512" s="159"/>
      <c r="R512" s="159"/>
      <c r="S512" s="159"/>
      <c r="T512" s="159"/>
    </row>
    <row r="513" spans="2:20">
      <c r="B513" s="159"/>
      <c r="C513" s="159"/>
      <c r="D513" s="159"/>
      <c r="E513" s="159"/>
      <c r="F513" s="159"/>
      <c r="G513" s="159"/>
      <c r="H513" s="159"/>
      <c r="I513" s="159"/>
      <c r="J513" s="159"/>
      <c r="K513" s="159"/>
      <c r="L513" s="159"/>
      <c r="M513" s="159"/>
      <c r="N513" s="159"/>
      <c r="O513" s="159"/>
      <c r="P513" s="159"/>
      <c r="Q513" s="159"/>
      <c r="R513" s="159"/>
      <c r="S513" s="159"/>
      <c r="T513" s="159"/>
    </row>
    <row r="514" spans="2:20">
      <c r="B514" s="159"/>
      <c r="C514" s="159"/>
      <c r="D514" s="159"/>
      <c r="E514" s="159"/>
      <c r="F514" s="159"/>
      <c r="G514" s="159"/>
      <c r="H514" s="159"/>
      <c r="I514" s="159"/>
      <c r="J514" s="159"/>
      <c r="K514" s="159"/>
      <c r="L514" s="159"/>
      <c r="M514" s="159"/>
      <c r="N514" s="159"/>
      <c r="O514" s="159"/>
      <c r="P514" s="159"/>
      <c r="Q514" s="159"/>
      <c r="R514" s="159"/>
      <c r="S514" s="159"/>
      <c r="T514" s="159"/>
    </row>
    <row r="515" spans="2:20">
      <c r="B515" s="159"/>
      <c r="C515" s="159"/>
      <c r="D515" s="159"/>
      <c r="E515" s="159"/>
      <c r="F515" s="159"/>
      <c r="G515" s="159"/>
      <c r="H515" s="159"/>
      <c r="I515" s="159"/>
      <c r="J515" s="159"/>
      <c r="K515" s="159"/>
      <c r="L515" s="159"/>
      <c r="M515" s="159"/>
      <c r="N515" s="159"/>
      <c r="O515" s="159"/>
      <c r="P515" s="159"/>
      <c r="Q515" s="159"/>
      <c r="R515" s="159"/>
      <c r="S515" s="159"/>
      <c r="T515" s="159"/>
    </row>
    <row r="516" spans="2:20">
      <c r="B516" s="159"/>
      <c r="C516" s="159"/>
      <c r="D516" s="159"/>
      <c r="E516" s="159"/>
      <c r="F516" s="159"/>
      <c r="G516" s="159"/>
      <c r="H516" s="159"/>
      <c r="I516" s="159"/>
      <c r="J516" s="159"/>
      <c r="K516" s="159"/>
      <c r="L516" s="159"/>
      <c r="M516" s="159"/>
      <c r="N516" s="159"/>
      <c r="O516" s="159"/>
      <c r="P516" s="159"/>
      <c r="Q516" s="159"/>
      <c r="R516" s="159"/>
      <c r="S516" s="159"/>
      <c r="T516" s="159"/>
    </row>
    <row r="517" spans="2:20">
      <c r="B517" s="159"/>
      <c r="C517" s="159"/>
      <c r="D517" s="159"/>
      <c r="E517" s="159"/>
      <c r="F517" s="159"/>
      <c r="G517" s="159"/>
      <c r="H517" s="159"/>
      <c r="I517" s="159"/>
      <c r="J517" s="159"/>
      <c r="K517" s="159"/>
      <c r="L517" s="159"/>
      <c r="M517" s="159"/>
      <c r="N517" s="159"/>
      <c r="O517" s="159"/>
      <c r="P517" s="159"/>
      <c r="Q517" s="159"/>
      <c r="R517" s="159"/>
      <c r="S517" s="159"/>
      <c r="T517" s="159"/>
    </row>
    <row r="518" spans="2:20">
      <c r="B518" s="159"/>
      <c r="C518" s="159"/>
      <c r="D518" s="159"/>
      <c r="E518" s="159"/>
      <c r="F518" s="159"/>
      <c r="G518" s="159"/>
      <c r="H518" s="159"/>
      <c r="I518" s="159"/>
      <c r="J518" s="159"/>
      <c r="K518" s="159"/>
      <c r="L518" s="159"/>
      <c r="M518" s="159"/>
      <c r="N518" s="159"/>
      <c r="O518" s="159"/>
      <c r="P518" s="159"/>
      <c r="Q518" s="159"/>
      <c r="R518" s="159"/>
      <c r="S518" s="159"/>
      <c r="T518" s="159"/>
    </row>
    <row r="519" spans="2:20">
      <c r="B519" s="159"/>
      <c r="C519" s="159"/>
      <c r="D519" s="159"/>
      <c r="E519" s="159"/>
      <c r="F519" s="159"/>
      <c r="G519" s="159"/>
      <c r="H519" s="159"/>
      <c r="I519" s="159"/>
      <c r="J519" s="159"/>
      <c r="K519" s="159"/>
      <c r="L519" s="159"/>
      <c r="M519" s="159"/>
      <c r="N519" s="159"/>
      <c r="O519" s="159"/>
      <c r="P519" s="159"/>
      <c r="Q519" s="159"/>
      <c r="R519" s="159"/>
      <c r="S519" s="159"/>
      <c r="T519" s="159"/>
    </row>
    <row r="520" spans="2:20">
      <c r="B520" s="159"/>
      <c r="C520" s="159"/>
      <c r="D520" s="159"/>
      <c r="E520" s="159"/>
      <c r="F520" s="159"/>
      <c r="G520" s="159"/>
      <c r="H520" s="159"/>
      <c r="I520" s="159"/>
      <c r="J520" s="159"/>
      <c r="K520" s="159"/>
      <c r="L520" s="159"/>
      <c r="M520" s="159"/>
      <c r="N520" s="159"/>
      <c r="O520" s="159"/>
      <c r="P520" s="159"/>
      <c r="Q520" s="159"/>
      <c r="R520" s="159"/>
      <c r="S520" s="159"/>
      <c r="T520" s="159"/>
    </row>
    <row r="521" spans="2:20">
      <c r="B521" s="159"/>
      <c r="C521" s="159"/>
      <c r="D521" s="159"/>
      <c r="E521" s="159"/>
      <c r="F521" s="159"/>
      <c r="G521" s="159"/>
      <c r="H521" s="159"/>
      <c r="I521" s="159"/>
      <c r="J521" s="159"/>
      <c r="K521" s="159"/>
      <c r="L521" s="159"/>
      <c r="M521" s="159"/>
      <c r="N521" s="159"/>
      <c r="O521" s="159"/>
      <c r="P521" s="159"/>
      <c r="Q521" s="159"/>
      <c r="R521" s="159"/>
      <c r="S521" s="159"/>
      <c r="T521" s="159"/>
    </row>
    <row r="522" spans="2:20">
      <c r="B522" s="159"/>
      <c r="C522" s="159"/>
      <c r="D522" s="159"/>
      <c r="E522" s="159"/>
      <c r="F522" s="159"/>
      <c r="G522" s="159"/>
      <c r="H522" s="159"/>
      <c r="I522" s="159"/>
      <c r="J522" s="159"/>
      <c r="K522" s="159"/>
      <c r="L522" s="159"/>
      <c r="M522" s="159"/>
      <c r="N522" s="159"/>
      <c r="O522" s="159"/>
      <c r="P522" s="159"/>
      <c r="Q522" s="159"/>
      <c r="R522" s="159"/>
      <c r="S522" s="159"/>
      <c r="T522" s="159"/>
    </row>
    <row r="523" spans="2:20">
      <c r="B523" s="159"/>
      <c r="C523" s="159"/>
      <c r="D523" s="159"/>
      <c r="E523" s="159"/>
      <c r="F523" s="159"/>
      <c r="G523" s="159"/>
      <c r="H523" s="159"/>
      <c r="I523" s="159"/>
      <c r="J523" s="159"/>
      <c r="K523" s="159"/>
      <c r="L523" s="159"/>
      <c r="M523" s="159"/>
      <c r="N523" s="159"/>
      <c r="O523" s="159"/>
      <c r="P523" s="159"/>
      <c r="Q523" s="159"/>
      <c r="R523" s="159"/>
      <c r="S523" s="159"/>
      <c r="T523" s="159"/>
    </row>
    <row r="524" spans="2:20">
      <c r="B524" s="159"/>
      <c r="C524" s="159"/>
      <c r="D524" s="159"/>
      <c r="E524" s="159"/>
      <c r="F524" s="159"/>
      <c r="G524" s="159"/>
      <c r="H524" s="159"/>
      <c r="I524" s="159"/>
      <c r="J524" s="159"/>
      <c r="K524" s="159"/>
      <c r="L524" s="159"/>
      <c r="M524" s="159"/>
      <c r="N524" s="159"/>
      <c r="O524" s="159"/>
      <c r="P524" s="159"/>
      <c r="Q524" s="159"/>
      <c r="R524" s="159"/>
      <c r="S524" s="159"/>
      <c r="T524" s="159"/>
    </row>
    <row r="525" spans="2:20">
      <c r="B525" s="159"/>
      <c r="C525" s="159"/>
      <c r="D525" s="159"/>
      <c r="E525" s="159"/>
      <c r="F525" s="159"/>
      <c r="G525" s="159"/>
      <c r="H525" s="159"/>
      <c r="I525" s="159"/>
      <c r="J525" s="159"/>
      <c r="K525" s="159"/>
      <c r="L525" s="159"/>
      <c r="M525" s="159"/>
      <c r="N525" s="159"/>
      <c r="O525" s="159"/>
      <c r="P525" s="159"/>
      <c r="Q525" s="159"/>
      <c r="R525" s="159"/>
      <c r="S525" s="159"/>
      <c r="T525" s="159"/>
    </row>
    <row r="526" spans="2:20">
      <c r="B526" s="159"/>
      <c r="C526" s="159"/>
      <c r="D526" s="159"/>
      <c r="E526" s="159"/>
      <c r="F526" s="159"/>
      <c r="G526" s="159"/>
      <c r="H526" s="159"/>
      <c r="I526" s="159"/>
      <c r="J526" s="159"/>
      <c r="K526" s="159"/>
      <c r="L526" s="159"/>
      <c r="M526" s="159"/>
      <c r="N526" s="159"/>
      <c r="O526" s="159"/>
      <c r="P526" s="159"/>
      <c r="Q526" s="159"/>
      <c r="R526" s="159"/>
      <c r="S526" s="159"/>
      <c r="T526" s="159"/>
    </row>
    <row r="527" spans="2:20">
      <c r="B527" s="159"/>
      <c r="C527" s="159"/>
      <c r="D527" s="159"/>
      <c r="E527" s="159"/>
      <c r="F527" s="159"/>
      <c r="G527" s="159"/>
      <c r="H527" s="159"/>
      <c r="I527" s="159"/>
      <c r="J527" s="159"/>
      <c r="K527" s="159"/>
      <c r="L527" s="159"/>
      <c r="M527" s="159"/>
      <c r="N527" s="159"/>
      <c r="O527" s="159"/>
      <c r="P527" s="159"/>
      <c r="Q527" s="159"/>
      <c r="R527" s="159"/>
      <c r="S527" s="159"/>
      <c r="T527" s="159"/>
    </row>
    <row r="528" spans="2:20">
      <c r="B528" s="159"/>
      <c r="C528" s="159"/>
      <c r="D528" s="159"/>
      <c r="E528" s="159"/>
      <c r="F528" s="159"/>
      <c r="G528" s="159"/>
      <c r="H528" s="159"/>
      <c r="I528" s="159"/>
      <c r="J528" s="159"/>
      <c r="K528" s="159"/>
      <c r="L528" s="159"/>
      <c r="M528" s="159"/>
      <c r="N528" s="159"/>
      <c r="O528" s="159"/>
      <c r="P528" s="159"/>
      <c r="Q528" s="159"/>
      <c r="R528" s="159"/>
      <c r="S528" s="159"/>
      <c r="T528" s="159"/>
    </row>
    <row r="529" spans="2:20">
      <c r="B529" s="159"/>
      <c r="C529" s="159"/>
      <c r="D529" s="159"/>
      <c r="E529" s="159"/>
      <c r="F529" s="159"/>
      <c r="G529" s="159"/>
      <c r="H529" s="159"/>
      <c r="I529" s="159"/>
      <c r="J529" s="159"/>
      <c r="K529" s="159"/>
      <c r="L529" s="159"/>
      <c r="M529" s="159"/>
      <c r="N529" s="159"/>
      <c r="O529" s="159"/>
      <c r="P529" s="159"/>
      <c r="Q529" s="159"/>
      <c r="R529" s="159"/>
      <c r="S529" s="159"/>
      <c r="T529" s="159"/>
    </row>
    <row r="530" spans="2:20">
      <c r="B530" s="159"/>
      <c r="C530" s="159"/>
      <c r="D530" s="159"/>
      <c r="E530" s="159"/>
      <c r="F530" s="159"/>
      <c r="G530" s="159"/>
      <c r="H530" s="159"/>
      <c r="I530" s="159"/>
      <c r="J530" s="159"/>
      <c r="K530" s="159"/>
      <c r="L530" s="159"/>
      <c r="M530" s="159"/>
      <c r="N530" s="159"/>
      <c r="O530" s="159"/>
      <c r="P530" s="159"/>
      <c r="Q530" s="159"/>
      <c r="R530" s="159"/>
      <c r="S530" s="159"/>
      <c r="T530" s="159"/>
    </row>
    <row r="531" spans="2:20">
      <c r="B531" s="159"/>
      <c r="C531" s="159"/>
      <c r="D531" s="159"/>
      <c r="E531" s="159"/>
      <c r="F531" s="159"/>
      <c r="G531" s="159"/>
      <c r="H531" s="159"/>
      <c r="I531" s="159"/>
      <c r="J531" s="159"/>
      <c r="K531" s="159"/>
      <c r="L531" s="159"/>
      <c r="M531" s="159"/>
      <c r="N531" s="159"/>
      <c r="O531" s="159"/>
      <c r="P531" s="159"/>
      <c r="Q531" s="159"/>
      <c r="R531" s="159"/>
      <c r="S531" s="159"/>
      <c r="T531" s="159"/>
    </row>
    <row r="532" spans="2:20">
      <c r="B532" s="159"/>
      <c r="C532" s="159"/>
      <c r="D532" s="159"/>
      <c r="E532" s="159"/>
      <c r="F532" s="159"/>
      <c r="G532" s="159"/>
      <c r="H532" s="159"/>
      <c r="I532" s="159"/>
      <c r="J532" s="159"/>
      <c r="K532" s="159"/>
      <c r="L532" s="159"/>
      <c r="M532" s="159"/>
      <c r="N532" s="159"/>
      <c r="O532" s="159"/>
      <c r="P532" s="159"/>
      <c r="Q532" s="159"/>
      <c r="R532" s="159"/>
      <c r="S532" s="159"/>
      <c r="T532" s="159"/>
    </row>
    <row r="533" spans="2:20">
      <c r="B533" s="159"/>
      <c r="C533" s="159"/>
      <c r="D533" s="159"/>
      <c r="E533" s="159"/>
      <c r="F533" s="159"/>
      <c r="G533" s="159"/>
      <c r="H533" s="159"/>
      <c r="I533" s="159"/>
      <c r="J533" s="159"/>
      <c r="K533" s="159"/>
      <c r="L533" s="159"/>
      <c r="M533" s="159"/>
      <c r="N533" s="159"/>
      <c r="O533" s="159"/>
      <c r="P533" s="159"/>
      <c r="Q533" s="159"/>
      <c r="R533" s="159"/>
      <c r="S533" s="159"/>
      <c r="T533" s="159"/>
    </row>
    <row r="534" spans="2:20">
      <c r="B534" s="159"/>
      <c r="C534" s="159"/>
      <c r="D534" s="159"/>
      <c r="E534" s="159"/>
      <c r="F534" s="159"/>
      <c r="G534" s="159"/>
      <c r="H534" s="159"/>
      <c r="I534" s="159"/>
      <c r="J534" s="159"/>
      <c r="K534" s="159"/>
      <c r="L534" s="159"/>
      <c r="M534" s="159"/>
      <c r="N534" s="159"/>
      <c r="O534" s="159"/>
      <c r="P534" s="159"/>
      <c r="Q534" s="159"/>
      <c r="R534" s="159"/>
      <c r="S534" s="159"/>
      <c r="T534" s="159"/>
    </row>
    <row r="535" spans="2:20">
      <c r="B535" s="159"/>
      <c r="C535" s="159"/>
      <c r="D535" s="159"/>
      <c r="E535" s="159"/>
      <c r="F535" s="159"/>
      <c r="G535" s="159"/>
      <c r="H535" s="159"/>
      <c r="I535" s="159"/>
      <c r="J535" s="159"/>
      <c r="K535" s="159"/>
      <c r="L535" s="159"/>
      <c r="M535" s="159"/>
      <c r="N535" s="159"/>
      <c r="O535" s="159"/>
      <c r="P535" s="159"/>
      <c r="Q535" s="159"/>
      <c r="R535" s="159"/>
      <c r="S535" s="159"/>
      <c r="T535" s="159"/>
    </row>
    <row r="536" spans="2:20">
      <c r="B536" s="159"/>
      <c r="C536" s="159"/>
      <c r="D536" s="159"/>
      <c r="E536" s="159"/>
      <c r="F536" s="159"/>
      <c r="G536" s="159"/>
      <c r="H536" s="159"/>
      <c r="I536" s="159"/>
      <c r="J536" s="159"/>
      <c r="K536" s="159"/>
      <c r="L536" s="159"/>
      <c r="M536" s="159"/>
      <c r="N536" s="159"/>
      <c r="O536" s="159"/>
      <c r="P536" s="159"/>
      <c r="Q536" s="159"/>
      <c r="R536" s="159"/>
      <c r="S536" s="159"/>
      <c r="T536" s="159"/>
    </row>
    <row r="537" spans="2:20">
      <c r="B537" s="159"/>
      <c r="C537" s="159"/>
      <c r="D537" s="159"/>
      <c r="E537" s="159"/>
      <c r="F537" s="159"/>
      <c r="G537" s="159"/>
      <c r="H537" s="159"/>
      <c r="I537" s="159"/>
      <c r="J537" s="159"/>
      <c r="K537" s="159"/>
      <c r="L537" s="159"/>
      <c r="M537" s="159"/>
      <c r="N537" s="159"/>
      <c r="O537" s="159"/>
      <c r="P537" s="159"/>
      <c r="Q537" s="159"/>
      <c r="R537" s="159"/>
      <c r="S537" s="159"/>
      <c r="T537" s="159"/>
    </row>
    <row r="538" spans="2:20">
      <c r="B538" s="159"/>
      <c r="C538" s="159"/>
      <c r="D538" s="159"/>
      <c r="E538" s="159"/>
      <c r="F538" s="159"/>
      <c r="G538" s="159"/>
      <c r="H538" s="159"/>
      <c r="I538" s="159"/>
      <c r="J538" s="159"/>
      <c r="K538" s="159"/>
      <c r="L538" s="159"/>
      <c r="M538" s="159"/>
      <c r="N538" s="159"/>
      <c r="O538" s="159"/>
      <c r="P538" s="159"/>
      <c r="Q538" s="159"/>
      <c r="R538" s="159"/>
      <c r="S538" s="159"/>
      <c r="T538" s="159"/>
    </row>
    <row r="539" spans="2:20">
      <c r="B539" s="159"/>
      <c r="C539" s="159"/>
      <c r="D539" s="159"/>
      <c r="E539" s="159"/>
      <c r="F539" s="159"/>
      <c r="G539" s="159"/>
      <c r="H539" s="159"/>
      <c r="I539" s="159"/>
      <c r="J539" s="159"/>
      <c r="K539" s="159"/>
      <c r="L539" s="159"/>
      <c r="M539" s="159"/>
      <c r="N539" s="159"/>
      <c r="O539" s="159"/>
      <c r="P539" s="159"/>
      <c r="Q539" s="159"/>
      <c r="R539" s="159"/>
      <c r="S539" s="159"/>
      <c r="T539" s="159"/>
    </row>
    <row r="540" spans="2:20">
      <c r="B540" s="159"/>
      <c r="C540" s="159"/>
      <c r="D540" s="159"/>
      <c r="E540" s="159"/>
      <c r="F540" s="159"/>
      <c r="G540" s="159"/>
      <c r="H540" s="159"/>
      <c r="I540" s="159"/>
      <c r="J540" s="159"/>
      <c r="K540" s="159"/>
      <c r="L540" s="159"/>
      <c r="M540" s="159"/>
      <c r="N540" s="159"/>
      <c r="O540" s="159"/>
      <c r="P540" s="159"/>
      <c r="Q540" s="159"/>
      <c r="R540" s="159"/>
      <c r="S540" s="159"/>
      <c r="T540" s="159"/>
    </row>
    <row r="541" spans="2:20">
      <c r="B541" s="159"/>
      <c r="C541" s="159"/>
      <c r="D541" s="159"/>
      <c r="E541" s="159"/>
      <c r="F541" s="159"/>
      <c r="G541" s="159"/>
      <c r="H541" s="159"/>
      <c r="I541" s="159"/>
      <c r="J541" s="159"/>
      <c r="K541" s="159"/>
      <c r="L541" s="159"/>
      <c r="M541" s="159"/>
      <c r="N541" s="159"/>
      <c r="O541" s="159"/>
      <c r="P541" s="159"/>
      <c r="Q541" s="159"/>
      <c r="R541" s="159"/>
      <c r="S541" s="159"/>
      <c r="T541" s="159"/>
    </row>
    <row r="542" spans="2:20">
      <c r="B542" s="159"/>
      <c r="C542" s="159"/>
      <c r="D542" s="159"/>
      <c r="E542" s="159"/>
      <c r="F542" s="159"/>
      <c r="G542" s="159"/>
      <c r="H542" s="159"/>
      <c r="I542" s="159"/>
      <c r="J542" s="159"/>
      <c r="K542" s="159"/>
      <c r="L542" s="159"/>
      <c r="M542" s="159"/>
      <c r="N542" s="159"/>
      <c r="O542" s="159"/>
      <c r="P542" s="159"/>
      <c r="Q542" s="159"/>
      <c r="R542" s="159"/>
      <c r="S542" s="159"/>
      <c r="T542" s="159"/>
    </row>
    <row r="543" spans="2:20">
      <c r="B543" s="159"/>
      <c r="C543" s="159"/>
      <c r="D543" s="159"/>
      <c r="E543" s="159"/>
      <c r="F543" s="159"/>
      <c r="G543" s="159"/>
      <c r="H543" s="159"/>
      <c r="I543" s="159"/>
      <c r="J543" s="159"/>
      <c r="K543" s="159"/>
      <c r="L543" s="159"/>
      <c r="M543" s="159"/>
      <c r="N543" s="159"/>
      <c r="O543" s="159"/>
      <c r="P543" s="159"/>
      <c r="Q543" s="159"/>
      <c r="R543" s="159"/>
      <c r="S543" s="159"/>
      <c r="T543" s="159"/>
    </row>
    <row r="544" spans="2:20">
      <c r="B544" s="159"/>
      <c r="C544" s="159"/>
      <c r="D544" s="159"/>
      <c r="E544" s="159"/>
      <c r="F544" s="159"/>
      <c r="G544" s="159"/>
      <c r="H544" s="159"/>
      <c r="I544" s="159"/>
      <c r="J544" s="159"/>
      <c r="K544" s="159"/>
      <c r="L544" s="159"/>
      <c r="M544" s="159"/>
      <c r="N544" s="159"/>
      <c r="O544" s="159"/>
      <c r="P544" s="159"/>
      <c r="Q544" s="159"/>
      <c r="R544" s="159"/>
      <c r="S544" s="159"/>
      <c r="T544" s="159"/>
    </row>
    <row r="545" spans="2:20">
      <c r="B545" s="159"/>
      <c r="C545" s="159"/>
      <c r="D545" s="159"/>
      <c r="E545" s="159"/>
      <c r="F545" s="159"/>
      <c r="G545" s="159"/>
      <c r="H545" s="159"/>
      <c r="I545" s="159"/>
      <c r="J545" s="159"/>
      <c r="K545" s="159"/>
      <c r="L545" s="159"/>
      <c r="M545" s="159"/>
      <c r="N545" s="159"/>
      <c r="O545" s="159"/>
      <c r="P545" s="159"/>
      <c r="Q545" s="159"/>
      <c r="R545" s="159"/>
      <c r="S545" s="159"/>
      <c r="T545" s="159"/>
    </row>
    <row r="546" spans="2:20">
      <c r="B546" s="159"/>
      <c r="C546" s="159"/>
      <c r="D546" s="159"/>
      <c r="E546" s="159"/>
      <c r="F546" s="159"/>
      <c r="G546" s="159"/>
      <c r="H546" s="159"/>
      <c r="I546" s="159"/>
      <c r="J546" s="159"/>
      <c r="K546" s="159"/>
      <c r="L546" s="159"/>
      <c r="M546" s="159"/>
      <c r="N546" s="159"/>
      <c r="O546" s="159"/>
      <c r="P546" s="159"/>
      <c r="Q546" s="159"/>
      <c r="R546" s="159"/>
      <c r="S546" s="159"/>
      <c r="T546" s="159"/>
    </row>
    <row r="547" spans="2:20">
      <c r="B547" s="159"/>
      <c r="C547" s="159"/>
      <c r="D547" s="159"/>
      <c r="E547" s="159"/>
      <c r="F547" s="159"/>
      <c r="G547" s="159"/>
      <c r="H547" s="159"/>
      <c r="I547" s="159"/>
      <c r="J547" s="159"/>
      <c r="K547" s="159"/>
      <c r="L547" s="159"/>
      <c r="M547" s="159"/>
      <c r="N547" s="159"/>
      <c r="O547" s="159"/>
      <c r="P547" s="159"/>
      <c r="Q547" s="159"/>
      <c r="R547" s="159"/>
      <c r="S547" s="159"/>
      <c r="T547" s="159"/>
    </row>
    <row r="548" spans="2:20">
      <c r="B548" s="159"/>
      <c r="C548" s="159"/>
      <c r="D548" s="159"/>
      <c r="E548" s="159"/>
      <c r="F548" s="159"/>
      <c r="G548" s="159"/>
      <c r="H548" s="159"/>
      <c r="I548" s="159"/>
      <c r="J548" s="159"/>
      <c r="K548" s="159"/>
      <c r="L548" s="159"/>
      <c r="M548" s="159"/>
      <c r="N548" s="159"/>
      <c r="O548" s="159"/>
      <c r="P548" s="159"/>
      <c r="Q548" s="159"/>
      <c r="R548" s="159"/>
      <c r="S548" s="159"/>
      <c r="T548" s="159"/>
    </row>
    <row r="549" spans="2:20">
      <c r="B549" s="159"/>
      <c r="C549" s="159"/>
      <c r="D549" s="159"/>
      <c r="E549" s="159"/>
      <c r="F549" s="159"/>
      <c r="G549" s="159"/>
      <c r="H549" s="159"/>
      <c r="I549" s="159"/>
      <c r="J549" s="159"/>
      <c r="K549" s="159"/>
      <c r="L549" s="159"/>
      <c r="M549" s="159"/>
      <c r="N549" s="159"/>
      <c r="O549" s="159"/>
      <c r="P549" s="159"/>
      <c r="Q549" s="159"/>
      <c r="R549" s="159"/>
      <c r="S549" s="159"/>
      <c r="T549" s="159"/>
    </row>
    <row r="550" spans="2:20">
      <c r="B550" s="159"/>
      <c r="C550" s="159"/>
      <c r="D550" s="159"/>
      <c r="E550" s="159"/>
      <c r="F550" s="159"/>
      <c r="G550" s="159"/>
      <c r="H550" s="159"/>
      <c r="I550" s="159"/>
      <c r="J550" s="159"/>
      <c r="K550" s="159"/>
      <c r="L550" s="159"/>
      <c r="M550" s="159"/>
      <c r="N550" s="159"/>
      <c r="O550" s="159"/>
      <c r="P550" s="159"/>
      <c r="Q550" s="159"/>
      <c r="R550" s="159"/>
      <c r="S550" s="159"/>
      <c r="T550" s="159"/>
    </row>
    <row r="551" spans="2:20">
      <c r="B551" s="159"/>
      <c r="C551" s="159"/>
      <c r="D551" s="159"/>
      <c r="E551" s="159"/>
      <c r="F551" s="159"/>
      <c r="G551" s="159"/>
      <c r="H551" s="159"/>
      <c r="I551" s="159"/>
      <c r="J551" s="159"/>
      <c r="K551" s="159"/>
      <c r="L551" s="159"/>
      <c r="M551" s="159"/>
      <c r="N551" s="159"/>
      <c r="O551" s="159"/>
      <c r="P551" s="159"/>
      <c r="Q551" s="159"/>
      <c r="R551" s="159"/>
      <c r="S551" s="159"/>
      <c r="T551" s="159"/>
    </row>
    <row r="552" spans="2:20">
      <c r="B552" s="159"/>
      <c r="C552" s="159"/>
      <c r="D552" s="159"/>
      <c r="E552" s="159"/>
      <c r="F552" s="159"/>
      <c r="G552" s="159"/>
      <c r="H552" s="159"/>
      <c r="I552" s="159"/>
      <c r="J552" s="159"/>
      <c r="K552" s="159"/>
      <c r="L552" s="159"/>
      <c r="M552" s="159"/>
      <c r="N552" s="159"/>
      <c r="O552" s="159"/>
      <c r="P552" s="159"/>
      <c r="Q552" s="159"/>
      <c r="R552" s="159"/>
      <c r="S552" s="159"/>
      <c r="T552" s="159"/>
    </row>
    <row r="553" spans="2:20">
      <c r="B553" s="159"/>
      <c r="C553" s="159"/>
      <c r="D553" s="159"/>
      <c r="E553" s="159"/>
      <c r="F553" s="159"/>
      <c r="G553" s="159"/>
      <c r="H553" s="159"/>
      <c r="I553" s="159"/>
      <c r="J553" s="159"/>
      <c r="K553" s="159"/>
      <c r="L553" s="159"/>
      <c r="M553" s="159"/>
      <c r="N553" s="159"/>
      <c r="O553" s="159"/>
      <c r="P553" s="159"/>
      <c r="Q553" s="159"/>
      <c r="R553" s="159"/>
      <c r="S553" s="159"/>
      <c r="T553" s="159"/>
    </row>
    <row r="554" spans="2:20">
      <c r="B554" s="159"/>
      <c r="C554" s="159"/>
      <c r="D554" s="159"/>
      <c r="E554" s="159"/>
      <c r="F554" s="159"/>
      <c r="G554" s="159"/>
      <c r="H554" s="159"/>
      <c r="I554" s="159"/>
      <c r="J554" s="159"/>
      <c r="K554" s="159"/>
      <c r="L554" s="159"/>
      <c r="M554" s="159"/>
      <c r="N554" s="159"/>
      <c r="O554" s="159"/>
      <c r="P554" s="159"/>
      <c r="Q554" s="159"/>
      <c r="R554" s="159"/>
      <c r="S554" s="159"/>
      <c r="T554" s="159"/>
    </row>
    <row r="555" spans="2:20">
      <c r="B555" s="159"/>
      <c r="C555" s="159"/>
      <c r="D555" s="159"/>
      <c r="E555" s="159"/>
      <c r="F555" s="159"/>
      <c r="G555" s="159"/>
      <c r="H555" s="159"/>
      <c r="I555" s="159"/>
      <c r="J555" s="159"/>
      <c r="K555" s="159"/>
      <c r="L555" s="159"/>
      <c r="M555" s="159"/>
      <c r="N555" s="159"/>
      <c r="O555" s="159"/>
      <c r="P555" s="159"/>
      <c r="Q555" s="159"/>
      <c r="R555" s="159"/>
      <c r="S555" s="159"/>
      <c r="T555" s="159"/>
    </row>
    <row r="556" spans="2:20">
      <c r="B556" s="159"/>
      <c r="C556" s="159"/>
      <c r="D556" s="159"/>
      <c r="E556" s="159"/>
      <c r="F556" s="159"/>
      <c r="G556" s="159"/>
      <c r="H556" s="159"/>
      <c r="I556" s="159"/>
      <c r="J556" s="159"/>
      <c r="K556" s="159"/>
      <c r="L556" s="159"/>
      <c r="M556" s="159"/>
      <c r="N556" s="159"/>
      <c r="O556" s="159"/>
      <c r="P556" s="159"/>
      <c r="Q556" s="159"/>
      <c r="R556" s="159"/>
      <c r="S556" s="159"/>
      <c r="T556" s="159"/>
    </row>
    <row r="557" spans="2:20">
      <c r="B557" s="159"/>
      <c r="C557" s="159"/>
      <c r="D557" s="159"/>
      <c r="E557" s="159"/>
      <c r="F557" s="159"/>
      <c r="G557" s="159"/>
      <c r="H557" s="159"/>
      <c r="I557" s="159"/>
      <c r="J557" s="159"/>
      <c r="K557" s="159"/>
      <c r="L557" s="159"/>
      <c r="M557" s="159"/>
      <c r="N557" s="159"/>
      <c r="O557" s="159"/>
      <c r="P557" s="159"/>
      <c r="Q557" s="159"/>
      <c r="R557" s="159"/>
      <c r="S557" s="159"/>
      <c r="T557" s="159"/>
    </row>
    <row r="558" spans="2:20">
      <c r="B558" s="159"/>
      <c r="C558" s="159"/>
      <c r="D558" s="159"/>
      <c r="E558" s="159"/>
      <c r="F558" s="159"/>
      <c r="G558" s="159"/>
      <c r="H558" s="159"/>
      <c r="I558" s="159"/>
      <c r="J558" s="159"/>
      <c r="K558" s="159"/>
      <c r="L558" s="159"/>
      <c r="M558" s="159"/>
      <c r="N558" s="159"/>
      <c r="O558" s="159"/>
      <c r="P558" s="159"/>
      <c r="Q558" s="159"/>
      <c r="R558" s="159"/>
      <c r="S558" s="159"/>
      <c r="T558" s="159"/>
    </row>
    <row r="559" spans="2:20">
      <c r="B559" s="159"/>
      <c r="C559" s="159"/>
      <c r="D559" s="159"/>
      <c r="E559" s="159"/>
      <c r="F559" s="159"/>
      <c r="G559" s="159"/>
      <c r="H559" s="159"/>
      <c r="I559" s="159"/>
      <c r="J559" s="159"/>
      <c r="K559" s="159"/>
      <c r="L559" s="159"/>
      <c r="M559" s="159"/>
      <c r="N559" s="159"/>
      <c r="O559" s="159"/>
      <c r="P559" s="159"/>
      <c r="Q559" s="159"/>
      <c r="R559" s="159"/>
      <c r="S559" s="159"/>
      <c r="T559" s="159"/>
    </row>
    <row r="560" spans="2:20">
      <c r="B560" s="159"/>
      <c r="C560" s="159"/>
      <c r="D560" s="159"/>
      <c r="E560" s="159"/>
      <c r="F560" s="159"/>
      <c r="G560" s="159"/>
      <c r="H560" s="159"/>
      <c r="I560" s="159"/>
      <c r="J560" s="159"/>
      <c r="K560" s="159"/>
      <c r="L560" s="159"/>
      <c r="M560" s="159"/>
      <c r="N560" s="159"/>
      <c r="O560" s="159"/>
      <c r="P560" s="159"/>
      <c r="Q560" s="159"/>
      <c r="R560" s="159"/>
      <c r="S560" s="159"/>
      <c r="T560" s="159"/>
    </row>
    <row r="561" spans="2:20">
      <c r="B561" s="159"/>
      <c r="C561" s="159"/>
      <c r="D561" s="159"/>
      <c r="E561" s="159"/>
      <c r="F561" s="159"/>
      <c r="G561" s="159"/>
      <c r="H561" s="159"/>
      <c r="I561" s="159"/>
      <c r="J561" s="159"/>
      <c r="K561" s="159"/>
      <c r="L561" s="159"/>
      <c r="M561" s="159"/>
      <c r="N561" s="159"/>
      <c r="O561" s="159"/>
      <c r="P561" s="159"/>
      <c r="Q561" s="159"/>
      <c r="R561" s="159"/>
      <c r="S561" s="159"/>
      <c r="T561" s="159"/>
    </row>
    <row r="562" spans="2:20">
      <c r="B562" s="159"/>
      <c r="C562" s="159"/>
      <c r="D562" s="159"/>
      <c r="E562" s="159"/>
      <c r="F562" s="159"/>
      <c r="G562" s="159"/>
      <c r="H562" s="159"/>
      <c r="I562" s="159"/>
      <c r="J562" s="159"/>
      <c r="K562" s="159"/>
      <c r="L562" s="159"/>
      <c r="M562" s="159"/>
      <c r="N562" s="159"/>
      <c r="O562" s="159"/>
      <c r="P562" s="159"/>
      <c r="Q562" s="159"/>
      <c r="R562" s="159"/>
      <c r="S562" s="159"/>
      <c r="T562" s="159"/>
    </row>
    <row r="563" spans="2:20">
      <c r="B563" s="159"/>
      <c r="C563" s="159"/>
      <c r="D563" s="159"/>
      <c r="E563" s="159"/>
      <c r="F563" s="159"/>
      <c r="G563" s="159"/>
      <c r="H563" s="159"/>
      <c r="I563" s="159"/>
      <c r="J563" s="159"/>
      <c r="K563" s="159"/>
      <c r="L563" s="159"/>
      <c r="M563" s="159"/>
      <c r="N563" s="159"/>
      <c r="O563" s="159"/>
      <c r="P563" s="159"/>
      <c r="Q563" s="159"/>
      <c r="R563" s="159"/>
      <c r="S563" s="159"/>
      <c r="T563" s="159"/>
    </row>
    <row r="564" spans="2:20">
      <c r="B564" s="159"/>
      <c r="C564" s="159"/>
      <c r="D564" s="159"/>
      <c r="E564" s="159"/>
      <c r="F564" s="159"/>
      <c r="G564" s="159"/>
      <c r="H564" s="159"/>
      <c r="I564" s="159"/>
      <c r="J564" s="159"/>
      <c r="K564" s="159"/>
      <c r="L564" s="159"/>
      <c r="M564" s="159"/>
      <c r="N564" s="159"/>
      <c r="O564" s="159"/>
      <c r="P564" s="159"/>
      <c r="Q564" s="159"/>
      <c r="R564" s="159"/>
      <c r="S564" s="159"/>
      <c r="T564" s="159"/>
    </row>
    <row r="565" spans="2:20">
      <c r="B565" s="159"/>
      <c r="C565" s="159"/>
      <c r="D565" s="159"/>
      <c r="E565" s="159"/>
      <c r="F565" s="159"/>
      <c r="G565" s="159"/>
      <c r="H565" s="159"/>
      <c r="I565" s="159"/>
      <c r="J565" s="159"/>
      <c r="K565" s="159"/>
      <c r="L565" s="159"/>
      <c r="M565" s="159"/>
      <c r="N565" s="159"/>
      <c r="O565" s="159"/>
      <c r="P565" s="159"/>
      <c r="Q565" s="159"/>
      <c r="R565" s="159"/>
      <c r="S565" s="159"/>
      <c r="T565" s="159"/>
    </row>
    <row r="566" spans="2:20">
      <c r="B566" s="159"/>
      <c r="C566" s="159"/>
      <c r="D566" s="159"/>
      <c r="E566" s="159"/>
      <c r="F566" s="159"/>
      <c r="G566" s="159"/>
      <c r="H566" s="159"/>
      <c r="I566" s="159"/>
      <c r="J566" s="159"/>
      <c r="K566" s="159"/>
      <c r="L566" s="159"/>
      <c r="M566" s="159"/>
      <c r="N566" s="159"/>
      <c r="O566" s="159"/>
      <c r="P566" s="159"/>
      <c r="Q566" s="159"/>
      <c r="R566" s="159"/>
      <c r="S566" s="159"/>
      <c r="T566" s="159"/>
    </row>
    <row r="567" spans="2:20">
      <c r="B567" s="159"/>
      <c r="C567" s="159"/>
      <c r="D567" s="159"/>
      <c r="E567" s="159"/>
      <c r="F567" s="159"/>
      <c r="G567" s="159"/>
      <c r="H567" s="159"/>
      <c r="I567" s="159"/>
      <c r="J567" s="159"/>
      <c r="K567" s="159"/>
      <c r="L567" s="159"/>
      <c r="M567" s="159"/>
      <c r="N567" s="159"/>
      <c r="O567" s="159"/>
      <c r="P567" s="159"/>
      <c r="Q567" s="159"/>
      <c r="R567" s="159"/>
      <c r="S567" s="159"/>
      <c r="T567" s="159"/>
    </row>
    <row r="568" spans="2:20">
      <c r="B568" s="159"/>
      <c r="C568" s="159"/>
      <c r="D568" s="159"/>
      <c r="E568" s="159"/>
      <c r="F568" s="159"/>
      <c r="G568" s="159"/>
      <c r="H568" s="159"/>
      <c r="I568" s="159"/>
      <c r="J568" s="159"/>
      <c r="K568" s="159"/>
      <c r="L568" s="159"/>
      <c r="M568" s="159"/>
      <c r="N568" s="159"/>
      <c r="O568" s="159"/>
      <c r="P568" s="159"/>
      <c r="Q568" s="159"/>
      <c r="R568" s="159"/>
      <c r="S568" s="159"/>
      <c r="T568" s="159"/>
    </row>
    <row r="569" spans="2:20">
      <c r="B569" s="159"/>
      <c r="C569" s="159"/>
      <c r="D569" s="159"/>
      <c r="E569" s="159"/>
      <c r="F569" s="159"/>
      <c r="G569" s="159"/>
      <c r="H569" s="159"/>
      <c r="I569" s="159"/>
      <c r="J569" s="159"/>
      <c r="K569" s="159"/>
      <c r="L569" s="159"/>
      <c r="M569" s="159"/>
      <c r="N569" s="159"/>
      <c r="O569" s="159"/>
      <c r="P569" s="159"/>
      <c r="Q569" s="159"/>
      <c r="R569" s="159"/>
      <c r="S569" s="159"/>
      <c r="T569" s="159"/>
    </row>
    <row r="570" spans="2:20">
      <c r="B570" s="159"/>
      <c r="C570" s="159"/>
      <c r="D570" s="159"/>
      <c r="E570" s="159"/>
      <c r="F570" s="159"/>
      <c r="G570" s="159"/>
      <c r="H570" s="159"/>
      <c r="I570" s="159"/>
      <c r="J570" s="159"/>
      <c r="K570" s="159"/>
      <c r="L570" s="159"/>
      <c r="O570" s="159"/>
      <c r="P570" s="159"/>
      <c r="Q570" s="159"/>
      <c r="R570" s="159"/>
      <c r="S570" s="159"/>
      <c r="T570" s="159"/>
    </row>
    <row r="571" spans="2:20">
      <c r="B571" s="159"/>
      <c r="C571" s="159"/>
      <c r="D571" s="159"/>
      <c r="E571" s="159"/>
      <c r="F571" s="159"/>
      <c r="G571" s="159"/>
      <c r="H571" s="159"/>
      <c r="I571" s="159"/>
      <c r="J571" s="159"/>
      <c r="K571" s="159"/>
      <c r="L571" s="159"/>
      <c r="O571" s="159"/>
      <c r="P571" s="159"/>
      <c r="Q571" s="159"/>
      <c r="R571" s="159"/>
      <c r="S571" s="159"/>
      <c r="T571" s="159"/>
    </row>
    <row r="572" spans="2:20">
      <c r="B572" s="159"/>
      <c r="C572" s="159"/>
      <c r="D572" s="159"/>
      <c r="E572" s="159"/>
      <c r="F572" s="159"/>
      <c r="G572" s="159"/>
      <c r="H572" s="159"/>
      <c r="I572" s="159"/>
      <c r="J572" s="159"/>
      <c r="K572" s="159"/>
      <c r="L572" s="159"/>
      <c r="O572" s="159"/>
      <c r="P572" s="159"/>
      <c r="Q572" s="159"/>
      <c r="R572" s="159"/>
      <c r="S572" s="159"/>
      <c r="T572" s="159"/>
    </row>
    <row r="573" spans="2:20">
      <c r="B573" s="159"/>
      <c r="C573" s="159"/>
      <c r="D573" s="159"/>
      <c r="E573" s="159"/>
      <c r="F573" s="159"/>
      <c r="G573" s="159"/>
      <c r="H573" s="159"/>
      <c r="I573" s="159"/>
      <c r="J573" s="159"/>
      <c r="K573" s="159"/>
      <c r="L573" s="159"/>
      <c r="O573" s="159"/>
      <c r="P573" s="159"/>
      <c r="Q573" s="159"/>
      <c r="R573" s="159"/>
      <c r="S573" s="159"/>
      <c r="T573" s="159"/>
    </row>
    <row r="574" spans="2:20">
      <c r="B574" s="159"/>
      <c r="C574" s="159"/>
      <c r="D574" s="159"/>
      <c r="E574" s="159"/>
      <c r="F574" s="159"/>
      <c r="G574" s="159"/>
      <c r="H574" s="159"/>
      <c r="I574" s="159"/>
      <c r="J574" s="159"/>
      <c r="K574" s="159"/>
      <c r="L574" s="159"/>
      <c r="O574" s="159"/>
      <c r="P574" s="159"/>
      <c r="Q574" s="159"/>
      <c r="R574" s="159"/>
      <c r="S574" s="159"/>
      <c r="T574" s="159"/>
    </row>
    <row r="575" spans="2:20">
      <c r="B575" s="159"/>
      <c r="C575" s="159"/>
      <c r="D575" s="159"/>
      <c r="E575" s="159"/>
      <c r="F575" s="159"/>
      <c r="G575" s="159"/>
      <c r="H575" s="159"/>
      <c r="I575" s="159"/>
      <c r="J575" s="159"/>
      <c r="K575" s="159"/>
      <c r="L575" s="159"/>
      <c r="O575" s="159"/>
      <c r="P575" s="159"/>
      <c r="Q575" s="159"/>
      <c r="R575" s="159"/>
      <c r="S575" s="159"/>
      <c r="T575" s="159"/>
    </row>
    <row r="576" spans="2:20">
      <c r="B576" s="159"/>
      <c r="C576" s="159"/>
      <c r="D576" s="159"/>
      <c r="E576" s="159"/>
      <c r="F576" s="159"/>
      <c r="G576" s="159"/>
      <c r="H576" s="159"/>
      <c r="I576" s="159"/>
      <c r="J576" s="159"/>
      <c r="K576" s="159"/>
      <c r="L576" s="159"/>
      <c r="O576" s="159"/>
      <c r="P576" s="159"/>
      <c r="Q576" s="159"/>
      <c r="R576" s="159"/>
      <c r="S576" s="159"/>
      <c r="T576" s="159"/>
    </row>
    <row r="577" spans="2:20">
      <c r="B577" s="159"/>
      <c r="C577" s="159"/>
      <c r="D577" s="159"/>
      <c r="E577" s="159"/>
      <c r="F577" s="159"/>
      <c r="G577" s="159"/>
      <c r="H577" s="159"/>
      <c r="I577" s="159"/>
      <c r="J577" s="159"/>
      <c r="K577" s="159"/>
      <c r="L577" s="159"/>
      <c r="O577" s="159"/>
      <c r="P577" s="159"/>
      <c r="Q577" s="159"/>
      <c r="R577" s="159"/>
      <c r="S577" s="159"/>
      <c r="T577" s="159"/>
    </row>
    <row r="578" spans="2:20">
      <c r="B578" s="159"/>
      <c r="C578" s="159"/>
      <c r="D578" s="159"/>
      <c r="E578" s="159"/>
      <c r="F578" s="159"/>
      <c r="G578" s="159"/>
      <c r="H578" s="159"/>
      <c r="I578" s="159"/>
      <c r="J578" s="159"/>
      <c r="K578" s="159"/>
      <c r="L578" s="159"/>
      <c r="O578" s="159"/>
      <c r="P578" s="159"/>
      <c r="Q578" s="159"/>
      <c r="R578" s="159"/>
      <c r="S578" s="159"/>
      <c r="T578" s="159"/>
    </row>
    <row r="579" spans="2:20">
      <c r="B579" s="159"/>
      <c r="C579" s="159"/>
      <c r="D579" s="159"/>
      <c r="E579" s="159"/>
      <c r="F579" s="159"/>
      <c r="G579" s="159"/>
      <c r="H579" s="159"/>
      <c r="I579" s="159"/>
      <c r="J579" s="159"/>
      <c r="K579" s="159"/>
      <c r="L579" s="159"/>
      <c r="O579" s="159"/>
      <c r="P579" s="159"/>
      <c r="Q579" s="159"/>
      <c r="R579" s="159"/>
      <c r="S579" s="159"/>
      <c r="T579" s="159"/>
    </row>
    <row r="580" spans="2:20">
      <c r="B580" s="159"/>
      <c r="C580" s="159"/>
      <c r="D580" s="159"/>
      <c r="E580" s="159"/>
      <c r="F580" s="159"/>
      <c r="G580" s="159"/>
      <c r="H580" s="159"/>
      <c r="I580" s="159"/>
      <c r="J580" s="159"/>
      <c r="K580" s="159"/>
      <c r="L580" s="159"/>
      <c r="O580" s="159"/>
      <c r="P580" s="159"/>
      <c r="Q580" s="159"/>
      <c r="R580" s="159"/>
      <c r="S580" s="159"/>
      <c r="T580" s="159"/>
    </row>
    <row r="581" spans="2:20">
      <c r="B581" s="159"/>
      <c r="C581" s="159"/>
      <c r="D581" s="159"/>
      <c r="E581" s="159"/>
      <c r="F581" s="159"/>
      <c r="G581" s="159"/>
      <c r="H581" s="159"/>
      <c r="I581" s="159"/>
      <c r="J581" s="159"/>
      <c r="K581" s="159"/>
      <c r="L581" s="159"/>
      <c r="O581" s="159"/>
      <c r="P581" s="159"/>
      <c r="Q581" s="159"/>
      <c r="R581" s="159"/>
      <c r="S581" s="159"/>
      <c r="T581" s="159"/>
    </row>
    <row r="582" spans="2:20">
      <c r="B582" s="159"/>
      <c r="C582" s="159"/>
      <c r="D582" s="159"/>
      <c r="E582" s="159"/>
      <c r="F582" s="159"/>
      <c r="G582" s="159"/>
      <c r="H582" s="159"/>
      <c r="I582" s="159"/>
      <c r="J582" s="159"/>
      <c r="K582" s="159"/>
      <c r="L582" s="159"/>
      <c r="O582" s="159"/>
      <c r="P582" s="159"/>
      <c r="Q582" s="159"/>
      <c r="R582" s="159"/>
      <c r="S582" s="159"/>
      <c r="T582" s="159"/>
    </row>
    <row r="583" spans="2:20">
      <c r="B583" s="159"/>
      <c r="C583" s="159"/>
      <c r="D583" s="159"/>
      <c r="E583" s="159"/>
      <c r="F583" s="159"/>
      <c r="G583" s="159"/>
      <c r="H583" s="159"/>
      <c r="I583" s="159"/>
      <c r="J583" s="159"/>
      <c r="K583" s="159"/>
      <c r="L583" s="159"/>
      <c r="O583" s="159"/>
      <c r="P583" s="159"/>
      <c r="Q583" s="159"/>
      <c r="R583" s="159"/>
      <c r="S583" s="159"/>
      <c r="T583" s="159"/>
    </row>
    <row r="584" spans="2:20">
      <c r="B584" s="159"/>
      <c r="C584" s="159"/>
      <c r="D584" s="159"/>
      <c r="E584" s="159"/>
      <c r="F584" s="159"/>
      <c r="G584" s="159"/>
      <c r="H584" s="159"/>
      <c r="I584" s="159"/>
      <c r="J584" s="159"/>
      <c r="K584" s="159"/>
      <c r="L584" s="159"/>
      <c r="O584" s="159"/>
      <c r="P584" s="159"/>
      <c r="Q584" s="159"/>
      <c r="R584" s="159"/>
      <c r="S584" s="159"/>
      <c r="T584" s="159"/>
    </row>
    <row r="585" spans="2:20">
      <c r="B585" s="159"/>
      <c r="C585" s="159"/>
      <c r="D585" s="159"/>
      <c r="E585" s="159"/>
      <c r="F585" s="159"/>
      <c r="G585" s="159"/>
      <c r="H585" s="159"/>
      <c r="I585" s="159"/>
      <c r="J585" s="159"/>
      <c r="K585" s="159"/>
      <c r="L585" s="159"/>
      <c r="O585" s="159"/>
      <c r="P585" s="159"/>
      <c r="Q585" s="159"/>
      <c r="R585" s="159"/>
      <c r="S585" s="159"/>
      <c r="T585" s="159"/>
    </row>
    <row r="586" spans="2:20">
      <c r="B586" s="159"/>
      <c r="C586" s="159"/>
      <c r="D586" s="159"/>
      <c r="E586" s="159"/>
      <c r="F586" s="159"/>
      <c r="G586" s="159"/>
      <c r="H586" s="159"/>
      <c r="I586" s="159"/>
      <c r="J586" s="159"/>
      <c r="K586" s="159"/>
      <c r="L586" s="159"/>
      <c r="O586" s="159"/>
      <c r="P586" s="159"/>
      <c r="Q586" s="159"/>
      <c r="R586" s="159"/>
      <c r="S586" s="159"/>
      <c r="T586" s="159"/>
    </row>
    <row r="587" spans="2:20">
      <c r="B587" s="159"/>
      <c r="C587" s="159"/>
      <c r="D587" s="159"/>
      <c r="E587" s="159"/>
      <c r="F587" s="159"/>
      <c r="G587" s="159"/>
      <c r="H587" s="159"/>
      <c r="I587" s="159"/>
      <c r="J587" s="159"/>
      <c r="K587" s="159"/>
      <c r="L587" s="159"/>
      <c r="O587" s="159"/>
      <c r="P587" s="159"/>
      <c r="Q587" s="159"/>
      <c r="R587" s="159"/>
      <c r="S587" s="159"/>
      <c r="T587" s="159"/>
    </row>
    <row r="588" spans="2:20">
      <c r="B588" s="159"/>
      <c r="C588" s="159"/>
      <c r="D588" s="159"/>
      <c r="E588" s="159"/>
      <c r="F588" s="159"/>
      <c r="G588" s="159"/>
      <c r="H588" s="159"/>
      <c r="I588" s="159"/>
      <c r="J588" s="159"/>
      <c r="K588" s="159"/>
      <c r="L588" s="159"/>
      <c r="O588" s="159"/>
      <c r="P588" s="159"/>
      <c r="Q588" s="159"/>
      <c r="R588" s="159"/>
      <c r="S588" s="159"/>
      <c r="T588" s="159"/>
    </row>
    <row r="589" spans="2:20">
      <c r="B589" s="159"/>
      <c r="C589" s="159"/>
      <c r="D589" s="159"/>
      <c r="E589" s="159"/>
      <c r="F589" s="159"/>
      <c r="G589" s="159"/>
      <c r="H589" s="159"/>
      <c r="I589" s="159"/>
      <c r="J589" s="159"/>
      <c r="K589" s="159"/>
      <c r="L589" s="159"/>
      <c r="O589" s="159"/>
      <c r="P589" s="159"/>
      <c r="Q589" s="159"/>
      <c r="R589" s="159"/>
      <c r="S589" s="159"/>
      <c r="T589" s="159"/>
    </row>
    <row r="590" spans="2:20">
      <c r="B590" s="159"/>
      <c r="C590" s="159"/>
      <c r="D590" s="159"/>
      <c r="E590" s="159"/>
      <c r="F590" s="159"/>
      <c r="G590" s="159"/>
      <c r="H590" s="159"/>
      <c r="I590" s="159"/>
      <c r="J590" s="159"/>
      <c r="K590" s="159"/>
      <c r="L590" s="159"/>
      <c r="O590" s="159"/>
      <c r="P590" s="159"/>
      <c r="Q590" s="159"/>
      <c r="R590" s="159"/>
      <c r="S590" s="159"/>
      <c r="T590" s="159"/>
    </row>
    <row r="591" spans="2:20">
      <c r="B591" s="159"/>
      <c r="C591" s="159"/>
      <c r="D591" s="159"/>
      <c r="E591" s="159"/>
      <c r="F591" s="159"/>
      <c r="G591" s="159"/>
      <c r="H591" s="159"/>
      <c r="I591" s="159"/>
      <c r="J591" s="159"/>
      <c r="K591" s="159"/>
      <c r="L591" s="159"/>
      <c r="O591" s="159"/>
      <c r="P591" s="159"/>
      <c r="Q591" s="159"/>
      <c r="R591" s="159"/>
      <c r="S591" s="159"/>
      <c r="T591" s="159"/>
    </row>
    <row r="592" spans="2:20">
      <c r="B592" s="159"/>
      <c r="C592" s="159"/>
      <c r="D592" s="159"/>
      <c r="E592" s="159"/>
      <c r="F592" s="159"/>
      <c r="G592" s="159"/>
      <c r="H592" s="159"/>
      <c r="I592" s="159"/>
      <c r="J592" s="159"/>
      <c r="K592" s="159"/>
      <c r="L592" s="159"/>
      <c r="O592" s="159"/>
      <c r="P592" s="159"/>
      <c r="Q592" s="159"/>
      <c r="R592" s="159"/>
      <c r="S592" s="159"/>
      <c r="T592" s="159"/>
    </row>
    <row r="593" spans="2:20">
      <c r="B593" s="159"/>
      <c r="C593" s="159"/>
      <c r="D593" s="159"/>
      <c r="E593" s="159"/>
      <c r="F593" s="159"/>
      <c r="G593" s="159"/>
      <c r="H593" s="159"/>
      <c r="I593" s="159"/>
      <c r="J593" s="159"/>
      <c r="K593" s="159"/>
      <c r="L593" s="159"/>
      <c r="O593" s="159"/>
      <c r="P593" s="159"/>
      <c r="Q593" s="159"/>
      <c r="R593" s="159"/>
      <c r="S593" s="159"/>
      <c r="T593" s="159"/>
    </row>
    <row r="594" spans="2:20">
      <c r="B594" s="159"/>
      <c r="C594" s="159"/>
      <c r="D594" s="159"/>
      <c r="E594" s="159"/>
      <c r="F594" s="159"/>
      <c r="G594" s="159"/>
      <c r="H594" s="159"/>
      <c r="I594" s="159"/>
      <c r="J594" s="159"/>
      <c r="K594" s="159"/>
      <c r="L594" s="159"/>
      <c r="O594" s="159"/>
      <c r="P594" s="159"/>
      <c r="Q594" s="159"/>
      <c r="R594" s="159"/>
      <c r="S594" s="159"/>
      <c r="T594" s="159"/>
    </row>
    <row r="595" spans="2:20">
      <c r="B595" s="159"/>
      <c r="C595" s="159"/>
      <c r="D595" s="159"/>
      <c r="E595" s="159"/>
      <c r="F595" s="159"/>
      <c r="G595" s="159"/>
      <c r="H595" s="159"/>
      <c r="I595" s="159"/>
      <c r="J595" s="159"/>
      <c r="K595" s="159"/>
      <c r="L595" s="159"/>
      <c r="O595" s="159"/>
      <c r="P595" s="159"/>
      <c r="Q595" s="159"/>
      <c r="R595" s="159"/>
      <c r="S595" s="159"/>
      <c r="T595" s="159"/>
    </row>
    <row r="596" spans="2:20">
      <c r="B596" s="159"/>
      <c r="C596" s="159"/>
      <c r="D596" s="159"/>
      <c r="E596" s="159"/>
      <c r="F596" s="159"/>
      <c r="G596" s="159"/>
      <c r="H596" s="159"/>
      <c r="I596" s="159"/>
      <c r="J596" s="159"/>
      <c r="K596" s="159"/>
      <c r="L596" s="159"/>
      <c r="O596" s="159"/>
      <c r="P596" s="159"/>
      <c r="Q596" s="159"/>
      <c r="R596" s="159"/>
      <c r="S596" s="159"/>
      <c r="T596" s="159"/>
    </row>
    <row r="597" spans="2:20">
      <c r="B597" s="159"/>
      <c r="C597" s="159"/>
      <c r="D597" s="159"/>
      <c r="E597" s="159"/>
      <c r="F597" s="159"/>
      <c r="G597" s="159"/>
      <c r="H597" s="159"/>
      <c r="I597" s="159"/>
      <c r="J597" s="159"/>
      <c r="K597" s="159"/>
      <c r="L597" s="159"/>
      <c r="O597" s="159"/>
      <c r="P597" s="159"/>
      <c r="Q597" s="159"/>
      <c r="R597" s="159"/>
      <c r="S597" s="159"/>
      <c r="T597" s="159"/>
    </row>
    <row r="598" spans="2:20">
      <c r="B598" s="159"/>
      <c r="C598" s="159"/>
      <c r="D598" s="159"/>
      <c r="E598" s="159"/>
      <c r="F598" s="159"/>
      <c r="G598" s="159"/>
      <c r="H598" s="159"/>
      <c r="I598" s="159"/>
      <c r="J598" s="159"/>
      <c r="K598" s="159"/>
      <c r="L598" s="159"/>
      <c r="O598" s="159"/>
      <c r="P598" s="159"/>
      <c r="Q598" s="159"/>
      <c r="R598" s="159"/>
      <c r="S598" s="159"/>
      <c r="T598" s="159"/>
    </row>
    <row r="599" spans="2:20">
      <c r="B599" s="159"/>
      <c r="C599" s="159"/>
      <c r="D599" s="159"/>
      <c r="E599" s="159"/>
      <c r="F599" s="159"/>
      <c r="G599" s="159"/>
      <c r="H599" s="159"/>
      <c r="I599" s="159"/>
      <c r="J599" s="159"/>
      <c r="K599" s="159"/>
      <c r="L599" s="159"/>
      <c r="O599" s="159"/>
      <c r="P599" s="159"/>
      <c r="Q599" s="159"/>
      <c r="R599" s="159"/>
      <c r="S599" s="159"/>
      <c r="T599" s="159"/>
    </row>
  </sheetData>
  <mergeCells count="54">
    <mergeCell ref="B332:J332"/>
    <mergeCell ref="B322:J322"/>
    <mergeCell ref="B328:J328"/>
    <mergeCell ref="B329:J329"/>
    <mergeCell ref="B330:J330"/>
    <mergeCell ref="B331:J331"/>
    <mergeCell ref="B327:J327"/>
    <mergeCell ref="B323:J323"/>
    <mergeCell ref="B324:J324"/>
    <mergeCell ref="B326:J326"/>
    <mergeCell ref="B284:K284"/>
    <mergeCell ref="B285:K285"/>
    <mergeCell ref="B286:K286"/>
    <mergeCell ref="B287:K287"/>
    <mergeCell ref="B288:K288"/>
    <mergeCell ref="B317:J317"/>
    <mergeCell ref="B318:J318"/>
    <mergeCell ref="B319:J319"/>
    <mergeCell ref="B320:J320"/>
    <mergeCell ref="B325:J325"/>
    <mergeCell ref="B321:J321"/>
    <mergeCell ref="H1:L1"/>
    <mergeCell ref="C274:D274"/>
    <mergeCell ref="I274:K274"/>
    <mergeCell ref="B282:K282"/>
    <mergeCell ref="B283:K283"/>
    <mergeCell ref="H72:L72"/>
    <mergeCell ref="K139:L139"/>
    <mergeCell ref="K206:L206"/>
    <mergeCell ref="H138:L138"/>
    <mergeCell ref="H205:L205"/>
    <mergeCell ref="K2:L2"/>
    <mergeCell ref="K73:L73"/>
    <mergeCell ref="B289:K289"/>
    <mergeCell ref="B290:K290"/>
    <mergeCell ref="B291:K291"/>
    <mergeCell ref="B292:K292"/>
    <mergeCell ref="E294:K294"/>
    <mergeCell ref="E295:K295"/>
    <mergeCell ref="B296:K296"/>
    <mergeCell ref="B297:K297"/>
    <mergeCell ref="B298:K298"/>
    <mergeCell ref="B299:K299"/>
    <mergeCell ref="B300:K300"/>
    <mergeCell ref="B301:K301"/>
    <mergeCell ref="B302:K302"/>
    <mergeCell ref="B303:K303"/>
    <mergeCell ref="B304:K304"/>
    <mergeCell ref="B310:K310"/>
    <mergeCell ref="B305:K305"/>
    <mergeCell ref="B306:K306"/>
    <mergeCell ref="B307:K307"/>
    <mergeCell ref="B308:K308"/>
    <mergeCell ref="B309:K309"/>
  </mergeCells>
  <phoneticPr fontId="3" type="noConversion"/>
  <pageMargins left="0" right="0" top="0" bottom="0" header="0.5" footer="0.5"/>
  <pageSetup scale="30" fitToHeight="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57"/>
  <sheetViews>
    <sheetView showGridLines="0" zoomScale="90" zoomScaleNormal="90" workbookViewId="0">
      <selection activeCell="A17" sqref="A17"/>
    </sheetView>
  </sheetViews>
  <sheetFormatPr defaultRowHeight="12.75"/>
  <cols>
    <col min="1" max="2" width="9.140625" style="5"/>
    <col min="3" max="3" width="1.5703125" style="5" customWidth="1"/>
    <col min="4" max="4" width="1.85546875" style="5" customWidth="1"/>
    <col min="5" max="5" width="65.85546875" style="5" customWidth="1"/>
    <col min="6" max="6" width="33.5703125" style="7" customWidth="1"/>
    <col min="7" max="8" width="2.28515625" style="7" customWidth="1"/>
    <col min="9" max="9" width="23" style="5" customWidth="1"/>
    <col min="10" max="10" width="46.7109375" style="5" customWidth="1"/>
    <col min="11" max="11" width="22.5703125" style="5" customWidth="1"/>
    <col min="12" max="13" width="27.140625" style="5" customWidth="1"/>
    <col min="14" max="18" width="17.5703125" style="5" customWidth="1"/>
    <col min="19" max="19" width="6.28515625" style="5" bestFit="1" customWidth="1"/>
    <col min="20" max="16384" width="9.140625" style="5"/>
  </cols>
  <sheetData>
    <row r="2" spans="2:19" ht="4.5" customHeight="1" thickBot="1"/>
    <row r="3" spans="2:19" ht="6.75" customHeight="1">
      <c r="D3" s="16"/>
      <c r="E3" s="17"/>
      <c r="F3" s="18"/>
      <c r="G3" s="19"/>
    </row>
    <row r="4" spans="2:19" ht="33" customHeight="1">
      <c r="D4" s="20"/>
      <c r="E4" s="13" t="s">
        <v>529</v>
      </c>
      <c r="F4" s="10"/>
      <c r="G4" s="21"/>
      <c r="I4" s="1"/>
      <c r="J4" s="1"/>
      <c r="K4" s="1"/>
      <c r="L4" s="1"/>
    </row>
    <row r="5" spans="2:19">
      <c r="D5" s="20"/>
      <c r="E5" s="1"/>
      <c r="F5" s="10"/>
      <c r="G5" s="21"/>
      <c r="I5" s="1"/>
      <c r="J5" s="1"/>
      <c r="K5" s="1"/>
      <c r="L5" s="1"/>
    </row>
    <row r="6" spans="2:19" ht="42.75" customHeight="1">
      <c r="D6" s="20"/>
      <c r="E6" s="2" t="s">
        <v>8</v>
      </c>
      <c r="F6" s="4"/>
      <c r="G6" s="21"/>
      <c r="H6" s="10"/>
      <c r="I6" s="1"/>
      <c r="J6" s="8"/>
      <c r="K6" s="1"/>
      <c r="L6" s="1"/>
    </row>
    <row r="7" spans="2:19" ht="61.5" customHeight="1">
      <c r="D7" s="20"/>
      <c r="E7" s="3" t="s">
        <v>4</v>
      </c>
      <c r="F7" s="4">
        <f>375827</f>
        <v>375827</v>
      </c>
      <c r="G7" s="21"/>
      <c r="H7" s="10"/>
      <c r="I7" s="1"/>
      <c r="J7" s="9"/>
      <c r="K7" s="1"/>
      <c r="L7" s="1"/>
    </row>
    <row r="8" spans="2:19" ht="42.75" customHeight="1">
      <c r="D8" s="20"/>
      <c r="E8" s="3" t="s">
        <v>5</v>
      </c>
      <c r="F8" s="4">
        <f>11711</f>
        <v>11711</v>
      </c>
      <c r="G8" s="21"/>
      <c r="H8" s="10"/>
      <c r="I8" s="32"/>
      <c r="J8" s="9"/>
      <c r="K8" s="1"/>
      <c r="L8" s="1"/>
    </row>
    <row r="9" spans="2:19" ht="42.75" customHeight="1">
      <c r="D9" s="20"/>
      <c r="E9" s="3" t="s">
        <v>6</v>
      </c>
      <c r="F9" s="4">
        <f>249273</f>
        <v>249273</v>
      </c>
      <c r="G9" s="21"/>
      <c r="H9" s="10"/>
      <c r="I9" s="1"/>
      <c r="J9" s="9"/>
      <c r="K9" s="1"/>
      <c r="L9" s="1"/>
    </row>
    <row r="10" spans="2:19" ht="42.75" customHeight="1">
      <c r="D10" s="20"/>
      <c r="E10" s="3" t="s">
        <v>9</v>
      </c>
      <c r="F10" s="4">
        <f>177124</f>
        <v>177124</v>
      </c>
      <c r="G10" s="21"/>
      <c r="H10" s="10"/>
      <c r="I10" s="1"/>
      <c r="J10" s="9"/>
      <c r="K10" s="1"/>
      <c r="L10" s="1"/>
    </row>
    <row r="11" spans="2:19" ht="42.75" customHeight="1">
      <c r="D11" s="20"/>
      <c r="E11" s="6"/>
      <c r="F11" s="11">
        <f>R39</f>
        <v>0</v>
      </c>
      <c r="G11" s="22"/>
      <c r="H11" s="15"/>
      <c r="I11" s="359" t="s">
        <v>11</v>
      </c>
      <c r="J11" s="1"/>
      <c r="K11" s="1"/>
      <c r="L11" s="1"/>
    </row>
    <row r="12" spans="2:19" ht="42.75" customHeight="1">
      <c r="D12" s="20"/>
      <c r="E12" s="6" t="s">
        <v>7</v>
      </c>
      <c r="F12" s="4">
        <f>SUM(F7:F11)</f>
        <v>813935</v>
      </c>
      <c r="G12" s="21"/>
      <c r="H12" s="10"/>
      <c r="I12" s="31" t="s">
        <v>11</v>
      </c>
      <c r="J12" s="15" t="s">
        <v>11</v>
      </c>
      <c r="K12" s="1"/>
      <c r="L12" s="1"/>
    </row>
    <row r="13" spans="2:19" ht="13.5" thickBot="1">
      <c r="D13" s="23"/>
      <c r="E13" s="24"/>
      <c r="F13" s="25"/>
      <c r="G13" s="26"/>
      <c r="I13" s="1"/>
      <c r="J13" s="1"/>
      <c r="K13" s="1"/>
      <c r="L13" s="1"/>
    </row>
    <row r="14" spans="2:19" ht="7.5" customHeight="1">
      <c r="I14" s="1"/>
      <c r="J14" s="1"/>
      <c r="K14" s="1"/>
      <c r="L14" s="1"/>
    </row>
    <row r="15" spans="2:19">
      <c r="I15" s="1"/>
      <c r="J15" s="1"/>
      <c r="K15" s="1"/>
      <c r="L15" s="1"/>
    </row>
    <row r="16" spans="2:19">
      <c r="B16"/>
      <c r="C16"/>
      <c r="D16"/>
      <c r="E16"/>
      <c r="F16"/>
      <c r="G16"/>
      <c r="H16"/>
      <c r="I16"/>
      <c r="J16"/>
      <c r="K16"/>
      <c r="L16"/>
      <c r="M16"/>
      <c r="N16"/>
      <c r="O16"/>
      <c r="P16"/>
      <c r="Q16"/>
      <c r="R16"/>
      <c r="S16"/>
    </row>
    <row r="17" spans="2:19" ht="12" customHeight="1">
      <c r="B17"/>
      <c r="C17"/>
      <c r="D17"/>
      <c r="E17"/>
      <c r="F17"/>
      <c r="G17"/>
      <c r="H17"/>
      <c r="I17"/>
      <c r="J17"/>
      <c r="K17"/>
      <c r="L17"/>
      <c r="M17"/>
      <c r="N17"/>
      <c r="O17"/>
      <c r="P17"/>
      <c r="Q17"/>
      <c r="R17"/>
      <c r="S17"/>
    </row>
    <row r="18" spans="2:19" ht="20.25" customHeight="1">
      <c r="B18"/>
      <c r="C18"/>
      <c r="D18"/>
      <c r="E18"/>
      <c r="F18"/>
      <c r="G18"/>
      <c r="H18"/>
      <c r="I18"/>
      <c r="J18"/>
      <c r="K18"/>
      <c r="L18"/>
      <c r="M18"/>
      <c r="N18"/>
      <c r="O18"/>
      <c r="P18"/>
      <c r="Q18"/>
      <c r="R18"/>
      <c r="S18"/>
    </row>
    <row r="19" spans="2:19" ht="20.25" customHeight="1">
      <c r="B19"/>
      <c r="C19"/>
      <c r="D19"/>
      <c r="E19"/>
      <c r="F19"/>
      <c r="G19"/>
      <c r="H19"/>
      <c r="I19"/>
      <c r="J19"/>
      <c r="K19"/>
      <c r="L19"/>
      <c r="M19"/>
      <c r="N19"/>
      <c r="O19"/>
      <c r="P19"/>
      <c r="Q19"/>
      <c r="R19"/>
      <c r="S19"/>
    </row>
    <row r="20" spans="2:19" ht="20.25" customHeight="1">
      <c r="B20"/>
      <c r="C20"/>
      <c r="D20"/>
      <c r="E20"/>
      <c r="F20"/>
      <c r="G20"/>
      <c r="H20"/>
      <c r="I20"/>
      <c r="J20"/>
      <c r="K20"/>
      <c r="L20"/>
      <c r="M20"/>
      <c r="N20"/>
      <c r="O20"/>
      <c r="P20"/>
      <c r="Q20"/>
      <c r="R20"/>
      <c r="S20"/>
    </row>
    <row r="21" spans="2:19" ht="20.25" customHeight="1">
      <c r="B21"/>
      <c r="C21"/>
      <c r="D21"/>
      <c r="E21"/>
      <c r="F21"/>
      <c r="G21"/>
      <c r="H21"/>
      <c r="I21"/>
      <c r="J21"/>
      <c r="K21"/>
      <c r="L21"/>
      <c r="M21"/>
      <c r="N21"/>
      <c r="O21"/>
      <c r="P21"/>
      <c r="Q21"/>
      <c r="R21"/>
      <c r="S21"/>
    </row>
    <row r="22" spans="2:19" ht="20.25" customHeight="1">
      <c r="B22"/>
      <c r="C22"/>
      <c r="D22"/>
      <c r="E22"/>
      <c r="F22"/>
      <c r="G22"/>
      <c r="H22"/>
      <c r="I22"/>
      <c r="J22"/>
      <c r="K22"/>
      <c r="L22"/>
      <c r="M22"/>
      <c r="N22"/>
      <c r="O22"/>
      <c r="P22"/>
      <c r="Q22"/>
      <c r="R22"/>
      <c r="S22"/>
    </row>
    <row r="23" spans="2:19" ht="20.25" customHeight="1">
      <c r="B23"/>
      <c r="C23"/>
      <c r="D23"/>
      <c r="E23"/>
      <c r="F23"/>
      <c r="G23"/>
      <c r="H23"/>
      <c r="I23"/>
      <c r="J23"/>
      <c r="K23"/>
      <c r="L23"/>
      <c r="M23"/>
      <c r="N23"/>
      <c r="O23"/>
      <c r="P23"/>
      <c r="Q23"/>
      <c r="R23"/>
      <c r="S23"/>
    </row>
    <row r="24" spans="2:19" ht="20.25" customHeight="1">
      <c r="B24"/>
      <c r="C24"/>
      <c r="D24"/>
      <c r="E24"/>
      <c r="F24"/>
      <c r="G24"/>
      <c r="H24"/>
      <c r="I24"/>
      <c r="J24"/>
      <c r="K24"/>
      <c r="L24"/>
      <c r="M24"/>
      <c r="N24"/>
      <c r="O24"/>
      <c r="P24"/>
      <c r="Q24"/>
      <c r="R24"/>
      <c r="S24"/>
    </row>
    <row r="25" spans="2:19" ht="20.25" customHeight="1">
      <c r="B25"/>
      <c r="C25"/>
      <c r="D25"/>
      <c r="E25"/>
      <c r="F25"/>
      <c r="G25"/>
      <c r="H25"/>
      <c r="I25"/>
      <c r="J25"/>
      <c r="K25"/>
      <c r="L25"/>
      <c r="M25"/>
      <c r="N25"/>
      <c r="O25"/>
      <c r="P25"/>
      <c r="Q25"/>
      <c r="R25"/>
      <c r="S25"/>
    </row>
    <row r="26" spans="2:19" ht="20.25" customHeight="1">
      <c r="B26"/>
      <c r="C26"/>
      <c r="D26"/>
      <c r="E26"/>
      <c r="F26"/>
      <c r="G26"/>
      <c r="H26"/>
      <c r="I26"/>
      <c r="J26"/>
      <c r="K26"/>
      <c r="L26"/>
      <c r="M26"/>
      <c r="N26"/>
      <c r="O26"/>
      <c r="P26"/>
      <c r="Q26"/>
      <c r="R26"/>
      <c r="S26"/>
    </row>
    <row r="27" spans="2:19" ht="20.25" customHeight="1">
      <c r="B27"/>
      <c r="C27"/>
      <c r="D27"/>
      <c r="E27"/>
      <c r="F27"/>
      <c r="G27"/>
      <c r="H27"/>
      <c r="I27"/>
      <c r="J27"/>
      <c r="K27"/>
      <c r="L27"/>
      <c r="M27"/>
      <c r="N27"/>
      <c r="O27"/>
      <c r="P27"/>
      <c r="Q27"/>
      <c r="R27"/>
      <c r="S27"/>
    </row>
    <row r="28" spans="2:19" ht="20.25" customHeight="1">
      <c r="B28"/>
      <c r="C28"/>
      <c r="D28"/>
      <c r="E28"/>
      <c r="F28"/>
      <c r="G28"/>
      <c r="H28"/>
      <c r="I28"/>
      <c r="J28"/>
      <c r="K28"/>
      <c r="L28"/>
      <c r="M28"/>
      <c r="N28"/>
      <c r="O28"/>
      <c r="P28"/>
      <c r="Q28"/>
      <c r="R28"/>
      <c r="S28"/>
    </row>
    <row r="29" spans="2:19" ht="20.25" customHeight="1">
      <c r="B29"/>
      <c r="C29"/>
      <c r="D29"/>
      <c r="E29"/>
      <c r="F29"/>
      <c r="G29"/>
      <c r="H29"/>
      <c r="I29"/>
      <c r="J29"/>
      <c r="K29"/>
      <c r="L29"/>
      <c r="M29"/>
      <c r="N29"/>
      <c r="O29"/>
      <c r="P29"/>
      <c r="Q29"/>
      <c r="R29"/>
      <c r="S29"/>
    </row>
    <row r="30" spans="2:19" ht="20.25" customHeight="1">
      <c r="B30"/>
      <c r="C30"/>
      <c r="D30"/>
      <c r="E30"/>
      <c r="F30"/>
      <c r="G30"/>
      <c r="H30"/>
      <c r="I30"/>
      <c r="J30"/>
      <c r="K30"/>
      <c r="L30"/>
      <c r="M30"/>
      <c r="N30"/>
      <c r="O30"/>
      <c r="P30"/>
      <c r="Q30"/>
      <c r="R30"/>
      <c r="S30"/>
    </row>
    <row r="31" spans="2:19" ht="20.25" customHeight="1">
      <c r="B31"/>
      <c r="C31"/>
      <c r="D31"/>
      <c r="E31"/>
      <c r="F31"/>
      <c r="G31"/>
      <c r="H31"/>
      <c r="I31"/>
      <c r="J31"/>
      <c r="K31"/>
      <c r="L31"/>
      <c r="M31"/>
      <c r="N31"/>
      <c r="O31"/>
      <c r="P31"/>
      <c r="Q31"/>
      <c r="R31"/>
      <c r="S31"/>
    </row>
    <row r="32" spans="2:19" ht="20.25" customHeight="1">
      <c r="B32"/>
      <c r="C32"/>
      <c r="D32"/>
      <c r="E32"/>
      <c r="F32"/>
      <c r="G32"/>
      <c r="H32"/>
      <c r="I32"/>
      <c r="J32"/>
      <c r="K32"/>
      <c r="L32"/>
      <c r="M32"/>
      <c r="N32"/>
      <c r="O32"/>
      <c r="P32"/>
      <c r="Q32"/>
      <c r="R32"/>
      <c r="S32"/>
    </row>
    <row r="33" spans="2:19" ht="20.25" customHeight="1">
      <c r="B33"/>
      <c r="C33"/>
      <c r="D33"/>
      <c r="E33"/>
      <c r="F33"/>
      <c r="G33"/>
      <c r="H33"/>
      <c r="I33"/>
      <c r="J33"/>
      <c r="K33"/>
      <c r="L33"/>
      <c r="M33"/>
      <c r="N33"/>
      <c r="O33"/>
      <c r="P33"/>
      <c r="Q33"/>
      <c r="R33"/>
      <c r="S33"/>
    </row>
    <row r="34" spans="2:19" ht="20.25" customHeight="1">
      <c r="B34"/>
      <c r="C34"/>
      <c r="D34"/>
      <c r="E34"/>
      <c r="F34"/>
      <c r="G34"/>
      <c r="H34"/>
      <c r="I34"/>
      <c r="J34"/>
      <c r="K34"/>
      <c r="L34"/>
      <c r="M34"/>
      <c r="N34"/>
      <c r="O34"/>
      <c r="P34"/>
      <c r="Q34"/>
      <c r="R34"/>
      <c r="S34"/>
    </row>
    <row r="35" spans="2:19" ht="20.25" customHeight="1">
      <c r="B35"/>
      <c r="C35"/>
      <c r="D35"/>
      <c r="E35"/>
      <c r="F35"/>
      <c r="G35"/>
      <c r="H35"/>
      <c r="I35"/>
      <c r="J35"/>
      <c r="K35"/>
      <c r="L35"/>
      <c r="M35"/>
      <c r="N35"/>
      <c r="O35"/>
      <c r="P35"/>
      <c r="Q35"/>
      <c r="R35"/>
      <c r="S35"/>
    </row>
    <row r="36" spans="2:19" ht="20.25" customHeight="1">
      <c r="B36"/>
      <c r="C36"/>
      <c r="D36"/>
      <c r="E36"/>
      <c r="F36"/>
      <c r="G36"/>
      <c r="H36"/>
      <c r="I36"/>
      <c r="J36"/>
      <c r="K36"/>
      <c r="L36"/>
      <c r="M36"/>
      <c r="N36"/>
      <c r="O36"/>
      <c r="P36"/>
      <c r="Q36"/>
      <c r="R36"/>
      <c r="S36"/>
    </row>
    <row r="37" spans="2:19" ht="20.25" customHeight="1">
      <c r="B37"/>
      <c r="C37"/>
      <c r="D37"/>
      <c r="E37"/>
      <c r="F37"/>
      <c r="G37"/>
      <c r="H37"/>
      <c r="I37"/>
      <c r="J37"/>
      <c r="K37"/>
      <c r="L37"/>
      <c r="M37"/>
      <c r="N37"/>
      <c r="O37"/>
      <c r="P37"/>
      <c r="Q37"/>
      <c r="R37"/>
      <c r="S37"/>
    </row>
    <row r="38" spans="2:19" ht="20.25" customHeight="1">
      <c r="B38"/>
      <c r="C38"/>
      <c r="D38"/>
      <c r="E38"/>
      <c r="F38"/>
      <c r="G38"/>
      <c r="H38"/>
      <c r="I38"/>
      <c r="J38"/>
      <c r="K38"/>
      <c r="L38"/>
      <c r="M38"/>
      <c r="N38"/>
      <c r="O38"/>
      <c r="P38"/>
      <c r="Q38"/>
      <c r="R38"/>
      <c r="S38"/>
    </row>
    <row r="39" spans="2:19">
      <c r="B39"/>
      <c r="C39"/>
      <c r="D39"/>
      <c r="E39"/>
      <c r="F39"/>
      <c r="G39"/>
      <c r="H39"/>
      <c r="I39"/>
      <c r="J39"/>
      <c r="K39"/>
      <c r="L39"/>
      <c r="M39"/>
      <c r="N39"/>
      <c r="O39"/>
      <c r="P39"/>
      <c r="Q39"/>
      <c r="R39"/>
      <c r="S39"/>
    </row>
    <row r="40" spans="2:19" ht="6.75" customHeight="1">
      <c r="B40"/>
      <c r="C40"/>
      <c r="D40"/>
      <c r="E40"/>
      <c r="F40"/>
      <c r="G40"/>
      <c r="H40"/>
      <c r="I40"/>
      <c r="J40"/>
      <c r="K40"/>
      <c r="L40"/>
      <c r="M40"/>
      <c r="N40"/>
      <c r="O40"/>
      <c r="P40"/>
      <c r="Q40"/>
      <c r="R40"/>
      <c r="S40"/>
    </row>
    <row r="41" spans="2:19">
      <c r="B41"/>
      <c r="C41"/>
      <c r="D41"/>
      <c r="E41"/>
      <c r="F41"/>
      <c r="G41"/>
      <c r="H41"/>
      <c r="I41"/>
      <c r="J41"/>
      <c r="K41"/>
      <c r="L41"/>
      <c r="M41"/>
      <c r="N41"/>
      <c r="O41"/>
      <c r="P41"/>
      <c r="Q41"/>
      <c r="R41"/>
      <c r="S41"/>
    </row>
    <row r="42" spans="2:19">
      <c r="B42"/>
      <c r="C42"/>
      <c r="D42"/>
      <c r="E42"/>
      <c r="F42"/>
      <c r="G42"/>
      <c r="H42"/>
      <c r="I42"/>
      <c r="J42"/>
      <c r="K42"/>
      <c r="L42"/>
      <c r="M42"/>
      <c r="N42"/>
      <c r="O42"/>
      <c r="P42"/>
      <c r="Q42"/>
      <c r="R42"/>
      <c r="S42"/>
    </row>
    <row r="43" spans="2:19">
      <c r="B43"/>
      <c r="C43"/>
      <c r="D43"/>
      <c r="E43"/>
      <c r="F43"/>
      <c r="G43"/>
      <c r="H43"/>
      <c r="I43"/>
      <c r="J43"/>
      <c r="K43"/>
      <c r="L43"/>
      <c r="M43"/>
      <c r="N43"/>
      <c r="O43"/>
      <c r="P43"/>
      <c r="Q43"/>
      <c r="R43"/>
      <c r="S43"/>
    </row>
    <row r="44" spans="2:19">
      <c r="B44"/>
      <c r="C44"/>
      <c r="D44"/>
      <c r="E44"/>
      <c r="F44"/>
      <c r="G44"/>
      <c r="H44"/>
      <c r="I44"/>
      <c r="J44"/>
      <c r="K44"/>
      <c r="L44"/>
      <c r="M44"/>
      <c r="N44"/>
      <c r="O44"/>
      <c r="P44"/>
      <c r="Q44"/>
      <c r="R44"/>
      <c r="S44"/>
    </row>
    <row r="45" spans="2:19">
      <c r="B45"/>
      <c r="C45"/>
      <c r="D45"/>
      <c r="E45"/>
      <c r="F45"/>
      <c r="G45"/>
      <c r="H45"/>
      <c r="I45"/>
      <c r="J45"/>
      <c r="K45"/>
      <c r="L45"/>
      <c r="M45"/>
      <c r="N45"/>
      <c r="O45"/>
      <c r="P45"/>
      <c r="Q45"/>
      <c r="R45"/>
      <c r="S45"/>
    </row>
    <row r="46" spans="2:19">
      <c r="I46" s="12"/>
      <c r="J46" s="12"/>
      <c r="K46" s="12"/>
      <c r="L46" s="12"/>
      <c r="M46" s="12"/>
    </row>
    <row r="47" spans="2:19">
      <c r="I47" s="12"/>
      <c r="J47" s="12"/>
      <c r="K47" s="12"/>
      <c r="L47" s="12"/>
      <c r="M47" s="12"/>
    </row>
    <row r="48" spans="2:19">
      <c r="I48" s="12"/>
      <c r="J48" s="12"/>
      <c r="K48" s="12"/>
      <c r="L48" s="12"/>
      <c r="M48" s="12"/>
    </row>
    <row r="49" spans="9:13">
      <c r="I49" s="12"/>
      <c r="J49" s="12"/>
      <c r="K49" s="12"/>
      <c r="L49" s="12"/>
      <c r="M49" s="12"/>
    </row>
    <row r="50" spans="9:13">
      <c r="I50" s="12"/>
      <c r="J50" s="12"/>
      <c r="K50" s="12"/>
      <c r="L50" s="12"/>
      <c r="M50" s="12"/>
    </row>
    <row r="51" spans="9:13">
      <c r="I51" s="12"/>
      <c r="J51" s="12"/>
      <c r="K51" s="12"/>
      <c r="L51" s="12"/>
      <c r="M51" s="12"/>
    </row>
    <row r="52" spans="9:13">
      <c r="I52" s="12"/>
      <c r="J52" s="12"/>
      <c r="K52" s="12"/>
      <c r="L52" s="12"/>
      <c r="M52" s="12"/>
    </row>
    <row r="53" spans="9:13">
      <c r="I53" s="12"/>
      <c r="J53" s="12"/>
      <c r="K53" s="12"/>
      <c r="L53" s="12"/>
      <c r="M53" s="12"/>
    </row>
    <row r="54" spans="9:13">
      <c r="I54" s="12"/>
      <c r="J54" s="12"/>
      <c r="K54" s="12"/>
      <c r="L54" s="12"/>
      <c r="M54" s="12"/>
    </row>
    <row r="55" spans="9:13">
      <c r="I55" s="12"/>
      <c r="J55" s="12"/>
      <c r="K55" s="12"/>
      <c r="L55" s="12"/>
      <c r="M55" s="12"/>
    </row>
    <row r="56" spans="9:13">
      <c r="I56" s="12"/>
      <c r="J56" s="12"/>
      <c r="K56" s="12"/>
      <c r="L56" s="12"/>
      <c r="M56" s="12"/>
    </row>
    <row r="57" spans="9:13">
      <c r="I57" s="12"/>
      <c r="J57" s="12"/>
      <c r="K57" s="12"/>
      <c r="L57" s="12"/>
      <c r="M57" s="12"/>
    </row>
  </sheetData>
  <phoneticPr fontId="3" type="noConversion"/>
  <pageMargins left="1.33" right="0" top="0.97" bottom="1" header="0.5" footer="0.5"/>
  <pageSetup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showGridLines="0" tabSelected="1" topLeftCell="J1" workbookViewId="0">
      <selection activeCell="N14" sqref="N14"/>
    </sheetView>
  </sheetViews>
  <sheetFormatPr defaultRowHeight="12.75"/>
  <cols>
    <col min="1" max="1" width="10.140625" bestFit="1" customWidth="1"/>
    <col min="2" max="2" width="1.42578125" customWidth="1"/>
    <col min="3" max="3" width="1" customWidth="1"/>
    <col min="4" max="4" width="14.28515625" customWidth="1"/>
    <col min="5" max="5" width="16.7109375" customWidth="1"/>
    <col min="6" max="6" width="20.28515625" customWidth="1"/>
    <col min="7" max="7" width="19" customWidth="1"/>
    <col min="8" max="8" width="24.7109375" customWidth="1"/>
    <col min="9" max="9" width="24.5703125" customWidth="1"/>
    <col min="10" max="10" width="18.28515625" customWidth="1"/>
    <col min="11" max="11" width="24.28515625" customWidth="1"/>
    <col min="12" max="12" width="21.7109375" customWidth="1"/>
    <col min="13" max="13" width="15.42578125" bestFit="1" customWidth="1"/>
    <col min="14" max="14" width="17.85546875" bestFit="1" customWidth="1"/>
    <col min="15" max="15" width="22.140625" bestFit="1" customWidth="1"/>
    <col min="16" max="16" width="14.28515625" customWidth="1"/>
    <col min="17" max="17" width="10.85546875" customWidth="1"/>
    <col min="18" max="18" width="15.140625" customWidth="1"/>
    <col min="19" max="19" width="15.28515625" customWidth="1"/>
    <col min="20" max="20" width="10.85546875" customWidth="1"/>
    <col min="21" max="21" width="9.7109375" bestFit="1" customWidth="1"/>
  </cols>
  <sheetData>
    <row r="1" spans="1:15">
      <c r="A1" t="s">
        <v>530</v>
      </c>
    </row>
    <row r="2" spans="1:15" ht="12" customHeight="1">
      <c r="A2" s="350">
        <f>'EIA412 BALANCE SHEET'!A3:F3</f>
        <v>42369</v>
      </c>
    </row>
    <row r="3" spans="1:15" ht="12.75" customHeight="1"/>
    <row r="5" spans="1:15">
      <c r="F5" s="27" t="s">
        <v>597</v>
      </c>
      <c r="G5" t="s">
        <v>598</v>
      </c>
      <c r="H5" t="s">
        <v>599</v>
      </c>
      <c r="I5" t="s">
        <v>596</v>
      </c>
      <c r="J5" s="385" t="s">
        <v>625</v>
      </c>
      <c r="K5" s="385" t="s">
        <v>626</v>
      </c>
      <c r="L5" s="385" t="s">
        <v>627</v>
      </c>
      <c r="M5" s="395" t="s">
        <v>670</v>
      </c>
      <c r="N5" s="395" t="s">
        <v>671</v>
      </c>
      <c r="O5" s="395" t="s">
        <v>672</v>
      </c>
    </row>
    <row r="6" spans="1:15">
      <c r="A6" t="s">
        <v>531</v>
      </c>
      <c r="F6" s="161">
        <v>7485000</v>
      </c>
      <c r="G6" s="161">
        <v>0</v>
      </c>
      <c r="H6" s="161">
        <v>560000</v>
      </c>
      <c r="I6" s="161">
        <f>F6+G6-H6</f>
        <v>6925000</v>
      </c>
      <c r="J6" s="161">
        <v>0</v>
      </c>
      <c r="K6" s="161">
        <v>580000</v>
      </c>
      <c r="L6" s="355">
        <f>I6+J6-K6</f>
        <v>6345000</v>
      </c>
      <c r="M6" s="304"/>
      <c r="N6" s="357">
        <v>-590000</v>
      </c>
      <c r="O6" s="355">
        <f>L6+M6+N6</f>
        <v>5755000</v>
      </c>
    </row>
    <row r="7" spans="1:15">
      <c r="A7" t="s">
        <v>532</v>
      </c>
      <c r="F7" s="161">
        <v>123928</v>
      </c>
      <c r="G7" s="161">
        <v>0</v>
      </c>
      <c r="H7" s="161">
        <v>10327</v>
      </c>
      <c r="I7" s="161">
        <f>F7+G7-H7</f>
        <v>113601</v>
      </c>
      <c r="J7" s="161">
        <v>0</v>
      </c>
      <c r="K7" s="161">
        <v>10328</v>
      </c>
      <c r="L7" s="355">
        <f t="shared" ref="L7:L8" si="0">I7+J7-K7</f>
        <v>103273</v>
      </c>
      <c r="M7" s="304"/>
      <c r="N7" s="357">
        <v>-10327</v>
      </c>
      <c r="O7" s="355">
        <f t="shared" ref="O7:O9" si="1">L7+M7+N7</f>
        <v>92946</v>
      </c>
    </row>
    <row r="8" spans="1:15">
      <c r="A8" t="s">
        <v>600</v>
      </c>
      <c r="F8" s="161">
        <v>-77061</v>
      </c>
      <c r="G8" s="161"/>
      <c r="H8" s="161">
        <v>-9633</v>
      </c>
      <c r="I8" s="161">
        <f>F8+G8-H8</f>
        <v>-67428</v>
      </c>
      <c r="K8" s="161">
        <v>-9632</v>
      </c>
      <c r="L8" s="355">
        <f t="shared" si="0"/>
        <v>-57796</v>
      </c>
      <c r="M8" s="304"/>
      <c r="N8" s="357">
        <f>57796-48163</f>
        <v>9633</v>
      </c>
      <c r="O8" s="355">
        <f t="shared" si="1"/>
        <v>-48163</v>
      </c>
    </row>
    <row r="9" spans="1:15">
      <c r="A9" t="s">
        <v>533</v>
      </c>
      <c r="F9" s="355">
        <f>SUM(F6:F8)</f>
        <v>7531867</v>
      </c>
      <c r="G9" s="355">
        <f>SUM(G6:G7)</f>
        <v>0</v>
      </c>
      <c r="H9" s="355">
        <f>SUM(H6:H8)</f>
        <v>560694</v>
      </c>
      <c r="I9" s="355">
        <f>SUM(I6:I8)</f>
        <v>6971173</v>
      </c>
      <c r="J9" s="355">
        <f>SUM(J6:J8)</f>
        <v>0</v>
      </c>
      <c r="K9" s="355">
        <f>SUM(K6:K8)</f>
        <v>580696</v>
      </c>
      <c r="L9" s="355">
        <f>SUM(L6:L8)</f>
        <v>6390477</v>
      </c>
      <c r="M9" s="304"/>
      <c r="N9" s="357">
        <f>SUM(N6:N8)</f>
        <v>-590694</v>
      </c>
      <c r="O9" s="357">
        <f>SUM(O6:O8)</f>
        <v>5799783</v>
      </c>
    </row>
    <row r="10" spans="1:15">
      <c r="J10" s="355" t="s">
        <v>11</v>
      </c>
      <c r="M10" s="304"/>
      <c r="N10" s="357"/>
    </row>
    <row r="11" spans="1:15">
      <c r="A11" t="s">
        <v>534</v>
      </c>
      <c r="G11" s="388">
        <f>152141</f>
        <v>152141</v>
      </c>
      <c r="I11" s="161">
        <f>F11+G11-H11</f>
        <v>152141</v>
      </c>
      <c r="J11" s="161">
        <f>142596</f>
        <v>142596</v>
      </c>
      <c r="L11" s="161">
        <f>142596</f>
        <v>142596</v>
      </c>
      <c r="M11" s="366">
        <v>130779</v>
      </c>
      <c r="N11" s="357"/>
      <c r="O11" s="355">
        <f>M11</f>
        <v>130779</v>
      </c>
    </row>
    <row r="13" spans="1:15">
      <c r="H13" s="355" t="s">
        <v>11</v>
      </c>
    </row>
    <row r="24" ht="4.5" customHeight="1"/>
    <row r="25" ht="4.5" customHeight="1"/>
  </sheetData>
  <phoneticPr fontId="7" type="noConversion"/>
  <pageMargins left="0.75" right="0.75" top="1" bottom="1" header="0.5" footer="0.5"/>
  <pageSetup scale="95"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U578"/>
  <sheetViews>
    <sheetView showGridLines="0" workbookViewId="0">
      <selection activeCell="A5" sqref="A5"/>
    </sheetView>
  </sheetViews>
  <sheetFormatPr defaultColWidth="9.140625" defaultRowHeight="12.75"/>
  <cols>
    <col min="1" max="2" width="9.140625" style="372"/>
    <col min="3" max="3" width="14.140625" style="372" customWidth="1"/>
    <col min="4" max="4" width="13.28515625" style="372" customWidth="1"/>
    <col min="5" max="5" width="21.42578125" style="372" customWidth="1"/>
    <col min="6" max="11" width="17.140625" style="372" customWidth="1"/>
    <col min="12" max="12" width="16" style="372" customWidth="1"/>
    <col min="13" max="13" width="13.140625" style="372" customWidth="1"/>
    <col min="14" max="16384" width="9.140625" style="372"/>
  </cols>
  <sheetData>
    <row r="2" spans="4:21" ht="45">
      <c r="D2" s="375" t="s">
        <v>513</v>
      </c>
      <c r="E2" s="376" t="s">
        <v>610</v>
      </c>
      <c r="F2" s="377" t="s">
        <v>611</v>
      </c>
      <c r="G2" s="377" t="s">
        <v>612</v>
      </c>
      <c r="H2" s="377" t="s">
        <v>613</v>
      </c>
      <c r="I2" s="377" t="s">
        <v>614</v>
      </c>
      <c r="J2" s="377" t="s">
        <v>615</v>
      </c>
      <c r="K2" s="377" t="s">
        <v>616</v>
      </c>
      <c r="L2" s="378" t="s">
        <v>617</v>
      </c>
      <c r="M2" s="377" t="s">
        <v>618</v>
      </c>
      <c r="N2" s="377" t="s">
        <v>619</v>
      </c>
      <c r="O2" s="377" t="s">
        <v>620</v>
      </c>
      <c r="P2" s="377" t="s">
        <v>621</v>
      </c>
      <c r="R2" s="373">
        <v>2012</v>
      </c>
      <c r="S2" s="373">
        <v>2013</v>
      </c>
      <c r="T2" s="373">
        <v>2014</v>
      </c>
      <c r="U2" s="373">
        <v>2015</v>
      </c>
    </row>
    <row r="3" spans="4:21">
      <c r="D3" s="374" t="s">
        <v>514</v>
      </c>
      <c r="E3" s="379" t="s">
        <v>515</v>
      </c>
      <c r="F3" s="380">
        <v>40927</v>
      </c>
      <c r="G3" s="381">
        <f t="shared" ref="G3:G66" si="0">YEAR(F3)</f>
        <v>2012</v>
      </c>
      <c r="H3" s="381">
        <f t="shared" ref="H3:H66" si="1">MONTH(F3)</f>
        <v>1</v>
      </c>
      <c r="I3" s="382">
        <v>19</v>
      </c>
      <c r="J3" s="382">
        <v>7.6239999999999997</v>
      </c>
      <c r="K3" s="382">
        <v>0</v>
      </c>
      <c r="L3" s="383">
        <v>7.6239999999999997</v>
      </c>
      <c r="M3" s="382">
        <v>6604</v>
      </c>
      <c r="N3" s="384">
        <v>1.1999999999999999E-3</v>
      </c>
      <c r="O3" s="382">
        <v>7.4189999999999996</v>
      </c>
      <c r="P3" s="382">
        <v>0</v>
      </c>
      <c r="Q3" s="372" t="s">
        <v>622</v>
      </c>
    </row>
    <row r="4" spans="4:21">
      <c r="D4" s="374" t="s">
        <v>514</v>
      </c>
      <c r="E4" s="379" t="s">
        <v>515</v>
      </c>
      <c r="F4" s="380">
        <v>40967</v>
      </c>
      <c r="G4" s="381">
        <f t="shared" si="0"/>
        <v>2012</v>
      </c>
      <c r="H4" s="381">
        <f t="shared" si="1"/>
        <v>2</v>
      </c>
      <c r="I4" s="382">
        <v>19</v>
      </c>
      <c r="J4" s="382">
        <v>6.66</v>
      </c>
      <c r="K4" s="382">
        <v>0.54400000000000004</v>
      </c>
      <c r="L4" s="383">
        <v>7.2039999999999997</v>
      </c>
      <c r="M4" s="382">
        <v>6178</v>
      </c>
      <c r="N4" s="384">
        <v>1.1999999999999999E-3</v>
      </c>
      <c r="O4" s="382">
        <v>6.4729999999999999</v>
      </c>
      <c r="P4" s="382">
        <v>0.54400000000000004</v>
      </c>
      <c r="Q4" s="372" t="s">
        <v>623</v>
      </c>
      <c r="R4" s="372">
        <f>AVERAGE(L51:L62)</f>
        <v>9.3786666666666676</v>
      </c>
      <c r="S4" s="372">
        <f>AVERAGE(L63:L74)</f>
        <v>9.5654166666666693</v>
      </c>
      <c r="T4" s="372">
        <f>AVERAGE(L75:L86)</f>
        <v>9.28541666666667</v>
      </c>
      <c r="U4" s="372">
        <f>AVERAGE(L87:L98)</f>
        <v>9.8222500000000004</v>
      </c>
    </row>
    <row r="5" spans="4:21">
      <c r="D5" s="374" t="s">
        <v>514</v>
      </c>
      <c r="E5" s="379" t="s">
        <v>515</v>
      </c>
      <c r="F5" s="380">
        <v>40987</v>
      </c>
      <c r="G5" s="381">
        <f t="shared" si="0"/>
        <v>2012</v>
      </c>
      <c r="H5" s="381">
        <f t="shared" si="1"/>
        <v>3</v>
      </c>
      <c r="I5" s="382">
        <v>14</v>
      </c>
      <c r="J5" s="382">
        <v>5.2949999999999999</v>
      </c>
      <c r="K5" s="382">
        <v>2.3420000000000001</v>
      </c>
      <c r="L5" s="383">
        <v>7.6369999999999996</v>
      </c>
      <c r="M5" s="382">
        <v>6170</v>
      </c>
      <c r="N5" s="384">
        <v>1.1999999999999999E-3</v>
      </c>
      <c r="O5" s="382">
        <v>5.0960000000000001</v>
      </c>
      <c r="P5" s="382">
        <v>2.3420000000000001</v>
      </c>
      <c r="Q5" s="372" t="s">
        <v>624</v>
      </c>
      <c r="U5" s="372">
        <f>AVERAGE(L231:L242)</f>
        <v>12.260833333333332</v>
      </c>
    </row>
    <row r="6" spans="4:21">
      <c r="D6" s="374" t="s">
        <v>514</v>
      </c>
      <c r="E6" s="379" t="s">
        <v>515</v>
      </c>
      <c r="F6" s="380">
        <v>41024</v>
      </c>
      <c r="G6" s="381">
        <f t="shared" si="0"/>
        <v>2012</v>
      </c>
      <c r="H6" s="381">
        <f t="shared" si="1"/>
        <v>4</v>
      </c>
      <c r="I6" s="382">
        <v>15</v>
      </c>
      <c r="J6" s="382">
        <v>7.3550000000000004</v>
      </c>
      <c r="K6" s="382">
        <v>6.7000000000000004E-2</v>
      </c>
      <c r="L6" s="383">
        <v>7.4219999999999997</v>
      </c>
      <c r="M6" s="382">
        <v>5813</v>
      </c>
      <c r="N6" s="384">
        <v>1.2999999999999999E-3</v>
      </c>
      <c r="O6" s="382">
        <v>7.1589999999999998</v>
      </c>
      <c r="P6" s="382">
        <v>6.7000000000000004E-2</v>
      </c>
    </row>
    <row r="7" spans="4:21">
      <c r="D7" s="374" t="s">
        <v>514</v>
      </c>
      <c r="E7" s="379" t="s">
        <v>515</v>
      </c>
      <c r="F7" s="380">
        <v>41047</v>
      </c>
      <c r="G7" s="381">
        <f t="shared" si="0"/>
        <v>2012</v>
      </c>
      <c r="H7" s="381">
        <f t="shared" si="1"/>
        <v>5</v>
      </c>
      <c r="I7" s="382">
        <v>17</v>
      </c>
      <c r="J7" s="382">
        <v>7.3330000000000002</v>
      </c>
      <c r="K7" s="382">
        <v>1.6539999999999999</v>
      </c>
      <c r="L7" s="383">
        <v>8.9870000000000001</v>
      </c>
      <c r="M7" s="382">
        <v>7203</v>
      </c>
      <c r="N7" s="384">
        <v>1.1999999999999999E-3</v>
      </c>
      <c r="O7" s="382">
        <v>7.1539999999999999</v>
      </c>
      <c r="P7" s="382">
        <v>1.6539999999999999</v>
      </c>
    </row>
    <row r="8" spans="4:21">
      <c r="D8" s="374" t="s">
        <v>514</v>
      </c>
      <c r="E8" s="379" t="s">
        <v>515</v>
      </c>
      <c r="F8" s="380">
        <v>41087</v>
      </c>
      <c r="G8" s="381">
        <f t="shared" si="0"/>
        <v>2012</v>
      </c>
      <c r="H8" s="381">
        <f t="shared" si="1"/>
        <v>6</v>
      </c>
      <c r="I8" s="382">
        <v>17</v>
      </c>
      <c r="J8" s="382">
        <v>11.933</v>
      </c>
      <c r="K8" s="382">
        <v>0.46200000000000002</v>
      </c>
      <c r="L8" s="383">
        <v>12.395</v>
      </c>
      <c r="M8" s="382">
        <v>8833</v>
      </c>
      <c r="N8" s="384">
        <v>1.4E-3</v>
      </c>
      <c r="O8" s="382">
        <v>11.686999999999999</v>
      </c>
      <c r="P8" s="382">
        <v>0.46200000000000002</v>
      </c>
    </row>
    <row r="9" spans="4:21">
      <c r="D9" s="374" t="s">
        <v>514</v>
      </c>
      <c r="E9" s="379" t="s">
        <v>515</v>
      </c>
      <c r="F9" s="380">
        <v>41092</v>
      </c>
      <c r="G9" s="381">
        <f t="shared" si="0"/>
        <v>2012</v>
      </c>
      <c r="H9" s="381">
        <f t="shared" si="1"/>
        <v>7</v>
      </c>
      <c r="I9" s="382">
        <v>17</v>
      </c>
      <c r="J9" s="382">
        <v>10.741</v>
      </c>
      <c r="K9" s="382">
        <v>1.319</v>
      </c>
      <c r="L9" s="383">
        <v>12.06</v>
      </c>
      <c r="M9" s="382">
        <v>9682</v>
      </c>
      <c r="N9" s="384">
        <v>1.1999999999999999E-3</v>
      </c>
      <c r="O9" s="382">
        <v>10.555</v>
      </c>
      <c r="P9" s="382">
        <v>1.319</v>
      </c>
    </row>
    <row r="10" spans="4:21">
      <c r="D10" s="374" t="s">
        <v>514</v>
      </c>
      <c r="E10" s="379" t="s">
        <v>515</v>
      </c>
      <c r="F10" s="380">
        <v>41122</v>
      </c>
      <c r="G10" s="381">
        <f t="shared" si="0"/>
        <v>2012</v>
      </c>
      <c r="H10" s="381">
        <f t="shared" si="1"/>
        <v>8</v>
      </c>
      <c r="I10" s="382">
        <v>17</v>
      </c>
      <c r="J10" s="382">
        <v>13.132999999999999</v>
      </c>
      <c r="K10" s="382">
        <v>0.185</v>
      </c>
      <c r="L10" s="383">
        <v>13.318</v>
      </c>
      <c r="M10" s="382">
        <v>8979</v>
      </c>
      <c r="N10" s="384">
        <v>1.5E-3</v>
      </c>
      <c r="O10" s="382">
        <v>12.858000000000001</v>
      </c>
      <c r="P10" s="382">
        <v>0.185</v>
      </c>
      <c r="R10" s="372" t="s">
        <v>11</v>
      </c>
      <c r="T10" s="372" t="s">
        <v>11</v>
      </c>
    </row>
    <row r="11" spans="4:21">
      <c r="D11" s="374" t="s">
        <v>514</v>
      </c>
      <c r="E11" s="379" t="s">
        <v>515</v>
      </c>
      <c r="F11" s="380">
        <v>41156</v>
      </c>
      <c r="G11" s="381">
        <f t="shared" si="0"/>
        <v>2012</v>
      </c>
      <c r="H11" s="381">
        <f t="shared" si="1"/>
        <v>9</v>
      </c>
      <c r="I11" s="382">
        <v>16</v>
      </c>
      <c r="J11" s="382">
        <v>11.564</v>
      </c>
      <c r="K11" s="382">
        <v>0</v>
      </c>
      <c r="L11" s="383">
        <v>11.564</v>
      </c>
      <c r="M11" s="382">
        <v>8521</v>
      </c>
      <c r="N11" s="384">
        <v>1.4E-3</v>
      </c>
      <c r="O11" s="382">
        <v>11.27</v>
      </c>
      <c r="P11" s="382">
        <v>0</v>
      </c>
    </row>
    <row r="12" spans="4:21">
      <c r="D12" s="374" t="s">
        <v>514</v>
      </c>
      <c r="E12" s="379" t="s">
        <v>515</v>
      </c>
      <c r="F12" s="380">
        <v>41185</v>
      </c>
      <c r="G12" s="381">
        <f t="shared" si="0"/>
        <v>2012</v>
      </c>
      <c r="H12" s="381">
        <f t="shared" si="1"/>
        <v>10</v>
      </c>
      <c r="I12" s="382">
        <v>14</v>
      </c>
      <c r="J12" s="382">
        <v>7.1589999999999998</v>
      </c>
      <c r="K12" s="382">
        <v>0.80300000000000005</v>
      </c>
      <c r="L12" s="383">
        <v>7.9619999999999997</v>
      </c>
      <c r="M12" s="382">
        <v>6122</v>
      </c>
      <c r="N12" s="384">
        <v>1.2999999999999999E-3</v>
      </c>
      <c r="O12" s="382">
        <v>6.992</v>
      </c>
      <c r="P12" s="382">
        <v>0.80300000000000005</v>
      </c>
    </row>
    <row r="13" spans="4:21">
      <c r="D13" s="374" t="s">
        <v>514</v>
      </c>
      <c r="E13" s="379" t="s">
        <v>515</v>
      </c>
      <c r="F13" s="380">
        <v>41239</v>
      </c>
      <c r="G13" s="381">
        <f t="shared" si="0"/>
        <v>2012</v>
      </c>
      <c r="H13" s="381">
        <f t="shared" si="1"/>
        <v>11</v>
      </c>
      <c r="I13" s="382">
        <v>18</v>
      </c>
      <c r="J13" s="382">
        <v>6.391</v>
      </c>
      <c r="K13" s="382">
        <v>0.22900000000000001</v>
      </c>
      <c r="L13" s="383">
        <v>6.62</v>
      </c>
      <c r="M13" s="382">
        <v>6416</v>
      </c>
      <c r="N13" s="384">
        <v>1E-3</v>
      </c>
      <c r="O13" s="382">
        <v>6.1639999999999997</v>
      </c>
      <c r="P13" s="382">
        <v>0.22900000000000001</v>
      </c>
    </row>
    <row r="14" spans="4:21">
      <c r="D14" s="374" t="s">
        <v>514</v>
      </c>
      <c r="E14" s="379" t="s">
        <v>515</v>
      </c>
      <c r="F14" s="380">
        <v>41253</v>
      </c>
      <c r="G14" s="381">
        <f t="shared" si="0"/>
        <v>2012</v>
      </c>
      <c r="H14" s="381">
        <f t="shared" si="1"/>
        <v>12</v>
      </c>
      <c r="I14" s="382">
        <v>18</v>
      </c>
      <c r="J14" s="382">
        <v>8.1850000000000005</v>
      </c>
      <c r="K14" s="382">
        <v>0</v>
      </c>
      <c r="L14" s="383">
        <v>8.1850000000000005</v>
      </c>
      <c r="M14" s="382">
        <v>6609</v>
      </c>
      <c r="N14" s="384">
        <v>1.1999999999999999E-3</v>
      </c>
      <c r="O14" s="382">
        <v>7.9580000000000002</v>
      </c>
      <c r="P14" s="382">
        <v>0</v>
      </c>
    </row>
    <row r="15" spans="4:21">
      <c r="D15" s="374" t="s">
        <v>514</v>
      </c>
      <c r="E15" s="379" t="s">
        <v>515</v>
      </c>
      <c r="F15" s="380">
        <v>41295</v>
      </c>
      <c r="G15" s="381">
        <f t="shared" si="0"/>
        <v>2013</v>
      </c>
      <c r="H15" s="381">
        <f t="shared" si="1"/>
        <v>1</v>
      </c>
      <c r="I15" s="382">
        <v>19</v>
      </c>
      <c r="J15" s="382">
        <v>7.181</v>
      </c>
      <c r="K15" s="382">
        <v>0.60599999999999998</v>
      </c>
      <c r="L15" s="383">
        <v>7.7869999999999999</v>
      </c>
      <c r="M15" s="382">
        <v>6846</v>
      </c>
      <c r="N15" s="384">
        <v>1.1000000000000001E-3</v>
      </c>
      <c r="O15" s="382">
        <v>6.9729999999999999</v>
      </c>
      <c r="P15" s="382">
        <v>0.60599999999999998</v>
      </c>
    </row>
    <row r="16" spans="4:21">
      <c r="D16" s="374" t="s">
        <v>514</v>
      </c>
      <c r="E16" s="379" t="s">
        <v>515</v>
      </c>
      <c r="F16" s="380">
        <v>41324</v>
      </c>
      <c r="G16" s="381">
        <f t="shared" si="0"/>
        <v>2013</v>
      </c>
      <c r="H16" s="381">
        <f t="shared" si="1"/>
        <v>2</v>
      </c>
      <c r="I16" s="382">
        <v>19</v>
      </c>
      <c r="J16" s="382">
        <v>7.7690000000000001</v>
      </c>
      <c r="K16" s="382">
        <v>1.085</v>
      </c>
      <c r="L16" s="383">
        <v>8.8539999999999992</v>
      </c>
      <c r="M16" s="382">
        <v>6511</v>
      </c>
      <c r="N16" s="384">
        <v>1.4E-3</v>
      </c>
      <c r="O16" s="382">
        <v>7.5659999999999998</v>
      </c>
      <c r="P16" s="382">
        <v>1.085</v>
      </c>
    </row>
    <row r="17" spans="4:16">
      <c r="D17" s="374" t="s">
        <v>514</v>
      </c>
      <c r="E17" s="379" t="s">
        <v>515</v>
      </c>
      <c r="F17" s="380">
        <v>41337</v>
      </c>
      <c r="G17" s="381">
        <f t="shared" si="0"/>
        <v>2013</v>
      </c>
      <c r="H17" s="381">
        <f t="shared" si="1"/>
        <v>3</v>
      </c>
      <c r="I17" s="382">
        <v>19</v>
      </c>
      <c r="J17" s="382">
        <v>7.1639999999999997</v>
      </c>
      <c r="K17" s="382">
        <v>0.318</v>
      </c>
      <c r="L17" s="383">
        <v>7.4820000000000002</v>
      </c>
      <c r="M17" s="382">
        <v>6172</v>
      </c>
      <c r="N17" s="384">
        <v>1.1999999999999999E-3</v>
      </c>
      <c r="O17" s="382">
        <v>6.9290000000000003</v>
      </c>
      <c r="P17" s="382">
        <v>0.318</v>
      </c>
    </row>
    <row r="18" spans="4:16">
      <c r="D18" s="374" t="s">
        <v>514</v>
      </c>
      <c r="E18" s="379" t="s">
        <v>515</v>
      </c>
      <c r="F18" s="380">
        <v>41382</v>
      </c>
      <c r="G18" s="381">
        <f t="shared" si="0"/>
        <v>2013</v>
      </c>
      <c r="H18" s="381">
        <f t="shared" si="1"/>
        <v>4</v>
      </c>
      <c r="I18" s="382">
        <v>12</v>
      </c>
      <c r="J18" s="382">
        <v>5.7640000000000002</v>
      </c>
      <c r="K18" s="382">
        <v>1.1990000000000001</v>
      </c>
      <c r="L18" s="383">
        <v>6.9630000000000001</v>
      </c>
      <c r="M18" s="382">
        <v>5851</v>
      </c>
      <c r="N18" s="384">
        <v>1.1999999999999999E-3</v>
      </c>
      <c r="O18" s="382">
        <v>5.62</v>
      </c>
      <c r="P18" s="382">
        <v>1.1990000000000001</v>
      </c>
    </row>
    <row r="19" spans="4:16">
      <c r="D19" s="374" t="s">
        <v>514</v>
      </c>
      <c r="E19" s="379" t="s">
        <v>515</v>
      </c>
      <c r="F19" s="380">
        <v>41408</v>
      </c>
      <c r="G19" s="381">
        <f t="shared" si="0"/>
        <v>2013</v>
      </c>
      <c r="H19" s="381">
        <f t="shared" si="1"/>
        <v>5</v>
      </c>
      <c r="I19" s="382">
        <v>17</v>
      </c>
      <c r="J19" s="382">
        <v>7.1429999999999998</v>
      </c>
      <c r="K19" s="382">
        <v>1.67</v>
      </c>
      <c r="L19" s="383">
        <v>8.8130000000000006</v>
      </c>
      <c r="M19" s="382">
        <v>6516</v>
      </c>
      <c r="N19" s="384">
        <v>1.4E-3</v>
      </c>
      <c r="O19" s="382">
        <v>6.9829999999999997</v>
      </c>
      <c r="P19" s="382">
        <v>1.67</v>
      </c>
    </row>
    <row r="20" spans="4:16">
      <c r="D20" s="374" t="s">
        <v>514</v>
      </c>
      <c r="E20" s="379" t="s">
        <v>515</v>
      </c>
      <c r="F20" s="380">
        <v>41451</v>
      </c>
      <c r="G20" s="381">
        <f t="shared" si="0"/>
        <v>2013</v>
      </c>
      <c r="H20" s="381">
        <f t="shared" si="1"/>
        <v>6</v>
      </c>
      <c r="I20" s="382">
        <v>16</v>
      </c>
      <c r="J20" s="382">
        <v>9.1560000000000006</v>
      </c>
      <c r="K20" s="382">
        <v>1.7450000000000001</v>
      </c>
      <c r="L20" s="383">
        <v>10.901</v>
      </c>
      <c r="M20" s="382">
        <v>8280</v>
      </c>
      <c r="N20" s="384">
        <v>1.2999999999999999E-3</v>
      </c>
      <c r="O20" s="382">
        <v>8.952</v>
      </c>
      <c r="P20" s="382">
        <v>1.7450000000000001</v>
      </c>
    </row>
    <row r="21" spans="4:16">
      <c r="D21" s="374" t="s">
        <v>514</v>
      </c>
      <c r="E21" s="379" t="s">
        <v>515</v>
      </c>
      <c r="F21" s="380">
        <v>41473</v>
      </c>
      <c r="G21" s="381">
        <f t="shared" si="0"/>
        <v>2013</v>
      </c>
      <c r="H21" s="381">
        <f t="shared" si="1"/>
        <v>7</v>
      </c>
      <c r="I21" s="382">
        <v>17</v>
      </c>
      <c r="J21" s="382">
        <v>11.316000000000001</v>
      </c>
      <c r="K21" s="382">
        <v>1.746</v>
      </c>
      <c r="L21" s="383">
        <v>13.061999999999999</v>
      </c>
      <c r="M21" s="382">
        <v>9566</v>
      </c>
      <c r="N21" s="384">
        <v>1.4E-3</v>
      </c>
      <c r="O21" s="382">
        <v>11.128</v>
      </c>
      <c r="P21" s="382">
        <v>1.746</v>
      </c>
    </row>
    <row r="22" spans="4:16">
      <c r="D22" s="374" t="s">
        <v>514</v>
      </c>
      <c r="E22" s="379" t="s">
        <v>515</v>
      </c>
      <c r="F22" s="380">
        <v>41512</v>
      </c>
      <c r="G22" s="381">
        <f t="shared" si="0"/>
        <v>2013</v>
      </c>
      <c r="H22" s="381">
        <f t="shared" si="1"/>
        <v>8</v>
      </c>
      <c r="I22" s="382">
        <v>17</v>
      </c>
      <c r="J22" s="382">
        <v>12.284000000000001</v>
      </c>
      <c r="K22" s="382">
        <v>0.66100000000000003</v>
      </c>
      <c r="L22" s="383">
        <v>12.945</v>
      </c>
      <c r="M22" s="382">
        <v>9821</v>
      </c>
      <c r="N22" s="384">
        <v>1.2999999999999999E-3</v>
      </c>
      <c r="O22" s="382">
        <v>12.113</v>
      </c>
      <c r="P22" s="382">
        <v>0.66100000000000003</v>
      </c>
    </row>
    <row r="23" spans="4:16">
      <c r="D23" s="374" t="s">
        <v>514</v>
      </c>
      <c r="E23" s="379" t="s">
        <v>515</v>
      </c>
      <c r="F23" s="380">
        <v>41526</v>
      </c>
      <c r="G23" s="381">
        <f t="shared" si="0"/>
        <v>2013</v>
      </c>
      <c r="H23" s="381">
        <f t="shared" si="1"/>
        <v>9</v>
      </c>
      <c r="I23" s="382">
        <v>17</v>
      </c>
      <c r="J23" s="382">
        <v>11.632999999999999</v>
      </c>
      <c r="K23" s="382">
        <v>1.78</v>
      </c>
      <c r="L23" s="383">
        <v>13.413</v>
      </c>
      <c r="M23" s="382">
        <v>8781</v>
      </c>
      <c r="N23" s="384">
        <v>1.5E-3</v>
      </c>
      <c r="O23" s="382">
        <v>11.451000000000001</v>
      </c>
      <c r="P23" s="382">
        <v>1.78</v>
      </c>
    </row>
    <row r="24" spans="4:16">
      <c r="D24" s="374" t="s">
        <v>514</v>
      </c>
      <c r="E24" s="379" t="s">
        <v>515</v>
      </c>
      <c r="F24" s="380">
        <v>41548</v>
      </c>
      <c r="G24" s="381">
        <f t="shared" si="0"/>
        <v>2013</v>
      </c>
      <c r="H24" s="381">
        <f t="shared" si="1"/>
        <v>10</v>
      </c>
      <c r="I24" s="382">
        <v>14</v>
      </c>
      <c r="J24" s="382">
        <v>9.048</v>
      </c>
      <c r="K24" s="382">
        <v>0.107</v>
      </c>
      <c r="L24" s="383">
        <v>9.1549999999999994</v>
      </c>
      <c r="M24" s="382">
        <v>6214</v>
      </c>
      <c r="N24" s="384">
        <v>1.5E-3</v>
      </c>
      <c r="O24" s="382">
        <v>8.81</v>
      </c>
      <c r="P24" s="382">
        <v>0.107</v>
      </c>
    </row>
    <row r="25" spans="4:16">
      <c r="D25" s="374" t="s">
        <v>514</v>
      </c>
      <c r="E25" s="379" t="s">
        <v>515</v>
      </c>
      <c r="F25" s="380">
        <v>41604</v>
      </c>
      <c r="G25" s="381">
        <f t="shared" si="0"/>
        <v>2013</v>
      </c>
      <c r="H25" s="381">
        <f t="shared" si="1"/>
        <v>11</v>
      </c>
      <c r="I25" s="382">
        <v>18</v>
      </c>
      <c r="J25" s="382">
        <v>5.5739999999999998</v>
      </c>
      <c r="K25" s="382">
        <v>2.3109999999999999</v>
      </c>
      <c r="L25" s="383">
        <v>7.8849999999999998</v>
      </c>
      <c r="M25" s="382">
        <v>6372</v>
      </c>
      <c r="N25" s="384">
        <v>1.1999999999999999E-3</v>
      </c>
      <c r="O25" s="382">
        <v>5.39</v>
      </c>
      <c r="P25" s="382">
        <v>2.3109999999999999</v>
      </c>
    </row>
    <row r="26" spans="4:16">
      <c r="D26" s="374" t="s">
        <v>514</v>
      </c>
      <c r="E26" s="379" t="s">
        <v>515</v>
      </c>
      <c r="F26" s="380">
        <v>41619</v>
      </c>
      <c r="G26" s="381">
        <f t="shared" si="0"/>
        <v>2013</v>
      </c>
      <c r="H26" s="381">
        <f t="shared" si="1"/>
        <v>12</v>
      </c>
      <c r="I26" s="382">
        <v>18</v>
      </c>
      <c r="J26" s="382">
        <v>8.7360000000000007</v>
      </c>
      <c r="K26" s="382">
        <v>0.56100000000000005</v>
      </c>
      <c r="L26" s="383">
        <v>9.2970000000000006</v>
      </c>
      <c r="M26" s="382">
        <v>6972</v>
      </c>
      <c r="N26" s="384">
        <v>1.2999999999999999E-3</v>
      </c>
      <c r="O26" s="382">
        <v>8.5060000000000002</v>
      </c>
      <c r="P26" s="382">
        <v>0.56100000000000005</v>
      </c>
    </row>
    <row r="27" spans="4:16">
      <c r="D27" s="374" t="s">
        <v>514</v>
      </c>
      <c r="E27" s="417" t="s">
        <v>515</v>
      </c>
      <c r="F27" s="418">
        <v>41645</v>
      </c>
      <c r="G27" s="381">
        <f t="shared" si="0"/>
        <v>2014</v>
      </c>
      <c r="H27" s="381">
        <f t="shared" si="1"/>
        <v>1</v>
      </c>
      <c r="I27" s="419">
        <v>18</v>
      </c>
      <c r="J27" s="419">
        <v>6.7210000000000001</v>
      </c>
      <c r="K27" s="419">
        <v>1.548</v>
      </c>
      <c r="L27" s="420">
        <v>8.2690000000000001</v>
      </c>
      <c r="M27" s="421">
        <v>7188</v>
      </c>
      <c r="N27" s="419">
        <v>0.115</v>
      </c>
      <c r="O27" s="419">
        <v>6.5220000000000002</v>
      </c>
      <c r="P27" s="419">
        <v>1.548</v>
      </c>
    </row>
    <row r="28" spans="4:16">
      <c r="D28" s="374" t="s">
        <v>514</v>
      </c>
      <c r="E28" s="417" t="s">
        <v>515</v>
      </c>
      <c r="F28" s="418">
        <v>41676</v>
      </c>
      <c r="G28" s="381">
        <f t="shared" si="0"/>
        <v>2014</v>
      </c>
      <c r="H28" s="381">
        <f t="shared" si="1"/>
        <v>2</v>
      </c>
      <c r="I28" s="419">
        <v>19</v>
      </c>
      <c r="J28" s="419">
        <v>8.42</v>
      </c>
      <c r="K28" s="419">
        <v>0</v>
      </c>
      <c r="L28" s="420">
        <v>8.42</v>
      </c>
      <c r="M28" s="421">
        <v>6743</v>
      </c>
      <c r="N28" s="419">
        <v>0.125</v>
      </c>
      <c r="O28" s="419">
        <v>6.9779999999999998</v>
      </c>
      <c r="P28" s="419">
        <v>0</v>
      </c>
    </row>
    <row r="29" spans="4:16">
      <c r="D29" s="374" t="s">
        <v>514</v>
      </c>
      <c r="E29" s="417" t="s">
        <v>515</v>
      </c>
      <c r="F29" s="418">
        <v>41701</v>
      </c>
      <c r="G29" s="381">
        <f t="shared" si="0"/>
        <v>2014</v>
      </c>
      <c r="H29" s="381">
        <f t="shared" si="1"/>
        <v>3</v>
      </c>
      <c r="I29" s="419">
        <v>19</v>
      </c>
      <c r="J29" s="419">
        <v>6.9359999999999999</v>
      </c>
      <c r="K29" s="419">
        <v>0.59899999999999998</v>
      </c>
      <c r="L29" s="420">
        <v>7.5350000000000001</v>
      </c>
      <c r="M29" s="421">
        <v>6537</v>
      </c>
      <c r="N29" s="419">
        <v>0.115</v>
      </c>
      <c r="O29" s="419">
        <v>6.8449999999999998</v>
      </c>
      <c r="P29" s="419">
        <v>0.59899999999999998</v>
      </c>
    </row>
    <row r="30" spans="4:16">
      <c r="D30" s="374" t="s">
        <v>514</v>
      </c>
      <c r="E30" s="417" t="s">
        <v>515</v>
      </c>
      <c r="F30" s="418">
        <v>41730</v>
      </c>
      <c r="G30" s="381">
        <f t="shared" si="0"/>
        <v>2014</v>
      </c>
      <c r="H30" s="381">
        <f t="shared" si="1"/>
        <v>4</v>
      </c>
      <c r="I30" s="419">
        <v>11</v>
      </c>
      <c r="J30" s="419">
        <v>5.1139999999999999</v>
      </c>
      <c r="K30" s="419">
        <v>2.2879999999999998</v>
      </c>
      <c r="L30" s="420">
        <v>7.4020000000000001</v>
      </c>
      <c r="M30" s="421">
        <v>5924</v>
      </c>
      <c r="N30" s="419">
        <v>0.125</v>
      </c>
      <c r="O30" s="419">
        <v>5.2279999999999998</v>
      </c>
      <c r="P30" s="419">
        <v>2.2879999999999998</v>
      </c>
    </row>
    <row r="31" spans="4:16">
      <c r="D31" s="374" t="s">
        <v>514</v>
      </c>
      <c r="E31" s="417" t="s">
        <v>515</v>
      </c>
      <c r="F31" s="418">
        <v>41789</v>
      </c>
      <c r="G31" s="381">
        <f t="shared" si="0"/>
        <v>2014</v>
      </c>
      <c r="H31" s="381">
        <f t="shared" si="1"/>
        <v>5</v>
      </c>
      <c r="I31" s="419">
        <v>16</v>
      </c>
      <c r="J31" s="419">
        <v>9.8710000000000004</v>
      </c>
      <c r="K31" s="419">
        <v>0.56999999999999995</v>
      </c>
      <c r="L31" s="420">
        <v>10.441000000000001</v>
      </c>
      <c r="M31" s="421">
        <v>7422</v>
      </c>
      <c r="N31" s="419">
        <v>0.14099999999999999</v>
      </c>
      <c r="O31" s="419">
        <v>9.6780000000000008</v>
      </c>
      <c r="P31" s="419">
        <v>0.56999999999999995</v>
      </c>
    </row>
    <row r="32" spans="4:16">
      <c r="D32" s="374" t="s">
        <v>514</v>
      </c>
      <c r="E32" s="417" t="s">
        <v>515</v>
      </c>
      <c r="F32" s="418">
        <v>41814</v>
      </c>
      <c r="G32" s="381">
        <f t="shared" si="0"/>
        <v>2014</v>
      </c>
      <c r="H32" s="381">
        <f t="shared" si="1"/>
        <v>6</v>
      </c>
      <c r="I32" s="419">
        <v>16</v>
      </c>
      <c r="J32" s="419">
        <v>9.6449999999999996</v>
      </c>
      <c r="K32" s="419">
        <v>8.4000000000000005E-2</v>
      </c>
      <c r="L32" s="420">
        <v>9.7289999999999992</v>
      </c>
      <c r="M32" s="421">
        <v>7670</v>
      </c>
      <c r="N32" s="419">
        <v>0.127</v>
      </c>
      <c r="O32" s="419">
        <v>9.6449999999999996</v>
      </c>
      <c r="P32" s="419">
        <v>8.4000000000000005E-2</v>
      </c>
    </row>
    <row r="33" spans="4:16">
      <c r="D33" s="374" t="s">
        <v>514</v>
      </c>
      <c r="E33" s="417" t="s">
        <v>515</v>
      </c>
      <c r="F33" s="418">
        <v>41841</v>
      </c>
      <c r="G33" s="381">
        <f t="shared" si="0"/>
        <v>2014</v>
      </c>
      <c r="H33" s="381">
        <f t="shared" si="1"/>
        <v>7</v>
      </c>
      <c r="I33" s="419">
        <v>17</v>
      </c>
      <c r="J33" s="419">
        <v>11.457000000000001</v>
      </c>
      <c r="K33" s="419">
        <v>0</v>
      </c>
      <c r="L33" s="420">
        <v>11.457000000000001</v>
      </c>
      <c r="M33" s="421">
        <v>9150</v>
      </c>
      <c r="N33" s="419">
        <v>0.125</v>
      </c>
      <c r="O33" s="419">
        <v>11.228</v>
      </c>
      <c r="P33" s="419">
        <v>0</v>
      </c>
    </row>
    <row r="34" spans="4:16">
      <c r="D34" s="374" t="s">
        <v>514</v>
      </c>
      <c r="E34" s="417" t="s">
        <v>515</v>
      </c>
      <c r="F34" s="418">
        <v>41869</v>
      </c>
      <c r="G34" s="381">
        <f t="shared" si="0"/>
        <v>2014</v>
      </c>
      <c r="H34" s="381">
        <f t="shared" si="1"/>
        <v>8</v>
      </c>
      <c r="I34" s="419">
        <v>16</v>
      </c>
      <c r="J34" s="419">
        <v>11.097</v>
      </c>
      <c r="K34" s="419">
        <v>7.8E-2</v>
      </c>
      <c r="L34" s="420">
        <v>11.175000000000001</v>
      </c>
      <c r="M34" s="421">
        <v>8190</v>
      </c>
      <c r="N34" s="419">
        <v>0.13600000000000001</v>
      </c>
      <c r="O34" s="419">
        <v>10.875</v>
      </c>
      <c r="P34" s="419">
        <v>7.8E-2</v>
      </c>
    </row>
    <row r="35" spans="4:16">
      <c r="D35" s="374" t="s">
        <v>514</v>
      </c>
      <c r="E35" s="417" t="s">
        <v>515</v>
      </c>
      <c r="F35" s="418">
        <v>41886</v>
      </c>
      <c r="G35" s="381">
        <f t="shared" si="0"/>
        <v>2014</v>
      </c>
      <c r="H35" s="381">
        <f t="shared" si="1"/>
        <v>9</v>
      </c>
      <c r="I35" s="419">
        <v>15</v>
      </c>
      <c r="J35" s="419">
        <v>11.45</v>
      </c>
      <c r="K35" s="419">
        <v>8.0000000000000002E-3</v>
      </c>
      <c r="L35" s="420">
        <v>11.458</v>
      </c>
      <c r="M35" s="421">
        <v>7758</v>
      </c>
      <c r="N35" s="419">
        <v>0.14799999999999999</v>
      </c>
      <c r="O35" s="419">
        <v>11.221</v>
      </c>
      <c r="P35" s="419">
        <v>8.0000000000000002E-3</v>
      </c>
    </row>
    <row r="36" spans="4:16">
      <c r="D36" s="374" t="s">
        <v>514</v>
      </c>
      <c r="E36" s="417" t="s">
        <v>515</v>
      </c>
      <c r="F36" s="418">
        <v>41942</v>
      </c>
      <c r="G36" s="381">
        <f t="shared" si="0"/>
        <v>2014</v>
      </c>
      <c r="H36" s="381">
        <f t="shared" si="1"/>
        <v>10</v>
      </c>
      <c r="I36" s="419">
        <v>20</v>
      </c>
      <c r="J36" s="419">
        <v>4.5389999999999997</v>
      </c>
      <c r="K36" s="419">
        <v>0</v>
      </c>
      <c r="L36" s="420">
        <v>4.5389999999999997</v>
      </c>
      <c r="M36" s="421">
        <v>5901</v>
      </c>
      <c r="N36" s="419">
        <v>7.6999999999999999E-2</v>
      </c>
      <c r="O36" s="419">
        <v>4.4480000000000004</v>
      </c>
      <c r="P36" s="419">
        <v>0</v>
      </c>
    </row>
    <row r="37" spans="4:16">
      <c r="D37" s="374" t="s">
        <v>514</v>
      </c>
      <c r="E37" s="417" t="s">
        <v>515</v>
      </c>
      <c r="F37" s="418">
        <v>41960</v>
      </c>
      <c r="G37" s="381">
        <f t="shared" si="0"/>
        <v>2014</v>
      </c>
      <c r="H37" s="381">
        <f t="shared" si="1"/>
        <v>11</v>
      </c>
      <c r="I37" s="419">
        <v>18</v>
      </c>
      <c r="J37" s="419">
        <v>5.9059999999999997</v>
      </c>
      <c r="K37" s="419">
        <v>2.1349999999999998</v>
      </c>
      <c r="L37" s="420">
        <v>8.0410000000000004</v>
      </c>
      <c r="M37" s="421">
        <v>6677</v>
      </c>
      <c r="N37" s="419">
        <v>0.12</v>
      </c>
      <c r="O37" s="419">
        <v>5.7880000000000003</v>
      </c>
      <c r="P37" s="419">
        <v>2.1349999999999998</v>
      </c>
    </row>
    <row r="38" spans="4:16">
      <c r="D38" s="374" t="s">
        <v>514</v>
      </c>
      <c r="E38" s="417" t="s">
        <v>515</v>
      </c>
      <c r="F38" s="418">
        <v>41974</v>
      </c>
      <c r="G38" s="381">
        <f t="shared" si="0"/>
        <v>2014</v>
      </c>
      <c r="H38" s="381">
        <f t="shared" si="1"/>
        <v>12</v>
      </c>
      <c r="I38" s="419">
        <v>18</v>
      </c>
      <c r="J38" s="419">
        <v>8.5399999999999991</v>
      </c>
      <c r="K38" s="419">
        <v>0.13400000000000001</v>
      </c>
      <c r="L38" s="420">
        <v>8.6739999999999995</v>
      </c>
      <c r="M38" s="421">
        <v>6850</v>
      </c>
      <c r="N38" s="419">
        <v>0.127</v>
      </c>
      <c r="O38" s="419">
        <v>8.3689999999999998</v>
      </c>
      <c r="P38" s="419">
        <v>0.13400000000000001</v>
      </c>
    </row>
    <row r="39" spans="4:16">
      <c r="D39" s="374" t="s">
        <v>514</v>
      </c>
      <c r="E39" s="417" t="s">
        <v>515</v>
      </c>
      <c r="F39" s="418">
        <v>42011</v>
      </c>
      <c r="G39" s="381">
        <f t="shared" si="0"/>
        <v>2015</v>
      </c>
      <c r="H39" s="381">
        <f t="shared" si="1"/>
        <v>1</v>
      </c>
      <c r="I39" s="419">
        <v>18</v>
      </c>
      <c r="J39" s="419">
        <v>7.9850000000000003</v>
      </c>
      <c r="K39" s="419">
        <v>0.27800000000000002</v>
      </c>
      <c r="L39" s="420">
        <v>8.2629999999999999</v>
      </c>
      <c r="M39" s="421">
        <v>6978</v>
      </c>
      <c r="N39" s="419">
        <v>0.11799999999999999</v>
      </c>
      <c r="O39" s="419">
        <v>7.8250000000000002</v>
      </c>
      <c r="P39" s="419">
        <v>0.27800000000000002</v>
      </c>
    </row>
    <row r="40" spans="4:16">
      <c r="D40" s="374" t="s">
        <v>514</v>
      </c>
      <c r="E40" s="417" t="s">
        <v>515</v>
      </c>
      <c r="F40" s="418">
        <v>42053</v>
      </c>
      <c r="G40" s="381">
        <f t="shared" si="0"/>
        <v>2015</v>
      </c>
      <c r="H40" s="381">
        <f t="shared" si="1"/>
        <v>2</v>
      </c>
      <c r="I40" s="419">
        <v>19</v>
      </c>
      <c r="J40" s="419">
        <v>6.1120000000000001</v>
      </c>
      <c r="K40" s="419">
        <v>1.9350000000000001</v>
      </c>
      <c r="L40" s="420">
        <v>8.0470000000000006</v>
      </c>
      <c r="M40" s="421">
        <v>6744</v>
      </c>
      <c r="N40" s="419">
        <v>0.11899999999999999</v>
      </c>
      <c r="O40" s="419">
        <v>5.9189999999999996</v>
      </c>
      <c r="P40" s="419">
        <v>1.9350000000000001</v>
      </c>
    </row>
    <row r="41" spans="4:16">
      <c r="D41" s="374" t="s">
        <v>514</v>
      </c>
      <c r="E41" s="417" t="s">
        <v>515</v>
      </c>
      <c r="F41" s="418">
        <v>42067</v>
      </c>
      <c r="G41" s="381">
        <f t="shared" si="0"/>
        <v>2015</v>
      </c>
      <c r="H41" s="381">
        <f t="shared" si="1"/>
        <v>3</v>
      </c>
      <c r="I41" s="419">
        <v>20</v>
      </c>
      <c r="J41" s="419">
        <v>6.3550000000000004</v>
      </c>
      <c r="K41" s="419">
        <v>1.2490000000000001</v>
      </c>
      <c r="L41" s="420">
        <v>7.6040000000000001</v>
      </c>
      <c r="M41" s="421">
        <v>6470</v>
      </c>
      <c r="N41" s="419">
        <v>0.11799999999999999</v>
      </c>
      <c r="O41" s="419">
        <v>6.2080000000000002</v>
      </c>
      <c r="P41" s="419">
        <v>1.2490000000000001</v>
      </c>
    </row>
    <row r="42" spans="4:16">
      <c r="D42" s="374" t="s">
        <v>514</v>
      </c>
      <c r="E42" s="417" t="s">
        <v>515</v>
      </c>
      <c r="F42" s="418">
        <v>42103</v>
      </c>
      <c r="G42" s="381">
        <f t="shared" si="0"/>
        <v>2015</v>
      </c>
      <c r="H42" s="381">
        <f t="shared" si="1"/>
        <v>4</v>
      </c>
      <c r="I42" s="419">
        <v>12</v>
      </c>
      <c r="J42" s="419">
        <v>5.4560000000000004</v>
      </c>
      <c r="K42" s="419">
        <v>1.798</v>
      </c>
      <c r="L42" s="420">
        <v>7.2539999999999996</v>
      </c>
      <c r="M42" s="421">
        <v>5914</v>
      </c>
      <c r="N42" s="419">
        <v>0.123</v>
      </c>
      <c r="O42" s="419">
        <v>5.2770000000000001</v>
      </c>
      <c r="P42" s="419">
        <v>1.798</v>
      </c>
    </row>
    <row r="43" spans="4:16">
      <c r="D43" s="374" t="s">
        <v>514</v>
      </c>
      <c r="E43" s="417" t="s">
        <v>515</v>
      </c>
      <c r="F43" s="418">
        <v>42152</v>
      </c>
      <c r="G43" s="381">
        <f t="shared" si="0"/>
        <v>2015</v>
      </c>
      <c r="H43" s="381">
        <f t="shared" si="1"/>
        <v>5</v>
      </c>
      <c r="I43" s="419">
        <v>16</v>
      </c>
      <c r="J43" s="419">
        <v>7.149</v>
      </c>
      <c r="K43" s="419">
        <v>1.494</v>
      </c>
      <c r="L43" s="420">
        <v>8.6430000000000007</v>
      </c>
      <c r="M43" s="421">
        <v>6837</v>
      </c>
      <c r="N43" s="419">
        <v>0.126</v>
      </c>
      <c r="O43" s="419">
        <v>6.9379999999999997</v>
      </c>
      <c r="P43" s="419">
        <v>1.494</v>
      </c>
    </row>
    <row r="44" spans="4:16">
      <c r="D44" s="374" t="s">
        <v>514</v>
      </c>
      <c r="E44" s="417" t="s">
        <v>515</v>
      </c>
      <c r="F44" s="418">
        <v>42164</v>
      </c>
      <c r="G44" s="381">
        <f t="shared" si="0"/>
        <v>2015</v>
      </c>
      <c r="H44" s="381">
        <f t="shared" si="1"/>
        <v>6</v>
      </c>
      <c r="I44" s="419">
        <v>17</v>
      </c>
      <c r="J44" s="419">
        <v>10.420999999999999</v>
      </c>
      <c r="K44" s="419">
        <v>0.68</v>
      </c>
      <c r="L44" s="420">
        <v>11.101000000000001</v>
      </c>
      <c r="M44" s="421">
        <v>8136</v>
      </c>
      <c r="N44" s="419">
        <v>0.13600000000000001</v>
      </c>
      <c r="O44" s="419">
        <v>10.28</v>
      </c>
      <c r="P44" s="419">
        <v>0.68</v>
      </c>
    </row>
    <row r="45" spans="4:16">
      <c r="D45" s="374" t="s">
        <v>514</v>
      </c>
      <c r="E45" s="417" t="s">
        <v>515</v>
      </c>
      <c r="F45" s="418">
        <v>42212</v>
      </c>
      <c r="G45" s="381">
        <f t="shared" si="0"/>
        <v>2015</v>
      </c>
      <c r="H45" s="381">
        <f t="shared" si="1"/>
        <v>7</v>
      </c>
      <c r="I45" s="419">
        <v>17</v>
      </c>
      <c r="J45" s="419">
        <v>9.2620000000000005</v>
      </c>
      <c r="K45" s="419">
        <v>0.94599999999999995</v>
      </c>
      <c r="L45" s="420">
        <v>10.208</v>
      </c>
      <c r="M45" s="421">
        <v>8769</v>
      </c>
      <c r="N45" s="419">
        <v>0.11600000000000001</v>
      </c>
      <c r="O45" s="419">
        <v>9.0749999999999993</v>
      </c>
      <c r="P45" s="419">
        <v>0.94599999999999995</v>
      </c>
    </row>
    <row r="46" spans="4:16">
      <c r="D46" s="374" t="s">
        <v>514</v>
      </c>
      <c r="E46" s="417" t="s">
        <v>515</v>
      </c>
      <c r="F46" s="418">
        <v>42230</v>
      </c>
      <c r="G46" s="381">
        <f t="shared" si="0"/>
        <v>2015</v>
      </c>
      <c r="H46" s="381">
        <f t="shared" si="1"/>
        <v>8</v>
      </c>
      <c r="I46" s="419">
        <v>16</v>
      </c>
      <c r="J46" s="419">
        <v>11.696999999999999</v>
      </c>
      <c r="K46" s="419">
        <v>0.122</v>
      </c>
      <c r="L46" s="420">
        <v>11.819000000000001</v>
      </c>
      <c r="M46" s="421">
        <v>8926</v>
      </c>
      <c r="N46" s="419">
        <v>0.13200000000000001</v>
      </c>
      <c r="O46" s="419">
        <v>11.432</v>
      </c>
      <c r="P46" s="419">
        <v>0.122</v>
      </c>
    </row>
    <row r="47" spans="4:16">
      <c r="D47" s="374" t="s">
        <v>514</v>
      </c>
      <c r="E47" s="417" t="s">
        <v>515</v>
      </c>
      <c r="F47" s="418">
        <v>42250</v>
      </c>
      <c r="G47" s="381">
        <f t="shared" si="0"/>
        <v>2015</v>
      </c>
      <c r="H47" s="381">
        <f t="shared" si="1"/>
        <v>9</v>
      </c>
      <c r="I47" s="419">
        <v>17</v>
      </c>
      <c r="J47" s="419">
        <v>12.102</v>
      </c>
      <c r="K47" s="419">
        <v>0.14599999999999999</v>
      </c>
      <c r="L47" s="420">
        <v>12.247999999999999</v>
      </c>
      <c r="M47" s="421">
        <v>8657</v>
      </c>
      <c r="N47" s="419">
        <v>0.14099999999999999</v>
      </c>
      <c r="O47" s="419">
        <v>11.907</v>
      </c>
      <c r="P47" s="419">
        <v>0.14599999999999999</v>
      </c>
    </row>
    <row r="48" spans="4:16">
      <c r="D48" s="374" t="s">
        <v>514</v>
      </c>
      <c r="E48" s="417" t="s">
        <v>515</v>
      </c>
      <c r="F48" s="418">
        <v>42285</v>
      </c>
      <c r="G48" s="381">
        <f t="shared" si="0"/>
        <v>2015</v>
      </c>
      <c r="H48" s="381">
        <f t="shared" si="1"/>
        <v>10</v>
      </c>
      <c r="I48" s="419">
        <v>12</v>
      </c>
      <c r="J48" s="419">
        <v>7.3460000000000001</v>
      </c>
      <c r="K48" s="419">
        <v>0.55200000000000005</v>
      </c>
      <c r="L48" s="420">
        <v>7.8979999999999997</v>
      </c>
      <c r="M48" s="421">
        <v>5943</v>
      </c>
      <c r="N48" s="419">
        <v>0.13300000000000001</v>
      </c>
      <c r="O48" s="419">
        <v>7.0949999999999998</v>
      </c>
      <c r="P48" s="419">
        <v>0.55200000000000005</v>
      </c>
    </row>
    <row r="49" spans="4:16">
      <c r="D49" s="374" t="s">
        <v>514</v>
      </c>
      <c r="E49" s="417" t="s">
        <v>515</v>
      </c>
      <c r="F49" s="418">
        <v>42338</v>
      </c>
      <c r="G49" s="381">
        <f t="shared" si="0"/>
        <v>2015</v>
      </c>
      <c r="H49" s="381">
        <f t="shared" si="1"/>
        <v>11</v>
      </c>
      <c r="I49" s="419">
        <v>18</v>
      </c>
      <c r="J49" s="419">
        <v>6.9589999999999996</v>
      </c>
      <c r="K49" s="419">
        <v>0.51900000000000002</v>
      </c>
      <c r="L49" s="420">
        <v>7.4779999999999998</v>
      </c>
      <c r="M49" s="421">
        <v>6574</v>
      </c>
      <c r="N49" s="419">
        <v>0.114</v>
      </c>
      <c r="O49" s="419">
        <v>6.5949999999999998</v>
      </c>
      <c r="P49" s="419">
        <v>0.51900000000000002</v>
      </c>
    </row>
    <row r="50" spans="4:16">
      <c r="D50" s="374" t="s">
        <v>514</v>
      </c>
      <c r="E50" s="417" t="s">
        <v>515</v>
      </c>
      <c r="F50" s="418">
        <v>42355</v>
      </c>
      <c r="G50" s="381">
        <f t="shared" si="0"/>
        <v>2015</v>
      </c>
      <c r="H50" s="381">
        <f t="shared" si="1"/>
        <v>12</v>
      </c>
      <c r="I50" s="419">
        <v>18</v>
      </c>
      <c r="J50" s="419">
        <v>5.915</v>
      </c>
      <c r="K50" s="419">
        <v>1.7050000000000001</v>
      </c>
      <c r="L50" s="420">
        <v>7.62</v>
      </c>
      <c r="M50" s="421">
        <v>6450</v>
      </c>
      <c r="N50" s="419">
        <v>0.11799999999999999</v>
      </c>
      <c r="O50" s="419">
        <v>5.4189999999999996</v>
      </c>
      <c r="P50" s="419">
        <v>1.7050000000000001</v>
      </c>
    </row>
    <row r="51" spans="4:16">
      <c r="D51" s="374" t="s">
        <v>514</v>
      </c>
      <c r="E51" s="379" t="s">
        <v>516</v>
      </c>
      <c r="F51" s="380">
        <v>40927</v>
      </c>
      <c r="G51" s="381">
        <f t="shared" si="0"/>
        <v>2012</v>
      </c>
      <c r="H51" s="381">
        <f t="shared" si="1"/>
        <v>1</v>
      </c>
      <c r="I51" s="382">
        <v>19</v>
      </c>
      <c r="J51" s="382">
        <v>8.0950000000000006</v>
      </c>
      <c r="K51" s="382">
        <v>0</v>
      </c>
      <c r="L51" s="383">
        <v>8.0950000000000006</v>
      </c>
      <c r="M51" s="382">
        <v>6604</v>
      </c>
      <c r="N51" s="384">
        <v>1.1999999999999999E-3</v>
      </c>
      <c r="O51" s="382">
        <v>8.1769999999999996</v>
      </c>
      <c r="P51" s="382">
        <v>0</v>
      </c>
    </row>
    <row r="52" spans="4:16">
      <c r="D52" s="374" t="s">
        <v>514</v>
      </c>
      <c r="E52" s="379" t="s">
        <v>516</v>
      </c>
      <c r="F52" s="380">
        <v>40967</v>
      </c>
      <c r="G52" s="381">
        <f t="shared" si="0"/>
        <v>2012</v>
      </c>
      <c r="H52" s="381">
        <f t="shared" si="1"/>
        <v>2</v>
      </c>
      <c r="I52" s="382">
        <v>19</v>
      </c>
      <c r="J52" s="382">
        <v>7.4610000000000003</v>
      </c>
      <c r="K52" s="382">
        <v>0</v>
      </c>
      <c r="L52" s="383">
        <v>7.4610000000000003</v>
      </c>
      <c r="M52" s="382">
        <v>6178</v>
      </c>
      <c r="N52" s="384">
        <v>1.1999999999999999E-3</v>
      </c>
      <c r="O52" s="382">
        <v>7.5380000000000003</v>
      </c>
      <c r="P52" s="382">
        <v>0</v>
      </c>
    </row>
    <row r="53" spans="4:16">
      <c r="D53" s="374" t="s">
        <v>514</v>
      </c>
      <c r="E53" s="379" t="s">
        <v>516</v>
      </c>
      <c r="F53" s="380">
        <v>40987</v>
      </c>
      <c r="G53" s="381">
        <f t="shared" si="0"/>
        <v>2012</v>
      </c>
      <c r="H53" s="381">
        <f t="shared" si="1"/>
        <v>3</v>
      </c>
      <c r="I53" s="382">
        <v>14</v>
      </c>
      <c r="J53" s="382">
        <v>8.2810000000000006</v>
      </c>
      <c r="K53" s="382">
        <v>0</v>
      </c>
      <c r="L53" s="383">
        <v>8.2810000000000006</v>
      </c>
      <c r="M53" s="382">
        <v>6170</v>
      </c>
      <c r="N53" s="384">
        <v>1.2999999999999999E-3</v>
      </c>
      <c r="O53" s="382">
        <v>8.3559999999999999</v>
      </c>
      <c r="P53" s="382">
        <v>0</v>
      </c>
    </row>
    <row r="54" spans="4:16">
      <c r="D54" s="374" t="s">
        <v>514</v>
      </c>
      <c r="E54" s="379" t="s">
        <v>516</v>
      </c>
      <c r="F54" s="380">
        <v>41024</v>
      </c>
      <c r="G54" s="381">
        <f t="shared" si="0"/>
        <v>2012</v>
      </c>
      <c r="H54" s="381">
        <f t="shared" si="1"/>
        <v>4</v>
      </c>
      <c r="I54" s="382">
        <v>15</v>
      </c>
      <c r="J54" s="382">
        <v>7.5259999999999998</v>
      </c>
      <c r="K54" s="382">
        <v>0</v>
      </c>
      <c r="L54" s="383">
        <v>7.5259999999999998</v>
      </c>
      <c r="M54" s="382">
        <v>5813</v>
      </c>
      <c r="N54" s="384">
        <v>1.2999999999999999E-3</v>
      </c>
      <c r="O54" s="382">
        <v>7.5919999999999996</v>
      </c>
      <c r="P54" s="382">
        <v>0</v>
      </c>
    </row>
    <row r="55" spans="4:16">
      <c r="D55" s="374" t="s">
        <v>514</v>
      </c>
      <c r="E55" s="379" t="s">
        <v>516</v>
      </c>
      <c r="F55" s="380">
        <v>41047</v>
      </c>
      <c r="G55" s="381">
        <f t="shared" si="0"/>
        <v>2012</v>
      </c>
      <c r="H55" s="381">
        <f t="shared" si="1"/>
        <v>5</v>
      </c>
      <c r="I55" s="382">
        <v>17</v>
      </c>
      <c r="J55" s="382">
        <v>9.0589999999999993</v>
      </c>
      <c r="K55" s="382">
        <v>0</v>
      </c>
      <c r="L55" s="383">
        <v>9.0589999999999993</v>
      </c>
      <c r="M55" s="382">
        <v>7203</v>
      </c>
      <c r="N55" s="384">
        <v>1.2999999999999999E-3</v>
      </c>
      <c r="O55" s="382">
        <v>9.15</v>
      </c>
      <c r="P55" s="382">
        <v>0</v>
      </c>
    </row>
    <row r="56" spans="4:16">
      <c r="D56" s="374" t="s">
        <v>514</v>
      </c>
      <c r="E56" s="379" t="s">
        <v>516</v>
      </c>
      <c r="F56" s="380">
        <v>41087</v>
      </c>
      <c r="G56" s="381">
        <f t="shared" si="0"/>
        <v>2012</v>
      </c>
      <c r="H56" s="381">
        <f t="shared" si="1"/>
        <v>6</v>
      </c>
      <c r="I56" s="382">
        <v>17</v>
      </c>
      <c r="J56" s="382">
        <v>11.82</v>
      </c>
      <c r="K56" s="382">
        <v>0</v>
      </c>
      <c r="L56" s="383">
        <v>11.82</v>
      </c>
      <c r="M56" s="382">
        <v>8833</v>
      </c>
      <c r="N56" s="384">
        <v>1.2999999999999999E-3</v>
      </c>
      <c r="O56" s="382">
        <v>11.930999999999999</v>
      </c>
      <c r="P56" s="382">
        <v>0</v>
      </c>
    </row>
    <row r="57" spans="4:16">
      <c r="D57" s="374" t="s">
        <v>514</v>
      </c>
      <c r="E57" s="379" t="s">
        <v>516</v>
      </c>
      <c r="F57" s="380">
        <v>41092</v>
      </c>
      <c r="G57" s="381">
        <f t="shared" si="0"/>
        <v>2012</v>
      </c>
      <c r="H57" s="381">
        <f t="shared" si="1"/>
        <v>7</v>
      </c>
      <c r="I57" s="382">
        <v>17</v>
      </c>
      <c r="J57" s="382">
        <v>12.789</v>
      </c>
      <c r="K57" s="382">
        <v>0</v>
      </c>
      <c r="L57" s="383">
        <v>12.789</v>
      </c>
      <c r="M57" s="382">
        <v>9682</v>
      </c>
      <c r="N57" s="384">
        <v>1.2999999999999999E-3</v>
      </c>
      <c r="O57" s="382">
        <v>12.896000000000001</v>
      </c>
      <c r="P57" s="382">
        <v>0</v>
      </c>
    </row>
    <row r="58" spans="4:16">
      <c r="D58" s="374" t="s">
        <v>514</v>
      </c>
      <c r="E58" s="379" t="s">
        <v>516</v>
      </c>
      <c r="F58" s="380">
        <v>41122</v>
      </c>
      <c r="G58" s="381">
        <f t="shared" si="0"/>
        <v>2012</v>
      </c>
      <c r="H58" s="381">
        <f t="shared" si="1"/>
        <v>8</v>
      </c>
      <c r="I58" s="382">
        <v>17</v>
      </c>
      <c r="J58" s="382">
        <v>12.018000000000001</v>
      </c>
      <c r="K58" s="382">
        <v>0</v>
      </c>
      <c r="L58" s="383">
        <v>12.018000000000001</v>
      </c>
      <c r="M58" s="382">
        <v>8979</v>
      </c>
      <c r="N58" s="384">
        <v>1.2999999999999999E-3</v>
      </c>
      <c r="O58" s="382">
        <v>12.132</v>
      </c>
      <c r="P58" s="382">
        <v>0</v>
      </c>
    </row>
    <row r="59" spans="4:16">
      <c r="D59" s="374" t="s">
        <v>514</v>
      </c>
      <c r="E59" s="379" t="s">
        <v>516</v>
      </c>
      <c r="F59" s="380">
        <v>41156</v>
      </c>
      <c r="G59" s="381">
        <f t="shared" si="0"/>
        <v>2012</v>
      </c>
      <c r="H59" s="381">
        <f t="shared" si="1"/>
        <v>9</v>
      </c>
      <c r="I59" s="382">
        <v>16</v>
      </c>
      <c r="J59" s="382">
        <v>11.038</v>
      </c>
      <c r="K59" s="382">
        <v>0</v>
      </c>
      <c r="L59" s="383">
        <v>11.038</v>
      </c>
      <c r="M59" s="382">
        <v>8521</v>
      </c>
      <c r="N59" s="384">
        <v>1.2999999999999999E-3</v>
      </c>
      <c r="O59" s="382">
        <v>11.143000000000001</v>
      </c>
      <c r="P59" s="382">
        <v>0</v>
      </c>
    </row>
    <row r="60" spans="4:16">
      <c r="D60" s="374" t="s">
        <v>514</v>
      </c>
      <c r="E60" s="379" t="s">
        <v>516</v>
      </c>
      <c r="F60" s="380">
        <v>41185</v>
      </c>
      <c r="G60" s="381">
        <f t="shared" si="0"/>
        <v>2012</v>
      </c>
      <c r="H60" s="381">
        <f t="shared" si="1"/>
        <v>10</v>
      </c>
      <c r="I60" s="382">
        <v>14</v>
      </c>
      <c r="J60" s="382">
        <v>7.9020000000000001</v>
      </c>
      <c r="K60" s="382">
        <v>0</v>
      </c>
      <c r="L60" s="383">
        <v>7.9020000000000001</v>
      </c>
      <c r="M60" s="382">
        <v>6122</v>
      </c>
      <c r="N60" s="384">
        <v>1.2999999999999999E-3</v>
      </c>
      <c r="O60" s="382">
        <v>7.9809999999999999</v>
      </c>
      <c r="P60" s="382">
        <v>0</v>
      </c>
    </row>
    <row r="61" spans="4:16">
      <c r="D61" s="374" t="s">
        <v>514</v>
      </c>
      <c r="E61" s="379" t="s">
        <v>516</v>
      </c>
      <c r="F61" s="380">
        <v>41239</v>
      </c>
      <c r="G61" s="381">
        <f t="shared" si="0"/>
        <v>2012</v>
      </c>
      <c r="H61" s="381">
        <f t="shared" si="1"/>
        <v>11</v>
      </c>
      <c r="I61" s="382">
        <v>18</v>
      </c>
      <c r="J61" s="382">
        <v>8.0030000000000001</v>
      </c>
      <c r="K61" s="382">
        <v>0</v>
      </c>
      <c r="L61" s="383">
        <v>8.0030000000000001</v>
      </c>
      <c r="M61" s="382">
        <v>6416</v>
      </c>
      <c r="N61" s="384">
        <v>1.1999999999999999E-3</v>
      </c>
      <c r="O61" s="382">
        <v>8.0660000000000007</v>
      </c>
      <c r="P61" s="382">
        <v>0</v>
      </c>
    </row>
    <row r="62" spans="4:16">
      <c r="D62" s="374" t="s">
        <v>514</v>
      </c>
      <c r="E62" s="379" t="s">
        <v>516</v>
      </c>
      <c r="F62" s="380">
        <v>41253</v>
      </c>
      <c r="G62" s="381">
        <f t="shared" si="0"/>
        <v>2012</v>
      </c>
      <c r="H62" s="381">
        <f t="shared" si="1"/>
        <v>12</v>
      </c>
      <c r="I62" s="382">
        <v>18</v>
      </c>
      <c r="J62" s="382">
        <v>8.5519999999999996</v>
      </c>
      <c r="K62" s="382">
        <v>0</v>
      </c>
      <c r="L62" s="383">
        <v>8.5519999999999996</v>
      </c>
      <c r="M62" s="382">
        <v>6609</v>
      </c>
      <c r="N62" s="384">
        <v>1.2999999999999999E-3</v>
      </c>
      <c r="O62" s="382">
        <v>8.673</v>
      </c>
      <c r="P62" s="382">
        <v>0</v>
      </c>
    </row>
    <row r="63" spans="4:16">
      <c r="D63" s="374" t="s">
        <v>514</v>
      </c>
      <c r="E63" s="379" t="s">
        <v>516</v>
      </c>
      <c r="F63" s="380">
        <v>41295</v>
      </c>
      <c r="G63" s="381">
        <f t="shared" si="0"/>
        <v>2013</v>
      </c>
      <c r="H63" s="381">
        <f t="shared" si="1"/>
        <v>1</v>
      </c>
      <c r="I63" s="382">
        <v>19</v>
      </c>
      <c r="J63" s="382">
        <v>8.3889999999999993</v>
      </c>
      <c r="K63" s="382">
        <v>0</v>
      </c>
      <c r="L63" s="383">
        <v>8.3889999999999993</v>
      </c>
      <c r="M63" s="382">
        <v>6846</v>
      </c>
      <c r="N63" s="384">
        <v>1.1999999999999999E-3</v>
      </c>
      <c r="O63" s="382">
        <v>8.4740000000000002</v>
      </c>
      <c r="P63" s="382">
        <v>0</v>
      </c>
    </row>
    <row r="64" spans="4:16">
      <c r="D64" s="374" t="s">
        <v>514</v>
      </c>
      <c r="E64" s="379" t="s">
        <v>516</v>
      </c>
      <c r="F64" s="380">
        <v>41324</v>
      </c>
      <c r="G64" s="381">
        <f t="shared" si="0"/>
        <v>2013</v>
      </c>
      <c r="H64" s="381">
        <f t="shared" si="1"/>
        <v>2</v>
      </c>
      <c r="I64" s="382">
        <v>19</v>
      </c>
      <c r="J64" s="382">
        <v>7.9219999999999997</v>
      </c>
      <c r="K64" s="382">
        <v>0</v>
      </c>
      <c r="L64" s="383">
        <v>7.9219999999999997</v>
      </c>
      <c r="M64" s="382">
        <v>6511</v>
      </c>
      <c r="N64" s="384">
        <v>1.1999999999999999E-3</v>
      </c>
      <c r="O64" s="382">
        <v>8.0020000000000007</v>
      </c>
      <c r="P64" s="382">
        <v>0</v>
      </c>
    </row>
    <row r="65" spans="4:16">
      <c r="D65" s="374" t="s">
        <v>514</v>
      </c>
      <c r="E65" s="379" t="s">
        <v>516</v>
      </c>
      <c r="F65" s="380">
        <v>41337</v>
      </c>
      <c r="G65" s="381">
        <f t="shared" si="0"/>
        <v>2013</v>
      </c>
      <c r="H65" s="381">
        <f t="shared" si="1"/>
        <v>3</v>
      </c>
      <c r="I65" s="382">
        <v>19</v>
      </c>
      <c r="J65" s="382">
        <v>7.7130000000000001</v>
      </c>
      <c r="K65" s="382">
        <v>0</v>
      </c>
      <c r="L65" s="383">
        <v>7.7130000000000001</v>
      </c>
      <c r="M65" s="382">
        <v>6172</v>
      </c>
      <c r="N65" s="384">
        <v>1.1999999999999999E-3</v>
      </c>
      <c r="O65" s="382">
        <v>7.7919999999999998</v>
      </c>
      <c r="P65" s="382">
        <v>0</v>
      </c>
    </row>
    <row r="66" spans="4:16">
      <c r="D66" s="374" t="s">
        <v>514</v>
      </c>
      <c r="E66" s="379" t="s">
        <v>516</v>
      </c>
      <c r="F66" s="380">
        <v>41382</v>
      </c>
      <c r="G66" s="381">
        <f t="shared" si="0"/>
        <v>2013</v>
      </c>
      <c r="H66" s="381">
        <f t="shared" si="1"/>
        <v>4</v>
      </c>
      <c r="I66" s="382">
        <v>12</v>
      </c>
      <c r="J66" s="382">
        <v>8.1270000000000007</v>
      </c>
      <c r="K66" s="382">
        <v>0</v>
      </c>
      <c r="L66" s="383">
        <v>8.1270000000000007</v>
      </c>
      <c r="M66" s="382">
        <v>5851</v>
      </c>
      <c r="N66" s="384">
        <v>1.4E-3</v>
      </c>
      <c r="O66" s="382">
        <v>8.1910000000000007</v>
      </c>
      <c r="P66" s="382">
        <v>0</v>
      </c>
    </row>
    <row r="67" spans="4:16">
      <c r="D67" s="374" t="s">
        <v>514</v>
      </c>
      <c r="E67" s="379" t="s">
        <v>516</v>
      </c>
      <c r="F67" s="380">
        <v>41408</v>
      </c>
      <c r="G67" s="381">
        <f t="shared" ref="G67:G130" si="2">YEAR(F67)</f>
        <v>2013</v>
      </c>
      <c r="H67" s="381">
        <f t="shared" ref="H67:H130" si="3">MONTH(F67)</f>
        <v>5</v>
      </c>
      <c r="I67" s="382">
        <v>17</v>
      </c>
      <c r="J67" s="382">
        <v>8.1150000000000002</v>
      </c>
      <c r="K67" s="382">
        <v>0</v>
      </c>
      <c r="L67" s="383">
        <v>8.1150000000000002</v>
      </c>
      <c r="M67" s="382">
        <v>6516</v>
      </c>
      <c r="N67" s="384">
        <v>1.1999999999999999E-3</v>
      </c>
      <c r="O67" s="382">
        <v>8.19</v>
      </c>
      <c r="P67" s="382">
        <v>0</v>
      </c>
    </row>
    <row r="68" spans="4:16">
      <c r="D68" s="374" t="s">
        <v>514</v>
      </c>
      <c r="E68" s="379" t="s">
        <v>516</v>
      </c>
      <c r="F68" s="380">
        <v>41451</v>
      </c>
      <c r="G68" s="381">
        <f t="shared" si="2"/>
        <v>2013</v>
      </c>
      <c r="H68" s="381">
        <f t="shared" si="3"/>
        <v>6</v>
      </c>
      <c r="I68" s="382">
        <v>16</v>
      </c>
      <c r="J68" s="382">
        <v>11.577999999999999</v>
      </c>
      <c r="K68" s="382">
        <v>0</v>
      </c>
      <c r="L68" s="383">
        <v>11.577999999999999</v>
      </c>
      <c r="M68" s="382">
        <v>8280</v>
      </c>
      <c r="N68" s="384">
        <v>1.4E-3</v>
      </c>
      <c r="O68" s="382">
        <v>11.678000000000001</v>
      </c>
      <c r="P68" s="382">
        <v>0</v>
      </c>
    </row>
    <row r="69" spans="4:16">
      <c r="D69" s="374" t="s">
        <v>514</v>
      </c>
      <c r="E69" s="379" t="s">
        <v>516</v>
      </c>
      <c r="F69" s="380">
        <v>41473</v>
      </c>
      <c r="G69" s="381">
        <f t="shared" si="2"/>
        <v>2013</v>
      </c>
      <c r="H69" s="381">
        <f t="shared" si="3"/>
        <v>7</v>
      </c>
      <c r="I69" s="382">
        <v>17</v>
      </c>
      <c r="J69" s="382">
        <v>12.465</v>
      </c>
      <c r="K69" s="382">
        <v>0</v>
      </c>
      <c r="L69" s="383">
        <v>12.465</v>
      </c>
      <c r="M69" s="382">
        <v>9566</v>
      </c>
      <c r="N69" s="384">
        <v>1.2999999999999999E-3</v>
      </c>
      <c r="O69" s="382">
        <v>12.584</v>
      </c>
      <c r="P69" s="382">
        <v>0</v>
      </c>
    </row>
    <row r="70" spans="4:16">
      <c r="D70" s="374" t="s">
        <v>514</v>
      </c>
      <c r="E70" s="379" t="s">
        <v>516</v>
      </c>
      <c r="F70" s="380">
        <v>41512</v>
      </c>
      <c r="G70" s="381">
        <f t="shared" si="2"/>
        <v>2013</v>
      </c>
      <c r="H70" s="381">
        <f t="shared" si="3"/>
        <v>8</v>
      </c>
      <c r="I70" s="382">
        <v>17</v>
      </c>
      <c r="J70" s="382">
        <v>12.738</v>
      </c>
      <c r="K70" s="382">
        <v>0</v>
      </c>
      <c r="L70" s="383">
        <v>12.738</v>
      </c>
      <c r="M70" s="382">
        <v>9821</v>
      </c>
      <c r="N70" s="384">
        <v>1.2999999999999999E-3</v>
      </c>
      <c r="O70" s="382">
        <v>12.86</v>
      </c>
      <c r="P70" s="382">
        <v>0</v>
      </c>
    </row>
    <row r="71" spans="4:16">
      <c r="D71" s="374" t="s">
        <v>514</v>
      </c>
      <c r="E71" s="379" t="s">
        <v>516</v>
      </c>
      <c r="F71" s="380">
        <v>41526</v>
      </c>
      <c r="G71" s="381">
        <f t="shared" si="2"/>
        <v>2013</v>
      </c>
      <c r="H71" s="381">
        <f t="shared" si="3"/>
        <v>9</v>
      </c>
      <c r="I71" s="382">
        <v>17</v>
      </c>
      <c r="J71" s="382">
        <v>11.677</v>
      </c>
      <c r="K71" s="382">
        <v>0</v>
      </c>
      <c r="L71" s="383">
        <v>11.677</v>
      </c>
      <c r="M71" s="382">
        <v>8781</v>
      </c>
      <c r="N71" s="384">
        <v>1.2999999999999999E-3</v>
      </c>
      <c r="O71" s="382">
        <v>11.8</v>
      </c>
      <c r="P71" s="382">
        <v>0</v>
      </c>
    </row>
    <row r="72" spans="4:16">
      <c r="D72" s="374" t="s">
        <v>514</v>
      </c>
      <c r="E72" s="379" t="s">
        <v>516</v>
      </c>
      <c r="F72" s="380">
        <v>41548</v>
      </c>
      <c r="G72" s="381">
        <f t="shared" si="2"/>
        <v>2013</v>
      </c>
      <c r="H72" s="381">
        <f t="shared" si="3"/>
        <v>10</v>
      </c>
      <c r="I72" s="382">
        <v>14</v>
      </c>
      <c r="J72" s="382">
        <v>8.7349999999999994</v>
      </c>
      <c r="K72" s="382">
        <v>0</v>
      </c>
      <c r="L72" s="383">
        <v>8.7349999999999994</v>
      </c>
      <c r="M72" s="382">
        <v>6214</v>
      </c>
      <c r="N72" s="384">
        <v>1.4E-3</v>
      </c>
      <c r="O72" s="382">
        <v>8.8130000000000006</v>
      </c>
      <c r="P72" s="382">
        <v>0</v>
      </c>
    </row>
    <row r="73" spans="4:16">
      <c r="D73" s="374" t="s">
        <v>514</v>
      </c>
      <c r="E73" s="379" t="s">
        <v>516</v>
      </c>
      <c r="F73" s="380">
        <v>41604</v>
      </c>
      <c r="G73" s="381">
        <f t="shared" si="2"/>
        <v>2013</v>
      </c>
      <c r="H73" s="381">
        <f t="shared" si="3"/>
        <v>11</v>
      </c>
      <c r="I73" s="382">
        <v>18</v>
      </c>
      <c r="J73" s="382">
        <v>8.14</v>
      </c>
      <c r="K73" s="382">
        <v>0</v>
      </c>
      <c r="L73" s="383">
        <v>8.14</v>
      </c>
      <c r="M73" s="382">
        <v>6372</v>
      </c>
      <c r="N73" s="384">
        <v>1.2999999999999999E-3</v>
      </c>
      <c r="O73" s="382">
        <v>8.2249999999999996</v>
      </c>
      <c r="P73" s="382">
        <v>0</v>
      </c>
    </row>
    <row r="74" spans="4:16">
      <c r="D74" s="374" t="s">
        <v>514</v>
      </c>
      <c r="E74" s="379" t="s">
        <v>516</v>
      </c>
      <c r="F74" s="380">
        <v>41619</v>
      </c>
      <c r="G74" s="381">
        <f t="shared" si="2"/>
        <v>2013</v>
      </c>
      <c r="H74" s="381">
        <f t="shared" si="3"/>
        <v>12</v>
      </c>
      <c r="I74" s="382">
        <v>18</v>
      </c>
      <c r="J74" s="382">
        <v>9.1859999999999999</v>
      </c>
      <c r="K74" s="382">
        <v>0</v>
      </c>
      <c r="L74" s="383">
        <v>9.1859999999999999</v>
      </c>
      <c r="M74" s="382">
        <v>6972</v>
      </c>
      <c r="N74" s="384">
        <v>1.2999999999999999E-3</v>
      </c>
      <c r="O74" s="382">
        <v>9.2750000000000004</v>
      </c>
      <c r="P74" s="382">
        <v>0</v>
      </c>
    </row>
    <row r="75" spans="4:16">
      <c r="D75" s="374" t="s">
        <v>514</v>
      </c>
      <c r="E75" s="417" t="s">
        <v>516</v>
      </c>
      <c r="F75" s="418">
        <v>41645</v>
      </c>
      <c r="G75" s="381">
        <f t="shared" si="2"/>
        <v>2014</v>
      </c>
      <c r="H75" s="381">
        <f t="shared" si="3"/>
        <v>1</v>
      </c>
      <c r="I75" s="419">
        <v>18</v>
      </c>
      <c r="J75" s="419">
        <v>8.9139999999999997</v>
      </c>
      <c r="K75" s="419">
        <v>0</v>
      </c>
      <c r="L75" s="420">
        <v>8.9139999999999997</v>
      </c>
      <c r="M75" s="421">
        <v>7188</v>
      </c>
      <c r="N75" s="419">
        <v>0.124</v>
      </c>
      <c r="O75" s="419">
        <v>9.0039999999999996</v>
      </c>
      <c r="P75" s="419">
        <v>0</v>
      </c>
    </row>
    <row r="76" spans="4:16">
      <c r="D76" s="374" t="s">
        <v>514</v>
      </c>
      <c r="E76" s="417" t="s">
        <v>516</v>
      </c>
      <c r="F76" s="418">
        <v>41676</v>
      </c>
      <c r="G76" s="381">
        <f t="shared" si="2"/>
        <v>2014</v>
      </c>
      <c r="H76" s="381">
        <f t="shared" si="3"/>
        <v>2</v>
      </c>
      <c r="I76" s="419">
        <v>19</v>
      </c>
      <c r="J76" s="419">
        <v>8.4879999999999995</v>
      </c>
      <c r="K76" s="419">
        <v>0</v>
      </c>
      <c r="L76" s="420">
        <v>8.4879999999999995</v>
      </c>
      <c r="M76" s="421">
        <v>6743</v>
      </c>
      <c r="N76" s="419">
        <v>0.126</v>
      </c>
      <c r="O76" s="419">
        <v>8.5809999999999995</v>
      </c>
      <c r="P76" s="419">
        <v>0</v>
      </c>
    </row>
    <row r="77" spans="4:16">
      <c r="D77" s="374" t="s">
        <v>514</v>
      </c>
      <c r="E77" s="417" t="s">
        <v>516</v>
      </c>
      <c r="F77" s="418">
        <v>41701</v>
      </c>
      <c r="G77" s="381">
        <f t="shared" si="2"/>
        <v>2014</v>
      </c>
      <c r="H77" s="381">
        <f t="shared" si="3"/>
        <v>3</v>
      </c>
      <c r="I77" s="419">
        <v>19</v>
      </c>
      <c r="J77" s="419">
        <v>8.1240000000000006</v>
      </c>
      <c r="K77" s="419">
        <v>0</v>
      </c>
      <c r="L77" s="420">
        <v>8.1240000000000006</v>
      </c>
      <c r="M77" s="421">
        <v>6537</v>
      </c>
      <c r="N77" s="419">
        <v>0.124</v>
      </c>
      <c r="O77" s="419">
        <v>8.2080000000000002</v>
      </c>
      <c r="P77" s="419">
        <v>0</v>
      </c>
    </row>
    <row r="78" spans="4:16">
      <c r="D78" s="374" t="s">
        <v>514</v>
      </c>
      <c r="E78" s="417" t="s">
        <v>516</v>
      </c>
      <c r="F78" s="418">
        <v>41730</v>
      </c>
      <c r="G78" s="381">
        <f t="shared" si="2"/>
        <v>2014</v>
      </c>
      <c r="H78" s="381">
        <f t="shared" si="3"/>
        <v>4</v>
      </c>
      <c r="I78" s="419">
        <v>11</v>
      </c>
      <c r="J78" s="419">
        <v>7.6790000000000003</v>
      </c>
      <c r="K78" s="419">
        <v>0.223</v>
      </c>
      <c r="L78" s="420">
        <v>7.9020000000000001</v>
      </c>
      <c r="M78" s="421">
        <v>5924</v>
      </c>
      <c r="N78" s="419">
        <v>0.13300000000000001</v>
      </c>
      <c r="O78" s="419">
        <v>7.78</v>
      </c>
      <c r="P78" s="419">
        <v>0.223</v>
      </c>
    </row>
    <row r="79" spans="4:16">
      <c r="D79" s="374" t="s">
        <v>514</v>
      </c>
      <c r="E79" s="417" t="s">
        <v>516</v>
      </c>
      <c r="F79" s="418">
        <v>41789</v>
      </c>
      <c r="G79" s="381">
        <f t="shared" si="2"/>
        <v>2014</v>
      </c>
      <c r="H79" s="381">
        <f t="shared" si="3"/>
        <v>5</v>
      </c>
      <c r="I79" s="419">
        <v>16</v>
      </c>
      <c r="J79" s="419">
        <v>10.023999999999999</v>
      </c>
      <c r="K79" s="419">
        <v>0</v>
      </c>
      <c r="L79" s="420">
        <v>10.023999999999999</v>
      </c>
      <c r="M79" s="421">
        <v>7422</v>
      </c>
      <c r="N79" s="419">
        <v>0.13500000000000001</v>
      </c>
      <c r="O79" s="419">
        <v>10.135</v>
      </c>
      <c r="P79" s="419">
        <v>0</v>
      </c>
    </row>
    <row r="80" spans="4:16">
      <c r="D80" s="374" t="s">
        <v>514</v>
      </c>
      <c r="E80" s="417" t="s">
        <v>516</v>
      </c>
      <c r="F80" s="418">
        <v>41814</v>
      </c>
      <c r="G80" s="381">
        <f t="shared" si="2"/>
        <v>2014</v>
      </c>
      <c r="H80" s="381">
        <f t="shared" si="3"/>
        <v>6</v>
      </c>
      <c r="I80" s="419">
        <v>16</v>
      </c>
      <c r="J80" s="419">
        <v>10.457000000000001</v>
      </c>
      <c r="K80" s="419">
        <v>0</v>
      </c>
      <c r="L80" s="420">
        <v>10.457000000000001</v>
      </c>
      <c r="M80" s="421">
        <v>7670</v>
      </c>
      <c r="N80" s="419">
        <v>0.13600000000000001</v>
      </c>
      <c r="O80" s="419">
        <v>10.574</v>
      </c>
      <c r="P80" s="419">
        <v>0</v>
      </c>
    </row>
    <row r="81" spans="4:16">
      <c r="D81" s="374" t="s">
        <v>514</v>
      </c>
      <c r="E81" s="417" t="s">
        <v>516</v>
      </c>
      <c r="F81" s="418">
        <v>41841</v>
      </c>
      <c r="G81" s="381">
        <f t="shared" si="2"/>
        <v>2014</v>
      </c>
      <c r="H81" s="381">
        <f t="shared" si="3"/>
        <v>7</v>
      </c>
      <c r="I81" s="419">
        <v>17</v>
      </c>
      <c r="J81" s="419">
        <v>11.715</v>
      </c>
      <c r="K81" s="419">
        <v>0</v>
      </c>
      <c r="L81" s="420">
        <v>11.715</v>
      </c>
      <c r="M81" s="421">
        <v>9150</v>
      </c>
      <c r="N81" s="419">
        <v>0.128</v>
      </c>
      <c r="O81" s="419">
        <v>11.832000000000001</v>
      </c>
      <c r="P81" s="419">
        <v>0</v>
      </c>
    </row>
    <row r="82" spans="4:16">
      <c r="D82" s="374" t="s">
        <v>514</v>
      </c>
      <c r="E82" s="417" t="s">
        <v>516</v>
      </c>
      <c r="F82" s="418">
        <v>41869</v>
      </c>
      <c r="G82" s="381">
        <f t="shared" si="2"/>
        <v>2014</v>
      </c>
      <c r="H82" s="381">
        <f t="shared" si="3"/>
        <v>8</v>
      </c>
      <c r="I82" s="419">
        <v>16</v>
      </c>
      <c r="J82" s="419">
        <v>11.052</v>
      </c>
      <c r="K82" s="419">
        <v>0</v>
      </c>
      <c r="L82" s="420">
        <v>11.052</v>
      </c>
      <c r="M82" s="421">
        <v>8190</v>
      </c>
      <c r="N82" s="419">
        <v>0.13500000000000001</v>
      </c>
      <c r="O82" s="419">
        <v>11.175000000000001</v>
      </c>
      <c r="P82" s="419">
        <v>0</v>
      </c>
    </row>
    <row r="83" spans="4:16">
      <c r="D83" s="374" t="s">
        <v>514</v>
      </c>
      <c r="E83" s="417" t="s">
        <v>516</v>
      </c>
      <c r="F83" s="418">
        <v>41886</v>
      </c>
      <c r="G83" s="381">
        <f t="shared" si="2"/>
        <v>2014</v>
      </c>
      <c r="H83" s="381">
        <f t="shared" si="3"/>
        <v>9</v>
      </c>
      <c r="I83" s="419">
        <v>15</v>
      </c>
      <c r="J83" s="419">
        <v>10.436</v>
      </c>
      <c r="K83" s="419">
        <v>0</v>
      </c>
      <c r="L83" s="420">
        <v>10.436</v>
      </c>
      <c r="M83" s="421">
        <v>7758</v>
      </c>
      <c r="N83" s="419">
        <v>0.13500000000000001</v>
      </c>
      <c r="O83" s="419">
        <v>10.539</v>
      </c>
      <c r="P83" s="419">
        <v>0</v>
      </c>
    </row>
    <row r="84" spans="4:16">
      <c r="D84" s="374" t="s">
        <v>514</v>
      </c>
      <c r="E84" s="417" t="s">
        <v>516</v>
      </c>
      <c r="F84" s="418">
        <v>41942</v>
      </c>
      <c r="G84" s="381">
        <f t="shared" si="2"/>
        <v>2014</v>
      </c>
      <c r="H84" s="381">
        <f t="shared" si="3"/>
        <v>10</v>
      </c>
      <c r="I84" s="419">
        <v>20</v>
      </c>
      <c r="J84" s="419">
        <v>7.1859999999999999</v>
      </c>
      <c r="K84" s="419">
        <v>0</v>
      </c>
      <c r="L84" s="420">
        <v>7.1859999999999999</v>
      </c>
      <c r="M84" s="421">
        <v>5901</v>
      </c>
      <c r="N84" s="419">
        <v>0.122</v>
      </c>
      <c r="O84" s="419">
        <v>7.28</v>
      </c>
      <c r="P84" s="419">
        <v>0</v>
      </c>
    </row>
    <row r="85" spans="4:16">
      <c r="D85" s="374" t="s">
        <v>514</v>
      </c>
      <c r="E85" s="417" t="s">
        <v>516</v>
      </c>
      <c r="F85" s="418">
        <v>41960</v>
      </c>
      <c r="G85" s="381">
        <f t="shared" si="2"/>
        <v>2014</v>
      </c>
      <c r="H85" s="381">
        <f t="shared" si="3"/>
        <v>11</v>
      </c>
      <c r="I85" s="419">
        <v>18</v>
      </c>
      <c r="J85" s="419">
        <v>8.4359999999999999</v>
      </c>
      <c r="K85" s="419">
        <v>0</v>
      </c>
      <c r="L85" s="420">
        <v>8.4359999999999999</v>
      </c>
      <c r="M85" s="421">
        <v>6677</v>
      </c>
      <c r="N85" s="419">
        <v>0.126</v>
      </c>
      <c r="O85" s="419">
        <v>8.5090000000000003</v>
      </c>
      <c r="P85" s="419">
        <v>0</v>
      </c>
    </row>
    <row r="86" spans="4:16">
      <c r="D86" s="374" t="s">
        <v>514</v>
      </c>
      <c r="E86" s="417" t="s">
        <v>516</v>
      </c>
      <c r="F86" s="418">
        <v>41974</v>
      </c>
      <c r="G86" s="381">
        <f t="shared" si="2"/>
        <v>2014</v>
      </c>
      <c r="H86" s="381">
        <f t="shared" si="3"/>
        <v>12</v>
      </c>
      <c r="I86" s="419">
        <v>18</v>
      </c>
      <c r="J86" s="419">
        <v>8.6910000000000007</v>
      </c>
      <c r="K86" s="419">
        <v>0</v>
      </c>
      <c r="L86" s="420">
        <v>8.6910000000000007</v>
      </c>
      <c r="M86" s="421">
        <v>6850</v>
      </c>
      <c r="N86" s="419">
        <v>0.127</v>
      </c>
      <c r="O86" s="419">
        <v>8.7550000000000008</v>
      </c>
      <c r="P86" s="419">
        <v>0</v>
      </c>
    </row>
    <row r="87" spans="4:16">
      <c r="D87" s="374" t="s">
        <v>514</v>
      </c>
      <c r="E87" s="417" t="s">
        <v>516</v>
      </c>
      <c r="F87" s="418">
        <v>42011</v>
      </c>
      <c r="G87" s="381">
        <f t="shared" si="2"/>
        <v>2015</v>
      </c>
      <c r="H87" s="381">
        <f t="shared" si="3"/>
        <v>1</v>
      </c>
      <c r="I87" s="419">
        <v>18</v>
      </c>
      <c r="J87" s="419">
        <v>8.9250000000000007</v>
      </c>
      <c r="K87" s="419">
        <v>0</v>
      </c>
      <c r="L87" s="420">
        <v>8.9250000000000007</v>
      </c>
      <c r="M87" s="421">
        <v>6978</v>
      </c>
      <c r="N87" s="419">
        <v>0.128</v>
      </c>
      <c r="O87" s="419">
        <v>9</v>
      </c>
      <c r="P87" s="419">
        <v>0</v>
      </c>
    </row>
    <row r="88" spans="4:16">
      <c r="D88" s="374" t="s">
        <v>514</v>
      </c>
      <c r="E88" s="417" t="s">
        <v>516</v>
      </c>
      <c r="F88" s="418">
        <v>42053</v>
      </c>
      <c r="G88" s="381">
        <f t="shared" si="2"/>
        <v>2015</v>
      </c>
      <c r="H88" s="381">
        <f t="shared" si="3"/>
        <v>2</v>
      </c>
      <c r="I88" s="419">
        <v>19</v>
      </c>
      <c r="J88" s="419">
        <v>8.8620000000000001</v>
      </c>
      <c r="K88" s="419">
        <v>0</v>
      </c>
      <c r="L88" s="420">
        <v>8.8620000000000001</v>
      </c>
      <c r="M88" s="421">
        <v>6744</v>
      </c>
      <c r="N88" s="419">
        <v>0.13100000000000001</v>
      </c>
      <c r="O88" s="419">
        <v>8.9450000000000003</v>
      </c>
      <c r="P88" s="419">
        <v>0</v>
      </c>
    </row>
    <row r="89" spans="4:16">
      <c r="D89" s="374" t="s">
        <v>514</v>
      </c>
      <c r="E89" s="417" t="s">
        <v>516</v>
      </c>
      <c r="F89" s="418">
        <v>42067</v>
      </c>
      <c r="G89" s="381">
        <f t="shared" si="2"/>
        <v>2015</v>
      </c>
      <c r="H89" s="381">
        <f t="shared" si="3"/>
        <v>3</v>
      </c>
      <c r="I89" s="419">
        <v>20</v>
      </c>
      <c r="J89" s="419">
        <v>8.5839999999999996</v>
      </c>
      <c r="K89" s="419">
        <v>0</v>
      </c>
      <c r="L89" s="420">
        <v>8.5839999999999996</v>
      </c>
      <c r="M89" s="421">
        <v>6470</v>
      </c>
      <c r="N89" s="419">
        <v>0.13300000000000001</v>
      </c>
      <c r="O89" s="419">
        <v>8.6620000000000008</v>
      </c>
      <c r="P89" s="419">
        <v>0</v>
      </c>
    </row>
    <row r="90" spans="4:16">
      <c r="D90" s="374" t="s">
        <v>514</v>
      </c>
      <c r="E90" s="417" t="s">
        <v>516</v>
      </c>
      <c r="F90" s="418">
        <v>42103</v>
      </c>
      <c r="G90" s="381">
        <f t="shared" si="2"/>
        <v>2015</v>
      </c>
      <c r="H90" s="381">
        <f t="shared" si="3"/>
        <v>4</v>
      </c>
      <c r="I90" s="419">
        <v>12</v>
      </c>
      <c r="J90" s="419">
        <v>8.3059999999999992</v>
      </c>
      <c r="K90" s="419">
        <v>0</v>
      </c>
      <c r="L90" s="420">
        <v>8.3059999999999992</v>
      </c>
      <c r="M90" s="421">
        <v>5914</v>
      </c>
      <c r="N90" s="419">
        <v>0.14000000000000001</v>
      </c>
      <c r="O90" s="419">
        <v>8.3859999999999992</v>
      </c>
      <c r="P90" s="419">
        <v>0</v>
      </c>
    </row>
    <row r="91" spans="4:16">
      <c r="D91" s="374" t="s">
        <v>514</v>
      </c>
      <c r="E91" s="417" t="s">
        <v>516</v>
      </c>
      <c r="F91" s="418">
        <v>42152</v>
      </c>
      <c r="G91" s="381">
        <f t="shared" si="2"/>
        <v>2015</v>
      </c>
      <c r="H91" s="381">
        <f t="shared" si="3"/>
        <v>5</v>
      </c>
      <c r="I91" s="419">
        <v>16</v>
      </c>
      <c r="J91" s="419">
        <v>9.5909999999999993</v>
      </c>
      <c r="K91" s="419">
        <v>0</v>
      </c>
      <c r="L91" s="420">
        <v>9.5909999999999993</v>
      </c>
      <c r="M91" s="421">
        <v>6837</v>
      </c>
      <c r="N91" s="419">
        <v>0.14000000000000001</v>
      </c>
      <c r="O91" s="419">
        <v>9.6890000000000001</v>
      </c>
      <c r="P91" s="419">
        <v>0</v>
      </c>
    </row>
    <row r="92" spans="4:16">
      <c r="D92" s="374" t="s">
        <v>514</v>
      </c>
      <c r="E92" s="417" t="s">
        <v>516</v>
      </c>
      <c r="F92" s="418">
        <v>42164</v>
      </c>
      <c r="G92" s="381">
        <f t="shared" si="2"/>
        <v>2015</v>
      </c>
      <c r="H92" s="381">
        <f t="shared" si="3"/>
        <v>6</v>
      </c>
      <c r="I92" s="419">
        <v>17</v>
      </c>
      <c r="J92" s="419">
        <v>11.484999999999999</v>
      </c>
      <c r="K92" s="419">
        <v>0</v>
      </c>
      <c r="L92" s="420">
        <v>11.484999999999999</v>
      </c>
      <c r="M92" s="421">
        <v>8136</v>
      </c>
      <c r="N92" s="419">
        <v>0.14099999999999999</v>
      </c>
      <c r="O92" s="419">
        <v>11.609</v>
      </c>
      <c r="P92" s="419">
        <v>0</v>
      </c>
    </row>
    <row r="93" spans="4:16">
      <c r="D93" s="374" t="s">
        <v>514</v>
      </c>
      <c r="E93" s="417" t="s">
        <v>516</v>
      </c>
      <c r="F93" s="418">
        <v>42212</v>
      </c>
      <c r="G93" s="381">
        <f t="shared" si="2"/>
        <v>2015</v>
      </c>
      <c r="H93" s="381">
        <f t="shared" si="3"/>
        <v>7</v>
      </c>
      <c r="I93" s="419">
        <v>17</v>
      </c>
      <c r="J93" s="419">
        <v>12.162000000000001</v>
      </c>
      <c r="K93" s="419">
        <v>0</v>
      </c>
      <c r="L93" s="420">
        <v>12.162000000000001</v>
      </c>
      <c r="M93" s="421">
        <v>8769</v>
      </c>
      <c r="N93" s="419">
        <v>0.13900000000000001</v>
      </c>
      <c r="O93" s="419">
        <v>12.26</v>
      </c>
      <c r="P93" s="419">
        <v>0</v>
      </c>
    </row>
    <row r="94" spans="4:16">
      <c r="D94" s="374" t="s">
        <v>514</v>
      </c>
      <c r="E94" s="417" t="s">
        <v>516</v>
      </c>
      <c r="F94" s="418">
        <v>42230</v>
      </c>
      <c r="G94" s="381">
        <f t="shared" si="2"/>
        <v>2015</v>
      </c>
      <c r="H94" s="381">
        <f t="shared" si="3"/>
        <v>8</v>
      </c>
      <c r="I94" s="419">
        <v>16</v>
      </c>
      <c r="J94" s="419">
        <v>12.263</v>
      </c>
      <c r="K94" s="419">
        <v>0</v>
      </c>
      <c r="L94" s="420">
        <v>12.263</v>
      </c>
      <c r="M94" s="421">
        <v>8926</v>
      </c>
      <c r="N94" s="419">
        <v>0.13700000000000001</v>
      </c>
      <c r="O94" s="419">
        <v>12.375</v>
      </c>
      <c r="P94" s="419">
        <v>0</v>
      </c>
    </row>
    <row r="95" spans="4:16">
      <c r="D95" s="374" t="s">
        <v>514</v>
      </c>
      <c r="E95" s="417" t="s">
        <v>516</v>
      </c>
      <c r="F95" s="418">
        <v>42250</v>
      </c>
      <c r="G95" s="381">
        <f t="shared" si="2"/>
        <v>2015</v>
      </c>
      <c r="H95" s="381">
        <f t="shared" si="3"/>
        <v>9</v>
      </c>
      <c r="I95" s="419">
        <v>17</v>
      </c>
      <c r="J95" s="419">
        <v>12.021000000000001</v>
      </c>
      <c r="K95" s="419">
        <v>0</v>
      </c>
      <c r="L95" s="420">
        <v>12.021000000000001</v>
      </c>
      <c r="M95" s="421">
        <v>8657</v>
      </c>
      <c r="N95" s="419">
        <v>0.13900000000000001</v>
      </c>
      <c r="O95" s="419">
        <v>12.135999999999999</v>
      </c>
      <c r="P95" s="419">
        <v>0</v>
      </c>
    </row>
    <row r="96" spans="4:16">
      <c r="D96" s="374" t="s">
        <v>514</v>
      </c>
      <c r="E96" s="417" t="s">
        <v>516</v>
      </c>
      <c r="F96" s="418">
        <v>42285</v>
      </c>
      <c r="G96" s="381">
        <f t="shared" si="2"/>
        <v>2015</v>
      </c>
      <c r="H96" s="381">
        <f t="shared" si="3"/>
        <v>10</v>
      </c>
      <c r="I96" s="419">
        <v>12</v>
      </c>
      <c r="J96" s="419">
        <v>8.08</v>
      </c>
      <c r="K96" s="419">
        <v>0</v>
      </c>
      <c r="L96" s="420">
        <v>8.08</v>
      </c>
      <c r="M96" s="421">
        <v>5943</v>
      </c>
      <c r="N96" s="419">
        <v>0.13600000000000001</v>
      </c>
      <c r="O96" s="419">
        <v>8.2509999999999994</v>
      </c>
      <c r="P96" s="419">
        <v>0</v>
      </c>
    </row>
    <row r="97" spans="4:16">
      <c r="D97" s="374" t="s">
        <v>514</v>
      </c>
      <c r="E97" s="417" t="s">
        <v>516</v>
      </c>
      <c r="F97" s="418">
        <v>42338</v>
      </c>
      <c r="G97" s="381">
        <f t="shared" si="2"/>
        <v>2015</v>
      </c>
      <c r="H97" s="381">
        <f t="shared" si="3"/>
        <v>11</v>
      </c>
      <c r="I97" s="419">
        <v>18</v>
      </c>
      <c r="J97" s="419">
        <v>8.7469999999999999</v>
      </c>
      <c r="K97" s="419">
        <v>0</v>
      </c>
      <c r="L97" s="420">
        <v>8.7469999999999999</v>
      </c>
      <c r="M97" s="421">
        <v>6574</v>
      </c>
      <c r="N97" s="419">
        <v>0.13300000000000001</v>
      </c>
      <c r="O97" s="419">
        <v>8.8330000000000002</v>
      </c>
      <c r="P97" s="419">
        <v>0</v>
      </c>
    </row>
    <row r="98" spans="4:16">
      <c r="D98" s="374" t="s">
        <v>514</v>
      </c>
      <c r="E98" s="417" t="s">
        <v>516</v>
      </c>
      <c r="F98" s="418">
        <v>42355</v>
      </c>
      <c r="G98" s="381">
        <f t="shared" si="2"/>
        <v>2015</v>
      </c>
      <c r="H98" s="381">
        <f t="shared" si="3"/>
        <v>12</v>
      </c>
      <c r="I98" s="419">
        <v>18</v>
      </c>
      <c r="J98" s="419">
        <v>8.8409999999999993</v>
      </c>
      <c r="K98" s="419">
        <v>0</v>
      </c>
      <c r="L98" s="420">
        <v>8.8409999999999993</v>
      </c>
      <c r="M98" s="421">
        <v>6450</v>
      </c>
      <c r="N98" s="419">
        <v>0.13700000000000001</v>
      </c>
      <c r="O98" s="419">
        <v>8.9220000000000006</v>
      </c>
      <c r="P98" s="419">
        <v>0</v>
      </c>
    </row>
    <row r="99" spans="4:16">
      <c r="D99" s="374" t="s">
        <v>514</v>
      </c>
      <c r="E99" s="379" t="s">
        <v>517</v>
      </c>
      <c r="F99" s="380">
        <v>40927</v>
      </c>
      <c r="G99" s="381">
        <f t="shared" si="2"/>
        <v>2012</v>
      </c>
      <c r="H99" s="381">
        <f t="shared" si="3"/>
        <v>1</v>
      </c>
      <c r="I99" s="382">
        <v>19</v>
      </c>
      <c r="J99" s="382">
        <v>2.6880000000000002</v>
      </c>
      <c r="K99" s="382">
        <v>0</v>
      </c>
      <c r="L99" s="383">
        <v>0.68799999999999994</v>
      </c>
      <c r="M99" s="382">
        <v>6604</v>
      </c>
      <c r="N99" s="384">
        <v>4.0000000000000002E-4</v>
      </c>
      <c r="O99" s="382">
        <v>2.7069999999999999</v>
      </c>
      <c r="P99" s="382">
        <v>0</v>
      </c>
    </row>
    <row r="100" spans="4:16">
      <c r="D100" s="374" t="s">
        <v>514</v>
      </c>
      <c r="E100" s="379" t="s">
        <v>517</v>
      </c>
      <c r="F100" s="380">
        <v>40967</v>
      </c>
      <c r="G100" s="381">
        <f t="shared" si="2"/>
        <v>2012</v>
      </c>
      <c r="H100" s="381">
        <f t="shared" si="3"/>
        <v>2</v>
      </c>
      <c r="I100" s="382">
        <v>19</v>
      </c>
      <c r="J100" s="382">
        <v>2.3820000000000001</v>
      </c>
      <c r="K100" s="382">
        <v>0</v>
      </c>
      <c r="L100" s="383">
        <v>0.38200000000000001</v>
      </c>
      <c r="M100" s="382">
        <v>6178</v>
      </c>
      <c r="N100" s="384">
        <v>4.0000000000000002E-4</v>
      </c>
      <c r="O100" s="382">
        <v>2.3980000000000001</v>
      </c>
      <c r="P100" s="382">
        <v>0</v>
      </c>
    </row>
    <row r="101" spans="4:16">
      <c r="D101" s="374" t="s">
        <v>514</v>
      </c>
      <c r="E101" s="379" t="s">
        <v>517</v>
      </c>
      <c r="F101" s="380">
        <v>40987</v>
      </c>
      <c r="G101" s="381">
        <f t="shared" si="2"/>
        <v>2012</v>
      </c>
      <c r="H101" s="381">
        <f t="shared" si="3"/>
        <v>3</v>
      </c>
      <c r="I101" s="382">
        <v>14</v>
      </c>
      <c r="J101" s="382">
        <v>1.591</v>
      </c>
      <c r="K101" s="382">
        <v>0</v>
      </c>
      <c r="L101" s="383">
        <v>0.59099999999999997</v>
      </c>
      <c r="M101" s="382">
        <v>6170</v>
      </c>
      <c r="N101" s="384">
        <v>2.9999999999999997E-4</v>
      </c>
      <c r="O101" s="382">
        <v>1.597</v>
      </c>
      <c r="P101" s="382">
        <v>0</v>
      </c>
    </row>
    <row r="102" spans="4:16">
      <c r="D102" s="374" t="s">
        <v>514</v>
      </c>
      <c r="E102" s="379" t="s">
        <v>517</v>
      </c>
      <c r="F102" s="380">
        <v>41024</v>
      </c>
      <c r="G102" s="381">
        <f t="shared" si="2"/>
        <v>2012</v>
      </c>
      <c r="H102" s="381">
        <f t="shared" si="3"/>
        <v>4</v>
      </c>
      <c r="I102" s="382">
        <v>15</v>
      </c>
      <c r="J102" s="382">
        <v>1.673</v>
      </c>
      <c r="K102" s="382">
        <v>0</v>
      </c>
      <c r="L102" s="383">
        <v>0.67300000000000004</v>
      </c>
      <c r="M102" s="382">
        <v>5813</v>
      </c>
      <c r="N102" s="384">
        <v>2.9999999999999997E-4</v>
      </c>
      <c r="O102" s="382">
        <v>1.7</v>
      </c>
      <c r="P102" s="382">
        <v>0</v>
      </c>
    </row>
    <row r="103" spans="4:16">
      <c r="D103" s="374" t="s">
        <v>514</v>
      </c>
      <c r="E103" s="379" t="s">
        <v>517</v>
      </c>
      <c r="F103" s="380">
        <v>41047</v>
      </c>
      <c r="G103" s="381">
        <f t="shared" si="2"/>
        <v>2012</v>
      </c>
      <c r="H103" s="381">
        <f t="shared" si="3"/>
        <v>5</v>
      </c>
      <c r="I103" s="382">
        <v>17</v>
      </c>
      <c r="J103" s="382">
        <v>2.09</v>
      </c>
      <c r="K103" s="382">
        <v>0</v>
      </c>
      <c r="L103" s="383">
        <v>1.0900000000000001</v>
      </c>
      <c r="M103" s="382">
        <v>7203</v>
      </c>
      <c r="N103" s="384">
        <v>2.9999999999999997E-4</v>
      </c>
      <c r="O103" s="382">
        <v>2.093</v>
      </c>
      <c r="P103" s="382">
        <v>0</v>
      </c>
    </row>
    <row r="104" spans="4:16">
      <c r="D104" s="374" t="s">
        <v>514</v>
      </c>
      <c r="E104" s="379" t="s">
        <v>517</v>
      </c>
      <c r="F104" s="380">
        <v>41087</v>
      </c>
      <c r="G104" s="381">
        <f t="shared" si="2"/>
        <v>2012</v>
      </c>
      <c r="H104" s="381">
        <f t="shared" si="3"/>
        <v>6</v>
      </c>
      <c r="I104" s="382">
        <v>17</v>
      </c>
      <c r="J104" s="382">
        <v>2.0539999999999998</v>
      </c>
      <c r="K104" s="382">
        <v>0</v>
      </c>
      <c r="L104" s="383">
        <v>1.054</v>
      </c>
      <c r="M104" s="382">
        <v>8833</v>
      </c>
      <c r="N104" s="384">
        <v>2.0000000000000001E-4</v>
      </c>
      <c r="O104" s="382">
        <v>2.0859999999999999</v>
      </c>
      <c r="P104" s="382">
        <v>0</v>
      </c>
    </row>
    <row r="105" spans="4:16">
      <c r="D105" s="374" t="s">
        <v>514</v>
      </c>
      <c r="E105" s="379" t="s">
        <v>517</v>
      </c>
      <c r="F105" s="380">
        <v>41092</v>
      </c>
      <c r="G105" s="381">
        <f t="shared" si="2"/>
        <v>2012</v>
      </c>
      <c r="H105" s="381">
        <f t="shared" si="3"/>
        <v>7</v>
      </c>
      <c r="I105" s="382">
        <v>17</v>
      </c>
      <c r="J105" s="382">
        <v>2.7240000000000002</v>
      </c>
      <c r="K105" s="382">
        <v>0</v>
      </c>
      <c r="L105" s="383">
        <v>1.724</v>
      </c>
      <c r="M105" s="382">
        <v>9682</v>
      </c>
      <c r="N105" s="384">
        <v>2.9999999999999997E-4</v>
      </c>
      <c r="O105" s="382">
        <v>2.7570000000000001</v>
      </c>
      <c r="P105" s="382">
        <v>0</v>
      </c>
    </row>
    <row r="106" spans="4:16">
      <c r="D106" s="374" t="s">
        <v>514</v>
      </c>
      <c r="E106" s="379" t="s">
        <v>517</v>
      </c>
      <c r="F106" s="380">
        <v>41122</v>
      </c>
      <c r="G106" s="381">
        <f t="shared" si="2"/>
        <v>2012</v>
      </c>
      <c r="H106" s="381">
        <f t="shared" si="3"/>
        <v>8</v>
      </c>
      <c r="I106" s="382">
        <v>17</v>
      </c>
      <c r="J106" s="382">
        <v>2.4020000000000001</v>
      </c>
      <c r="K106" s="382">
        <v>0</v>
      </c>
      <c r="L106" s="383">
        <v>1.4019999999999999</v>
      </c>
      <c r="M106" s="382">
        <v>8979</v>
      </c>
      <c r="N106" s="384">
        <v>2.9999999999999997E-4</v>
      </c>
      <c r="O106" s="382">
        <v>2.4300000000000002</v>
      </c>
      <c r="P106" s="382">
        <v>0</v>
      </c>
    </row>
    <row r="107" spans="4:16">
      <c r="D107" s="374" t="s">
        <v>514</v>
      </c>
      <c r="E107" s="379" t="s">
        <v>517</v>
      </c>
      <c r="F107" s="380">
        <v>41156</v>
      </c>
      <c r="G107" s="381">
        <f t="shared" si="2"/>
        <v>2012</v>
      </c>
      <c r="H107" s="381">
        <f t="shared" si="3"/>
        <v>9</v>
      </c>
      <c r="I107" s="382">
        <v>16</v>
      </c>
      <c r="J107" s="382">
        <v>1.73</v>
      </c>
      <c r="K107" s="382">
        <v>0</v>
      </c>
      <c r="L107" s="383">
        <v>0.73</v>
      </c>
      <c r="M107" s="382">
        <v>8521</v>
      </c>
      <c r="N107" s="384">
        <v>2.0000000000000001E-4</v>
      </c>
      <c r="O107" s="382">
        <v>2.1779999999999999</v>
      </c>
      <c r="P107" s="382">
        <v>0</v>
      </c>
    </row>
    <row r="108" spans="4:16">
      <c r="D108" s="374" t="s">
        <v>514</v>
      </c>
      <c r="E108" s="379" t="s">
        <v>517</v>
      </c>
      <c r="F108" s="380">
        <v>41185</v>
      </c>
      <c r="G108" s="381">
        <f t="shared" si="2"/>
        <v>2012</v>
      </c>
      <c r="H108" s="381">
        <f t="shared" si="3"/>
        <v>10</v>
      </c>
      <c r="I108" s="382">
        <v>14</v>
      </c>
      <c r="J108" s="382">
        <v>1.4930000000000001</v>
      </c>
      <c r="K108" s="382">
        <v>0</v>
      </c>
      <c r="L108" s="383">
        <v>0.49299999999999999</v>
      </c>
      <c r="M108" s="382">
        <v>6122</v>
      </c>
      <c r="N108" s="384">
        <v>2.0000000000000001E-4</v>
      </c>
      <c r="O108" s="382">
        <v>1.5089999999999999</v>
      </c>
      <c r="P108" s="382">
        <v>0</v>
      </c>
    </row>
    <row r="109" spans="4:16">
      <c r="D109" s="374" t="s">
        <v>514</v>
      </c>
      <c r="E109" s="379" t="s">
        <v>517</v>
      </c>
      <c r="F109" s="380">
        <v>41239</v>
      </c>
      <c r="G109" s="381">
        <f t="shared" si="2"/>
        <v>2012</v>
      </c>
      <c r="H109" s="381">
        <f t="shared" si="3"/>
        <v>11</v>
      </c>
      <c r="I109" s="382">
        <v>18</v>
      </c>
      <c r="J109" s="382">
        <v>2.2930000000000001</v>
      </c>
      <c r="K109" s="382">
        <v>0</v>
      </c>
      <c r="L109" s="383">
        <v>0.29299999999999998</v>
      </c>
      <c r="M109" s="382">
        <v>6416</v>
      </c>
      <c r="N109" s="384">
        <v>4.0000000000000002E-4</v>
      </c>
      <c r="O109" s="382">
        <v>2.319</v>
      </c>
      <c r="P109" s="382">
        <v>0</v>
      </c>
    </row>
    <row r="110" spans="4:16">
      <c r="D110" s="374" t="s">
        <v>514</v>
      </c>
      <c r="E110" s="379" t="s">
        <v>517</v>
      </c>
      <c r="F110" s="380">
        <v>41253</v>
      </c>
      <c r="G110" s="381">
        <f t="shared" si="2"/>
        <v>2012</v>
      </c>
      <c r="H110" s="381">
        <f t="shared" si="3"/>
        <v>12</v>
      </c>
      <c r="I110" s="382">
        <v>18</v>
      </c>
      <c r="J110" s="382">
        <v>2.6339999999999999</v>
      </c>
      <c r="K110" s="382">
        <v>0</v>
      </c>
      <c r="L110" s="383">
        <v>0.63400000000000001</v>
      </c>
      <c r="M110" s="382">
        <v>6609</v>
      </c>
      <c r="N110" s="384">
        <v>4.0000000000000002E-4</v>
      </c>
      <c r="O110" s="382">
        <v>2.657</v>
      </c>
      <c r="P110" s="382">
        <v>0</v>
      </c>
    </row>
    <row r="111" spans="4:16">
      <c r="D111" s="374" t="s">
        <v>514</v>
      </c>
      <c r="E111" s="379" t="s">
        <v>517</v>
      </c>
      <c r="F111" s="380">
        <v>41295</v>
      </c>
      <c r="G111" s="381">
        <f t="shared" si="2"/>
        <v>2013</v>
      </c>
      <c r="H111" s="381">
        <f t="shared" si="3"/>
        <v>1</v>
      </c>
      <c r="I111" s="382">
        <v>19</v>
      </c>
      <c r="J111" s="382">
        <v>2.7240000000000002</v>
      </c>
      <c r="K111" s="382">
        <v>0</v>
      </c>
      <c r="L111" s="383">
        <v>0.72399999999999998</v>
      </c>
      <c r="M111" s="382">
        <v>6846</v>
      </c>
      <c r="N111" s="384">
        <v>4.0000000000000002E-4</v>
      </c>
      <c r="O111" s="382">
        <v>2.7229999999999999</v>
      </c>
      <c r="P111" s="382">
        <v>0</v>
      </c>
    </row>
    <row r="112" spans="4:16">
      <c r="D112" s="374" t="s">
        <v>514</v>
      </c>
      <c r="E112" s="379" t="s">
        <v>517</v>
      </c>
      <c r="F112" s="380">
        <v>41324</v>
      </c>
      <c r="G112" s="381">
        <f t="shared" si="2"/>
        <v>2013</v>
      </c>
      <c r="H112" s="381">
        <f t="shared" si="3"/>
        <v>2</v>
      </c>
      <c r="I112" s="382">
        <v>19</v>
      </c>
      <c r="J112" s="382">
        <v>2.6629999999999998</v>
      </c>
      <c r="K112" s="382">
        <v>0</v>
      </c>
      <c r="L112" s="383">
        <v>0.66300000000000003</v>
      </c>
      <c r="M112" s="382">
        <v>6511</v>
      </c>
      <c r="N112" s="384">
        <v>4.0000000000000002E-4</v>
      </c>
      <c r="O112" s="382">
        <v>2.7029999999999998</v>
      </c>
      <c r="P112" s="382">
        <v>0</v>
      </c>
    </row>
    <row r="113" spans="4:16">
      <c r="D113" s="374" t="s">
        <v>514</v>
      </c>
      <c r="E113" s="379" t="s">
        <v>517</v>
      </c>
      <c r="F113" s="380">
        <v>41337</v>
      </c>
      <c r="G113" s="381">
        <f t="shared" si="2"/>
        <v>2013</v>
      </c>
      <c r="H113" s="381">
        <f t="shared" si="3"/>
        <v>3</v>
      </c>
      <c r="I113" s="382">
        <v>19</v>
      </c>
      <c r="J113" s="382">
        <v>1.85</v>
      </c>
      <c r="K113" s="382">
        <v>0</v>
      </c>
      <c r="L113" s="383">
        <v>-0.15</v>
      </c>
      <c r="M113" s="382">
        <v>6172</v>
      </c>
      <c r="N113" s="384">
        <v>2.9999999999999997E-4</v>
      </c>
      <c r="O113" s="382">
        <v>2.157</v>
      </c>
      <c r="P113" s="382">
        <v>0</v>
      </c>
    </row>
    <row r="114" spans="4:16">
      <c r="D114" s="374" t="s">
        <v>514</v>
      </c>
      <c r="E114" s="379" t="s">
        <v>517</v>
      </c>
      <c r="F114" s="380">
        <v>41382</v>
      </c>
      <c r="G114" s="381">
        <f t="shared" si="2"/>
        <v>2013</v>
      </c>
      <c r="H114" s="381">
        <f t="shared" si="3"/>
        <v>4</v>
      </c>
      <c r="I114" s="382">
        <v>12</v>
      </c>
      <c r="J114" s="382">
        <v>1.8640000000000001</v>
      </c>
      <c r="K114" s="382">
        <v>0</v>
      </c>
      <c r="L114" s="383">
        <v>0.86399999999999999</v>
      </c>
      <c r="M114" s="382">
        <v>5851</v>
      </c>
      <c r="N114" s="384">
        <v>2.9999999999999997E-4</v>
      </c>
      <c r="O114" s="382">
        <v>1.8819999999999999</v>
      </c>
      <c r="P114" s="382">
        <v>0</v>
      </c>
    </row>
    <row r="115" spans="4:16">
      <c r="D115" s="374" t="s">
        <v>514</v>
      </c>
      <c r="E115" s="379" t="s">
        <v>517</v>
      </c>
      <c r="F115" s="380">
        <v>41408</v>
      </c>
      <c r="G115" s="381">
        <f t="shared" si="2"/>
        <v>2013</v>
      </c>
      <c r="H115" s="381">
        <f t="shared" si="3"/>
        <v>5</v>
      </c>
      <c r="I115" s="382">
        <v>17</v>
      </c>
      <c r="J115" s="382">
        <v>1.5960000000000001</v>
      </c>
      <c r="K115" s="382">
        <v>0</v>
      </c>
      <c r="L115" s="383">
        <v>0.59599999999999997</v>
      </c>
      <c r="M115" s="382">
        <v>6516</v>
      </c>
      <c r="N115" s="384">
        <v>2.0000000000000001E-4</v>
      </c>
      <c r="O115" s="382">
        <v>1.617</v>
      </c>
      <c r="P115" s="382">
        <v>0</v>
      </c>
    </row>
    <row r="116" spans="4:16">
      <c r="D116" s="374" t="s">
        <v>514</v>
      </c>
      <c r="E116" s="379" t="s">
        <v>517</v>
      </c>
      <c r="F116" s="380">
        <v>41451</v>
      </c>
      <c r="G116" s="381">
        <f t="shared" si="2"/>
        <v>2013</v>
      </c>
      <c r="H116" s="381">
        <f t="shared" si="3"/>
        <v>6</v>
      </c>
      <c r="I116" s="382">
        <v>16</v>
      </c>
      <c r="J116" s="382">
        <v>2.1059999999999999</v>
      </c>
      <c r="K116" s="382">
        <v>0</v>
      </c>
      <c r="L116" s="383">
        <v>1.1060000000000001</v>
      </c>
      <c r="M116" s="382">
        <v>8280</v>
      </c>
      <c r="N116" s="384">
        <v>2.9999999999999997E-4</v>
      </c>
      <c r="O116" s="382">
        <v>2.1429999999999998</v>
      </c>
      <c r="P116" s="382">
        <v>0</v>
      </c>
    </row>
    <row r="117" spans="4:16">
      <c r="D117" s="374" t="s">
        <v>514</v>
      </c>
      <c r="E117" s="379" t="s">
        <v>517</v>
      </c>
      <c r="F117" s="380">
        <v>41473</v>
      </c>
      <c r="G117" s="381">
        <f t="shared" si="2"/>
        <v>2013</v>
      </c>
      <c r="H117" s="381">
        <f t="shared" si="3"/>
        <v>7</v>
      </c>
      <c r="I117" s="382">
        <v>17</v>
      </c>
      <c r="J117" s="382">
        <v>2.577</v>
      </c>
      <c r="K117" s="382">
        <v>0</v>
      </c>
      <c r="L117" s="383">
        <v>1.577</v>
      </c>
      <c r="M117" s="382">
        <v>9566</v>
      </c>
      <c r="N117" s="384">
        <v>2.9999999999999997E-4</v>
      </c>
      <c r="O117" s="382">
        <v>2.6040000000000001</v>
      </c>
      <c r="P117" s="382">
        <v>0</v>
      </c>
    </row>
    <row r="118" spans="4:16">
      <c r="D118" s="374" t="s">
        <v>514</v>
      </c>
      <c r="E118" s="379" t="s">
        <v>517</v>
      </c>
      <c r="F118" s="380">
        <v>41512</v>
      </c>
      <c r="G118" s="381">
        <f t="shared" si="2"/>
        <v>2013</v>
      </c>
      <c r="H118" s="381">
        <f t="shared" si="3"/>
        <v>8</v>
      </c>
      <c r="I118" s="382">
        <v>17</v>
      </c>
      <c r="J118" s="382">
        <v>2.726</v>
      </c>
      <c r="K118" s="382">
        <v>0</v>
      </c>
      <c r="L118" s="383">
        <v>1.726</v>
      </c>
      <c r="M118" s="382">
        <v>9821</v>
      </c>
      <c r="N118" s="384">
        <v>2.9999999999999997E-4</v>
      </c>
      <c r="O118" s="382">
        <v>2.7480000000000002</v>
      </c>
      <c r="P118" s="382">
        <v>0</v>
      </c>
    </row>
    <row r="119" spans="4:16">
      <c r="D119" s="374" t="s">
        <v>514</v>
      </c>
      <c r="E119" s="379" t="s">
        <v>517</v>
      </c>
      <c r="F119" s="380">
        <v>41526</v>
      </c>
      <c r="G119" s="381">
        <f t="shared" si="2"/>
        <v>2013</v>
      </c>
      <c r="H119" s="381">
        <f t="shared" si="3"/>
        <v>9</v>
      </c>
      <c r="I119" s="382">
        <v>17</v>
      </c>
      <c r="J119" s="382">
        <v>2.5070000000000001</v>
      </c>
      <c r="K119" s="382">
        <v>0</v>
      </c>
      <c r="L119" s="383">
        <v>1.5069999999999999</v>
      </c>
      <c r="M119" s="382">
        <v>8781</v>
      </c>
      <c r="N119" s="384">
        <v>2.9999999999999997E-4</v>
      </c>
      <c r="O119" s="382">
        <v>2.5299999999999998</v>
      </c>
      <c r="P119" s="382">
        <v>0</v>
      </c>
    </row>
    <row r="120" spans="4:16">
      <c r="D120" s="374" t="s">
        <v>514</v>
      </c>
      <c r="E120" s="379" t="s">
        <v>517</v>
      </c>
      <c r="F120" s="380">
        <v>41548</v>
      </c>
      <c r="G120" s="381">
        <f t="shared" si="2"/>
        <v>2013</v>
      </c>
      <c r="H120" s="381">
        <f t="shared" si="3"/>
        <v>10</v>
      </c>
      <c r="I120" s="382">
        <v>14</v>
      </c>
      <c r="J120" s="382">
        <v>1.637</v>
      </c>
      <c r="K120" s="382">
        <v>0</v>
      </c>
      <c r="L120" s="383">
        <v>0.63700000000000001</v>
      </c>
      <c r="M120" s="382">
        <v>6214</v>
      </c>
      <c r="N120" s="384">
        <v>2.9999999999999997E-4</v>
      </c>
      <c r="O120" s="382">
        <v>1.653</v>
      </c>
      <c r="P120" s="382">
        <v>0</v>
      </c>
    </row>
    <row r="121" spans="4:16">
      <c r="D121" s="374" t="s">
        <v>514</v>
      </c>
      <c r="E121" s="379" t="s">
        <v>517</v>
      </c>
      <c r="F121" s="380">
        <v>41604</v>
      </c>
      <c r="G121" s="381">
        <f t="shared" si="2"/>
        <v>2013</v>
      </c>
      <c r="H121" s="381">
        <f t="shared" si="3"/>
        <v>11</v>
      </c>
      <c r="I121" s="382">
        <v>18</v>
      </c>
      <c r="J121" s="382">
        <v>2.423</v>
      </c>
      <c r="K121" s="382">
        <v>0</v>
      </c>
      <c r="L121" s="383">
        <v>0.42299999999999999</v>
      </c>
      <c r="M121" s="382">
        <v>6372</v>
      </c>
      <c r="N121" s="384">
        <v>4.0000000000000002E-4</v>
      </c>
      <c r="O121" s="382">
        <v>2.4580000000000002</v>
      </c>
      <c r="P121" s="382">
        <v>0</v>
      </c>
    </row>
    <row r="122" spans="4:16">
      <c r="D122" s="374" t="s">
        <v>514</v>
      </c>
      <c r="E122" s="379" t="s">
        <v>517</v>
      </c>
      <c r="F122" s="380">
        <v>41619</v>
      </c>
      <c r="G122" s="381">
        <f t="shared" si="2"/>
        <v>2013</v>
      </c>
      <c r="H122" s="381">
        <f t="shared" si="3"/>
        <v>12</v>
      </c>
      <c r="I122" s="382">
        <v>18</v>
      </c>
      <c r="J122" s="382">
        <v>2.5019999999999998</v>
      </c>
      <c r="K122" s="382">
        <v>0</v>
      </c>
      <c r="L122" s="383">
        <v>0.502</v>
      </c>
      <c r="M122" s="382">
        <v>6972</v>
      </c>
      <c r="N122" s="384">
        <v>4.0000000000000002E-4</v>
      </c>
      <c r="O122" s="382">
        <v>2.5249999999999999</v>
      </c>
      <c r="P122" s="382">
        <v>0</v>
      </c>
    </row>
    <row r="123" spans="4:16">
      <c r="D123" s="374" t="s">
        <v>514</v>
      </c>
      <c r="E123" s="417" t="s">
        <v>517</v>
      </c>
      <c r="F123" s="418">
        <v>41645</v>
      </c>
      <c r="G123" s="381">
        <f t="shared" si="2"/>
        <v>2014</v>
      </c>
      <c r="H123" s="381">
        <f t="shared" si="3"/>
        <v>1</v>
      </c>
      <c r="I123" s="419">
        <v>18</v>
      </c>
      <c r="J123" s="419">
        <v>2.36</v>
      </c>
      <c r="K123" s="419">
        <v>0</v>
      </c>
      <c r="L123" s="420">
        <v>2.36</v>
      </c>
      <c r="M123" s="421">
        <v>7188</v>
      </c>
      <c r="N123" s="419">
        <v>3.3000000000000002E-2</v>
      </c>
      <c r="O123" s="419">
        <v>2.6269999999999998</v>
      </c>
      <c r="P123" s="419">
        <v>0</v>
      </c>
    </row>
    <row r="124" spans="4:16">
      <c r="D124" s="374" t="s">
        <v>514</v>
      </c>
      <c r="E124" s="417" t="s">
        <v>517</v>
      </c>
      <c r="F124" s="418">
        <v>41676</v>
      </c>
      <c r="G124" s="381">
        <f t="shared" si="2"/>
        <v>2014</v>
      </c>
      <c r="H124" s="381">
        <f t="shared" si="3"/>
        <v>2</v>
      </c>
      <c r="I124" s="419">
        <v>19</v>
      </c>
      <c r="J124" s="419">
        <v>2.573</v>
      </c>
      <c r="K124" s="419">
        <v>0</v>
      </c>
      <c r="L124" s="420">
        <v>2.573</v>
      </c>
      <c r="M124" s="421">
        <v>6743</v>
      </c>
      <c r="N124" s="419">
        <v>3.7999999999999999E-2</v>
      </c>
      <c r="O124" s="419">
        <v>2.601</v>
      </c>
      <c r="P124" s="419">
        <v>0</v>
      </c>
    </row>
    <row r="125" spans="4:16">
      <c r="D125" s="374" t="s">
        <v>514</v>
      </c>
      <c r="E125" s="417" t="s">
        <v>517</v>
      </c>
      <c r="F125" s="418">
        <v>41701</v>
      </c>
      <c r="G125" s="381">
        <f t="shared" si="2"/>
        <v>2014</v>
      </c>
      <c r="H125" s="381">
        <f t="shared" si="3"/>
        <v>3</v>
      </c>
      <c r="I125" s="419">
        <v>19</v>
      </c>
      <c r="J125" s="419">
        <v>2.4129999999999998</v>
      </c>
      <c r="K125" s="419">
        <v>0</v>
      </c>
      <c r="L125" s="420">
        <v>2.4129999999999998</v>
      </c>
      <c r="M125" s="421">
        <v>6537</v>
      </c>
      <c r="N125" s="419">
        <v>3.6999999999999998E-2</v>
      </c>
      <c r="O125" s="419">
        <v>2.4329999999999998</v>
      </c>
      <c r="P125" s="419">
        <v>0</v>
      </c>
    </row>
    <row r="126" spans="4:16">
      <c r="D126" s="374" t="s">
        <v>514</v>
      </c>
      <c r="E126" s="417" t="s">
        <v>517</v>
      </c>
      <c r="F126" s="418">
        <v>41730</v>
      </c>
      <c r="G126" s="381">
        <f t="shared" si="2"/>
        <v>2014</v>
      </c>
      <c r="H126" s="381">
        <f t="shared" si="3"/>
        <v>4</v>
      </c>
      <c r="I126" s="419">
        <v>11</v>
      </c>
      <c r="J126" s="419">
        <v>2.0070000000000001</v>
      </c>
      <c r="K126" s="419">
        <v>0</v>
      </c>
      <c r="L126" s="420">
        <v>2.0070000000000001</v>
      </c>
      <c r="M126" s="421">
        <v>5924</v>
      </c>
      <c r="N126" s="419">
        <v>3.4000000000000002E-2</v>
      </c>
      <c r="O126" s="419">
        <v>2.0579999999999998</v>
      </c>
      <c r="P126" s="419">
        <v>0</v>
      </c>
    </row>
    <row r="127" spans="4:16">
      <c r="D127" s="374" t="s">
        <v>514</v>
      </c>
      <c r="E127" s="417" t="s">
        <v>517</v>
      </c>
      <c r="F127" s="418">
        <v>41789</v>
      </c>
      <c r="G127" s="381">
        <f t="shared" si="2"/>
        <v>2014</v>
      </c>
      <c r="H127" s="381">
        <f t="shared" si="3"/>
        <v>5</v>
      </c>
      <c r="I127" s="419">
        <v>16</v>
      </c>
      <c r="J127" s="419">
        <v>1.8979999999999999</v>
      </c>
      <c r="K127" s="419">
        <v>0</v>
      </c>
      <c r="L127" s="420">
        <v>1.8979999999999999</v>
      </c>
      <c r="M127" s="421">
        <v>7422</v>
      </c>
      <c r="N127" s="419">
        <v>2.5999999999999999E-2</v>
      </c>
      <c r="O127" s="419">
        <v>1.917</v>
      </c>
      <c r="P127" s="419">
        <v>0</v>
      </c>
    </row>
    <row r="128" spans="4:16">
      <c r="D128" s="374" t="s">
        <v>514</v>
      </c>
      <c r="E128" s="417" t="s">
        <v>517</v>
      </c>
      <c r="F128" s="418">
        <v>41814</v>
      </c>
      <c r="G128" s="381">
        <f t="shared" si="2"/>
        <v>2014</v>
      </c>
      <c r="H128" s="381">
        <f t="shared" si="3"/>
        <v>6</v>
      </c>
      <c r="I128" s="419">
        <v>16</v>
      </c>
      <c r="J128" s="419">
        <v>1.8919999999999999</v>
      </c>
      <c r="K128" s="419">
        <v>0</v>
      </c>
      <c r="L128" s="420">
        <v>1.8919999999999999</v>
      </c>
      <c r="M128" s="421">
        <v>7670</v>
      </c>
      <c r="N128" s="419">
        <v>2.5000000000000001E-2</v>
      </c>
      <c r="O128" s="419">
        <v>1.9139999999999999</v>
      </c>
      <c r="P128" s="419">
        <v>0</v>
      </c>
    </row>
    <row r="129" spans="4:16">
      <c r="D129" s="374" t="s">
        <v>514</v>
      </c>
      <c r="E129" s="417" t="s">
        <v>517</v>
      </c>
      <c r="F129" s="418">
        <v>41841</v>
      </c>
      <c r="G129" s="381">
        <f t="shared" si="2"/>
        <v>2014</v>
      </c>
      <c r="H129" s="381">
        <f t="shared" si="3"/>
        <v>7</v>
      </c>
      <c r="I129" s="419">
        <v>17</v>
      </c>
      <c r="J129" s="419">
        <v>2.2000000000000002</v>
      </c>
      <c r="K129" s="419">
        <v>0</v>
      </c>
      <c r="L129" s="420">
        <v>2.2000000000000002</v>
      </c>
      <c r="M129" s="421">
        <v>9150</v>
      </c>
      <c r="N129" s="419">
        <v>2.4E-2</v>
      </c>
      <c r="O129" s="419">
        <v>2.1949999999999998</v>
      </c>
      <c r="P129" s="419">
        <v>0</v>
      </c>
    </row>
    <row r="130" spans="4:16">
      <c r="D130" s="374" t="s">
        <v>514</v>
      </c>
      <c r="E130" s="417" t="s">
        <v>517</v>
      </c>
      <c r="F130" s="418">
        <v>41869</v>
      </c>
      <c r="G130" s="381">
        <f t="shared" si="2"/>
        <v>2014</v>
      </c>
      <c r="H130" s="381">
        <f t="shared" si="3"/>
        <v>8</v>
      </c>
      <c r="I130" s="419">
        <v>16</v>
      </c>
      <c r="J130" s="419">
        <v>1.853</v>
      </c>
      <c r="K130" s="419">
        <v>0</v>
      </c>
      <c r="L130" s="420">
        <v>1.853</v>
      </c>
      <c r="M130" s="421">
        <v>8190</v>
      </c>
      <c r="N130" s="419">
        <v>2.3E-2</v>
      </c>
      <c r="O130" s="419">
        <v>1.8660000000000001</v>
      </c>
      <c r="P130" s="419">
        <v>0</v>
      </c>
    </row>
    <row r="131" spans="4:16">
      <c r="D131" s="374" t="s">
        <v>514</v>
      </c>
      <c r="E131" s="417" t="s">
        <v>517</v>
      </c>
      <c r="F131" s="418">
        <v>41886</v>
      </c>
      <c r="G131" s="381">
        <f t="shared" ref="G131:G194" si="4">YEAR(F131)</f>
        <v>2014</v>
      </c>
      <c r="H131" s="381">
        <f t="shared" ref="H131:H194" si="5">MONTH(F131)</f>
        <v>9</v>
      </c>
      <c r="I131" s="419">
        <v>15</v>
      </c>
      <c r="J131" s="419">
        <v>1.849</v>
      </c>
      <c r="K131" s="419">
        <v>0</v>
      </c>
      <c r="L131" s="420">
        <v>1.849</v>
      </c>
      <c r="M131" s="421">
        <v>7758</v>
      </c>
      <c r="N131" s="419">
        <v>2.4E-2</v>
      </c>
      <c r="O131" s="419">
        <v>1.87</v>
      </c>
      <c r="P131" s="419">
        <v>0</v>
      </c>
    </row>
    <row r="132" spans="4:16">
      <c r="D132" s="374" t="s">
        <v>514</v>
      </c>
      <c r="E132" s="417" t="s">
        <v>517</v>
      </c>
      <c r="F132" s="418">
        <v>41942</v>
      </c>
      <c r="G132" s="381">
        <f t="shared" si="4"/>
        <v>2014</v>
      </c>
      <c r="H132" s="381">
        <f t="shared" si="5"/>
        <v>10</v>
      </c>
      <c r="I132" s="419">
        <v>20</v>
      </c>
      <c r="J132" s="419">
        <v>1.456</v>
      </c>
      <c r="K132" s="419">
        <v>0</v>
      </c>
      <c r="L132" s="420">
        <v>1.456</v>
      </c>
      <c r="M132" s="421">
        <v>5901</v>
      </c>
      <c r="N132" s="419">
        <v>2.5000000000000001E-2</v>
      </c>
      <c r="O132" s="419">
        <v>1.468</v>
      </c>
      <c r="P132" s="419">
        <v>0</v>
      </c>
    </row>
    <row r="133" spans="4:16">
      <c r="D133" s="374" t="s">
        <v>514</v>
      </c>
      <c r="E133" s="417" t="s">
        <v>517</v>
      </c>
      <c r="F133" s="418">
        <v>41960</v>
      </c>
      <c r="G133" s="381">
        <f t="shared" si="4"/>
        <v>2014</v>
      </c>
      <c r="H133" s="381">
        <f t="shared" si="5"/>
        <v>11</v>
      </c>
      <c r="I133" s="419">
        <v>18</v>
      </c>
      <c r="J133" s="419">
        <v>2.16</v>
      </c>
      <c r="K133" s="419">
        <v>0</v>
      </c>
      <c r="L133" s="420">
        <v>2.16</v>
      </c>
      <c r="M133" s="421">
        <v>6677</v>
      </c>
      <c r="N133" s="419">
        <v>3.2000000000000001E-2</v>
      </c>
      <c r="O133" s="419">
        <v>2.1800000000000002</v>
      </c>
      <c r="P133" s="419">
        <v>0</v>
      </c>
    </row>
    <row r="134" spans="4:16">
      <c r="D134" s="374" t="s">
        <v>514</v>
      </c>
      <c r="E134" s="417" t="s">
        <v>517</v>
      </c>
      <c r="F134" s="418">
        <v>41974</v>
      </c>
      <c r="G134" s="381">
        <f t="shared" si="4"/>
        <v>2014</v>
      </c>
      <c r="H134" s="381">
        <f t="shared" si="5"/>
        <v>12</v>
      </c>
      <c r="I134" s="419">
        <v>18</v>
      </c>
      <c r="J134" s="419">
        <v>2.16</v>
      </c>
      <c r="K134" s="419">
        <v>0</v>
      </c>
      <c r="L134" s="420">
        <v>2.16</v>
      </c>
      <c r="M134" s="421">
        <v>6850</v>
      </c>
      <c r="N134" s="419">
        <v>3.2000000000000001E-2</v>
      </c>
      <c r="O134" s="419">
        <v>2.1819999999999999</v>
      </c>
      <c r="P134" s="419">
        <v>0</v>
      </c>
    </row>
    <row r="135" spans="4:16">
      <c r="D135" s="374" t="s">
        <v>514</v>
      </c>
      <c r="E135" s="417" t="s">
        <v>517</v>
      </c>
      <c r="F135" s="418">
        <v>42011</v>
      </c>
      <c r="G135" s="381">
        <f t="shared" si="4"/>
        <v>2015</v>
      </c>
      <c r="H135" s="381">
        <f t="shared" si="5"/>
        <v>1</v>
      </c>
      <c r="I135" s="419">
        <v>18</v>
      </c>
      <c r="J135" s="419">
        <v>2.2120000000000002</v>
      </c>
      <c r="K135" s="419">
        <v>0</v>
      </c>
      <c r="L135" s="420">
        <v>2.2120000000000002</v>
      </c>
      <c r="M135" s="421">
        <v>6978</v>
      </c>
      <c r="N135" s="419">
        <v>3.2000000000000001E-2</v>
      </c>
      <c r="O135" s="419">
        <v>2.2349999999999999</v>
      </c>
      <c r="P135" s="419">
        <v>0</v>
      </c>
    </row>
    <row r="136" spans="4:16">
      <c r="D136" s="374" t="s">
        <v>514</v>
      </c>
      <c r="E136" s="417" t="s">
        <v>517</v>
      </c>
      <c r="F136" s="418">
        <v>42053</v>
      </c>
      <c r="G136" s="381">
        <f t="shared" si="4"/>
        <v>2015</v>
      </c>
      <c r="H136" s="381">
        <f t="shared" si="5"/>
        <v>2</v>
      </c>
      <c r="I136" s="419">
        <v>19</v>
      </c>
      <c r="J136" s="419">
        <v>2.4990000000000001</v>
      </c>
      <c r="K136" s="419">
        <v>0</v>
      </c>
      <c r="L136" s="420">
        <v>2.4990000000000001</v>
      </c>
      <c r="M136" s="421">
        <v>6744</v>
      </c>
      <c r="N136" s="419">
        <v>3.6999999999999998E-2</v>
      </c>
      <c r="O136" s="419">
        <v>2.5179999999999998</v>
      </c>
      <c r="P136" s="419">
        <v>0</v>
      </c>
    </row>
    <row r="137" spans="4:16">
      <c r="D137" s="374" t="s">
        <v>514</v>
      </c>
      <c r="E137" s="417" t="s">
        <v>517</v>
      </c>
      <c r="F137" s="418">
        <v>42067</v>
      </c>
      <c r="G137" s="381">
        <f t="shared" si="4"/>
        <v>2015</v>
      </c>
      <c r="H137" s="381">
        <f t="shared" si="5"/>
        <v>3</v>
      </c>
      <c r="I137" s="419">
        <v>20</v>
      </c>
      <c r="J137" s="419">
        <v>2.2440000000000002</v>
      </c>
      <c r="K137" s="419">
        <v>0</v>
      </c>
      <c r="L137" s="420">
        <v>2.2440000000000002</v>
      </c>
      <c r="M137" s="421">
        <v>6470</v>
      </c>
      <c r="N137" s="419">
        <v>3.5000000000000003E-2</v>
      </c>
      <c r="O137" s="419">
        <v>2.2629999999999999</v>
      </c>
      <c r="P137" s="419">
        <v>0</v>
      </c>
    </row>
    <row r="138" spans="4:16">
      <c r="D138" s="374" t="s">
        <v>514</v>
      </c>
      <c r="E138" s="417" t="s">
        <v>517</v>
      </c>
      <c r="F138" s="418">
        <v>42103</v>
      </c>
      <c r="G138" s="381">
        <f t="shared" si="4"/>
        <v>2015</v>
      </c>
      <c r="H138" s="381">
        <f t="shared" si="5"/>
        <v>4</v>
      </c>
      <c r="I138" s="419">
        <v>12</v>
      </c>
      <c r="J138" s="419">
        <v>1.6539999999999999</v>
      </c>
      <c r="K138" s="419">
        <v>0</v>
      </c>
      <c r="L138" s="420">
        <v>1.6539999999999999</v>
      </c>
      <c r="M138" s="421">
        <v>5914</v>
      </c>
      <c r="N138" s="419">
        <v>2.8000000000000001E-2</v>
      </c>
      <c r="O138" s="419">
        <v>1.677</v>
      </c>
      <c r="P138" s="419">
        <v>0</v>
      </c>
    </row>
    <row r="139" spans="4:16">
      <c r="D139" s="374" t="s">
        <v>514</v>
      </c>
      <c r="E139" s="417" t="s">
        <v>517</v>
      </c>
      <c r="F139" s="418">
        <v>42152</v>
      </c>
      <c r="G139" s="381">
        <f t="shared" si="4"/>
        <v>2015</v>
      </c>
      <c r="H139" s="381">
        <f t="shared" si="5"/>
        <v>5</v>
      </c>
      <c r="I139" s="419">
        <v>16</v>
      </c>
      <c r="J139" s="419">
        <v>1.5660000000000001</v>
      </c>
      <c r="K139" s="419">
        <v>0</v>
      </c>
      <c r="L139" s="420">
        <v>1.5660000000000001</v>
      </c>
      <c r="M139" s="421">
        <v>6837</v>
      </c>
      <c r="N139" s="419">
        <v>2.3E-2</v>
      </c>
      <c r="O139" s="419">
        <v>1.587</v>
      </c>
      <c r="P139" s="419">
        <v>0</v>
      </c>
    </row>
    <row r="140" spans="4:16">
      <c r="D140" s="374" t="s">
        <v>514</v>
      </c>
      <c r="E140" s="417" t="s">
        <v>517</v>
      </c>
      <c r="F140" s="418">
        <v>42164</v>
      </c>
      <c r="G140" s="381">
        <f t="shared" si="4"/>
        <v>2015</v>
      </c>
      <c r="H140" s="381">
        <f t="shared" si="5"/>
        <v>6</v>
      </c>
      <c r="I140" s="419">
        <v>17</v>
      </c>
      <c r="J140" s="419">
        <v>2.0910000000000002</v>
      </c>
      <c r="K140" s="419">
        <v>0</v>
      </c>
      <c r="L140" s="420">
        <v>2.0910000000000002</v>
      </c>
      <c r="M140" s="421">
        <v>8136</v>
      </c>
      <c r="N140" s="419">
        <v>2.5999999999999999E-2</v>
      </c>
      <c r="O140" s="419">
        <v>2.12</v>
      </c>
      <c r="P140" s="419">
        <v>0</v>
      </c>
    </row>
    <row r="141" spans="4:16">
      <c r="D141" s="374" t="s">
        <v>514</v>
      </c>
      <c r="E141" s="417" t="s">
        <v>517</v>
      </c>
      <c r="F141" s="418">
        <v>42212</v>
      </c>
      <c r="G141" s="381">
        <f t="shared" si="4"/>
        <v>2015</v>
      </c>
      <c r="H141" s="381">
        <f t="shared" si="5"/>
        <v>7</v>
      </c>
      <c r="I141" s="419">
        <v>17</v>
      </c>
      <c r="J141" s="419">
        <v>2.1629999999999998</v>
      </c>
      <c r="K141" s="419">
        <v>0</v>
      </c>
      <c r="L141" s="420">
        <v>2.1629999999999998</v>
      </c>
      <c r="M141" s="421">
        <v>8769</v>
      </c>
      <c r="N141" s="419">
        <v>2.5000000000000001E-2</v>
      </c>
      <c r="O141" s="419">
        <v>2.1880000000000002</v>
      </c>
      <c r="P141" s="419">
        <v>0</v>
      </c>
    </row>
    <row r="142" spans="4:16">
      <c r="D142" s="374" t="s">
        <v>514</v>
      </c>
      <c r="E142" s="417" t="s">
        <v>517</v>
      </c>
      <c r="F142" s="418">
        <v>42230</v>
      </c>
      <c r="G142" s="381">
        <f t="shared" si="4"/>
        <v>2015</v>
      </c>
      <c r="H142" s="381">
        <f t="shared" si="5"/>
        <v>8</v>
      </c>
      <c r="I142" s="419">
        <v>16</v>
      </c>
      <c r="J142" s="419">
        <v>2.2050000000000001</v>
      </c>
      <c r="K142" s="419">
        <v>0</v>
      </c>
      <c r="L142" s="420">
        <v>2.2050000000000001</v>
      </c>
      <c r="M142" s="421">
        <v>8926</v>
      </c>
      <c r="N142" s="419">
        <v>2.5000000000000001E-2</v>
      </c>
      <c r="O142" s="419">
        <v>2.2320000000000002</v>
      </c>
      <c r="P142" s="419">
        <v>0</v>
      </c>
    </row>
    <row r="143" spans="4:16">
      <c r="D143" s="374" t="s">
        <v>514</v>
      </c>
      <c r="E143" s="417" t="s">
        <v>517</v>
      </c>
      <c r="F143" s="418">
        <v>42250</v>
      </c>
      <c r="G143" s="381">
        <f t="shared" si="4"/>
        <v>2015</v>
      </c>
      <c r="H143" s="381">
        <f t="shared" si="5"/>
        <v>9</v>
      </c>
      <c r="I143" s="419">
        <v>17</v>
      </c>
      <c r="J143" s="419">
        <v>2.2559999999999998</v>
      </c>
      <c r="K143" s="419">
        <v>0</v>
      </c>
      <c r="L143" s="420">
        <v>2.2559999999999998</v>
      </c>
      <c r="M143" s="421">
        <v>8657</v>
      </c>
      <c r="N143" s="419">
        <v>2.5999999999999999E-2</v>
      </c>
      <c r="O143" s="419">
        <v>2.2869999999999999</v>
      </c>
      <c r="P143" s="419">
        <v>0</v>
      </c>
    </row>
    <row r="144" spans="4:16">
      <c r="D144" s="374" t="s">
        <v>514</v>
      </c>
      <c r="E144" s="417" t="s">
        <v>517</v>
      </c>
      <c r="F144" s="418">
        <v>42285</v>
      </c>
      <c r="G144" s="381">
        <f t="shared" si="4"/>
        <v>2015</v>
      </c>
      <c r="H144" s="381">
        <f t="shared" si="5"/>
        <v>10</v>
      </c>
      <c r="I144" s="419">
        <v>12</v>
      </c>
      <c r="J144" s="419">
        <v>1.4370000000000001</v>
      </c>
      <c r="K144" s="419">
        <v>0</v>
      </c>
      <c r="L144" s="420">
        <v>1.4370000000000001</v>
      </c>
      <c r="M144" s="421">
        <v>5943</v>
      </c>
      <c r="N144" s="419">
        <v>2.4E-2</v>
      </c>
      <c r="O144" s="419">
        <v>1.34</v>
      </c>
      <c r="P144" s="419">
        <v>0</v>
      </c>
    </row>
    <row r="145" spans="4:16">
      <c r="D145" s="374" t="s">
        <v>514</v>
      </c>
      <c r="E145" s="417" t="s">
        <v>517</v>
      </c>
      <c r="F145" s="418">
        <v>42338</v>
      </c>
      <c r="G145" s="381">
        <f t="shared" si="4"/>
        <v>2015</v>
      </c>
      <c r="H145" s="381">
        <f t="shared" si="5"/>
        <v>11</v>
      </c>
      <c r="I145" s="419">
        <v>18</v>
      </c>
      <c r="J145" s="419">
        <v>1.9810000000000001</v>
      </c>
      <c r="K145" s="419">
        <v>0</v>
      </c>
      <c r="L145" s="420">
        <v>1.9810000000000001</v>
      </c>
      <c r="M145" s="421">
        <v>6574</v>
      </c>
      <c r="N145" s="419">
        <v>0.03</v>
      </c>
      <c r="O145" s="419">
        <v>2.0110000000000001</v>
      </c>
      <c r="P145" s="419">
        <v>0</v>
      </c>
    </row>
    <row r="146" spans="4:16">
      <c r="D146" s="374" t="s">
        <v>514</v>
      </c>
      <c r="E146" s="417" t="s">
        <v>517</v>
      </c>
      <c r="F146" s="418">
        <v>42355</v>
      </c>
      <c r="G146" s="381">
        <f t="shared" si="4"/>
        <v>2015</v>
      </c>
      <c r="H146" s="381">
        <f t="shared" si="5"/>
        <v>12</v>
      </c>
      <c r="I146" s="419">
        <v>18</v>
      </c>
      <c r="J146" s="419">
        <v>2.036</v>
      </c>
      <c r="K146" s="419">
        <v>0</v>
      </c>
      <c r="L146" s="420">
        <v>2.036</v>
      </c>
      <c r="M146" s="421">
        <v>6450</v>
      </c>
      <c r="N146" s="419">
        <v>3.2000000000000001E-2</v>
      </c>
      <c r="O146" s="419">
        <v>2.0739999999999998</v>
      </c>
      <c r="P146" s="419">
        <v>0</v>
      </c>
    </row>
    <row r="147" spans="4:16">
      <c r="D147" s="374" t="s">
        <v>514</v>
      </c>
      <c r="E147" s="379" t="s">
        <v>518</v>
      </c>
      <c r="F147" s="380">
        <v>40927</v>
      </c>
      <c r="G147" s="381">
        <f t="shared" si="4"/>
        <v>2012</v>
      </c>
      <c r="H147" s="381">
        <f t="shared" si="5"/>
        <v>1</v>
      </c>
      <c r="I147" s="382">
        <v>19</v>
      </c>
      <c r="J147" s="382">
        <v>4.556</v>
      </c>
      <c r="K147" s="382">
        <v>0.312</v>
      </c>
      <c r="L147" s="383">
        <v>2.8679999999999999</v>
      </c>
      <c r="M147" s="382">
        <v>6604</v>
      </c>
      <c r="N147" s="384">
        <v>6.9999999999999999E-4</v>
      </c>
      <c r="O147" s="382">
        <v>2.5870000000000002</v>
      </c>
      <c r="P147" s="382">
        <v>0.312</v>
      </c>
    </row>
    <row r="148" spans="4:16">
      <c r="D148" s="374" t="s">
        <v>514</v>
      </c>
      <c r="E148" s="379" t="s">
        <v>518</v>
      </c>
      <c r="F148" s="380">
        <v>40967</v>
      </c>
      <c r="G148" s="381">
        <f t="shared" si="4"/>
        <v>2012</v>
      </c>
      <c r="H148" s="381">
        <f t="shared" si="5"/>
        <v>2</v>
      </c>
      <c r="I148" s="382">
        <v>19</v>
      </c>
      <c r="J148" s="382">
        <v>4.3949999999999996</v>
      </c>
      <c r="K148" s="382">
        <v>0</v>
      </c>
      <c r="L148" s="383">
        <v>2.395</v>
      </c>
      <c r="M148" s="382">
        <v>6178</v>
      </c>
      <c r="N148" s="384">
        <v>6.9999999999999999E-4</v>
      </c>
      <c r="O148" s="382">
        <v>2.4249999999999998</v>
      </c>
      <c r="P148" s="382">
        <v>0</v>
      </c>
    </row>
    <row r="149" spans="4:16">
      <c r="D149" s="374" t="s">
        <v>514</v>
      </c>
      <c r="E149" s="379" t="s">
        <v>518</v>
      </c>
      <c r="F149" s="380">
        <v>40987</v>
      </c>
      <c r="G149" s="381">
        <f t="shared" si="4"/>
        <v>2012</v>
      </c>
      <c r="H149" s="381">
        <f t="shared" si="5"/>
        <v>3</v>
      </c>
      <c r="I149" s="382">
        <v>14</v>
      </c>
      <c r="J149" s="382">
        <v>4.0759999999999996</v>
      </c>
      <c r="K149" s="382">
        <v>0.72399999999999998</v>
      </c>
      <c r="L149" s="383">
        <v>3.8</v>
      </c>
      <c r="M149" s="382">
        <v>6170</v>
      </c>
      <c r="N149" s="384">
        <v>8.0000000000000004E-4</v>
      </c>
      <c r="O149" s="382">
        <v>3.1179999999999999</v>
      </c>
      <c r="P149" s="382">
        <v>0.72399999999999998</v>
      </c>
    </row>
    <row r="150" spans="4:16">
      <c r="D150" s="374" t="s">
        <v>514</v>
      </c>
      <c r="E150" s="379" t="s">
        <v>518</v>
      </c>
      <c r="F150" s="380">
        <v>41024</v>
      </c>
      <c r="G150" s="381">
        <f t="shared" si="4"/>
        <v>2012</v>
      </c>
      <c r="H150" s="381">
        <f t="shared" si="5"/>
        <v>4</v>
      </c>
      <c r="I150" s="382">
        <v>15</v>
      </c>
      <c r="J150" s="382">
        <v>3.806</v>
      </c>
      <c r="K150" s="382">
        <v>0.73599999999999999</v>
      </c>
      <c r="L150" s="383">
        <v>3.5419999999999998</v>
      </c>
      <c r="M150" s="382">
        <v>5813</v>
      </c>
      <c r="N150" s="384">
        <v>8.0000000000000004E-4</v>
      </c>
      <c r="O150" s="382">
        <v>2.847</v>
      </c>
      <c r="P150" s="382">
        <v>0.73599999999999999</v>
      </c>
    </row>
    <row r="151" spans="4:16">
      <c r="D151" s="374" t="s">
        <v>514</v>
      </c>
      <c r="E151" s="379" t="s">
        <v>518</v>
      </c>
      <c r="F151" s="380">
        <v>41047</v>
      </c>
      <c r="G151" s="381">
        <f t="shared" si="4"/>
        <v>2012</v>
      </c>
      <c r="H151" s="381">
        <f t="shared" si="5"/>
        <v>5</v>
      </c>
      <c r="I151" s="382">
        <v>17</v>
      </c>
      <c r="J151" s="382">
        <v>4.8780000000000001</v>
      </c>
      <c r="K151" s="382">
        <v>0.75700000000000001</v>
      </c>
      <c r="L151" s="383">
        <v>4.6349999999999998</v>
      </c>
      <c r="M151" s="382">
        <v>7203</v>
      </c>
      <c r="N151" s="384">
        <v>8.0000000000000004E-4</v>
      </c>
      <c r="O151" s="382">
        <v>3.9239999999999999</v>
      </c>
      <c r="P151" s="382">
        <v>0.75700000000000001</v>
      </c>
    </row>
    <row r="152" spans="4:16">
      <c r="D152" s="374" t="s">
        <v>514</v>
      </c>
      <c r="E152" s="379" t="s">
        <v>518</v>
      </c>
      <c r="F152" s="380">
        <v>41087</v>
      </c>
      <c r="G152" s="381">
        <f t="shared" si="4"/>
        <v>2012</v>
      </c>
      <c r="H152" s="381">
        <f t="shared" si="5"/>
        <v>6</v>
      </c>
      <c r="I152" s="382">
        <v>17</v>
      </c>
      <c r="J152" s="382">
        <v>6.1870000000000003</v>
      </c>
      <c r="K152" s="382">
        <v>0.68899999999999995</v>
      </c>
      <c r="L152" s="383">
        <v>5.8760000000000003</v>
      </c>
      <c r="M152" s="382">
        <v>8833</v>
      </c>
      <c r="N152" s="384">
        <v>8.0000000000000004E-4</v>
      </c>
      <c r="O152" s="382">
        <v>5.2430000000000003</v>
      </c>
      <c r="P152" s="382">
        <v>0.68899999999999995</v>
      </c>
    </row>
    <row r="153" spans="4:16">
      <c r="D153" s="374" t="s">
        <v>514</v>
      </c>
      <c r="E153" s="379" t="s">
        <v>518</v>
      </c>
      <c r="F153" s="380">
        <v>41092</v>
      </c>
      <c r="G153" s="381">
        <f t="shared" si="4"/>
        <v>2012</v>
      </c>
      <c r="H153" s="381">
        <f t="shared" si="5"/>
        <v>7</v>
      </c>
      <c r="I153" s="382">
        <v>17</v>
      </c>
      <c r="J153" s="382">
        <v>6.6539999999999999</v>
      </c>
      <c r="K153" s="382">
        <v>0.73</v>
      </c>
      <c r="L153" s="383">
        <v>5.3840000000000003</v>
      </c>
      <c r="M153" s="382">
        <v>9682</v>
      </c>
      <c r="N153" s="384">
        <v>8.0000000000000004E-4</v>
      </c>
      <c r="O153" s="382">
        <v>4.6950000000000003</v>
      </c>
      <c r="P153" s="382">
        <v>0.73</v>
      </c>
    </row>
    <row r="154" spans="4:16">
      <c r="D154" s="374" t="s">
        <v>514</v>
      </c>
      <c r="E154" s="379" t="s">
        <v>518</v>
      </c>
      <c r="F154" s="380">
        <v>41122</v>
      </c>
      <c r="G154" s="381">
        <f t="shared" si="4"/>
        <v>2012</v>
      </c>
      <c r="H154" s="381">
        <f t="shared" si="5"/>
        <v>8</v>
      </c>
      <c r="I154" s="382">
        <v>17</v>
      </c>
      <c r="J154" s="382">
        <v>7.3029999999999999</v>
      </c>
      <c r="K154" s="382">
        <v>0</v>
      </c>
      <c r="L154" s="383">
        <v>6.3029999999999999</v>
      </c>
      <c r="M154" s="382">
        <v>8979</v>
      </c>
      <c r="N154" s="384">
        <v>8.0000000000000004E-4</v>
      </c>
      <c r="O154" s="382">
        <v>6.3630000000000004</v>
      </c>
      <c r="P154" s="382">
        <v>0</v>
      </c>
    </row>
    <row r="155" spans="4:16">
      <c r="D155" s="374" t="s">
        <v>514</v>
      </c>
      <c r="E155" s="379" t="s">
        <v>518</v>
      </c>
      <c r="F155" s="380">
        <v>41156</v>
      </c>
      <c r="G155" s="381">
        <f t="shared" si="4"/>
        <v>2012</v>
      </c>
      <c r="H155" s="381">
        <f t="shared" si="5"/>
        <v>9</v>
      </c>
      <c r="I155" s="382">
        <v>16</v>
      </c>
      <c r="J155" s="382">
        <v>6.6070000000000002</v>
      </c>
      <c r="K155" s="382">
        <v>0</v>
      </c>
      <c r="L155" s="383">
        <v>5.6070000000000002</v>
      </c>
      <c r="M155" s="382">
        <v>8521</v>
      </c>
      <c r="N155" s="384">
        <v>8.0000000000000004E-4</v>
      </c>
      <c r="O155" s="382">
        <v>5.6829999999999998</v>
      </c>
      <c r="P155" s="382">
        <v>0</v>
      </c>
    </row>
    <row r="156" spans="4:16">
      <c r="D156" s="374" t="s">
        <v>514</v>
      </c>
      <c r="E156" s="379" t="s">
        <v>518</v>
      </c>
      <c r="F156" s="380">
        <v>41185</v>
      </c>
      <c r="G156" s="381">
        <f t="shared" si="4"/>
        <v>2012</v>
      </c>
      <c r="H156" s="381">
        <f t="shared" si="5"/>
        <v>10</v>
      </c>
      <c r="I156" s="382">
        <v>14</v>
      </c>
      <c r="J156" s="382">
        <v>4.3979999999999997</v>
      </c>
      <c r="K156" s="382">
        <v>0</v>
      </c>
      <c r="L156" s="383">
        <v>3.3980000000000001</v>
      </c>
      <c r="M156" s="382">
        <v>6122</v>
      </c>
      <c r="N156" s="384">
        <v>6.9999999999999999E-4</v>
      </c>
      <c r="O156" s="382">
        <v>3.45</v>
      </c>
      <c r="P156" s="382">
        <v>0</v>
      </c>
    </row>
    <row r="157" spans="4:16">
      <c r="D157" s="374" t="s">
        <v>514</v>
      </c>
      <c r="E157" s="379" t="s">
        <v>518</v>
      </c>
      <c r="F157" s="380">
        <v>41239</v>
      </c>
      <c r="G157" s="381">
        <f t="shared" si="4"/>
        <v>2012</v>
      </c>
      <c r="H157" s="381">
        <f t="shared" si="5"/>
        <v>11</v>
      </c>
      <c r="I157" s="382">
        <v>18</v>
      </c>
      <c r="J157" s="382">
        <v>4.5149999999999997</v>
      </c>
      <c r="K157" s="382">
        <v>0</v>
      </c>
      <c r="L157" s="383">
        <v>2.5150000000000001</v>
      </c>
      <c r="M157" s="382">
        <v>6416</v>
      </c>
      <c r="N157" s="384">
        <v>6.9999999999999999E-4</v>
      </c>
      <c r="O157" s="382">
        <v>2.556</v>
      </c>
      <c r="P157" s="382">
        <v>0</v>
      </c>
    </row>
    <row r="158" spans="4:16">
      <c r="D158" s="374" t="s">
        <v>514</v>
      </c>
      <c r="E158" s="379" t="s">
        <v>518</v>
      </c>
      <c r="F158" s="380">
        <v>41253</v>
      </c>
      <c r="G158" s="381">
        <f t="shared" si="4"/>
        <v>2012</v>
      </c>
      <c r="H158" s="381">
        <f t="shared" si="5"/>
        <v>12</v>
      </c>
      <c r="I158" s="382">
        <v>18</v>
      </c>
      <c r="J158" s="382">
        <v>4.7649999999999997</v>
      </c>
      <c r="K158" s="382">
        <v>0</v>
      </c>
      <c r="L158" s="383">
        <v>2.7650000000000001</v>
      </c>
      <c r="M158" s="382">
        <v>6609</v>
      </c>
      <c r="N158" s="384">
        <v>6.9999999999999999E-4</v>
      </c>
      <c r="O158" s="382">
        <v>2.8090000000000002</v>
      </c>
      <c r="P158" s="382">
        <v>0</v>
      </c>
    </row>
    <row r="159" spans="4:16">
      <c r="D159" s="374" t="s">
        <v>514</v>
      </c>
      <c r="E159" s="379" t="s">
        <v>518</v>
      </c>
      <c r="F159" s="380">
        <v>41295</v>
      </c>
      <c r="G159" s="381">
        <f t="shared" si="4"/>
        <v>2013</v>
      </c>
      <c r="H159" s="381">
        <f t="shared" si="5"/>
        <v>1</v>
      </c>
      <c r="I159" s="382">
        <v>19</v>
      </c>
      <c r="J159" s="382">
        <v>4.8570000000000002</v>
      </c>
      <c r="K159" s="382">
        <v>0</v>
      </c>
      <c r="L159" s="383">
        <v>2.8570000000000002</v>
      </c>
      <c r="M159" s="382">
        <v>6846</v>
      </c>
      <c r="N159" s="384">
        <v>6.9999999999999999E-4</v>
      </c>
      <c r="O159" s="382">
        <v>2.8959999999999999</v>
      </c>
      <c r="P159" s="382">
        <v>0</v>
      </c>
    </row>
    <row r="160" spans="4:16">
      <c r="D160" s="374" t="s">
        <v>514</v>
      </c>
      <c r="E160" s="379" t="s">
        <v>518</v>
      </c>
      <c r="F160" s="380">
        <v>41324</v>
      </c>
      <c r="G160" s="381">
        <f t="shared" si="4"/>
        <v>2013</v>
      </c>
      <c r="H160" s="381">
        <f t="shared" si="5"/>
        <v>2</v>
      </c>
      <c r="I160" s="382">
        <v>19</v>
      </c>
      <c r="J160" s="382">
        <v>4.67</v>
      </c>
      <c r="K160" s="382">
        <v>0</v>
      </c>
      <c r="L160" s="383">
        <v>2.67</v>
      </c>
      <c r="M160" s="382">
        <v>6511</v>
      </c>
      <c r="N160" s="384">
        <v>6.9999999999999999E-4</v>
      </c>
      <c r="O160" s="382">
        <v>2.871</v>
      </c>
      <c r="P160" s="382">
        <v>0</v>
      </c>
    </row>
    <row r="161" spans="4:16">
      <c r="D161" s="374" t="s">
        <v>514</v>
      </c>
      <c r="E161" s="379" t="s">
        <v>518</v>
      </c>
      <c r="F161" s="380">
        <v>41337</v>
      </c>
      <c r="G161" s="381">
        <f t="shared" si="4"/>
        <v>2013</v>
      </c>
      <c r="H161" s="381">
        <f t="shared" si="5"/>
        <v>3</v>
      </c>
      <c r="I161" s="382">
        <v>19</v>
      </c>
      <c r="J161" s="382">
        <v>4.1639999999999997</v>
      </c>
      <c r="K161" s="382">
        <v>0</v>
      </c>
      <c r="L161" s="383">
        <v>2.1640000000000001</v>
      </c>
      <c r="M161" s="382">
        <v>6172</v>
      </c>
      <c r="N161" s="384">
        <v>6.9999999999999999E-4</v>
      </c>
      <c r="O161" s="382">
        <v>2.206</v>
      </c>
      <c r="P161" s="382">
        <v>0</v>
      </c>
    </row>
    <row r="162" spans="4:16">
      <c r="D162" s="374" t="s">
        <v>514</v>
      </c>
      <c r="E162" s="379" t="s">
        <v>518</v>
      </c>
      <c r="F162" s="380">
        <v>41382</v>
      </c>
      <c r="G162" s="381">
        <f t="shared" si="4"/>
        <v>2013</v>
      </c>
      <c r="H162" s="381">
        <f t="shared" si="5"/>
        <v>4</v>
      </c>
      <c r="I162" s="382">
        <v>12</v>
      </c>
      <c r="J162" s="382">
        <v>3.8879999999999999</v>
      </c>
      <c r="K162" s="382">
        <v>0.67200000000000004</v>
      </c>
      <c r="L162" s="383">
        <v>4.5599999999999996</v>
      </c>
      <c r="M162" s="382">
        <v>5851</v>
      </c>
      <c r="N162" s="384">
        <v>8.0000000000000004E-4</v>
      </c>
      <c r="O162" s="382">
        <v>3.9289999999999998</v>
      </c>
      <c r="P162" s="382">
        <v>0.67200000000000004</v>
      </c>
    </row>
    <row r="163" spans="4:16">
      <c r="D163" s="374" t="s">
        <v>514</v>
      </c>
      <c r="E163" s="379" t="s">
        <v>518</v>
      </c>
      <c r="F163" s="380">
        <v>41408</v>
      </c>
      <c r="G163" s="381">
        <f t="shared" si="4"/>
        <v>2013</v>
      </c>
      <c r="H163" s="381">
        <f t="shared" si="5"/>
        <v>5</v>
      </c>
      <c r="I163" s="382">
        <v>17</v>
      </c>
      <c r="J163" s="382">
        <v>4.4669999999999996</v>
      </c>
      <c r="K163" s="382">
        <v>0.65600000000000003</v>
      </c>
      <c r="L163" s="383">
        <v>4.1230000000000002</v>
      </c>
      <c r="M163" s="382">
        <v>6516</v>
      </c>
      <c r="N163" s="384">
        <v>8.0000000000000004E-4</v>
      </c>
      <c r="O163" s="382">
        <v>3.4990000000000001</v>
      </c>
      <c r="P163" s="382">
        <v>0.65600000000000003</v>
      </c>
    </row>
    <row r="164" spans="4:16">
      <c r="D164" s="374" t="s">
        <v>514</v>
      </c>
      <c r="E164" s="379" t="s">
        <v>518</v>
      </c>
      <c r="F164" s="380">
        <v>41451</v>
      </c>
      <c r="G164" s="381">
        <f t="shared" si="4"/>
        <v>2013</v>
      </c>
      <c r="H164" s="381">
        <f t="shared" si="5"/>
        <v>6</v>
      </c>
      <c r="I164" s="382">
        <v>16</v>
      </c>
      <c r="J164" s="382">
        <v>6.1120000000000001</v>
      </c>
      <c r="K164" s="382">
        <v>0.66400000000000003</v>
      </c>
      <c r="L164" s="383">
        <v>5.7759999999999998</v>
      </c>
      <c r="M164" s="382">
        <v>8280</v>
      </c>
      <c r="N164" s="384">
        <v>8.0000000000000004E-4</v>
      </c>
      <c r="O164" s="382">
        <v>5.1779999999999999</v>
      </c>
      <c r="P164" s="382">
        <v>0.66400000000000003</v>
      </c>
    </row>
    <row r="165" spans="4:16">
      <c r="D165" s="374" t="s">
        <v>514</v>
      </c>
      <c r="E165" s="379" t="s">
        <v>518</v>
      </c>
      <c r="F165" s="380">
        <v>41473</v>
      </c>
      <c r="G165" s="381">
        <f t="shared" si="4"/>
        <v>2013</v>
      </c>
      <c r="H165" s="381">
        <f t="shared" si="5"/>
        <v>7</v>
      </c>
      <c r="I165" s="382">
        <v>17</v>
      </c>
      <c r="J165" s="382">
        <v>6.5549999999999997</v>
      </c>
      <c r="K165" s="382">
        <v>0.67600000000000005</v>
      </c>
      <c r="L165" s="383">
        <v>5.2309999999999999</v>
      </c>
      <c r="M165" s="382">
        <v>9566</v>
      </c>
      <c r="N165" s="384">
        <v>8.0000000000000004E-4</v>
      </c>
      <c r="O165" s="382">
        <v>6.6269999999999998</v>
      </c>
      <c r="P165" s="382">
        <v>0.67600000000000005</v>
      </c>
    </row>
    <row r="166" spans="4:16">
      <c r="D166" s="374" t="s">
        <v>514</v>
      </c>
      <c r="E166" s="379" t="s">
        <v>518</v>
      </c>
      <c r="F166" s="380">
        <v>41512</v>
      </c>
      <c r="G166" s="381">
        <f t="shared" si="4"/>
        <v>2013</v>
      </c>
      <c r="H166" s="381">
        <f t="shared" si="5"/>
        <v>8</v>
      </c>
      <c r="I166" s="382">
        <v>17</v>
      </c>
      <c r="J166" s="382">
        <v>7.3789999999999996</v>
      </c>
      <c r="K166" s="382">
        <v>0</v>
      </c>
      <c r="L166" s="383">
        <v>5.3789999999999996</v>
      </c>
      <c r="M166" s="382">
        <v>9821</v>
      </c>
      <c r="N166" s="384">
        <v>8.0000000000000004E-4</v>
      </c>
      <c r="O166" s="382">
        <v>7.46</v>
      </c>
      <c r="P166" s="382">
        <v>0</v>
      </c>
    </row>
    <row r="167" spans="4:16">
      <c r="D167" s="374" t="s">
        <v>514</v>
      </c>
      <c r="E167" s="379" t="s">
        <v>518</v>
      </c>
      <c r="F167" s="380">
        <v>41526</v>
      </c>
      <c r="G167" s="381">
        <f t="shared" si="4"/>
        <v>2013</v>
      </c>
      <c r="H167" s="381">
        <f t="shared" si="5"/>
        <v>9</v>
      </c>
      <c r="I167" s="382">
        <v>17</v>
      </c>
      <c r="J167" s="382">
        <v>7.0419999999999998</v>
      </c>
      <c r="K167" s="382">
        <v>0</v>
      </c>
      <c r="L167" s="383">
        <v>6.0419999999999998</v>
      </c>
      <c r="M167" s="382">
        <v>8781</v>
      </c>
      <c r="N167" s="384">
        <v>8.0000000000000004E-4</v>
      </c>
      <c r="O167" s="382">
        <v>7.1310000000000002</v>
      </c>
      <c r="P167" s="382">
        <v>0</v>
      </c>
    </row>
    <row r="168" spans="4:16">
      <c r="D168" s="374" t="s">
        <v>514</v>
      </c>
      <c r="E168" s="379" t="s">
        <v>518</v>
      </c>
      <c r="F168" s="380">
        <v>41548</v>
      </c>
      <c r="G168" s="381">
        <f t="shared" si="4"/>
        <v>2013</v>
      </c>
      <c r="H168" s="381">
        <f t="shared" si="5"/>
        <v>10</v>
      </c>
      <c r="I168" s="382">
        <v>14</v>
      </c>
      <c r="J168" s="382">
        <v>4.532</v>
      </c>
      <c r="K168" s="382">
        <v>0</v>
      </c>
      <c r="L168" s="383">
        <v>3.532</v>
      </c>
      <c r="M168" s="382">
        <v>6214</v>
      </c>
      <c r="N168" s="384">
        <v>6.9999999999999999E-4</v>
      </c>
      <c r="O168" s="382">
        <v>4.5869999999999997</v>
      </c>
      <c r="P168" s="382">
        <v>0</v>
      </c>
    </row>
    <row r="169" spans="4:16">
      <c r="D169" s="374" t="s">
        <v>514</v>
      </c>
      <c r="E169" s="379" t="s">
        <v>518</v>
      </c>
      <c r="F169" s="380">
        <v>41604</v>
      </c>
      <c r="G169" s="381">
        <f t="shared" si="4"/>
        <v>2013</v>
      </c>
      <c r="H169" s="381">
        <f t="shared" si="5"/>
        <v>11</v>
      </c>
      <c r="I169" s="382">
        <v>18</v>
      </c>
      <c r="J169" s="382">
        <v>4.3369999999999997</v>
      </c>
      <c r="K169" s="382">
        <v>0</v>
      </c>
      <c r="L169" s="383">
        <v>2.3370000000000002</v>
      </c>
      <c r="M169" s="382">
        <v>6372</v>
      </c>
      <c r="N169" s="384">
        <v>6.9999999999999999E-4</v>
      </c>
      <c r="O169" s="382">
        <v>4.3979999999999997</v>
      </c>
      <c r="P169" s="382">
        <v>0</v>
      </c>
    </row>
    <row r="170" spans="4:16">
      <c r="D170" s="374" t="s">
        <v>514</v>
      </c>
      <c r="E170" s="379" t="s">
        <v>518</v>
      </c>
      <c r="F170" s="380">
        <v>41619</v>
      </c>
      <c r="G170" s="381">
        <f t="shared" si="4"/>
        <v>2013</v>
      </c>
      <c r="H170" s="381">
        <f t="shared" si="5"/>
        <v>12</v>
      </c>
      <c r="I170" s="382">
        <v>18</v>
      </c>
      <c r="J170" s="382">
        <v>5.1180000000000003</v>
      </c>
      <c r="K170" s="382">
        <v>0</v>
      </c>
      <c r="L170" s="383">
        <v>3.1179999999999999</v>
      </c>
      <c r="M170" s="382">
        <v>6972</v>
      </c>
      <c r="N170" s="384">
        <v>6.9999999999999999E-4</v>
      </c>
      <c r="O170" s="382">
        <v>5.1820000000000004</v>
      </c>
      <c r="P170" s="382">
        <v>0</v>
      </c>
    </row>
    <row r="171" spans="4:16">
      <c r="D171" s="374" t="s">
        <v>514</v>
      </c>
      <c r="E171" s="417" t="s">
        <v>518</v>
      </c>
      <c r="F171" s="418">
        <v>41645</v>
      </c>
      <c r="G171" s="381">
        <f t="shared" si="4"/>
        <v>2014</v>
      </c>
      <c r="H171" s="381">
        <f t="shared" si="5"/>
        <v>1</v>
      </c>
      <c r="I171" s="419">
        <v>18</v>
      </c>
      <c r="J171" s="419">
        <v>5.4219999999999997</v>
      </c>
      <c r="K171" s="419">
        <v>0</v>
      </c>
      <c r="L171" s="420">
        <v>5.4219999999999997</v>
      </c>
      <c r="M171" s="421">
        <v>7188</v>
      </c>
      <c r="N171" s="419">
        <v>7.4999999999999997E-2</v>
      </c>
      <c r="O171" s="419">
        <v>5.48</v>
      </c>
      <c r="P171" s="419">
        <v>0</v>
      </c>
    </row>
    <row r="172" spans="4:16">
      <c r="D172" s="374" t="s">
        <v>514</v>
      </c>
      <c r="E172" s="417" t="s">
        <v>518</v>
      </c>
      <c r="F172" s="418">
        <v>41676</v>
      </c>
      <c r="G172" s="381">
        <f t="shared" si="4"/>
        <v>2014</v>
      </c>
      <c r="H172" s="381">
        <f t="shared" si="5"/>
        <v>2</v>
      </c>
      <c r="I172" s="419">
        <v>19</v>
      </c>
      <c r="J172" s="419">
        <v>4.95</v>
      </c>
      <c r="K172" s="419">
        <v>0</v>
      </c>
      <c r="L172" s="420">
        <v>4.95</v>
      </c>
      <c r="M172" s="421">
        <v>6743</v>
      </c>
      <c r="N172" s="419">
        <v>7.2999999999999995E-2</v>
      </c>
      <c r="O172" s="419">
        <v>4.8099999999999996</v>
      </c>
      <c r="P172" s="419">
        <v>0</v>
      </c>
    </row>
    <row r="173" spans="4:16">
      <c r="D173" s="374" t="s">
        <v>514</v>
      </c>
      <c r="E173" s="417" t="s">
        <v>518</v>
      </c>
      <c r="F173" s="418">
        <v>41701</v>
      </c>
      <c r="G173" s="381">
        <f t="shared" si="4"/>
        <v>2014</v>
      </c>
      <c r="H173" s="381">
        <f t="shared" si="5"/>
        <v>3</v>
      </c>
      <c r="I173" s="419">
        <v>19</v>
      </c>
      <c r="J173" s="419">
        <v>4.9400000000000004</v>
      </c>
      <c r="K173" s="419">
        <v>0</v>
      </c>
      <c r="L173" s="420">
        <v>4.9400000000000004</v>
      </c>
      <c r="M173" s="421">
        <v>6537</v>
      </c>
      <c r="N173" s="419">
        <v>7.5999999999999998E-2</v>
      </c>
      <c r="O173" s="419">
        <v>4.681</v>
      </c>
      <c r="P173" s="419">
        <v>0</v>
      </c>
    </row>
    <row r="174" spans="4:16">
      <c r="D174" s="374" t="s">
        <v>514</v>
      </c>
      <c r="E174" s="417" t="s">
        <v>518</v>
      </c>
      <c r="F174" s="418">
        <v>41730</v>
      </c>
      <c r="G174" s="381">
        <f t="shared" si="4"/>
        <v>2014</v>
      </c>
      <c r="H174" s="381">
        <f t="shared" si="5"/>
        <v>4</v>
      </c>
      <c r="I174" s="419">
        <v>11</v>
      </c>
      <c r="J174" s="419">
        <v>4.71</v>
      </c>
      <c r="K174" s="419">
        <v>0</v>
      </c>
      <c r="L174" s="420">
        <v>4.71</v>
      </c>
      <c r="M174" s="421">
        <v>5924</v>
      </c>
      <c r="N174" s="419">
        <v>0.08</v>
      </c>
      <c r="O174" s="419">
        <v>4.585</v>
      </c>
      <c r="P174" s="419">
        <v>0</v>
      </c>
    </row>
    <row r="175" spans="4:16">
      <c r="D175" s="374" t="s">
        <v>514</v>
      </c>
      <c r="E175" s="417" t="s">
        <v>518</v>
      </c>
      <c r="F175" s="418">
        <v>41789</v>
      </c>
      <c r="G175" s="381">
        <f t="shared" si="4"/>
        <v>2014</v>
      </c>
      <c r="H175" s="381">
        <f t="shared" si="5"/>
        <v>5</v>
      </c>
      <c r="I175" s="419">
        <v>16</v>
      </c>
      <c r="J175" s="419">
        <v>5.3719999999999999</v>
      </c>
      <c r="K175" s="419">
        <v>0.69099999999999995</v>
      </c>
      <c r="L175" s="420">
        <v>6.0629999999999997</v>
      </c>
      <c r="M175" s="421">
        <v>7422</v>
      </c>
      <c r="N175" s="419">
        <v>8.2000000000000003E-2</v>
      </c>
      <c r="O175" s="419">
        <v>5.4260000000000002</v>
      </c>
      <c r="P175" s="419">
        <v>0.69099999999999995</v>
      </c>
    </row>
    <row r="176" spans="4:16">
      <c r="D176" s="374" t="s">
        <v>514</v>
      </c>
      <c r="E176" s="417" t="s">
        <v>518</v>
      </c>
      <c r="F176" s="418">
        <v>41814</v>
      </c>
      <c r="G176" s="381">
        <f t="shared" si="4"/>
        <v>2014</v>
      </c>
      <c r="H176" s="381">
        <f t="shared" si="5"/>
        <v>6</v>
      </c>
      <c r="I176" s="419">
        <v>16</v>
      </c>
      <c r="J176" s="419">
        <v>5.3780000000000001</v>
      </c>
      <c r="K176" s="419">
        <v>0.50600000000000001</v>
      </c>
      <c r="L176" s="420">
        <v>5.8840000000000003</v>
      </c>
      <c r="M176" s="421">
        <v>7670</v>
      </c>
      <c r="N176" s="419">
        <v>7.6999999999999999E-2</v>
      </c>
      <c r="O176" s="419">
        <v>5.4320000000000004</v>
      </c>
      <c r="P176" s="419">
        <v>0.50600000000000001</v>
      </c>
    </row>
    <row r="177" spans="4:16">
      <c r="D177" s="374" t="s">
        <v>514</v>
      </c>
      <c r="E177" s="417" t="s">
        <v>518</v>
      </c>
      <c r="F177" s="418">
        <v>41841</v>
      </c>
      <c r="G177" s="381">
        <f t="shared" si="4"/>
        <v>2014</v>
      </c>
      <c r="H177" s="381">
        <f t="shared" si="5"/>
        <v>7</v>
      </c>
      <c r="I177" s="419">
        <v>17</v>
      </c>
      <c r="J177" s="419">
        <v>6.6</v>
      </c>
      <c r="K177" s="419">
        <v>0.622</v>
      </c>
      <c r="L177" s="420">
        <v>7.2220000000000004</v>
      </c>
      <c r="M177" s="421">
        <v>9150</v>
      </c>
      <c r="N177" s="419">
        <v>7.9000000000000001E-2</v>
      </c>
      <c r="O177" s="419">
        <v>6.43</v>
      </c>
      <c r="P177" s="419">
        <v>0.622</v>
      </c>
    </row>
    <row r="178" spans="4:16">
      <c r="D178" s="374" t="s">
        <v>514</v>
      </c>
      <c r="E178" s="417" t="s">
        <v>518</v>
      </c>
      <c r="F178" s="418">
        <v>41869</v>
      </c>
      <c r="G178" s="381">
        <f t="shared" si="4"/>
        <v>2014</v>
      </c>
      <c r="H178" s="381">
        <f t="shared" si="5"/>
        <v>8</v>
      </c>
      <c r="I178" s="419">
        <v>16</v>
      </c>
      <c r="J178" s="419">
        <v>6.0750000000000002</v>
      </c>
      <c r="K178" s="419">
        <v>0.72599999999999998</v>
      </c>
      <c r="L178" s="420">
        <v>6.8010000000000002</v>
      </c>
      <c r="M178" s="421">
        <v>8190</v>
      </c>
      <c r="N178" s="419">
        <v>8.3000000000000004E-2</v>
      </c>
      <c r="O178" s="419">
        <v>5.8959999999999999</v>
      </c>
      <c r="P178" s="419">
        <v>0.72599999999999998</v>
      </c>
    </row>
    <row r="179" spans="4:16">
      <c r="D179" s="374" t="s">
        <v>514</v>
      </c>
      <c r="E179" s="417" t="s">
        <v>518</v>
      </c>
      <c r="F179" s="418">
        <v>41886</v>
      </c>
      <c r="G179" s="381">
        <f t="shared" si="4"/>
        <v>2014</v>
      </c>
      <c r="H179" s="381">
        <f t="shared" si="5"/>
        <v>9</v>
      </c>
      <c r="I179" s="419">
        <v>15</v>
      </c>
      <c r="J179" s="419">
        <v>5.3470000000000004</v>
      </c>
      <c r="K179" s="419">
        <v>0.71199999999999997</v>
      </c>
      <c r="L179" s="420">
        <v>6.0590000000000002</v>
      </c>
      <c r="M179" s="421">
        <v>7758</v>
      </c>
      <c r="N179" s="419">
        <v>7.8E-2</v>
      </c>
      <c r="O179" s="419">
        <v>5.1929999999999996</v>
      </c>
      <c r="P179" s="419">
        <v>0.71199999999999997</v>
      </c>
    </row>
    <row r="180" spans="4:16">
      <c r="D180" s="374" t="s">
        <v>514</v>
      </c>
      <c r="E180" s="417" t="s">
        <v>518</v>
      </c>
      <c r="F180" s="418">
        <v>41942</v>
      </c>
      <c r="G180" s="381">
        <f t="shared" si="4"/>
        <v>2014</v>
      </c>
      <c r="H180" s="381">
        <f t="shared" si="5"/>
        <v>10</v>
      </c>
      <c r="I180" s="419">
        <v>20</v>
      </c>
      <c r="J180" s="419">
        <v>3.7450000000000001</v>
      </c>
      <c r="K180" s="419">
        <v>0</v>
      </c>
      <c r="L180" s="420">
        <v>3.7450000000000001</v>
      </c>
      <c r="M180" s="421">
        <v>5901</v>
      </c>
      <c r="N180" s="419">
        <v>6.3E-2</v>
      </c>
      <c r="O180" s="419">
        <v>3.718</v>
      </c>
      <c r="P180" s="419">
        <v>0</v>
      </c>
    </row>
    <row r="181" spans="4:16">
      <c r="D181" s="374" t="s">
        <v>514</v>
      </c>
      <c r="E181" s="417" t="s">
        <v>518</v>
      </c>
      <c r="F181" s="418">
        <v>41960</v>
      </c>
      <c r="G181" s="381">
        <f t="shared" si="4"/>
        <v>2014</v>
      </c>
      <c r="H181" s="381">
        <f t="shared" si="5"/>
        <v>11</v>
      </c>
      <c r="I181" s="419">
        <v>18</v>
      </c>
      <c r="J181" s="419">
        <v>4.8860000000000001</v>
      </c>
      <c r="K181" s="419">
        <v>0</v>
      </c>
      <c r="L181" s="420">
        <v>4.8860000000000001</v>
      </c>
      <c r="M181" s="421">
        <v>6677</v>
      </c>
      <c r="N181" s="419">
        <v>7.2999999999999995E-2</v>
      </c>
      <c r="O181" s="419">
        <v>4.8419999999999996</v>
      </c>
      <c r="P181" s="419">
        <v>0</v>
      </c>
    </row>
    <row r="182" spans="4:16">
      <c r="D182" s="374" t="s">
        <v>514</v>
      </c>
      <c r="E182" s="417" t="s">
        <v>518</v>
      </c>
      <c r="F182" s="418">
        <v>41974</v>
      </c>
      <c r="G182" s="381">
        <f t="shared" si="4"/>
        <v>2014</v>
      </c>
      <c r="H182" s="381">
        <f t="shared" si="5"/>
        <v>12</v>
      </c>
      <c r="I182" s="419">
        <v>18</v>
      </c>
      <c r="J182" s="419">
        <v>5.1340000000000003</v>
      </c>
      <c r="K182" s="419">
        <v>0</v>
      </c>
      <c r="L182" s="420">
        <v>5.1340000000000003</v>
      </c>
      <c r="M182" s="421">
        <v>6850</v>
      </c>
      <c r="N182" s="419">
        <v>7.4999999999999997E-2</v>
      </c>
      <c r="O182" s="419">
        <v>4.9550000000000001</v>
      </c>
      <c r="P182" s="419">
        <v>0</v>
      </c>
    </row>
    <row r="183" spans="4:16">
      <c r="D183" s="374" t="s">
        <v>514</v>
      </c>
      <c r="E183" s="417" t="s">
        <v>518</v>
      </c>
      <c r="F183" s="418">
        <v>42011</v>
      </c>
      <c r="G183" s="381">
        <f t="shared" si="4"/>
        <v>2015</v>
      </c>
      <c r="H183" s="381">
        <f t="shared" si="5"/>
        <v>1</v>
      </c>
      <c r="I183" s="419">
        <v>18</v>
      </c>
      <c r="J183" s="419">
        <v>5.1079999999999997</v>
      </c>
      <c r="K183" s="419">
        <v>0</v>
      </c>
      <c r="L183" s="420">
        <v>5.1079999999999997</v>
      </c>
      <c r="M183" s="421">
        <v>6978</v>
      </c>
      <c r="N183" s="419">
        <v>7.2999999999999995E-2</v>
      </c>
      <c r="O183" s="419">
        <v>4.9550000000000001</v>
      </c>
      <c r="P183" s="419">
        <v>0</v>
      </c>
    </row>
    <row r="184" spans="4:16">
      <c r="D184" s="374" t="s">
        <v>514</v>
      </c>
      <c r="E184" s="417" t="s">
        <v>518</v>
      </c>
      <c r="F184" s="418">
        <v>42053</v>
      </c>
      <c r="G184" s="381">
        <f t="shared" si="4"/>
        <v>2015</v>
      </c>
      <c r="H184" s="381">
        <f t="shared" si="5"/>
        <v>2</v>
      </c>
      <c r="I184" s="419">
        <v>19</v>
      </c>
      <c r="J184" s="419">
        <v>4.7789999999999999</v>
      </c>
      <c r="K184" s="419">
        <v>0</v>
      </c>
      <c r="L184" s="420">
        <v>4.7789999999999999</v>
      </c>
      <c r="M184" s="421">
        <v>6744</v>
      </c>
      <c r="N184" s="419">
        <v>7.0999999999999994E-2</v>
      </c>
      <c r="O184" s="419">
        <v>4.6340000000000003</v>
      </c>
      <c r="P184" s="419">
        <v>0</v>
      </c>
    </row>
    <row r="185" spans="4:16">
      <c r="D185" s="374" t="s">
        <v>514</v>
      </c>
      <c r="E185" s="417" t="s">
        <v>518</v>
      </c>
      <c r="F185" s="418">
        <v>42067</v>
      </c>
      <c r="G185" s="381">
        <f t="shared" si="4"/>
        <v>2015</v>
      </c>
      <c r="H185" s="381">
        <f t="shared" si="5"/>
        <v>3</v>
      </c>
      <c r="I185" s="419">
        <v>20</v>
      </c>
      <c r="J185" s="419">
        <v>4.6589999999999998</v>
      </c>
      <c r="K185" s="419">
        <v>0</v>
      </c>
      <c r="L185" s="420">
        <v>4.6589999999999998</v>
      </c>
      <c r="M185" s="421">
        <v>6470</v>
      </c>
      <c r="N185" s="419">
        <v>7.1999999999999995E-2</v>
      </c>
      <c r="O185" s="419">
        <v>4.4740000000000002</v>
      </c>
      <c r="P185" s="419">
        <v>0</v>
      </c>
    </row>
    <row r="186" spans="4:16">
      <c r="D186" s="374" t="s">
        <v>514</v>
      </c>
      <c r="E186" s="417" t="s">
        <v>518</v>
      </c>
      <c r="F186" s="418">
        <v>42103</v>
      </c>
      <c r="G186" s="381">
        <f t="shared" si="4"/>
        <v>2015</v>
      </c>
      <c r="H186" s="381">
        <f t="shared" si="5"/>
        <v>4</v>
      </c>
      <c r="I186" s="419">
        <v>12</v>
      </c>
      <c r="J186" s="419">
        <v>3.798</v>
      </c>
      <c r="K186" s="419">
        <v>0.7</v>
      </c>
      <c r="L186" s="420">
        <v>4.4980000000000002</v>
      </c>
      <c r="M186" s="421">
        <v>5914</v>
      </c>
      <c r="N186" s="419">
        <v>7.5999999999999998E-2</v>
      </c>
      <c r="O186" s="419">
        <v>3.6840000000000002</v>
      </c>
      <c r="P186" s="419">
        <v>0.7</v>
      </c>
    </row>
    <row r="187" spans="4:16">
      <c r="D187" s="374" t="s">
        <v>514</v>
      </c>
      <c r="E187" s="417" t="s">
        <v>518</v>
      </c>
      <c r="F187" s="418">
        <v>42152</v>
      </c>
      <c r="G187" s="381">
        <f t="shared" si="4"/>
        <v>2015</v>
      </c>
      <c r="H187" s="381">
        <f t="shared" si="5"/>
        <v>5</v>
      </c>
      <c r="I187" s="419">
        <v>16</v>
      </c>
      <c r="J187" s="419">
        <v>4.4969999999999999</v>
      </c>
      <c r="K187" s="419">
        <v>0.67100000000000004</v>
      </c>
      <c r="L187" s="420">
        <v>5.1680000000000001</v>
      </c>
      <c r="M187" s="421">
        <v>6837</v>
      </c>
      <c r="N187" s="419">
        <v>7.5999999999999998E-2</v>
      </c>
      <c r="O187" s="419">
        <v>4.3719999999999999</v>
      </c>
      <c r="P187" s="419">
        <v>0.67100000000000004</v>
      </c>
    </row>
    <row r="188" spans="4:16">
      <c r="D188" s="374" t="s">
        <v>514</v>
      </c>
      <c r="E188" s="417" t="s">
        <v>518</v>
      </c>
      <c r="F188" s="418">
        <v>42164</v>
      </c>
      <c r="G188" s="381">
        <f t="shared" si="4"/>
        <v>2015</v>
      </c>
      <c r="H188" s="381">
        <f t="shared" si="5"/>
        <v>6</v>
      </c>
      <c r="I188" s="419">
        <v>17</v>
      </c>
      <c r="J188" s="419">
        <v>6.1360000000000001</v>
      </c>
      <c r="K188" s="419">
        <v>0.66600000000000004</v>
      </c>
      <c r="L188" s="420">
        <v>6.8019999999999996</v>
      </c>
      <c r="M188" s="421">
        <v>8136</v>
      </c>
      <c r="N188" s="419">
        <v>8.4000000000000005E-2</v>
      </c>
      <c r="O188" s="419">
        <v>5.9660000000000002</v>
      </c>
      <c r="P188" s="419">
        <v>0.66600000000000004</v>
      </c>
    </row>
    <row r="189" spans="4:16">
      <c r="D189" s="374" t="s">
        <v>514</v>
      </c>
      <c r="E189" s="417" t="s">
        <v>518</v>
      </c>
      <c r="F189" s="418">
        <v>42212</v>
      </c>
      <c r="G189" s="381">
        <f t="shared" si="4"/>
        <v>2015</v>
      </c>
      <c r="H189" s="381">
        <f t="shared" si="5"/>
        <v>7</v>
      </c>
      <c r="I189" s="419">
        <v>17</v>
      </c>
      <c r="J189" s="419">
        <v>6.2430000000000003</v>
      </c>
      <c r="K189" s="419">
        <v>0.71499999999999997</v>
      </c>
      <c r="L189" s="420">
        <v>6.9580000000000002</v>
      </c>
      <c r="M189" s="421">
        <v>8769</v>
      </c>
      <c r="N189" s="419">
        <v>7.9000000000000001E-2</v>
      </c>
      <c r="O189" s="419">
        <v>5.9779999999999998</v>
      </c>
      <c r="P189" s="419">
        <v>0.71499999999999997</v>
      </c>
    </row>
    <row r="190" spans="4:16">
      <c r="D190" s="374" t="s">
        <v>514</v>
      </c>
      <c r="E190" s="417" t="s">
        <v>518</v>
      </c>
      <c r="F190" s="418">
        <v>42230</v>
      </c>
      <c r="G190" s="381">
        <f t="shared" si="4"/>
        <v>2015</v>
      </c>
      <c r="H190" s="381">
        <f t="shared" si="5"/>
        <v>8</v>
      </c>
      <c r="I190" s="419">
        <v>16</v>
      </c>
      <c r="J190" s="419">
        <v>6.915</v>
      </c>
      <c r="K190" s="419">
        <v>0</v>
      </c>
      <c r="L190" s="420">
        <v>6.915</v>
      </c>
      <c r="M190" s="421">
        <v>8926</v>
      </c>
      <c r="N190" s="419">
        <v>7.6999999999999999E-2</v>
      </c>
      <c r="O190" s="419">
        <v>6.6779999999999999</v>
      </c>
      <c r="P190" s="419">
        <v>0</v>
      </c>
    </row>
    <row r="191" spans="4:16">
      <c r="D191" s="374" t="s">
        <v>514</v>
      </c>
      <c r="E191" s="417" t="s">
        <v>518</v>
      </c>
      <c r="F191" s="418">
        <v>42250</v>
      </c>
      <c r="G191" s="381">
        <f t="shared" si="4"/>
        <v>2015</v>
      </c>
      <c r="H191" s="381">
        <f t="shared" si="5"/>
        <v>9</v>
      </c>
      <c r="I191" s="419">
        <v>17</v>
      </c>
      <c r="J191" s="419">
        <v>6.5209999999999999</v>
      </c>
      <c r="K191" s="419">
        <v>0.70499999999999996</v>
      </c>
      <c r="L191" s="420">
        <v>7.226</v>
      </c>
      <c r="M191" s="421">
        <v>8657</v>
      </c>
      <c r="N191" s="419">
        <v>8.3000000000000004E-2</v>
      </c>
      <c r="O191" s="419">
        <v>6.2590000000000003</v>
      </c>
      <c r="P191" s="419">
        <v>0.70499999999999996</v>
      </c>
    </row>
    <row r="192" spans="4:16">
      <c r="D192" s="374" t="s">
        <v>514</v>
      </c>
      <c r="E192" s="417" t="s">
        <v>518</v>
      </c>
      <c r="F192" s="418">
        <v>42285</v>
      </c>
      <c r="G192" s="381">
        <f t="shared" si="4"/>
        <v>2015</v>
      </c>
      <c r="H192" s="381">
        <f t="shared" si="5"/>
        <v>10</v>
      </c>
      <c r="I192" s="419">
        <v>12</v>
      </c>
      <c r="J192" s="419">
        <v>4.2690000000000001</v>
      </c>
      <c r="K192" s="419">
        <v>0</v>
      </c>
      <c r="L192" s="420">
        <v>4.2690000000000001</v>
      </c>
      <c r="M192" s="421">
        <v>5943</v>
      </c>
      <c r="N192" s="419">
        <v>7.1999999999999995E-2</v>
      </c>
      <c r="O192" s="419">
        <v>4.1379999999999999</v>
      </c>
      <c r="P192" s="419">
        <v>0</v>
      </c>
    </row>
    <row r="193" spans="4:16">
      <c r="D193" s="374" t="s">
        <v>514</v>
      </c>
      <c r="E193" s="417" t="s">
        <v>518</v>
      </c>
      <c r="F193" s="418">
        <v>42338</v>
      </c>
      <c r="G193" s="381">
        <f t="shared" si="4"/>
        <v>2015</v>
      </c>
      <c r="H193" s="381">
        <f t="shared" si="5"/>
        <v>11</v>
      </c>
      <c r="I193" s="419">
        <v>18</v>
      </c>
      <c r="J193" s="419">
        <v>3.6160000000000001</v>
      </c>
      <c r="K193" s="419">
        <v>0.76500000000000001</v>
      </c>
      <c r="L193" s="420">
        <v>4.3810000000000002</v>
      </c>
      <c r="M193" s="421">
        <v>6574</v>
      </c>
      <c r="N193" s="419">
        <v>6.7000000000000004E-2</v>
      </c>
      <c r="O193" s="419">
        <v>3.5259999999999998</v>
      </c>
      <c r="P193" s="419">
        <v>0.76500000000000001</v>
      </c>
    </row>
    <row r="194" spans="4:16">
      <c r="D194" s="374" t="s">
        <v>514</v>
      </c>
      <c r="E194" s="417" t="s">
        <v>518</v>
      </c>
      <c r="F194" s="418">
        <v>42355</v>
      </c>
      <c r="G194" s="381">
        <f t="shared" si="4"/>
        <v>2015</v>
      </c>
      <c r="H194" s="381">
        <f t="shared" si="5"/>
        <v>12</v>
      </c>
      <c r="I194" s="419">
        <v>18</v>
      </c>
      <c r="J194" s="419">
        <v>4.55</v>
      </c>
      <c r="K194" s="419">
        <v>0</v>
      </c>
      <c r="L194" s="420">
        <v>4.55</v>
      </c>
      <c r="M194" s="421">
        <v>6450</v>
      </c>
      <c r="N194" s="419">
        <v>7.0999999999999994E-2</v>
      </c>
      <c r="O194" s="419">
        <v>4.383</v>
      </c>
      <c r="P194" s="419">
        <v>0</v>
      </c>
    </row>
    <row r="195" spans="4:16">
      <c r="D195" s="374" t="s">
        <v>514</v>
      </c>
      <c r="E195" s="379" t="s">
        <v>519</v>
      </c>
      <c r="F195" s="380">
        <v>40927</v>
      </c>
      <c r="G195" s="381">
        <f t="shared" ref="G195:G258" si="6">YEAR(F195)</f>
        <v>2012</v>
      </c>
      <c r="H195" s="381">
        <f t="shared" ref="H195:H258" si="7">MONTH(F195)</f>
        <v>1</v>
      </c>
      <c r="I195" s="382">
        <v>19</v>
      </c>
      <c r="J195" s="382">
        <v>6.5119999999999996</v>
      </c>
      <c r="K195" s="382">
        <v>2.8460000000000001</v>
      </c>
      <c r="L195" s="383">
        <v>9.3580000000000005</v>
      </c>
      <c r="M195" s="382">
        <v>6604</v>
      </c>
      <c r="N195" s="384">
        <v>1.4E-3</v>
      </c>
      <c r="O195" s="382">
        <v>6.5940000000000003</v>
      </c>
      <c r="P195" s="382">
        <v>2.8460000000000001</v>
      </c>
    </row>
    <row r="196" spans="4:16">
      <c r="D196" s="374" t="s">
        <v>514</v>
      </c>
      <c r="E196" s="379" t="s">
        <v>519</v>
      </c>
      <c r="F196" s="380">
        <v>40967</v>
      </c>
      <c r="G196" s="381">
        <f t="shared" si="6"/>
        <v>2012</v>
      </c>
      <c r="H196" s="381">
        <f t="shared" si="7"/>
        <v>2</v>
      </c>
      <c r="I196" s="382">
        <v>19</v>
      </c>
      <c r="J196" s="382">
        <v>5.9139999999999997</v>
      </c>
      <c r="K196" s="382">
        <v>2.7850000000000001</v>
      </c>
      <c r="L196" s="383">
        <v>8.6989999999999998</v>
      </c>
      <c r="M196" s="382">
        <v>6178</v>
      </c>
      <c r="N196" s="384">
        <v>1.4E-3</v>
      </c>
      <c r="O196" s="382">
        <v>5.9880000000000004</v>
      </c>
      <c r="P196" s="382">
        <v>2.7850000000000001</v>
      </c>
    </row>
    <row r="197" spans="4:16">
      <c r="D197" s="374" t="s">
        <v>514</v>
      </c>
      <c r="E197" s="379" t="s">
        <v>519</v>
      </c>
      <c r="F197" s="380">
        <v>40987</v>
      </c>
      <c r="G197" s="381">
        <f t="shared" si="6"/>
        <v>2012</v>
      </c>
      <c r="H197" s="381">
        <f t="shared" si="7"/>
        <v>3</v>
      </c>
      <c r="I197" s="382">
        <v>14</v>
      </c>
      <c r="J197" s="382">
        <v>5.0599999999999996</v>
      </c>
      <c r="K197" s="382">
        <v>3.028</v>
      </c>
      <c r="L197" s="383">
        <v>8.0879999999999992</v>
      </c>
      <c r="M197" s="382">
        <v>6170</v>
      </c>
      <c r="N197" s="384">
        <v>1.2999999999999999E-3</v>
      </c>
      <c r="O197" s="382">
        <v>5.1100000000000003</v>
      </c>
      <c r="P197" s="382">
        <v>3.028</v>
      </c>
    </row>
    <row r="198" spans="4:16">
      <c r="D198" s="374" t="s">
        <v>514</v>
      </c>
      <c r="E198" s="379" t="s">
        <v>519</v>
      </c>
      <c r="F198" s="380">
        <v>41024</v>
      </c>
      <c r="G198" s="381">
        <f t="shared" si="6"/>
        <v>2012</v>
      </c>
      <c r="H198" s="381">
        <f t="shared" si="7"/>
        <v>4</v>
      </c>
      <c r="I198" s="382">
        <v>15</v>
      </c>
      <c r="J198" s="382">
        <v>4.9480000000000004</v>
      </c>
      <c r="K198" s="382">
        <v>2.7429999999999999</v>
      </c>
      <c r="L198" s="383">
        <v>7.6909999999999998</v>
      </c>
      <c r="M198" s="382">
        <v>5813</v>
      </c>
      <c r="N198" s="384">
        <v>1.2999999999999999E-3</v>
      </c>
      <c r="O198" s="382">
        <v>5.0069999999999997</v>
      </c>
      <c r="P198" s="382">
        <v>2.7429999999999999</v>
      </c>
    </row>
    <row r="199" spans="4:16">
      <c r="D199" s="374" t="s">
        <v>514</v>
      </c>
      <c r="E199" s="379" t="s">
        <v>519</v>
      </c>
      <c r="F199" s="380">
        <v>41047</v>
      </c>
      <c r="G199" s="381">
        <f t="shared" si="6"/>
        <v>2012</v>
      </c>
      <c r="H199" s="381">
        <f t="shared" si="7"/>
        <v>5</v>
      </c>
      <c r="I199" s="382">
        <v>17</v>
      </c>
      <c r="J199" s="382">
        <v>6.6539999999999999</v>
      </c>
      <c r="K199" s="382">
        <v>2.964</v>
      </c>
      <c r="L199" s="383">
        <v>9.6180000000000003</v>
      </c>
      <c r="M199" s="382">
        <v>7203</v>
      </c>
      <c r="N199" s="384">
        <v>1.2999999999999999E-3</v>
      </c>
      <c r="O199" s="382">
        <v>6.7210000000000001</v>
      </c>
      <c r="P199" s="382">
        <v>2.964</v>
      </c>
    </row>
    <row r="200" spans="4:16">
      <c r="D200" s="374" t="s">
        <v>514</v>
      </c>
      <c r="E200" s="379" t="s">
        <v>519</v>
      </c>
      <c r="F200" s="380">
        <v>41087</v>
      </c>
      <c r="G200" s="381">
        <f t="shared" si="6"/>
        <v>2012</v>
      </c>
      <c r="H200" s="381">
        <f t="shared" si="7"/>
        <v>6</v>
      </c>
      <c r="I200" s="382">
        <v>17</v>
      </c>
      <c r="J200" s="382">
        <v>10.6</v>
      </c>
      <c r="K200" s="382">
        <v>3.1</v>
      </c>
      <c r="L200" s="383">
        <v>13.7</v>
      </c>
      <c r="M200" s="382">
        <v>8833</v>
      </c>
      <c r="N200" s="384">
        <v>1.6000000000000001E-3</v>
      </c>
      <c r="O200" s="382">
        <v>10.72</v>
      </c>
      <c r="P200" s="382">
        <v>3.1</v>
      </c>
    </row>
    <row r="201" spans="4:16">
      <c r="D201" s="374" t="s">
        <v>514</v>
      </c>
      <c r="E201" s="379" t="s">
        <v>519</v>
      </c>
      <c r="F201" s="380">
        <v>41092</v>
      </c>
      <c r="G201" s="381">
        <f t="shared" si="6"/>
        <v>2012</v>
      </c>
      <c r="H201" s="381">
        <f t="shared" si="7"/>
        <v>7</v>
      </c>
      <c r="I201" s="382">
        <v>17</v>
      </c>
      <c r="J201" s="382">
        <v>16.855</v>
      </c>
      <c r="K201" s="382">
        <v>3.0859999999999999</v>
      </c>
      <c r="L201" s="383">
        <v>19.940999999999999</v>
      </c>
      <c r="M201" s="382">
        <v>9682</v>
      </c>
      <c r="N201" s="384">
        <v>2.0999999999999999E-3</v>
      </c>
      <c r="O201" s="382">
        <v>17.027000000000001</v>
      </c>
      <c r="P201" s="382">
        <v>3.0859999999999999</v>
      </c>
    </row>
    <row r="202" spans="4:16">
      <c r="D202" s="374" t="s">
        <v>514</v>
      </c>
      <c r="E202" s="379" t="s">
        <v>519</v>
      </c>
      <c r="F202" s="380">
        <v>41122</v>
      </c>
      <c r="G202" s="381">
        <f t="shared" si="6"/>
        <v>2012</v>
      </c>
      <c r="H202" s="381">
        <f t="shared" si="7"/>
        <v>8</v>
      </c>
      <c r="I202" s="382">
        <v>17</v>
      </c>
      <c r="J202" s="382">
        <v>18.501999999999999</v>
      </c>
      <c r="K202" s="382">
        <v>3.0640000000000001</v>
      </c>
      <c r="L202" s="383">
        <v>21.565999999999999</v>
      </c>
      <c r="M202" s="382">
        <v>8979</v>
      </c>
      <c r="N202" s="384">
        <v>2.3999999999999998E-3</v>
      </c>
      <c r="O202" s="382">
        <v>18.704000000000001</v>
      </c>
      <c r="P202" s="382">
        <v>3.0640000000000001</v>
      </c>
    </row>
    <row r="203" spans="4:16">
      <c r="D203" s="374" t="s">
        <v>514</v>
      </c>
      <c r="E203" s="379" t="s">
        <v>519</v>
      </c>
      <c r="F203" s="380">
        <v>41156</v>
      </c>
      <c r="G203" s="381">
        <f t="shared" si="6"/>
        <v>2012</v>
      </c>
      <c r="H203" s="381">
        <f t="shared" si="7"/>
        <v>9</v>
      </c>
      <c r="I203" s="382">
        <v>16</v>
      </c>
      <c r="J203" s="382">
        <v>14.412000000000001</v>
      </c>
      <c r="K203" s="382">
        <v>3.0219999999999998</v>
      </c>
      <c r="L203" s="383">
        <v>17.434000000000001</v>
      </c>
      <c r="M203" s="382">
        <v>8521</v>
      </c>
      <c r="N203" s="384">
        <v>2E-3</v>
      </c>
      <c r="O203" s="382">
        <v>14.622</v>
      </c>
      <c r="P203" s="382">
        <v>3.0219999999999998</v>
      </c>
    </row>
    <row r="204" spans="4:16">
      <c r="D204" s="374" t="s">
        <v>514</v>
      </c>
      <c r="E204" s="379" t="s">
        <v>519</v>
      </c>
      <c r="F204" s="380">
        <v>41185</v>
      </c>
      <c r="G204" s="381">
        <f t="shared" si="6"/>
        <v>2012</v>
      </c>
      <c r="H204" s="381">
        <f t="shared" si="7"/>
        <v>10</v>
      </c>
      <c r="I204" s="382">
        <v>14</v>
      </c>
      <c r="J204" s="382">
        <v>6.7279999999999998</v>
      </c>
      <c r="K204" s="382">
        <v>3.089</v>
      </c>
      <c r="L204" s="383">
        <v>9.8170000000000002</v>
      </c>
      <c r="M204" s="382">
        <v>6122</v>
      </c>
      <c r="N204" s="384">
        <v>1.6000000000000001E-3</v>
      </c>
      <c r="O204" s="382">
        <v>6.8259999999999996</v>
      </c>
      <c r="P204" s="382">
        <v>3.089</v>
      </c>
    </row>
    <row r="205" spans="4:16">
      <c r="D205" s="374" t="s">
        <v>514</v>
      </c>
      <c r="E205" s="379" t="s">
        <v>519</v>
      </c>
      <c r="F205" s="380">
        <v>41239</v>
      </c>
      <c r="G205" s="381">
        <f t="shared" si="6"/>
        <v>2012</v>
      </c>
      <c r="H205" s="381">
        <f t="shared" si="7"/>
        <v>11</v>
      </c>
      <c r="I205" s="382">
        <v>18</v>
      </c>
      <c r="J205" s="382">
        <v>6.0590000000000002</v>
      </c>
      <c r="K205" s="382">
        <v>3.032</v>
      </c>
      <c r="L205" s="383">
        <v>9.0909999999999993</v>
      </c>
      <c r="M205" s="382">
        <v>6416</v>
      </c>
      <c r="N205" s="384">
        <v>1.4E-3</v>
      </c>
      <c r="O205" s="382">
        <v>6.117</v>
      </c>
      <c r="P205" s="382">
        <v>3.032</v>
      </c>
    </row>
    <row r="206" spans="4:16">
      <c r="D206" s="374" t="s">
        <v>514</v>
      </c>
      <c r="E206" s="379" t="s">
        <v>519</v>
      </c>
      <c r="F206" s="380">
        <v>41253</v>
      </c>
      <c r="G206" s="381">
        <f t="shared" si="6"/>
        <v>2012</v>
      </c>
      <c r="H206" s="381">
        <f t="shared" si="7"/>
        <v>12</v>
      </c>
      <c r="I206" s="382">
        <v>18</v>
      </c>
      <c r="J206" s="382">
        <v>6.6429999999999998</v>
      </c>
      <c r="K206" s="382">
        <v>3.105</v>
      </c>
      <c r="L206" s="383">
        <v>9.7479999999999993</v>
      </c>
      <c r="M206" s="382">
        <v>6609</v>
      </c>
      <c r="N206" s="384">
        <v>1.5E-3</v>
      </c>
      <c r="O206" s="382">
        <v>6.7389999999999999</v>
      </c>
      <c r="P206" s="382">
        <v>3.105</v>
      </c>
    </row>
    <row r="207" spans="4:16">
      <c r="D207" s="374" t="s">
        <v>514</v>
      </c>
      <c r="E207" s="379" t="s">
        <v>519</v>
      </c>
      <c r="F207" s="380">
        <v>41295</v>
      </c>
      <c r="G207" s="381">
        <f t="shared" si="6"/>
        <v>2013</v>
      </c>
      <c r="H207" s="381">
        <f t="shared" si="7"/>
        <v>1</v>
      </c>
      <c r="I207" s="382">
        <v>19</v>
      </c>
      <c r="J207" s="382">
        <v>6.7839999999999998</v>
      </c>
      <c r="K207" s="382">
        <v>3.0529999999999999</v>
      </c>
      <c r="L207" s="383">
        <v>9.8369999999999997</v>
      </c>
      <c r="M207" s="382">
        <v>6846</v>
      </c>
      <c r="N207" s="384">
        <v>1.4E-3</v>
      </c>
      <c r="O207" s="382">
        <v>6.875</v>
      </c>
      <c r="P207" s="382">
        <v>3.0529999999999999</v>
      </c>
    </row>
    <row r="208" spans="4:16">
      <c r="D208" s="374" t="s">
        <v>514</v>
      </c>
      <c r="E208" s="379" t="s">
        <v>519</v>
      </c>
      <c r="F208" s="380">
        <v>41324</v>
      </c>
      <c r="G208" s="381">
        <f t="shared" si="6"/>
        <v>2013</v>
      </c>
      <c r="H208" s="381">
        <f t="shared" si="7"/>
        <v>2</v>
      </c>
      <c r="I208" s="382">
        <v>19</v>
      </c>
      <c r="J208" s="382">
        <v>6.7569999999999997</v>
      </c>
      <c r="K208" s="382">
        <v>2.6389999999999998</v>
      </c>
      <c r="L208" s="383">
        <v>9.3960000000000008</v>
      </c>
      <c r="M208" s="382">
        <v>6511</v>
      </c>
      <c r="N208" s="384">
        <v>1.4E-3</v>
      </c>
      <c r="O208" s="382">
        <v>6.8460000000000001</v>
      </c>
      <c r="P208" s="382">
        <v>2.6389999999999998</v>
      </c>
    </row>
    <row r="209" spans="4:16">
      <c r="D209" s="374" t="s">
        <v>514</v>
      </c>
      <c r="E209" s="379" t="s">
        <v>519</v>
      </c>
      <c r="F209" s="380">
        <v>41337</v>
      </c>
      <c r="G209" s="381">
        <f t="shared" si="6"/>
        <v>2013</v>
      </c>
      <c r="H209" s="381">
        <f t="shared" si="7"/>
        <v>3</v>
      </c>
      <c r="I209" s="382">
        <v>19</v>
      </c>
      <c r="J209" s="382">
        <v>5.8410000000000002</v>
      </c>
      <c r="K209" s="382">
        <v>3.1019999999999999</v>
      </c>
      <c r="L209" s="383">
        <v>8.9429999999999996</v>
      </c>
      <c r="M209" s="382">
        <v>6172</v>
      </c>
      <c r="N209" s="384">
        <v>1.4E-3</v>
      </c>
      <c r="O209" s="382">
        <v>5.9</v>
      </c>
      <c r="P209" s="382">
        <v>3.1019999999999999</v>
      </c>
    </row>
    <row r="210" spans="4:16">
      <c r="D210" s="374" t="s">
        <v>514</v>
      </c>
      <c r="E210" s="379" t="s">
        <v>519</v>
      </c>
      <c r="F210" s="380">
        <v>41382</v>
      </c>
      <c r="G210" s="381">
        <f t="shared" si="6"/>
        <v>2013</v>
      </c>
      <c r="H210" s="381">
        <f t="shared" si="7"/>
        <v>4</v>
      </c>
      <c r="I210" s="382">
        <v>12</v>
      </c>
      <c r="J210" s="382">
        <v>5.51</v>
      </c>
      <c r="K210" s="382">
        <v>3.1440000000000001</v>
      </c>
      <c r="L210" s="383">
        <v>8.6539999999999999</v>
      </c>
      <c r="M210" s="382">
        <v>5851</v>
      </c>
      <c r="N210" s="384">
        <v>1.5E-3</v>
      </c>
      <c r="O210" s="382">
        <v>5.5679999999999996</v>
      </c>
      <c r="P210" s="382">
        <v>3.1440000000000001</v>
      </c>
    </row>
    <row r="211" spans="4:16">
      <c r="D211" s="374" t="s">
        <v>514</v>
      </c>
      <c r="E211" s="379" t="s">
        <v>519</v>
      </c>
      <c r="F211" s="380">
        <v>41408</v>
      </c>
      <c r="G211" s="381">
        <f t="shared" si="6"/>
        <v>2013</v>
      </c>
      <c r="H211" s="381">
        <f t="shared" si="7"/>
        <v>5</v>
      </c>
      <c r="I211" s="382">
        <v>17</v>
      </c>
      <c r="J211" s="382">
        <v>5.8529999999999998</v>
      </c>
      <c r="K211" s="382">
        <v>2.988</v>
      </c>
      <c r="L211" s="383">
        <v>8.8409999999999993</v>
      </c>
      <c r="M211" s="382">
        <v>6516</v>
      </c>
      <c r="N211" s="384">
        <v>1.4E-3</v>
      </c>
      <c r="O211" s="382">
        <v>5.9260000000000002</v>
      </c>
      <c r="P211" s="382">
        <v>2.988</v>
      </c>
    </row>
    <row r="212" spans="4:16">
      <c r="D212" s="374" t="s">
        <v>514</v>
      </c>
      <c r="E212" s="379" t="s">
        <v>519</v>
      </c>
      <c r="F212" s="380">
        <v>41451</v>
      </c>
      <c r="G212" s="381">
        <f t="shared" si="6"/>
        <v>2013</v>
      </c>
      <c r="H212" s="381">
        <f t="shared" si="7"/>
        <v>6</v>
      </c>
      <c r="I212" s="382">
        <v>16</v>
      </c>
      <c r="J212" s="382">
        <v>10.445</v>
      </c>
      <c r="K212" s="382">
        <v>3.0680000000000001</v>
      </c>
      <c r="L212" s="383">
        <v>13.513</v>
      </c>
      <c r="M212" s="382">
        <v>8280</v>
      </c>
      <c r="N212" s="384">
        <v>1.6000000000000001E-3</v>
      </c>
      <c r="O212" s="382">
        <v>10.521000000000001</v>
      </c>
      <c r="P212" s="382">
        <v>3.0680000000000001</v>
      </c>
    </row>
    <row r="213" spans="4:16">
      <c r="D213" s="374" t="s">
        <v>514</v>
      </c>
      <c r="E213" s="379" t="s">
        <v>519</v>
      </c>
      <c r="F213" s="380">
        <v>41473</v>
      </c>
      <c r="G213" s="381">
        <f t="shared" si="6"/>
        <v>2013</v>
      </c>
      <c r="H213" s="381">
        <f t="shared" si="7"/>
        <v>7</v>
      </c>
      <c r="I213" s="382">
        <v>17</v>
      </c>
      <c r="J213" s="382">
        <v>13.795999999999999</v>
      </c>
      <c r="K213" s="382">
        <v>2.7719999999999998</v>
      </c>
      <c r="L213" s="383">
        <v>16.568000000000001</v>
      </c>
      <c r="M213" s="382">
        <v>9566</v>
      </c>
      <c r="N213" s="384">
        <v>1.6999999999999999E-3</v>
      </c>
      <c r="O213" s="382">
        <v>13.911</v>
      </c>
      <c r="P213" s="382">
        <v>2.7719999999999998</v>
      </c>
    </row>
    <row r="214" spans="4:16">
      <c r="D214" s="374" t="s">
        <v>514</v>
      </c>
      <c r="E214" s="379" t="s">
        <v>519</v>
      </c>
      <c r="F214" s="380">
        <v>41512</v>
      </c>
      <c r="G214" s="381">
        <f t="shared" si="6"/>
        <v>2013</v>
      </c>
      <c r="H214" s="381">
        <f t="shared" si="7"/>
        <v>8</v>
      </c>
      <c r="I214" s="382">
        <v>17</v>
      </c>
      <c r="J214" s="382">
        <v>19.170999999999999</v>
      </c>
      <c r="K214" s="382">
        <v>2.3959999999999999</v>
      </c>
      <c r="L214" s="383">
        <v>21.567</v>
      </c>
      <c r="M214" s="382">
        <v>9821</v>
      </c>
      <c r="N214" s="384">
        <v>2.2000000000000001E-3</v>
      </c>
      <c r="O214" s="382">
        <v>19.344999999999999</v>
      </c>
      <c r="P214" s="382">
        <v>2.3959999999999999</v>
      </c>
    </row>
    <row r="215" spans="4:16">
      <c r="D215" s="374" t="s">
        <v>514</v>
      </c>
      <c r="E215" s="379" t="s">
        <v>519</v>
      </c>
      <c r="F215" s="380">
        <v>41526</v>
      </c>
      <c r="G215" s="381">
        <f t="shared" si="6"/>
        <v>2013</v>
      </c>
      <c r="H215" s="381">
        <f t="shared" si="7"/>
        <v>9</v>
      </c>
      <c r="I215" s="382">
        <v>17</v>
      </c>
      <c r="J215" s="382">
        <v>17.827999999999999</v>
      </c>
      <c r="K215" s="382">
        <v>1.7829999999999999</v>
      </c>
      <c r="L215" s="383">
        <v>19.611000000000001</v>
      </c>
      <c r="M215" s="382">
        <v>8781</v>
      </c>
      <c r="N215" s="384">
        <v>2.2000000000000001E-3</v>
      </c>
      <c r="O215" s="382">
        <v>18.007999999999999</v>
      </c>
      <c r="P215" s="382">
        <v>1.7829999999999999</v>
      </c>
    </row>
    <row r="216" spans="4:16">
      <c r="D216" s="374" t="s">
        <v>514</v>
      </c>
      <c r="E216" s="379" t="s">
        <v>519</v>
      </c>
      <c r="F216" s="380">
        <v>41548</v>
      </c>
      <c r="G216" s="381">
        <f t="shared" si="6"/>
        <v>2013</v>
      </c>
      <c r="H216" s="381">
        <f t="shared" si="7"/>
        <v>10</v>
      </c>
      <c r="I216" s="382">
        <v>14</v>
      </c>
      <c r="J216" s="382">
        <v>11.746</v>
      </c>
      <c r="K216" s="382">
        <v>2.2869999999999999</v>
      </c>
      <c r="L216" s="383">
        <v>14.032999999999999</v>
      </c>
      <c r="M216" s="382">
        <v>6214</v>
      </c>
      <c r="N216" s="384">
        <v>2.3E-3</v>
      </c>
      <c r="O216" s="382">
        <v>11.94</v>
      </c>
      <c r="P216" s="382">
        <v>2.2869999999999999</v>
      </c>
    </row>
    <row r="217" spans="4:16">
      <c r="D217" s="374" t="s">
        <v>514</v>
      </c>
      <c r="E217" s="379" t="s">
        <v>519</v>
      </c>
      <c r="F217" s="380">
        <v>41604</v>
      </c>
      <c r="G217" s="381">
        <f t="shared" si="6"/>
        <v>2013</v>
      </c>
      <c r="H217" s="381">
        <f t="shared" si="7"/>
        <v>11</v>
      </c>
      <c r="I217" s="382">
        <v>18</v>
      </c>
      <c r="J217" s="382">
        <v>5.7809999999999997</v>
      </c>
      <c r="K217" s="382">
        <v>3.105</v>
      </c>
      <c r="L217" s="383">
        <v>8.8859999999999992</v>
      </c>
      <c r="M217" s="382">
        <v>6372</v>
      </c>
      <c r="N217" s="384">
        <v>1.4E-3</v>
      </c>
      <c r="O217" s="382">
        <v>5.8440000000000003</v>
      </c>
      <c r="P217" s="382">
        <v>3.105</v>
      </c>
    </row>
    <row r="218" spans="4:16">
      <c r="D218" s="374" t="s">
        <v>514</v>
      </c>
      <c r="E218" s="379" t="s">
        <v>519</v>
      </c>
      <c r="F218" s="380">
        <v>41619</v>
      </c>
      <c r="G218" s="381">
        <f t="shared" si="6"/>
        <v>2013</v>
      </c>
      <c r="H218" s="381">
        <f t="shared" si="7"/>
        <v>12</v>
      </c>
      <c r="I218" s="382">
        <v>18</v>
      </c>
      <c r="J218" s="382">
        <v>7.4790000000000001</v>
      </c>
      <c r="K218" s="382">
        <v>2.7349999999999999</v>
      </c>
      <c r="L218" s="383">
        <v>10.214</v>
      </c>
      <c r="M218" s="382">
        <v>6972</v>
      </c>
      <c r="N218" s="384">
        <v>1.5E-3</v>
      </c>
      <c r="O218" s="382">
        <v>7.569</v>
      </c>
      <c r="P218" s="382">
        <v>2.7349999999999999</v>
      </c>
    </row>
    <row r="219" spans="4:16">
      <c r="D219" s="374" t="s">
        <v>514</v>
      </c>
      <c r="E219" s="417" t="s">
        <v>519</v>
      </c>
      <c r="F219" s="418">
        <v>41645</v>
      </c>
      <c r="G219" s="381">
        <f t="shared" si="6"/>
        <v>2014</v>
      </c>
      <c r="H219" s="381">
        <f t="shared" si="7"/>
        <v>1</v>
      </c>
      <c r="I219" s="419">
        <v>18</v>
      </c>
      <c r="J219" s="419">
        <v>7.867</v>
      </c>
      <c r="K219" s="419">
        <v>2.8210000000000002</v>
      </c>
      <c r="L219" s="420">
        <v>10.688000000000001</v>
      </c>
      <c r="M219" s="421">
        <v>7188</v>
      </c>
      <c r="N219" s="419">
        <v>0.14899999999999999</v>
      </c>
      <c r="O219" s="419">
        <v>7.968</v>
      </c>
      <c r="P219" s="419">
        <v>2.8210000000000002</v>
      </c>
    </row>
    <row r="220" spans="4:16">
      <c r="D220" s="374" t="s">
        <v>514</v>
      </c>
      <c r="E220" s="417" t="s">
        <v>519</v>
      </c>
      <c r="F220" s="418">
        <v>41676</v>
      </c>
      <c r="G220" s="381">
        <f t="shared" si="6"/>
        <v>2014</v>
      </c>
      <c r="H220" s="381">
        <f t="shared" si="7"/>
        <v>2</v>
      </c>
      <c r="I220" s="419">
        <v>19</v>
      </c>
      <c r="J220" s="419">
        <v>6.9930000000000003</v>
      </c>
      <c r="K220" s="419">
        <v>2.6379999999999999</v>
      </c>
      <c r="L220" s="420">
        <v>9.6310000000000002</v>
      </c>
      <c r="M220" s="421">
        <v>6743</v>
      </c>
      <c r="N220" s="419">
        <v>0.14299999999999999</v>
      </c>
      <c r="O220" s="419">
        <v>7.0830000000000002</v>
      </c>
      <c r="P220" s="419">
        <v>2.6379999999999999</v>
      </c>
    </row>
    <row r="221" spans="4:16">
      <c r="D221" s="374" t="s">
        <v>514</v>
      </c>
      <c r="E221" s="417" t="s">
        <v>519</v>
      </c>
      <c r="F221" s="418">
        <v>41701</v>
      </c>
      <c r="G221" s="381">
        <f t="shared" si="6"/>
        <v>2014</v>
      </c>
      <c r="H221" s="381">
        <f t="shared" si="7"/>
        <v>3</v>
      </c>
      <c r="I221" s="419">
        <v>19</v>
      </c>
      <c r="J221" s="419">
        <v>6.7590000000000003</v>
      </c>
      <c r="K221" s="419">
        <v>2.3359999999999999</v>
      </c>
      <c r="L221" s="420">
        <v>9.0950000000000006</v>
      </c>
      <c r="M221" s="421">
        <v>6537</v>
      </c>
      <c r="N221" s="419">
        <v>0.13900000000000001</v>
      </c>
      <c r="O221" s="419">
        <v>6.8220000000000001</v>
      </c>
      <c r="P221" s="419">
        <v>2.3359999999999999</v>
      </c>
    </row>
    <row r="222" spans="4:16">
      <c r="D222" s="374" t="s">
        <v>514</v>
      </c>
      <c r="E222" s="417" t="s">
        <v>519</v>
      </c>
      <c r="F222" s="418">
        <v>41730</v>
      </c>
      <c r="G222" s="381">
        <f t="shared" si="6"/>
        <v>2014</v>
      </c>
      <c r="H222" s="381">
        <f t="shared" si="7"/>
        <v>4</v>
      </c>
      <c r="I222" s="419">
        <v>11</v>
      </c>
      <c r="J222" s="419">
        <v>3.2829999999999999</v>
      </c>
      <c r="K222" s="419">
        <v>5.4589999999999996</v>
      </c>
      <c r="L222" s="420">
        <v>8.7420000000000009</v>
      </c>
      <c r="M222" s="421">
        <v>5924</v>
      </c>
      <c r="N222" s="419">
        <v>0.14799999999999999</v>
      </c>
      <c r="O222" s="419">
        <v>3.387</v>
      </c>
      <c r="P222" s="419">
        <v>5.4589999999999996</v>
      </c>
    </row>
    <row r="223" spans="4:16">
      <c r="D223" s="374" t="s">
        <v>514</v>
      </c>
      <c r="E223" s="417" t="s">
        <v>519</v>
      </c>
      <c r="F223" s="418">
        <v>41789</v>
      </c>
      <c r="G223" s="381">
        <f t="shared" si="6"/>
        <v>2014</v>
      </c>
      <c r="H223" s="381">
        <f t="shared" si="7"/>
        <v>5</v>
      </c>
      <c r="I223" s="419">
        <v>16</v>
      </c>
      <c r="J223" s="419">
        <v>7.2290000000000001</v>
      </c>
      <c r="K223" s="419">
        <v>3.1459999999999999</v>
      </c>
      <c r="L223" s="420">
        <v>10.375</v>
      </c>
      <c r="M223" s="421">
        <v>7422</v>
      </c>
      <c r="N223" s="419">
        <v>0.14000000000000001</v>
      </c>
      <c r="O223" s="419">
        <v>7.2930000000000001</v>
      </c>
      <c r="P223" s="419">
        <v>3.1459999999999999</v>
      </c>
    </row>
    <row r="224" spans="4:16">
      <c r="D224" s="374" t="s">
        <v>514</v>
      </c>
      <c r="E224" s="417" t="s">
        <v>519</v>
      </c>
      <c r="F224" s="418">
        <v>41814</v>
      </c>
      <c r="G224" s="381">
        <f t="shared" si="6"/>
        <v>2014</v>
      </c>
      <c r="H224" s="381">
        <f t="shared" si="7"/>
        <v>6</v>
      </c>
      <c r="I224" s="419">
        <v>16</v>
      </c>
      <c r="J224" s="419">
        <v>9.048</v>
      </c>
      <c r="K224" s="419">
        <v>3.1070000000000002</v>
      </c>
      <c r="L224" s="420">
        <v>12.154999999999999</v>
      </c>
      <c r="M224" s="421">
        <v>7670</v>
      </c>
      <c r="N224" s="419">
        <v>0.158</v>
      </c>
      <c r="O224" s="419">
        <v>9.0969999999999995</v>
      </c>
      <c r="P224" s="419">
        <v>3.1070000000000002</v>
      </c>
    </row>
    <row r="225" spans="4:16">
      <c r="D225" s="374" t="s">
        <v>514</v>
      </c>
      <c r="E225" s="417" t="s">
        <v>519</v>
      </c>
      <c r="F225" s="418">
        <v>41841</v>
      </c>
      <c r="G225" s="381">
        <f t="shared" si="6"/>
        <v>2014</v>
      </c>
      <c r="H225" s="381">
        <f t="shared" si="7"/>
        <v>7</v>
      </c>
      <c r="I225" s="419">
        <v>17</v>
      </c>
      <c r="J225" s="419">
        <v>14.111000000000001</v>
      </c>
      <c r="K225" s="419">
        <v>3.0870000000000002</v>
      </c>
      <c r="L225" s="420">
        <v>17.198</v>
      </c>
      <c r="M225" s="421">
        <v>9150</v>
      </c>
      <c r="N225" s="419">
        <v>0.188</v>
      </c>
      <c r="O225" s="419">
        <v>14.202999999999999</v>
      </c>
      <c r="P225" s="419">
        <v>3.0870000000000002</v>
      </c>
    </row>
    <row r="226" spans="4:16">
      <c r="D226" s="374" t="s">
        <v>514</v>
      </c>
      <c r="E226" s="417" t="s">
        <v>519</v>
      </c>
      <c r="F226" s="418">
        <v>41869</v>
      </c>
      <c r="G226" s="381">
        <f t="shared" si="6"/>
        <v>2014</v>
      </c>
      <c r="H226" s="381">
        <f t="shared" si="7"/>
        <v>8</v>
      </c>
      <c r="I226" s="419">
        <v>16</v>
      </c>
      <c r="J226" s="419">
        <v>17.620999999999999</v>
      </c>
      <c r="K226" s="419">
        <v>2.3929999999999998</v>
      </c>
      <c r="L226" s="420">
        <v>20.013999999999999</v>
      </c>
      <c r="M226" s="421">
        <v>8190</v>
      </c>
      <c r="N226" s="419">
        <v>0.24399999999999999</v>
      </c>
      <c r="O226" s="419">
        <v>17.780999999999999</v>
      </c>
      <c r="P226" s="419">
        <v>2.3929999999999998</v>
      </c>
    </row>
    <row r="227" spans="4:16">
      <c r="D227" s="374" t="s">
        <v>514</v>
      </c>
      <c r="E227" s="417" t="s">
        <v>519</v>
      </c>
      <c r="F227" s="418">
        <v>41886</v>
      </c>
      <c r="G227" s="381">
        <f t="shared" si="6"/>
        <v>2014</v>
      </c>
      <c r="H227" s="381">
        <f t="shared" si="7"/>
        <v>9</v>
      </c>
      <c r="I227" s="419">
        <v>15</v>
      </c>
      <c r="J227" s="419">
        <v>13.897</v>
      </c>
      <c r="K227" s="419">
        <v>2.76</v>
      </c>
      <c r="L227" s="420">
        <v>16.657</v>
      </c>
      <c r="M227" s="421">
        <v>7758</v>
      </c>
      <c r="N227" s="419">
        <v>0.215</v>
      </c>
      <c r="O227" s="419">
        <v>14.141999999999999</v>
      </c>
      <c r="P227" s="419">
        <v>2.76</v>
      </c>
    </row>
    <row r="228" spans="4:16">
      <c r="D228" s="374" t="s">
        <v>514</v>
      </c>
      <c r="E228" s="417" t="s">
        <v>519</v>
      </c>
      <c r="F228" s="418">
        <v>41942</v>
      </c>
      <c r="G228" s="381">
        <f t="shared" si="6"/>
        <v>2014</v>
      </c>
      <c r="H228" s="381">
        <f t="shared" si="7"/>
        <v>10</v>
      </c>
      <c r="I228" s="419">
        <v>20</v>
      </c>
      <c r="J228" s="419">
        <v>5.3360000000000003</v>
      </c>
      <c r="K228" s="419">
        <v>3.0979999999999999</v>
      </c>
      <c r="L228" s="420">
        <v>8.4339999999999993</v>
      </c>
      <c r="M228" s="421">
        <v>5901</v>
      </c>
      <c r="N228" s="419">
        <v>0.14299999999999999</v>
      </c>
      <c r="O228" s="419">
        <v>5.407</v>
      </c>
      <c r="P228" s="419">
        <v>3.0979999999999999</v>
      </c>
    </row>
    <row r="229" spans="4:16">
      <c r="D229" s="374" t="s">
        <v>514</v>
      </c>
      <c r="E229" s="417" t="s">
        <v>519</v>
      </c>
      <c r="F229" s="418">
        <v>41960</v>
      </c>
      <c r="G229" s="381">
        <f t="shared" si="6"/>
        <v>2014</v>
      </c>
      <c r="H229" s="381">
        <f t="shared" si="7"/>
        <v>11</v>
      </c>
      <c r="I229" s="419">
        <v>18</v>
      </c>
      <c r="J229" s="419">
        <v>6.4240000000000004</v>
      </c>
      <c r="K229" s="419">
        <v>3.101</v>
      </c>
      <c r="L229" s="420">
        <v>9.5250000000000004</v>
      </c>
      <c r="M229" s="421">
        <v>6677</v>
      </c>
      <c r="N229" s="419">
        <v>0.14299999999999999</v>
      </c>
      <c r="O229" s="419">
        <v>6.4870000000000001</v>
      </c>
      <c r="P229" s="419">
        <v>3.101</v>
      </c>
    </row>
    <row r="230" spans="4:16">
      <c r="D230" s="374" t="s">
        <v>514</v>
      </c>
      <c r="E230" s="417" t="s">
        <v>519</v>
      </c>
      <c r="F230" s="418">
        <v>41974</v>
      </c>
      <c r="G230" s="381">
        <f t="shared" si="6"/>
        <v>2014</v>
      </c>
      <c r="H230" s="381">
        <f t="shared" si="7"/>
        <v>12</v>
      </c>
      <c r="I230" s="419">
        <v>18</v>
      </c>
      <c r="J230" s="419">
        <v>6.7640000000000002</v>
      </c>
      <c r="K230" s="419">
        <v>3.0939999999999999</v>
      </c>
      <c r="L230" s="420">
        <v>9.8580000000000005</v>
      </c>
      <c r="M230" s="421">
        <v>6850</v>
      </c>
      <c r="N230" s="419">
        <v>0.14399999999999999</v>
      </c>
      <c r="O230" s="419">
        <v>6.84</v>
      </c>
      <c r="P230" s="419">
        <v>3.0939999999999999</v>
      </c>
    </row>
    <row r="231" spans="4:16">
      <c r="D231" s="374" t="s">
        <v>514</v>
      </c>
      <c r="E231" s="417" t="s">
        <v>519</v>
      </c>
      <c r="F231" s="418">
        <v>42011</v>
      </c>
      <c r="G231" s="381">
        <f t="shared" si="6"/>
        <v>2015</v>
      </c>
      <c r="H231" s="381">
        <f t="shared" si="7"/>
        <v>1</v>
      </c>
      <c r="I231" s="419">
        <v>18</v>
      </c>
      <c r="J231" s="419">
        <v>7.2480000000000002</v>
      </c>
      <c r="K231" s="419">
        <v>2.9020000000000001</v>
      </c>
      <c r="L231" s="420">
        <v>10.15</v>
      </c>
      <c r="M231" s="421">
        <v>6978</v>
      </c>
      <c r="N231" s="419">
        <v>0.14499999999999999</v>
      </c>
      <c r="O231" s="419">
        <v>7.35</v>
      </c>
      <c r="P231" s="419">
        <v>2.9020000000000001</v>
      </c>
    </row>
    <row r="232" spans="4:16">
      <c r="D232" s="374" t="s">
        <v>514</v>
      </c>
      <c r="E232" s="417" t="s">
        <v>519</v>
      </c>
      <c r="F232" s="418">
        <v>42053</v>
      </c>
      <c r="G232" s="381">
        <f t="shared" si="6"/>
        <v>2015</v>
      </c>
      <c r="H232" s="381">
        <f t="shared" si="7"/>
        <v>2</v>
      </c>
      <c r="I232" s="419">
        <v>19</v>
      </c>
      <c r="J232" s="419">
        <v>6.8470000000000004</v>
      </c>
      <c r="K232" s="419">
        <v>2.9809999999999999</v>
      </c>
      <c r="L232" s="420">
        <v>9.8279999999999994</v>
      </c>
      <c r="M232" s="421">
        <v>6744</v>
      </c>
      <c r="N232" s="419">
        <v>0.14599999999999999</v>
      </c>
      <c r="O232" s="419">
        <v>6.9379999999999997</v>
      </c>
      <c r="P232" s="419">
        <v>2.9809999999999999</v>
      </c>
    </row>
    <row r="233" spans="4:16">
      <c r="D233" s="374" t="s">
        <v>514</v>
      </c>
      <c r="E233" s="417" t="s">
        <v>519</v>
      </c>
      <c r="F233" s="418">
        <v>42067</v>
      </c>
      <c r="G233" s="381">
        <f t="shared" si="6"/>
        <v>2015</v>
      </c>
      <c r="H233" s="381">
        <f t="shared" si="7"/>
        <v>3</v>
      </c>
      <c r="I233" s="419">
        <v>20</v>
      </c>
      <c r="J233" s="419">
        <v>6.218</v>
      </c>
      <c r="K233" s="419">
        <v>3.0579999999999998</v>
      </c>
      <c r="L233" s="420">
        <v>9.2759999999999998</v>
      </c>
      <c r="M233" s="421">
        <v>6470</v>
      </c>
      <c r="N233" s="419">
        <v>0.14299999999999999</v>
      </c>
      <c r="O233" s="419">
        <v>6.3</v>
      </c>
      <c r="P233" s="419">
        <v>3.0579999999999998</v>
      </c>
    </row>
    <row r="234" spans="4:16">
      <c r="D234" s="374" t="s">
        <v>514</v>
      </c>
      <c r="E234" s="417" t="s">
        <v>519</v>
      </c>
      <c r="F234" s="418">
        <v>42103</v>
      </c>
      <c r="G234" s="381">
        <f t="shared" si="6"/>
        <v>2015</v>
      </c>
      <c r="H234" s="381">
        <f t="shared" si="7"/>
        <v>4</v>
      </c>
      <c r="I234" s="419">
        <v>12</v>
      </c>
      <c r="J234" s="419">
        <v>5.7670000000000003</v>
      </c>
      <c r="K234" s="419">
        <v>2.5990000000000002</v>
      </c>
      <c r="L234" s="420">
        <v>8.3659999999999997</v>
      </c>
      <c r="M234" s="421">
        <v>5914</v>
      </c>
      <c r="N234" s="419">
        <v>0.14099999999999999</v>
      </c>
      <c r="O234" s="419">
        <v>5.8520000000000003</v>
      </c>
      <c r="P234" s="419">
        <v>2.5990000000000002</v>
      </c>
    </row>
    <row r="235" spans="4:16">
      <c r="D235" s="374" t="s">
        <v>514</v>
      </c>
      <c r="E235" s="417" t="s">
        <v>519</v>
      </c>
      <c r="F235" s="418">
        <v>42152</v>
      </c>
      <c r="G235" s="381">
        <f t="shared" si="6"/>
        <v>2015</v>
      </c>
      <c r="H235" s="381">
        <f t="shared" si="7"/>
        <v>5</v>
      </c>
      <c r="I235" s="419">
        <v>16</v>
      </c>
      <c r="J235" s="419">
        <v>6.633</v>
      </c>
      <c r="K235" s="419">
        <v>3.0630000000000002</v>
      </c>
      <c r="L235" s="420">
        <v>9.6959999999999997</v>
      </c>
      <c r="M235" s="421">
        <v>6837</v>
      </c>
      <c r="N235" s="419">
        <v>0.14199999999999999</v>
      </c>
      <c r="O235" s="419">
        <v>6.7</v>
      </c>
      <c r="P235" s="419">
        <v>3.0630000000000002</v>
      </c>
    </row>
    <row r="236" spans="4:16">
      <c r="D236" s="374" t="s">
        <v>514</v>
      </c>
      <c r="E236" s="417" t="s">
        <v>519</v>
      </c>
      <c r="F236" s="418">
        <v>42164</v>
      </c>
      <c r="G236" s="381">
        <f t="shared" si="6"/>
        <v>2015</v>
      </c>
      <c r="H236" s="381">
        <f t="shared" si="7"/>
        <v>6</v>
      </c>
      <c r="I236" s="419">
        <v>17</v>
      </c>
      <c r="J236" s="419">
        <v>9.8040000000000003</v>
      </c>
      <c r="K236" s="419">
        <v>2.641</v>
      </c>
      <c r="L236" s="420">
        <v>12.445</v>
      </c>
      <c r="M236" s="421">
        <v>8136</v>
      </c>
      <c r="N236" s="419">
        <v>0.153</v>
      </c>
      <c r="O236" s="419">
        <v>9.8710000000000004</v>
      </c>
      <c r="P236" s="419">
        <v>2.641</v>
      </c>
    </row>
    <row r="237" spans="4:16">
      <c r="D237" s="374" t="s">
        <v>514</v>
      </c>
      <c r="E237" s="417" t="s">
        <v>519</v>
      </c>
      <c r="F237" s="418">
        <v>42212</v>
      </c>
      <c r="G237" s="381">
        <f t="shared" si="6"/>
        <v>2015</v>
      </c>
      <c r="H237" s="381">
        <f t="shared" si="7"/>
        <v>7</v>
      </c>
      <c r="I237" s="419">
        <v>17</v>
      </c>
      <c r="J237" s="419">
        <v>11.95</v>
      </c>
      <c r="K237" s="419">
        <v>3.0609999999999999</v>
      </c>
      <c r="L237" s="420">
        <v>15.010999999999999</v>
      </c>
      <c r="M237" s="421">
        <v>8769</v>
      </c>
      <c r="N237" s="419">
        <v>0.17100000000000001</v>
      </c>
      <c r="O237" s="419">
        <v>12.054</v>
      </c>
      <c r="P237" s="419">
        <v>3.0609999999999999</v>
      </c>
    </row>
    <row r="238" spans="4:16">
      <c r="D238" s="374" t="s">
        <v>514</v>
      </c>
      <c r="E238" s="417" t="s">
        <v>519</v>
      </c>
      <c r="F238" s="418">
        <v>42230</v>
      </c>
      <c r="G238" s="381">
        <f t="shared" si="6"/>
        <v>2015</v>
      </c>
      <c r="H238" s="381">
        <f t="shared" si="7"/>
        <v>8</v>
      </c>
      <c r="I238" s="419">
        <v>16</v>
      </c>
      <c r="J238" s="419">
        <v>18.081</v>
      </c>
      <c r="K238" s="419">
        <v>3.06</v>
      </c>
      <c r="L238" s="420">
        <v>21.140999999999998</v>
      </c>
      <c r="M238" s="421">
        <v>8926</v>
      </c>
      <c r="N238" s="419">
        <v>0.23699999999999999</v>
      </c>
      <c r="O238" s="419">
        <v>18.231999999999999</v>
      </c>
      <c r="P238" s="419">
        <v>3.06</v>
      </c>
    </row>
    <row r="239" spans="4:16">
      <c r="D239" s="374" t="s">
        <v>514</v>
      </c>
      <c r="E239" s="417" t="s">
        <v>519</v>
      </c>
      <c r="F239" s="418">
        <v>42250</v>
      </c>
      <c r="G239" s="381">
        <f t="shared" si="6"/>
        <v>2015</v>
      </c>
      <c r="H239" s="381">
        <f t="shared" si="7"/>
        <v>9</v>
      </c>
      <c r="I239" s="419">
        <v>17</v>
      </c>
      <c r="J239" s="419">
        <v>18.384</v>
      </c>
      <c r="K239" s="419">
        <v>2.7770000000000001</v>
      </c>
      <c r="L239" s="420">
        <v>21.161000000000001</v>
      </c>
      <c r="M239" s="421">
        <v>8657</v>
      </c>
      <c r="N239" s="419">
        <v>0.24399999999999999</v>
      </c>
      <c r="O239" s="419">
        <v>18.547999999999998</v>
      </c>
      <c r="P239" s="419">
        <v>2.7770000000000001</v>
      </c>
    </row>
    <row r="240" spans="4:16">
      <c r="D240" s="374" t="s">
        <v>514</v>
      </c>
      <c r="E240" s="417" t="s">
        <v>519</v>
      </c>
      <c r="F240" s="418">
        <v>42285</v>
      </c>
      <c r="G240" s="381">
        <f t="shared" si="6"/>
        <v>2015</v>
      </c>
      <c r="H240" s="381">
        <f t="shared" si="7"/>
        <v>10</v>
      </c>
      <c r="I240" s="419">
        <v>12</v>
      </c>
      <c r="J240" s="419">
        <v>8.3539999999999992</v>
      </c>
      <c r="K240" s="419">
        <v>3.0619999999999998</v>
      </c>
      <c r="L240" s="420">
        <v>11.416</v>
      </c>
      <c r="M240" s="421">
        <v>5943</v>
      </c>
      <c r="N240" s="419">
        <v>0.192</v>
      </c>
      <c r="O240" s="419">
        <v>8.4450000000000003</v>
      </c>
      <c r="P240" s="419">
        <v>3.0619999999999998</v>
      </c>
    </row>
    <row r="241" spans="4:16">
      <c r="D241" s="374" t="s">
        <v>514</v>
      </c>
      <c r="E241" s="417" t="s">
        <v>519</v>
      </c>
      <c r="F241" s="418">
        <v>42338</v>
      </c>
      <c r="G241" s="381">
        <f t="shared" si="6"/>
        <v>2015</v>
      </c>
      <c r="H241" s="381">
        <f t="shared" si="7"/>
        <v>11</v>
      </c>
      <c r="I241" s="419">
        <v>18</v>
      </c>
      <c r="J241" s="419">
        <v>6.1550000000000002</v>
      </c>
      <c r="K241" s="419">
        <v>3.0950000000000002</v>
      </c>
      <c r="L241" s="420">
        <v>9.25</v>
      </c>
      <c r="M241" s="421">
        <v>6574</v>
      </c>
      <c r="N241" s="419">
        <v>0.14099999999999999</v>
      </c>
      <c r="O241" s="419">
        <v>6.23</v>
      </c>
      <c r="P241" s="419">
        <v>3.0950000000000002</v>
      </c>
    </row>
    <row r="242" spans="4:16">
      <c r="D242" s="374" t="s">
        <v>514</v>
      </c>
      <c r="E242" s="417" t="s">
        <v>519</v>
      </c>
      <c r="F242" s="418">
        <v>42355</v>
      </c>
      <c r="G242" s="381">
        <f t="shared" si="6"/>
        <v>2015</v>
      </c>
      <c r="H242" s="381">
        <f t="shared" si="7"/>
        <v>12</v>
      </c>
      <c r="I242" s="419">
        <v>18</v>
      </c>
      <c r="J242" s="419">
        <v>6.3479999999999999</v>
      </c>
      <c r="K242" s="419">
        <v>3.0419999999999998</v>
      </c>
      <c r="L242" s="420">
        <v>9.39</v>
      </c>
      <c r="M242" s="421">
        <v>6450</v>
      </c>
      <c r="N242" s="419">
        <v>0.14599999999999999</v>
      </c>
      <c r="O242" s="419">
        <v>6.4210000000000003</v>
      </c>
      <c r="P242" s="419">
        <v>3.0419999999999998</v>
      </c>
    </row>
    <row r="243" spans="4:16">
      <c r="D243" s="374" t="s">
        <v>514</v>
      </c>
      <c r="E243" s="379" t="s">
        <v>520</v>
      </c>
      <c r="F243" s="380">
        <v>40927</v>
      </c>
      <c r="G243" s="381">
        <f t="shared" si="6"/>
        <v>2012</v>
      </c>
      <c r="H243" s="381">
        <f t="shared" si="7"/>
        <v>1</v>
      </c>
      <c r="I243" s="382">
        <v>19</v>
      </c>
      <c r="J243" s="382">
        <v>1.9430000000000001</v>
      </c>
      <c r="K243" s="382">
        <v>0</v>
      </c>
      <c r="L243" s="383">
        <v>1.9430000000000001</v>
      </c>
      <c r="M243" s="382">
        <v>6604</v>
      </c>
      <c r="N243" s="384">
        <v>2.9999999999999997E-4</v>
      </c>
      <c r="O243" s="382">
        <v>1.97</v>
      </c>
      <c r="P243" s="382">
        <v>0</v>
      </c>
    </row>
    <row r="244" spans="4:16">
      <c r="D244" s="374" t="s">
        <v>514</v>
      </c>
      <c r="E244" s="379" t="s">
        <v>520</v>
      </c>
      <c r="F244" s="380">
        <v>40967</v>
      </c>
      <c r="G244" s="381">
        <f t="shared" si="6"/>
        <v>2012</v>
      </c>
      <c r="H244" s="381">
        <f t="shared" si="7"/>
        <v>2</v>
      </c>
      <c r="I244" s="382">
        <v>19</v>
      </c>
      <c r="J244" s="382">
        <v>1.768</v>
      </c>
      <c r="K244" s="382">
        <v>0</v>
      </c>
      <c r="L244" s="383">
        <v>1.768</v>
      </c>
      <c r="M244" s="382">
        <v>6178</v>
      </c>
      <c r="N244" s="384">
        <v>2.9999999999999997E-4</v>
      </c>
      <c r="O244" s="382">
        <v>1.796</v>
      </c>
      <c r="P244" s="382">
        <v>0</v>
      </c>
    </row>
    <row r="245" spans="4:16">
      <c r="D245" s="374" t="s">
        <v>514</v>
      </c>
      <c r="E245" s="379" t="s">
        <v>520</v>
      </c>
      <c r="F245" s="380">
        <v>40987</v>
      </c>
      <c r="G245" s="381">
        <f t="shared" si="6"/>
        <v>2012</v>
      </c>
      <c r="H245" s="381">
        <f t="shared" si="7"/>
        <v>3</v>
      </c>
      <c r="I245" s="382">
        <v>14</v>
      </c>
      <c r="J245" s="382">
        <v>1.3320000000000001</v>
      </c>
      <c r="K245" s="382">
        <v>0</v>
      </c>
      <c r="L245" s="383">
        <v>1.3320000000000001</v>
      </c>
      <c r="M245" s="382">
        <v>6170</v>
      </c>
      <c r="N245" s="384">
        <v>2.0000000000000001E-4</v>
      </c>
      <c r="O245" s="382">
        <v>1.351</v>
      </c>
      <c r="P245" s="382">
        <v>0</v>
      </c>
    </row>
    <row r="246" spans="4:16">
      <c r="D246" s="374" t="s">
        <v>514</v>
      </c>
      <c r="E246" s="379" t="s">
        <v>520</v>
      </c>
      <c r="F246" s="380">
        <v>41024</v>
      </c>
      <c r="G246" s="381">
        <f t="shared" si="6"/>
        <v>2012</v>
      </c>
      <c r="H246" s="381">
        <f t="shared" si="7"/>
        <v>4</v>
      </c>
      <c r="I246" s="382">
        <v>15</v>
      </c>
      <c r="J246" s="382">
        <v>1.2969999999999999</v>
      </c>
      <c r="K246" s="382">
        <v>0</v>
      </c>
      <c r="L246" s="383">
        <v>1.2969999999999999</v>
      </c>
      <c r="M246" s="382">
        <v>5813</v>
      </c>
      <c r="N246" s="384">
        <v>2.0000000000000001E-4</v>
      </c>
      <c r="O246" s="382">
        <v>1.3160000000000001</v>
      </c>
      <c r="P246" s="382">
        <v>0</v>
      </c>
    </row>
    <row r="247" spans="4:16">
      <c r="D247" s="374" t="s">
        <v>514</v>
      </c>
      <c r="E247" s="379" t="s">
        <v>520</v>
      </c>
      <c r="F247" s="380">
        <v>41047</v>
      </c>
      <c r="G247" s="381">
        <f t="shared" si="6"/>
        <v>2012</v>
      </c>
      <c r="H247" s="381">
        <f t="shared" si="7"/>
        <v>5</v>
      </c>
      <c r="I247" s="382">
        <v>17</v>
      </c>
      <c r="J247" s="382">
        <v>2.0640000000000001</v>
      </c>
      <c r="K247" s="382">
        <v>0</v>
      </c>
      <c r="L247" s="383">
        <v>2.0640000000000001</v>
      </c>
      <c r="M247" s="382">
        <v>7203</v>
      </c>
      <c r="N247" s="384">
        <v>2.9999999999999997E-4</v>
      </c>
      <c r="O247" s="382">
        <v>2.0939999999999999</v>
      </c>
      <c r="P247" s="382">
        <v>0</v>
      </c>
    </row>
    <row r="248" spans="4:16">
      <c r="D248" s="374" t="s">
        <v>514</v>
      </c>
      <c r="E248" s="379" t="s">
        <v>520</v>
      </c>
      <c r="F248" s="380">
        <v>41087</v>
      </c>
      <c r="G248" s="381">
        <f t="shared" si="6"/>
        <v>2012</v>
      </c>
      <c r="H248" s="381">
        <f t="shared" si="7"/>
        <v>6</v>
      </c>
      <c r="I248" s="382">
        <v>17</v>
      </c>
      <c r="J248" s="382">
        <v>3.0289999999999999</v>
      </c>
      <c r="K248" s="382">
        <v>0</v>
      </c>
      <c r="L248" s="383">
        <v>3.0289999999999999</v>
      </c>
      <c r="M248" s="382">
        <v>8833</v>
      </c>
      <c r="N248" s="384">
        <v>2.9999999999999997E-4</v>
      </c>
      <c r="O248" s="382">
        <v>3.0750000000000002</v>
      </c>
      <c r="P248" s="382">
        <v>0</v>
      </c>
    </row>
    <row r="249" spans="4:16">
      <c r="D249" s="374" t="s">
        <v>514</v>
      </c>
      <c r="E249" s="379" t="s">
        <v>520</v>
      </c>
      <c r="F249" s="380">
        <v>41092</v>
      </c>
      <c r="G249" s="381">
        <f t="shared" si="6"/>
        <v>2012</v>
      </c>
      <c r="H249" s="381">
        <f t="shared" si="7"/>
        <v>7</v>
      </c>
      <c r="I249" s="382">
        <v>17</v>
      </c>
      <c r="J249" s="382">
        <v>3.327</v>
      </c>
      <c r="K249" s="382">
        <v>0</v>
      </c>
      <c r="L249" s="383">
        <v>3.327</v>
      </c>
      <c r="M249" s="382">
        <v>9682</v>
      </c>
      <c r="N249" s="384">
        <v>2.9999999999999997E-4</v>
      </c>
      <c r="O249" s="382">
        <v>3.379</v>
      </c>
      <c r="P249" s="382">
        <v>0</v>
      </c>
    </row>
    <row r="250" spans="4:16">
      <c r="D250" s="374" t="s">
        <v>514</v>
      </c>
      <c r="E250" s="379" t="s">
        <v>520</v>
      </c>
      <c r="F250" s="380">
        <v>41122</v>
      </c>
      <c r="G250" s="381">
        <f t="shared" si="6"/>
        <v>2012</v>
      </c>
      <c r="H250" s="381">
        <f t="shared" si="7"/>
        <v>8</v>
      </c>
      <c r="I250" s="382">
        <v>17</v>
      </c>
      <c r="J250" s="382">
        <v>3.0059999999999998</v>
      </c>
      <c r="K250" s="382">
        <v>0</v>
      </c>
      <c r="L250" s="383">
        <v>3.0059999999999998</v>
      </c>
      <c r="M250" s="382">
        <v>8979</v>
      </c>
      <c r="N250" s="384">
        <v>2.9999999999999997E-4</v>
      </c>
      <c r="O250" s="382">
        <v>3.052</v>
      </c>
      <c r="P250" s="382">
        <v>0</v>
      </c>
    </row>
    <row r="251" spans="4:16">
      <c r="D251" s="374" t="s">
        <v>514</v>
      </c>
      <c r="E251" s="379" t="s">
        <v>520</v>
      </c>
      <c r="F251" s="380">
        <v>41156</v>
      </c>
      <c r="G251" s="381">
        <f t="shared" si="6"/>
        <v>2012</v>
      </c>
      <c r="H251" s="381">
        <f t="shared" si="7"/>
        <v>9</v>
      </c>
      <c r="I251" s="382">
        <v>16</v>
      </c>
      <c r="J251" s="382">
        <v>2.8119999999999998</v>
      </c>
      <c r="K251" s="382">
        <v>0</v>
      </c>
      <c r="L251" s="383">
        <v>2.8119999999999998</v>
      </c>
      <c r="M251" s="382">
        <v>8521</v>
      </c>
      <c r="N251" s="384">
        <v>2.9999999999999997E-4</v>
      </c>
      <c r="O251" s="382">
        <v>2.855</v>
      </c>
      <c r="P251" s="382">
        <v>0</v>
      </c>
    </row>
    <row r="252" spans="4:16">
      <c r="D252" s="374" t="s">
        <v>514</v>
      </c>
      <c r="E252" s="379" t="s">
        <v>520</v>
      </c>
      <c r="F252" s="380">
        <v>41185</v>
      </c>
      <c r="G252" s="381">
        <f t="shared" si="6"/>
        <v>2012</v>
      </c>
      <c r="H252" s="381">
        <f t="shared" si="7"/>
        <v>10</v>
      </c>
      <c r="I252" s="382">
        <v>14</v>
      </c>
      <c r="J252" s="382">
        <v>1.347</v>
      </c>
      <c r="K252" s="382">
        <v>0</v>
      </c>
      <c r="L252" s="383">
        <v>1.347</v>
      </c>
      <c r="M252" s="382">
        <v>6122</v>
      </c>
      <c r="N252" s="384">
        <v>2.0000000000000001E-4</v>
      </c>
      <c r="O252" s="382">
        <v>1.365</v>
      </c>
      <c r="P252" s="382">
        <v>0</v>
      </c>
    </row>
    <row r="253" spans="4:16">
      <c r="D253" s="374" t="s">
        <v>514</v>
      </c>
      <c r="E253" s="379" t="s">
        <v>520</v>
      </c>
      <c r="F253" s="380">
        <v>41239</v>
      </c>
      <c r="G253" s="381">
        <f t="shared" si="6"/>
        <v>2012</v>
      </c>
      <c r="H253" s="381">
        <f t="shared" si="7"/>
        <v>11</v>
      </c>
      <c r="I253" s="382">
        <v>18</v>
      </c>
      <c r="J253" s="382">
        <v>1.9810000000000001</v>
      </c>
      <c r="K253" s="382">
        <v>0</v>
      </c>
      <c r="L253" s="383">
        <v>1.9810000000000001</v>
      </c>
      <c r="M253" s="382">
        <v>6416</v>
      </c>
      <c r="N253" s="384">
        <v>2.9999999999999997E-4</v>
      </c>
      <c r="O253" s="382">
        <v>2.0070000000000001</v>
      </c>
      <c r="P253" s="382">
        <v>0</v>
      </c>
    </row>
    <row r="254" spans="4:16">
      <c r="D254" s="374" t="s">
        <v>514</v>
      </c>
      <c r="E254" s="379" t="s">
        <v>520</v>
      </c>
      <c r="F254" s="380">
        <v>41253</v>
      </c>
      <c r="G254" s="381">
        <f t="shared" si="6"/>
        <v>2012</v>
      </c>
      <c r="H254" s="381">
        <f t="shared" si="7"/>
        <v>12</v>
      </c>
      <c r="I254" s="382">
        <v>18</v>
      </c>
      <c r="J254" s="382">
        <v>2.0920000000000001</v>
      </c>
      <c r="K254" s="382">
        <v>0</v>
      </c>
      <c r="L254" s="383">
        <v>2.0920000000000001</v>
      </c>
      <c r="M254" s="382">
        <v>6609</v>
      </c>
      <c r="N254" s="384">
        <v>2.9999999999999997E-4</v>
      </c>
      <c r="O254" s="382">
        <v>2.1219999999999999</v>
      </c>
      <c r="P254" s="382">
        <v>0</v>
      </c>
    </row>
    <row r="255" spans="4:16">
      <c r="D255" s="374" t="s">
        <v>514</v>
      </c>
      <c r="E255" s="379" t="s">
        <v>520</v>
      </c>
      <c r="F255" s="380">
        <v>41295</v>
      </c>
      <c r="G255" s="381">
        <f t="shared" si="6"/>
        <v>2013</v>
      </c>
      <c r="H255" s="381">
        <f t="shared" si="7"/>
        <v>1</v>
      </c>
      <c r="I255" s="382">
        <v>19</v>
      </c>
      <c r="J255" s="382">
        <v>2.008</v>
      </c>
      <c r="K255" s="382">
        <v>0</v>
      </c>
      <c r="L255" s="383">
        <v>2.008</v>
      </c>
      <c r="M255" s="382">
        <v>6846</v>
      </c>
      <c r="N255" s="384">
        <v>2.9999999999999997E-4</v>
      </c>
      <c r="O255" s="382">
        <v>2.0390000000000001</v>
      </c>
      <c r="P255" s="382">
        <v>0</v>
      </c>
    </row>
    <row r="256" spans="4:16">
      <c r="D256" s="374" t="s">
        <v>514</v>
      </c>
      <c r="E256" s="379" t="s">
        <v>520</v>
      </c>
      <c r="F256" s="380">
        <v>41324</v>
      </c>
      <c r="G256" s="381">
        <f t="shared" si="6"/>
        <v>2013</v>
      </c>
      <c r="H256" s="381">
        <f t="shared" si="7"/>
        <v>2</v>
      </c>
      <c r="I256" s="382">
        <v>19</v>
      </c>
      <c r="J256" s="382">
        <v>1.9319999999999999</v>
      </c>
      <c r="K256" s="382">
        <v>0</v>
      </c>
      <c r="L256" s="383">
        <v>1.9319999999999999</v>
      </c>
      <c r="M256" s="382">
        <v>6511</v>
      </c>
      <c r="N256" s="384">
        <v>2.9999999999999997E-4</v>
      </c>
      <c r="O256" s="382">
        <v>1.9590000000000001</v>
      </c>
      <c r="P256" s="382">
        <v>0</v>
      </c>
    </row>
    <row r="257" spans="4:16">
      <c r="D257" s="374" t="s">
        <v>514</v>
      </c>
      <c r="E257" s="379" t="s">
        <v>520</v>
      </c>
      <c r="F257" s="380">
        <v>41337</v>
      </c>
      <c r="G257" s="381">
        <f t="shared" si="6"/>
        <v>2013</v>
      </c>
      <c r="H257" s="381">
        <f t="shared" si="7"/>
        <v>3</v>
      </c>
      <c r="I257" s="382">
        <v>19</v>
      </c>
      <c r="J257" s="382">
        <v>1.7110000000000001</v>
      </c>
      <c r="K257" s="382">
        <v>0</v>
      </c>
      <c r="L257" s="383">
        <v>1.7110000000000001</v>
      </c>
      <c r="M257" s="382">
        <v>6172</v>
      </c>
      <c r="N257" s="384">
        <v>2.9999999999999997E-4</v>
      </c>
      <c r="O257" s="382">
        <v>1.74</v>
      </c>
      <c r="P257" s="382">
        <v>0</v>
      </c>
    </row>
    <row r="258" spans="4:16">
      <c r="D258" s="374" t="s">
        <v>514</v>
      </c>
      <c r="E258" s="379" t="s">
        <v>520</v>
      </c>
      <c r="F258" s="380">
        <v>41382</v>
      </c>
      <c r="G258" s="381">
        <f t="shared" si="6"/>
        <v>2013</v>
      </c>
      <c r="H258" s="381">
        <f t="shared" si="7"/>
        <v>4</v>
      </c>
      <c r="I258" s="382">
        <v>12</v>
      </c>
      <c r="J258" s="382">
        <v>1.42</v>
      </c>
      <c r="K258" s="382">
        <v>0</v>
      </c>
      <c r="L258" s="383">
        <v>1.42</v>
      </c>
      <c r="M258" s="382">
        <v>5851</v>
      </c>
      <c r="N258" s="384">
        <v>2.0000000000000001E-4</v>
      </c>
      <c r="O258" s="382">
        <v>1.4410000000000001</v>
      </c>
      <c r="P258" s="382">
        <v>0</v>
      </c>
    </row>
    <row r="259" spans="4:16">
      <c r="D259" s="374" t="s">
        <v>514</v>
      </c>
      <c r="E259" s="379" t="s">
        <v>520</v>
      </c>
      <c r="F259" s="380">
        <v>41408</v>
      </c>
      <c r="G259" s="381">
        <f t="shared" ref="G259:G322" si="8">YEAR(F259)</f>
        <v>2013</v>
      </c>
      <c r="H259" s="381">
        <f t="shared" ref="H259:H322" si="9">MONTH(F259)</f>
        <v>5</v>
      </c>
      <c r="I259" s="382">
        <v>17</v>
      </c>
      <c r="J259" s="382">
        <v>1.7210000000000001</v>
      </c>
      <c r="K259" s="382">
        <v>0</v>
      </c>
      <c r="L259" s="383">
        <v>1.7210000000000001</v>
      </c>
      <c r="M259" s="382">
        <v>6516</v>
      </c>
      <c r="N259" s="384">
        <v>2.9999999999999997E-4</v>
      </c>
      <c r="O259" s="382">
        <v>1.742</v>
      </c>
      <c r="P259" s="382">
        <v>0</v>
      </c>
    </row>
    <row r="260" spans="4:16">
      <c r="D260" s="374" t="s">
        <v>514</v>
      </c>
      <c r="E260" s="379" t="s">
        <v>520</v>
      </c>
      <c r="F260" s="380">
        <v>41451</v>
      </c>
      <c r="G260" s="381">
        <f t="shared" si="8"/>
        <v>2013</v>
      </c>
      <c r="H260" s="381">
        <f t="shared" si="9"/>
        <v>6</v>
      </c>
      <c r="I260" s="382">
        <v>16</v>
      </c>
      <c r="J260" s="382">
        <v>2.5739999999999998</v>
      </c>
      <c r="K260" s="382">
        <v>0</v>
      </c>
      <c r="L260" s="383">
        <v>2.5739999999999998</v>
      </c>
      <c r="M260" s="382">
        <v>8280</v>
      </c>
      <c r="N260" s="384">
        <v>2.9999999999999997E-4</v>
      </c>
      <c r="O260" s="382">
        <v>2.6110000000000002</v>
      </c>
      <c r="P260" s="382">
        <v>0</v>
      </c>
    </row>
    <row r="261" spans="4:16">
      <c r="D261" s="374" t="s">
        <v>514</v>
      </c>
      <c r="E261" s="379" t="s">
        <v>520</v>
      </c>
      <c r="F261" s="380">
        <v>41473</v>
      </c>
      <c r="G261" s="381">
        <f t="shared" si="8"/>
        <v>2013</v>
      </c>
      <c r="H261" s="381">
        <f t="shared" si="9"/>
        <v>7</v>
      </c>
      <c r="I261" s="382">
        <v>17</v>
      </c>
      <c r="J261" s="382">
        <v>3.137</v>
      </c>
      <c r="K261" s="382">
        <v>0</v>
      </c>
      <c r="L261" s="383">
        <v>3.137</v>
      </c>
      <c r="M261" s="382">
        <v>9566</v>
      </c>
      <c r="N261" s="384">
        <v>2.9999999999999997E-4</v>
      </c>
      <c r="O261" s="382">
        <v>3.1829999999999998</v>
      </c>
      <c r="P261" s="382">
        <v>0</v>
      </c>
    </row>
    <row r="262" spans="4:16">
      <c r="D262" s="374" t="s">
        <v>514</v>
      </c>
      <c r="E262" s="379" t="s">
        <v>520</v>
      </c>
      <c r="F262" s="380">
        <v>41512</v>
      </c>
      <c r="G262" s="381">
        <f t="shared" si="8"/>
        <v>2013</v>
      </c>
      <c r="H262" s="381">
        <f t="shared" si="9"/>
        <v>8</v>
      </c>
      <c r="I262" s="382">
        <v>17</v>
      </c>
      <c r="J262" s="382">
        <v>3.153</v>
      </c>
      <c r="K262" s="382">
        <v>0</v>
      </c>
      <c r="L262" s="383">
        <v>3.153</v>
      </c>
      <c r="M262" s="382">
        <v>9821</v>
      </c>
      <c r="N262" s="384">
        <v>2.9999999999999997E-4</v>
      </c>
      <c r="O262" s="382">
        <v>3.1989999999999998</v>
      </c>
      <c r="P262" s="382">
        <v>0</v>
      </c>
    </row>
    <row r="263" spans="4:16">
      <c r="D263" s="374" t="s">
        <v>514</v>
      </c>
      <c r="E263" s="379" t="s">
        <v>520</v>
      </c>
      <c r="F263" s="380">
        <v>41526</v>
      </c>
      <c r="G263" s="381">
        <f t="shared" si="8"/>
        <v>2013</v>
      </c>
      <c r="H263" s="381">
        <f t="shared" si="9"/>
        <v>9</v>
      </c>
      <c r="I263" s="382">
        <v>17</v>
      </c>
      <c r="J263" s="382">
        <v>3.077</v>
      </c>
      <c r="K263" s="382">
        <v>0</v>
      </c>
      <c r="L263" s="383">
        <v>3.077</v>
      </c>
      <c r="M263" s="382">
        <v>8781</v>
      </c>
      <c r="N263" s="384">
        <v>4.0000000000000002E-4</v>
      </c>
      <c r="O263" s="382">
        <v>3.1219999999999999</v>
      </c>
      <c r="P263" s="382">
        <v>0</v>
      </c>
    </row>
    <row r="264" spans="4:16">
      <c r="D264" s="374" t="s">
        <v>514</v>
      </c>
      <c r="E264" s="379" t="s">
        <v>520</v>
      </c>
      <c r="F264" s="380">
        <v>41548</v>
      </c>
      <c r="G264" s="381">
        <f t="shared" si="8"/>
        <v>2013</v>
      </c>
      <c r="H264" s="381">
        <f t="shared" si="9"/>
        <v>10</v>
      </c>
      <c r="I264" s="382">
        <v>14</v>
      </c>
      <c r="J264" s="382">
        <v>1.409</v>
      </c>
      <c r="K264" s="382">
        <v>0</v>
      </c>
      <c r="L264" s="383">
        <v>1.409</v>
      </c>
      <c r="M264" s="382">
        <v>6214</v>
      </c>
      <c r="N264" s="384">
        <v>2.0000000000000001E-4</v>
      </c>
      <c r="O264" s="382">
        <v>1.429</v>
      </c>
      <c r="P264" s="382">
        <v>0</v>
      </c>
    </row>
    <row r="265" spans="4:16">
      <c r="D265" s="374" t="s">
        <v>514</v>
      </c>
      <c r="E265" s="379" t="s">
        <v>520</v>
      </c>
      <c r="F265" s="380">
        <v>41604</v>
      </c>
      <c r="G265" s="381">
        <f t="shared" si="8"/>
        <v>2013</v>
      </c>
      <c r="H265" s="381">
        <f t="shared" si="9"/>
        <v>11</v>
      </c>
      <c r="I265" s="382">
        <v>18</v>
      </c>
      <c r="J265" s="382">
        <v>1.9410000000000001</v>
      </c>
      <c r="K265" s="382">
        <v>0</v>
      </c>
      <c r="L265" s="383">
        <v>1.9410000000000001</v>
      </c>
      <c r="M265" s="382">
        <v>6372</v>
      </c>
      <c r="N265" s="384">
        <v>2.9999999999999997E-4</v>
      </c>
      <c r="O265" s="382">
        <v>1.9650000000000001</v>
      </c>
      <c r="P265" s="382">
        <v>0</v>
      </c>
    </row>
    <row r="266" spans="4:16">
      <c r="D266" s="374" t="s">
        <v>514</v>
      </c>
      <c r="E266" s="379" t="s">
        <v>520</v>
      </c>
      <c r="F266" s="380">
        <v>41619</v>
      </c>
      <c r="G266" s="381">
        <f t="shared" si="8"/>
        <v>2013</v>
      </c>
      <c r="H266" s="381">
        <f t="shared" si="9"/>
        <v>12</v>
      </c>
      <c r="I266" s="382">
        <v>18</v>
      </c>
      <c r="J266" s="382">
        <v>2.1120000000000001</v>
      </c>
      <c r="K266" s="382">
        <v>0</v>
      </c>
      <c r="L266" s="383">
        <v>2.1120000000000001</v>
      </c>
      <c r="M266" s="382">
        <v>6972</v>
      </c>
      <c r="N266" s="384">
        <v>2.9999999999999997E-4</v>
      </c>
      <c r="O266" s="382">
        <v>2.1360000000000001</v>
      </c>
      <c r="P266" s="382">
        <v>0</v>
      </c>
    </row>
    <row r="267" spans="4:16">
      <c r="D267" s="374" t="s">
        <v>514</v>
      </c>
      <c r="E267" s="417" t="s">
        <v>520</v>
      </c>
      <c r="F267" s="418">
        <v>41645</v>
      </c>
      <c r="G267" s="381">
        <f t="shared" si="8"/>
        <v>2014</v>
      </c>
      <c r="H267" s="381">
        <f t="shared" si="9"/>
        <v>1</v>
      </c>
      <c r="I267" s="419">
        <v>18</v>
      </c>
      <c r="J267" s="419">
        <v>2.2639999999999998</v>
      </c>
      <c r="K267" s="419">
        <v>0</v>
      </c>
      <c r="L267" s="420">
        <v>2.2639999999999998</v>
      </c>
      <c r="M267" s="421">
        <v>7188</v>
      </c>
      <c r="N267" s="419">
        <v>3.1E-2</v>
      </c>
      <c r="O267" s="419">
        <v>2.29</v>
      </c>
      <c r="P267" s="419">
        <v>0</v>
      </c>
    </row>
    <row r="268" spans="4:16">
      <c r="D268" s="374" t="s">
        <v>514</v>
      </c>
      <c r="E268" s="417" t="s">
        <v>520</v>
      </c>
      <c r="F268" s="418">
        <v>41676</v>
      </c>
      <c r="G268" s="381">
        <f t="shared" si="8"/>
        <v>2014</v>
      </c>
      <c r="H268" s="381">
        <f t="shared" si="9"/>
        <v>2</v>
      </c>
      <c r="I268" s="419">
        <v>19</v>
      </c>
      <c r="J268" s="419">
        <v>1.9239999999999999</v>
      </c>
      <c r="K268" s="419">
        <v>0</v>
      </c>
      <c r="L268" s="420">
        <v>1.9239999999999999</v>
      </c>
      <c r="M268" s="421">
        <v>6743</v>
      </c>
      <c r="N268" s="419">
        <v>2.9000000000000001E-2</v>
      </c>
      <c r="O268" s="419">
        <v>1.9550000000000001</v>
      </c>
      <c r="P268" s="419">
        <v>0</v>
      </c>
    </row>
    <row r="269" spans="4:16">
      <c r="D269" s="374" t="s">
        <v>514</v>
      </c>
      <c r="E269" s="417" t="s">
        <v>520</v>
      </c>
      <c r="F269" s="418">
        <v>41701</v>
      </c>
      <c r="G269" s="381">
        <f t="shared" si="8"/>
        <v>2014</v>
      </c>
      <c r="H269" s="381">
        <f t="shared" si="9"/>
        <v>3</v>
      </c>
      <c r="I269" s="419">
        <v>19</v>
      </c>
      <c r="J269" s="419">
        <v>1.88</v>
      </c>
      <c r="K269" s="419">
        <v>0</v>
      </c>
      <c r="L269" s="420">
        <v>1.88</v>
      </c>
      <c r="M269" s="421">
        <v>6537</v>
      </c>
      <c r="N269" s="419">
        <v>2.9000000000000001E-2</v>
      </c>
      <c r="O269" s="419">
        <v>1.9079999999999999</v>
      </c>
      <c r="P269" s="419">
        <v>0</v>
      </c>
    </row>
    <row r="270" spans="4:16">
      <c r="D270" s="374" t="s">
        <v>514</v>
      </c>
      <c r="E270" s="417" t="s">
        <v>520</v>
      </c>
      <c r="F270" s="418">
        <v>41730</v>
      </c>
      <c r="G270" s="381">
        <f t="shared" si="8"/>
        <v>2014</v>
      </c>
      <c r="H270" s="381">
        <f t="shared" si="9"/>
        <v>4</v>
      </c>
      <c r="I270" s="419">
        <v>11</v>
      </c>
      <c r="J270" s="419">
        <v>1.4670000000000001</v>
      </c>
      <c r="K270" s="419">
        <v>0</v>
      </c>
      <c r="L270" s="420">
        <v>1.4670000000000001</v>
      </c>
      <c r="M270" s="421">
        <v>5924</v>
      </c>
      <c r="N270" s="419">
        <v>2.5000000000000001E-2</v>
      </c>
      <c r="O270" s="419">
        <v>1.4870000000000001</v>
      </c>
      <c r="P270" s="419">
        <v>0</v>
      </c>
    </row>
    <row r="271" spans="4:16">
      <c r="D271" s="374" t="s">
        <v>514</v>
      </c>
      <c r="E271" s="417" t="s">
        <v>520</v>
      </c>
      <c r="F271" s="418">
        <v>41789</v>
      </c>
      <c r="G271" s="381">
        <f t="shared" si="8"/>
        <v>2014</v>
      </c>
      <c r="H271" s="381">
        <f t="shared" si="9"/>
        <v>5</v>
      </c>
      <c r="I271" s="419">
        <v>16</v>
      </c>
      <c r="J271" s="419">
        <v>2.0840000000000001</v>
      </c>
      <c r="K271" s="419">
        <v>0</v>
      </c>
      <c r="L271" s="420">
        <v>2.0840000000000001</v>
      </c>
      <c r="M271" s="421">
        <v>7422</v>
      </c>
      <c r="N271" s="419">
        <v>2.8000000000000001E-2</v>
      </c>
      <c r="O271" s="419">
        <v>2.1080000000000001</v>
      </c>
      <c r="P271" s="419">
        <v>0</v>
      </c>
    </row>
    <row r="272" spans="4:16">
      <c r="D272" s="374" t="s">
        <v>514</v>
      </c>
      <c r="E272" s="417" t="s">
        <v>520</v>
      </c>
      <c r="F272" s="418">
        <v>41814</v>
      </c>
      <c r="G272" s="381">
        <f t="shared" si="8"/>
        <v>2014</v>
      </c>
      <c r="H272" s="381">
        <f t="shared" si="9"/>
        <v>6</v>
      </c>
      <c r="I272" s="419">
        <v>16</v>
      </c>
      <c r="J272" s="419">
        <v>2.1309999999999998</v>
      </c>
      <c r="K272" s="419">
        <v>0</v>
      </c>
      <c r="L272" s="420">
        <v>2.1309999999999998</v>
      </c>
      <c r="M272" s="421">
        <v>7670</v>
      </c>
      <c r="N272" s="419">
        <v>2.8000000000000001E-2</v>
      </c>
      <c r="O272" s="419">
        <v>2.157</v>
      </c>
      <c r="P272" s="419">
        <v>0</v>
      </c>
    </row>
    <row r="273" spans="4:16">
      <c r="D273" s="374" t="s">
        <v>514</v>
      </c>
      <c r="E273" s="417" t="s">
        <v>520</v>
      </c>
      <c r="F273" s="418">
        <v>41841</v>
      </c>
      <c r="G273" s="381">
        <f t="shared" si="8"/>
        <v>2014</v>
      </c>
      <c r="H273" s="381">
        <f t="shared" si="9"/>
        <v>7</v>
      </c>
      <c r="I273" s="419">
        <v>17</v>
      </c>
      <c r="J273" s="419">
        <v>2.8570000000000002</v>
      </c>
      <c r="K273" s="419">
        <v>0</v>
      </c>
      <c r="L273" s="420">
        <v>2.8570000000000002</v>
      </c>
      <c r="M273" s="421">
        <v>9150</v>
      </c>
      <c r="N273" s="419">
        <v>3.1E-2</v>
      </c>
      <c r="O273" s="419">
        <v>2.8919999999999999</v>
      </c>
      <c r="P273" s="419">
        <v>0</v>
      </c>
    </row>
    <row r="274" spans="4:16">
      <c r="D274" s="374" t="s">
        <v>514</v>
      </c>
      <c r="E274" s="417" t="s">
        <v>520</v>
      </c>
      <c r="F274" s="418">
        <v>41869</v>
      </c>
      <c r="G274" s="381">
        <f t="shared" si="8"/>
        <v>2014</v>
      </c>
      <c r="H274" s="381">
        <f t="shared" si="9"/>
        <v>8</v>
      </c>
      <c r="I274" s="419">
        <v>16</v>
      </c>
      <c r="J274" s="419">
        <v>2.6389999999999998</v>
      </c>
      <c r="K274" s="419">
        <v>0</v>
      </c>
      <c r="L274" s="420">
        <v>2.6389999999999998</v>
      </c>
      <c r="M274" s="421">
        <v>8190</v>
      </c>
      <c r="N274" s="419">
        <v>3.2000000000000001E-2</v>
      </c>
      <c r="O274" s="419">
        <v>2.673</v>
      </c>
      <c r="P274" s="419">
        <v>0</v>
      </c>
    </row>
    <row r="275" spans="4:16">
      <c r="D275" s="374" t="s">
        <v>514</v>
      </c>
      <c r="E275" s="417" t="s">
        <v>520</v>
      </c>
      <c r="F275" s="418">
        <v>41886</v>
      </c>
      <c r="G275" s="381">
        <f t="shared" si="8"/>
        <v>2014</v>
      </c>
      <c r="H275" s="381">
        <f t="shared" si="9"/>
        <v>9</v>
      </c>
      <c r="I275" s="419">
        <v>15</v>
      </c>
      <c r="J275" s="419">
        <v>2.4180000000000001</v>
      </c>
      <c r="K275" s="419">
        <v>0</v>
      </c>
      <c r="L275" s="420">
        <v>2.4180000000000001</v>
      </c>
      <c r="M275" s="421">
        <v>7758</v>
      </c>
      <c r="N275" s="419">
        <v>3.1E-2</v>
      </c>
      <c r="O275" s="419">
        <v>2.4569999999999999</v>
      </c>
      <c r="P275" s="419">
        <v>0</v>
      </c>
    </row>
    <row r="276" spans="4:16">
      <c r="D276" s="374" t="s">
        <v>514</v>
      </c>
      <c r="E276" s="417" t="s">
        <v>520</v>
      </c>
      <c r="F276" s="418">
        <v>41942</v>
      </c>
      <c r="G276" s="381">
        <f t="shared" si="8"/>
        <v>2014</v>
      </c>
      <c r="H276" s="381">
        <f t="shared" si="9"/>
        <v>10</v>
      </c>
      <c r="I276" s="419">
        <v>20</v>
      </c>
      <c r="J276" s="419">
        <v>1.726</v>
      </c>
      <c r="K276" s="419">
        <v>0</v>
      </c>
      <c r="L276" s="420">
        <v>1.726</v>
      </c>
      <c r="M276" s="421">
        <v>5901</v>
      </c>
      <c r="N276" s="419">
        <v>2.9000000000000001E-2</v>
      </c>
      <c r="O276" s="419">
        <v>1.7509999999999999</v>
      </c>
      <c r="P276" s="419">
        <v>0</v>
      </c>
    </row>
    <row r="277" spans="4:16">
      <c r="D277" s="374" t="s">
        <v>514</v>
      </c>
      <c r="E277" s="417" t="s">
        <v>520</v>
      </c>
      <c r="F277" s="418">
        <v>41960</v>
      </c>
      <c r="G277" s="381">
        <f t="shared" si="8"/>
        <v>2014</v>
      </c>
      <c r="H277" s="381">
        <f t="shared" si="9"/>
        <v>11</v>
      </c>
      <c r="I277" s="419">
        <v>18</v>
      </c>
      <c r="J277" s="419">
        <v>1.9670000000000001</v>
      </c>
      <c r="K277" s="419">
        <v>0</v>
      </c>
      <c r="L277" s="420">
        <v>1.9670000000000001</v>
      </c>
      <c r="M277" s="421">
        <v>6677</v>
      </c>
      <c r="N277" s="419">
        <v>2.9000000000000001E-2</v>
      </c>
      <c r="O277" s="419">
        <v>1.9810000000000001</v>
      </c>
      <c r="P277" s="419">
        <v>0</v>
      </c>
    </row>
    <row r="278" spans="4:16">
      <c r="D278" s="374" t="s">
        <v>514</v>
      </c>
      <c r="E278" s="417" t="s">
        <v>520</v>
      </c>
      <c r="F278" s="418">
        <v>41974</v>
      </c>
      <c r="G278" s="381">
        <f t="shared" si="8"/>
        <v>2014</v>
      </c>
      <c r="H278" s="381">
        <f t="shared" si="9"/>
        <v>12</v>
      </c>
      <c r="I278" s="419">
        <v>18</v>
      </c>
      <c r="J278" s="419">
        <v>1.994</v>
      </c>
      <c r="K278" s="419">
        <v>0</v>
      </c>
      <c r="L278" s="420">
        <v>1.994</v>
      </c>
      <c r="M278" s="421">
        <v>6850</v>
      </c>
      <c r="N278" s="419">
        <v>2.9000000000000001E-2</v>
      </c>
      <c r="O278" s="419">
        <v>2.0049999999999999</v>
      </c>
      <c r="P278" s="419">
        <v>0</v>
      </c>
    </row>
    <row r="279" spans="4:16">
      <c r="D279" s="374" t="s">
        <v>514</v>
      </c>
      <c r="E279" s="417" t="s">
        <v>520</v>
      </c>
      <c r="F279" s="418">
        <v>42011</v>
      </c>
      <c r="G279" s="381">
        <f t="shared" si="8"/>
        <v>2015</v>
      </c>
      <c r="H279" s="381">
        <f t="shared" si="9"/>
        <v>1</v>
      </c>
      <c r="I279" s="419">
        <v>18</v>
      </c>
      <c r="J279" s="419">
        <v>2.0960000000000001</v>
      </c>
      <c r="K279" s="419">
        <v>0</v>
      </c>
      <c r="L279" s="420">
        <v>2.0960000000000001</v>
      </c>
      <c r="M279" s="421">
        <v>6978</v>
      </c>
      <c r="N279" s="419">
        <v>0.03</v>
      </c>
      <c r="O279" s="419">
        <v>2.1030000000000002</v>
      </c>
      <c r="P279" s="419">
        <v>0</v>
      </c>
    </row>
    <row r="280" spans="4:16">
      <c r="D280" s="374" t="s">
        <v>514</v>
      </c>
      <c r="E280" s="417" t="s">
        <v>520</v>
      </c>
      <c r="F280" s="418">
        <v>42053</v>
      </c>
      <c r="G280" s="381">
        <f t="shared" si="8"/>
        <v>2015</v>
      </c>
      <c r="H280" s="381">
        <f t="shared" si="9"/>
        <v>2</v>
      </c>
      <c r="I280" s="419">
        <v>19</v>
      </c>
      <c r="J280" s="419">
        <v>1.9630000000000001</v>
      </c>
      <c r="K280" s="419">
        <v>0</v>
      </c>
      <c r="L280" s="420">
        <v>1.9630000000000001</v>
      </c>
      <c r="M280" s="421">
        <v>6744</v>
      </c>
      <c r="N280" s="419">
        <v>2.9000000000000001E-2</v>
      </c>
      <c r="O280" s="419">
        <v>1.9950000000000001</v>
      </c>
      <c r="P280" s="419">
        <v>0</v>
      </c>
    </row>
    <row r="281" spans="4:16">
      <c r="D281" s="374" t="s">
        <v>514</v>
      </c>
      <c r="E281" s="417" t="s">
        <v>520</v>
      </c>
      <c r="F281" s="418">
        <v>42067</v>
      </c>
      <c r="G281" s="381">
        <f t="shared" si="8"/>
        <v>2015</v>
      </c>
      <c r="H281" s="381">
        <f t="shared" si="9"/>
        <v>3</v>
      </c>
      <c r="I281" s="419">
        <v>20</v>
      </c>
      <c r="J281" s="419">
        <v>1.804</v>
      </c>
      <c r="K281" s="419">
        <v>0</v>
      </c>
      <c r="L281" s="420">
        <v>1.804</v>
      </c>
      <c r="M281" s="421">
        <v>6470</v>
      </c>
      <c r="N281" s="419">
        <v>2.8000000000000001E-2</v>
      </c>
      <c r="O281" s="419">
        <v>1.835</v>
      </c>
      <c r="P281" s="419">
        <v>0</v>
      </c>
    </row>
    <row r="282" spans="4:16">
      <c r="D282" s="374" t="s">
        <v>514</v>
      </c>
      <c r="E282" s="417" t="s">
        <v>520</v>
      </c>
      <c r="F282" s="418">
        <v>42103</v>
      </c>
      <c r="G282" s="381">
        <f t="shared" si="8"/>
        <v>2015</v>
      </c>
      <c r="H282" s="381">
        <f t="shared" si="9"/>
        <v>4</v>
      </c>
      <c r="I282" s="419">
        <v>12</v>
      </c>
      <c r="J282" s="419">
        <v>1.3939999999999999</v>
      </c>
      <c r="K282" s="419">
        <v>0</v>
      </c>
      <c r="L282" s="420">
        <v>1.3939999999999999</v>
      </c>
      <c r="M282" s="421">
        <v>5914</v>
      </c>
      <c r="N282" s="419">
        <v>2.4E-2</v>
      </c>
      <c r="O282" s="419">
        <v>1.415</v>
      </c>
      <c r="P282" s="419">
        <v>0</v>
      </c>
    </row>
    <row r="283" spans="4:16">
      <c r="D283" s="374" t="s">
        <v>514</v>
      </c>
      <c r="E283" s="417" t="s">
        <v>520</v>
      </c>
      <c r="F283" s="418">
        <v>42152</v>
      </c>
      <c r="G283" s="381">
        <f t="shared" si="8"/>
        <v>2015</v>
      </c>
      <c r="H283" s="381">
        <f t="shared" si="9"/>
        <v>5</v>
      </c>
      <c r="I283" s="419">
        <v>16</v>
      </c>
      <c r="J283" s="419">
        <v>1.649</v>
      </c>
      <c r="K283" s="419">
        <v>0</v>
      </c>
      <c r="L283" s="420">
        <v>1.649</v>
      </c>
      <c r="M283" s="421">
        <v>6837</v>
      </c>
      <c r="N283" s="419">
        <v>2.4E-2</v>
      </c>
      <c r="O283" s="419">
        <v>1.671</v>
      </c>
      <c r="P283" s="419">
        <v>0</v>
      </c>
    </row>
    <row r="284" spans="4:16">
      <c r="D284" s="374" t="s">
        <v>514</v>
      </c>
      <c r="E284" s="417" t="s">
        <v>520</v>
      </c>
      <c r="F284" s="418">
        <v>42164</v>
      </c>
      <c r="G284" s="381">
        <f t="shared" si="8"/>
        <v>2015</v>
      </c>
      <c r="H284" s="381">
        <f t="shared" si="9"/>
        <v>6</v>
      </c>
      <c r="I284" s="419">
        <v>17</v>
      </c>
      <c r="J284" s="419">
        <v>2.5619999999999998</v>
      </c>
      <c r="K284" s="419">
        <v>0</v>
      </c>
      <c r="L284" s="420">
        <v>2.5619999999999998</v>
      </c>
      <c r="M284" s="421">
        <v>8136</v>
      </c>
      <c r="N284" s="419">
        <v>3.1E-2</v>
      </c>
      <c r="O284" s="419">
        <v>2.5950000000000002</v>
      </c>
      <c r="P284" s="419">
        <v>0</v>
      </c>
    </row>
    <row r="285" spans="4:16">
      <c r="D285" s="374" t="s">
        <v>514</v>
      </c>
      <c r="E285" s="417" t="s">
        <v>520</v>
      </c>
      <c r="F285" s="418">
        <v>42212</v>
      </c>
      <c r="G285" s="381">
        <f t="shared" si="8"/>
        <v>2015</v>
      </c>
      <c r="H285" s="381">
        <f t="shared" si="9"/>
        <v>7</v>
      </c>
      <c r="I285" s="419">
        <v>17</v>
      </c>
      <c r="J285" s="419">
        <v>2.6629999999999998</v>
      </c>
      <c r="K285" s="419">
        <v>0</v>
      </c>
      <c r="L285" s="420">
        <v>2.6629999999999998</v>
      </c>
      <c r="M285" s="421">
        <v>8769</v>
      </c>
      <c r="N285" s="419">
        <v>0.03</v>
      </c>
      <c r="O285" s="419">
        <v>2.702</v>
      </c>
      <c r="P285" s="419">
        <v>0</v>
      </c>
    </row>
    <row r="286" spans="4:16">
      <c r="D286" s="374" t="s">
        <v>514</v>
      </c>
      <c r="E286" s="417" t="s">
        <v>520</v>
      </c>
      <c r="F286" s="418">
        <v>42230</v>
      </c>
      <c r="G286" s="381">
        <f t="shared" si="8"/>
        <v>2015</v>
      </c>
      <c r="H286" s="381">
        <f t="shared" si="9"/>
        <v>8</v>
      </c>
      <c r="I286" s="419">
        <v>16</v>
      </c>
      <c r="J286" s="419">
        <v>2.9359999999999999</v>
      </c>
      <c r="K286" s="419">
        <v>0</v>
      </c>
      <c r="L286" s="420">
        <v>2.9359999999999999</v>
      </c>
      <c r="M286" s="421">
        <v>8926</v>
      </c>
      <c r="N286" s="419">
        <v>3.3000000000000002E-2</v>
      </c>
      <c r="O286" s="419">
        <v>2.9809999999999999</v>
      </c>
      <c r="P286" s="419">
        <v>0</v>
      </c>
    </row>
    <row r="287" spans="4:16">
      <c r="D287" s="374" t="s">
        <v>514</v>
      </c>
      <c r="E287" s="417" t="s">
        <v>520</v>
      </c>
      <c r="F287" s="418">
        <v>42250</v>
      </c>
      <c r="G287" s="381">
        <f t="shared" si="8"/>
        <v>2015</v>
      </c>
      <c r="H287" s="381">
        <f t="shared" si="9"/>
        <v>9</v>
      </c>
      <c r="I287" s="419">
        <v>17</v>
      </c>
      <c r="J287" s="419">
        <v>2.48</v>
      </c>
      <c r="K287" s="419">
        <v>0</v>
      </c>
      <c r="L287" s="420">
        <v>2.48</v>
      </c>
      <c r="M287" s="421">
        <v>8657</v>
      </c>
      <c r="N287" s="419">
        <v>2.9000000000000001E-2</v>
      </c>
      <c r="O287" s="419">
        <v>3.109</v>
      </c>
      <c r="P287" s="419">
        <v>0</v>
      </c>
    </row>
    <row r="288" spans="4:16">
      <c r="D288" s="374" t="s">
        <v>514</v>
      </c>
      <c r="E288" s="417" t="s">
        <v>520</v>
      </c>
      <c r="F288" s="418">
        <v>42285</v>
      </c>
      <c r="G288" s="381">
        <f t="shared" si="8"/>
        <v>2015</v>
      </c>
      <c r="H288" s="381">
        <f t="shared" si="9"/>
        <v>10</v>
      </c>
      <c r="I288" s="419">
        <v>12</v>
      </c>
      <c r="J288" s="419">
        <v>1.3240000000000001</v>
      </c>
      <c r="K288" s="419">
        <v>0</v>
      </c>
      <c r="L288" s="420">
        <v>1.3240000000000001</v>
      </c>
      <c r="M288" s="421">
        <v>5943</v>
      </c>
      <c r="N288" s="419">
        <v>2.1999999999999999E-2</v>
      </c>
      <c r="O288" s="419">
        <v>1.3420000000000001</v>
      </c>
      <c r="P288" s="419">
        <v>0</v>
      </c>
    </row>
    <row r="289" spans="4:16">
      <c r="D289" s="168" t="s">
        <v>514</v>
      </c>
      <c r="E289" s="422" t="s">
        <v>520</v>
      </c>
      <c r="F289" s="423">
        <v>42338</v>
      </c>
      <c r="G289" s="389">
        <f t="shared" si="8"/>
        <v>2015</v>
      </c>
      <c r="H289" s="389">
        <f t="shared" si="9"/>
        <v>11</v>
      </c>
      <c r="I289" s="424">
        <v>18</v>
      </c>
      <c r="J289" s="424">
        <v>1.907</v>
      </c>
      <c r="K289" s="424">
        <v>0</v>
      </c>
      <c r="L289" s="425">
        <v>1.907</v>
      </c>
      <c r="M289" s="426">
        <v>6574</v>
      </c>
      <c r="N289" s="424">
        <v>2.9000000000000001E-2</v>
      </c>
      <c r="O289" s="424">
        <v>1.9350000000000001</v>
      </c>
      <c r="P289" s="424">
        <v>0</v>
      </c>
    </row>
    <row r="290" spans="4:16">
      <c r="D290" s="374" t="s">
        <v>514</v>
      </c>
      <c r="E290" s="374" t="s">
        <v>520</v>
      </c>
      <c r="F290" s="427">
        <v>42355</v>
      </c>
      <c r="G290" s="390">
        <f t="shared" si="8"/>
        <v>2015</v>
      </c>
      <c r="H290" s="390">
        <f t="shared" si="9"/>
        <v>12</v>
      </c>
      <c r="I290" s="374">
        <v>18</v>
      </c>
      <c r="J290" s="374">
        <v>1.883</v>
      </c>
      <c r="K290" s="374">
        <v>0</v>
      </c>
      <c r="L290" s="428">
        <v>1.883</v>
      </c>
      <c r="M290" s="429">
        <v>6450</v>
      </c>
      <c r="N290" s="374">
        <v>2.9000000000000001E-2</v>
      </c>
      <c r="O290" s="374">
        <v>1.9119999999999999</v>
      </c>
      <c r="P290" s="374">
        <v>0</v>
      </c>
    </row>
    <row r="291" spans="4:16">
      <c r="D291" s="374" t="s">
        <v>514</v>
      </c>
      <c r="E291" s="430" t="s">
        <v>521</v>
      </c>
      <c r="F291" s="431">
        <v>40927</v>
      </c>
      <c r="G291" s="390">
        <f t="shared" si="8"/>
        <v>2012</v>
      </c>
      <c r="H291" s="390">
        <f t="shared" si="9"/>
        <v>1</v>
      </c>
      <c r="I291" s="430">
        <v>19</v>
      </c>
      <c r="J291" s="430">
        <v>5.4589999999999996</v>
      </c>
      <c r="K291" s="430">
        <v>0</v>
      </c>
      <c r="L291" s="432">
        <v>5.4589999999999996</v>
      </c>
      <c r="M291" s="430">
        <v>6604</v>
      </c>
      <c r="N291" s="433">
        <v>8.0000000000000004E-4</v>
      </c>
      <c r="O291" s="430">
        <v>5.5469999999999997</v>
      </c>
      <c r="P291" s="430">
        <v>0</v>
      </c>
    </row>
    <row r="292" spans="4:16">
      <c r="D292" s="374" t="s">
        <v>514</v>
      </c>
      <c r="E292" s="430" t="s">
        <v>521</v>
      </c>
      <c r="F292" s="431">
        <v>40967</v>
      </c>
      <c r="G292" s="390">
        <f t="shared" si="8"/>
        <v>2012</v>
      </c>
      <c r="H292" s="390">
        <f t="shared" si="9"/>
        <v>2</v>
      </c>
      <c r="I292" s="430">
        <v>19</v>
      </c>
      <c r="J292" s="430">
        <v>5.0599999999999996</v>
      </c>
      <c r="K292" s="430">
        <v>0</v>
      </c>
      <c r="L292" s="432">
        <v>5.0599999999999996</v>
      </c>
      <c r="M292" s="430">
        <v>6178</v>
      </c>
      <c r="N292" s="433">
        <v>8.0000000000000004E-4</v>
      </c>
      <c r="O292" s="430">
        <v>5.1180000000000003</v>
      </c>
      <c r="P292" s="430">
        <v>0</v>
      </c>
    </row>
    <row r="293" spans="4:16">
      <c r="D293" s="374" t="s">
        <v>514</v>
      </c>
      <c r="E293" s="430" t="s">
        <v>521</v>
      </c>
      <c r="F293" s="431">
        <v>40987</v>
      </c>
      <c r="G293" s="390">
        <f t="shared" si="8"/>
        <v>2012</v>
      </c>
      <c r="H293" s="390">
        <f t="shared" si="9"/>
        <v>3</v>
      </c>
      <c r="I293" s="430">
        <v>14</v>
      </c>
      <c r="J293" s="430">
        <v>4.117</v>
      </c>
      <c r="K293" s="430">
        <v>0</v>
      </c>
      <c r="L293" s="432">
        <v>4.117</v>
      </c>
      <c r="M293" s="430">
        <v>6170</v>
      </c>
      <c r="N293" s="433">
        <v>6.9999999999999999E-4</v>
      </c>
      <c r="O293" s="430">
        <v>4.1520000000000001</v>
      </c>
      <c r="P293" s="430">
        <v>0</v>
      </c>
    </row>
    <row r="294" spans="4:16">
      <c r="D294" s="374" t="s">
        <v>514</v>
      </c>
      <c r="E294" s="430" t="s">
        <v>521</v>
      </c>
      <c r="F294" s="431">
        <v>41024</v>
      </c>
      <c r="G294" s="390">
        <f t="shared" si="8"/>
        <v>2012</v>
      </c>
      <c r="H294" s="390">
        <f t="shared" si="9"/>
        <v>4</v>
      </c>
      <c r="I294" s="430">
        <v>15</v>
      </c>
      <c r="J294" s="430">
        <v>3.9140000000000001</v>
      </c>
      <c r="K294" s="430">
        <v>0</v>
      </c>
      <c r="L294" s="432">
        <v>3.9140000000000001</v>
      </c>
      <c r="M294" s="430">
        <v>5813</v>
      </c>
      <c r="N294" s="433">
        <v>6.9999999999999999E-4</v>
      </c>
      <c r="O294" s="430">
        <v>3.9569999999999999</v>
      </c>
      <c r="P294" s="430">
        <v>0</v>
      </c>
    </row>
    <row r="295" spans="4:16">
      <c r="D295" s="374" t="s">
        <v>514</v>
      </c>
      <c r="E295" s="430" t="s">
        <v>521</v>
      </c>
      <c r="F295" s="431">
        <v>41047</v>
      </c>
      <c r="G295" s="390">
        <f t="shared" si="8"/>
        <v>2012</v>
      </c>
      <c r="H295" s="390">
        <f t="shared" si="9"/>
        <v>5</v>
      </c>
      <c r="I295" s="430">
        <v>17</v>
      </c>
      <c r="J295" s="430">
        <v>5.7140000000000004</v>
      </c>
      <c r="K295" s="430">
        <v>0</v>
      </c>
      <c r="L295" s="432">
        <v>5.7140000000000004</v>
      </c>
      <c r="M295" s="430">
        <v>7203</v>
      </c>
      <c r="N295" s="433">
        <v>8.0000000000000004E-4</v>
      </c>
      <c r="O295" s="430">
        <v>5.76</v>
      </c>
      <c r="P295" s="430">
        <v>0</v>
      </c>
    </row>
    <row r="296" spans="4:16">
      <c r="D296" s="374" t="s">
        <v>514</v>
      </c>
      <c r="E296" s="430" t="s">
        <v>521</v>
      </c>
      <c r="F296" s="431">
        <v>41087</v>
      </c>
      <c r="G296" s="390">
        <f t="shared" si="8"/>
        <v>2012</v>
      </c>
      <c r="H296" s="390">
        <f t="shared" si="9"/>
        <v>6</v>
      </c>
      <c r="I296" s="430">
        <v>17</v>
      </c>
      <c r="J296" s="430">
        <v>8.766</v>
      </c>
      <c r="K296" s="430">
        <v>0</v>
      </c>
      <c r="L296" s="432">
        <v>8.766</v>
      </c>
      <c r="M296" s="430">
        <v>8833</v>
      </c>
      <c r="N296" s="433">
        <v>1E-3</v>
      </c>
      <c r="O296" s="430">
        <v>8.8659999999999997</v>
      </c>
      <c r="P296" s="430">
        <v>0</v>
      </c>
    </row>
    <row r="297" spans="4:16">
      <c r="D297" s="374" t="s">
        <v>514</v>
      </c>
      <c r="E297" s="430" t="s">
        <v>521</v>
      </c>
      <c r="F297" s="431">
        <v>41092</v>
      </c>
      <c r="G297" s="390">
        <f t="shared" si="8"/>
        <v>2012</v>
      </c>
      <c r="H297" s="390">
        <f t="shared" si="9"/>
        <v>7</v>
      </c>
      <c r="I297" s="430">
        <v>17</v>
      </c>
      <c r="J297" s="430">
        <v>9.3569999999999993</v>
      </c>
      <c r="K297" s="430">
        <v>0</v>
      </c>
      <c r="L297" s="432">
        <v>9.3569999999999993</v>
      </c>
      <c r="M297" s="430">
        <v>9682</v>
      </c>
      <c r="N297" s="433">
        <v>1E-3</v>
      </c>
      <c r="O297" s="430">
        <v>9.4459999999999997</v>
      </c>
      <c r="P297" s="430">
        <v>0</v>
      </c>
    </row>
    <row r="298" spans="4:16">
      <c r="D298" s="374" t="s">
        <v>514</v>
      </c>
      <c r="E298" s="430" t="s">
        <v>521</v>
      </c>
      <c r="F298" s="431">
        <v>41122</v>
      </c>
      <c r="G298" s="390">
        <f t="shared" si="8"/>
        <v>2012</v>
      </c>
      <c r="H298" s="390">
        <f t="shared" si="9"/>
        <v>8</v>
      </c>
      <c r="I298" s="430">
        <v>17</v>
      </c>
      <c r="J298" s="430">
        <v>8.5210000000000008</v>
      </c>
      <c r="K298" s="430">
        <v>0</v>
      </c>
      <c r="L298" s="432">
        <v>8.5210000000000008</v>
      </c>
      <c r="M298" s="430">
        <v>8979</v>
      </c>
      <c r="N298" s="433">
        <v>8.9999999999999998E-4</v>
      </c>
      <c r="O298" s="430">
        <v>8.6029999999999998</v>
      </c>
      <c r="P298" s="430">
        <v>0</v>
      </c>
    </row>
    <row r="299" spans="4:16">
      <c r="D299" s="374" t="s">
        <v>514</v>
      </c>
      <c r="E299" s="430" t="s">
        <v>521</v>
      </c>
      <c r="F299" s="431">
        <v>41156</v>
      </c>
      <c r="G299" s="390">
        <f t="shared" si="8"/>
        <v>2012</v>
      </c>
      <c r="H299" s="390">
        <f t="shared" si="9"/>
        <v>9</v>
      </c>
      <c r="I299" s="430">
        <v>16</v>
      </c>
      <c r="J299" s="430">
        <v>8.1349999999999998</v>
      </c>
      <c r="K299" s="430">
        <v>0</v>
      </c>
      <c r="L299" s="432">
        <v>8.1349999999999998</v>
      </c>
      <c r="M299" s="430">
        <v>8521</v>
      </c>
      <c r="N299" s="433">
        <v>1E-3</v>
      </c>
      <c r="O299" s="430">
        <v>8.2560000000000002</v>
      </c>
      <c r="P299" s="430">
        <v>0</v>
      </c>
    </row>
    <row r="300" spans="4:16">
      <c r="D300" s="374" t="s">
        <v>514</v>
      </c>
      <c r="E300" s="430" t="s">
        <v>521</v>
      </c>
      <c r="F300" s="431">
        <v>41185</v>
      </c>
      <c r="G300" s="390">
        <f t="shared" si="8"/>
        <v>2012</v>
      </c>
      <c r="H300" s="390">
        <f t="shared" si="9"/>
        <v>10</v>
      </c>
      <c r="I300" s="430">
        <v>14</v>
      </c>
      <c r="J300" s="430">
        <v>4.0270000000000001</v>
      </c>
      <c r="K300" s="430">
        <v>0</v>
      </c>
      <c r="L300" s="432">
        <v>4.0270000000000001</v>
      </c>
      <c r="M300" s="430">
        <v>6122</v>
      </c>
      <c r="N300" s="433">
        <v>6.9999999999999999E-4</v>
      </c>
      <c r="O300" s="430">
        <v>4.0590000000000002</v>
      </c>
      <c r="P300" s="430">
        <v>0</v>
      </c>
    </row>
    <row r="301" spans="4:16">
      <c r="D301" s="374" t="s">
        <v>514</v>
      </c>
      <c r="E301" s="430" t="s">
        <v>521</v>
      </c>
      <c r="F301" s="431">
        <v>41239</v>
      </c>
      <c r="G301" s="390">
        <f t="shared" si="8"/>
        <v>2012</v>
      </c>
      <c r="H301" s="390">
        <f t="shared" si="9"/>
        <v>11</v>
      </c>
      <c r="I301" s="430">
        <v>18</v>
      </c>
      <c r="J301" s="430">
        <v>5.2889999999999997</v>
      </c>
      <c r="K301" s="430">
        <v>0</v>
      </c>
      <c r="L301" s="432">
        <v>5.2889999999999997</v>
      </c>
      <c r="M301" s="430">
        <v>6416</v>
      </c>
      <c r="N301" s="433">
        <v>8.0000000000000004E-4</v>
      </c>
      <c r="O301" s="430">
        <v>5.407</v>
      </c>
      <c r="P301" s="430">
        <v>0</v>
      </c>
    </row>
    <row r="302" spans="4:16">
      <c r="D302" s="374" t="s">
        <v>514</v>
      </c>
      <c r="E302" s="430" t="s">
        <v>521</v>
      </c>
      <c r="F302" s="431">
        <v>41253</v>
      </c>
      <c r="G302" s="390">
        <f t="shared" si="8"/>
        <v>2012</v>
      </c>
      <c r="H302" s="390">
        <f t="shared" si="9"/>
        <v>12</v>
      </c>
      <c r="I302" s="430">
        <v>18</v>
      </c>
      <c r="J302" s="430">
        <v>5.4589999999999996</v>
      </c>
      <c r="K302" s="430">
        <v>0</v>
      </c>
      <c r="L302" s="432">
        <v>5.4589999999999996</v>
      </c>
      <c r="M302" s="430">
        <v>6609</v>
      </c>
      <c r="N302" s="433">
        <v>8.0000000000000004E-4</v>
      </c>
      <c r="O302" s="430">
        <v>5.56</v>
      </c>
      <c r="P302" s="430">
        <v>0</v>
      </c>
    </row>
    <row r="303" spans="4:16">
      <c r="D303" s="374" t="s">
        <v>514</v>
      </c>
      <c r="E303" s="430" t="s">
        <v>521</v>
      </c>
      <c r="F303" s="431">
        <v>41295</v>
      </c>
      <c r="G303" s="390">
        <f t="shared" si="8"/>
        <v>2013</v>
      </c>
      <c r="H303" s="390">
        <f t="shared" si="9"/>
        <v>1</v>
      </c>
      <c r="I303" s="430">
        <v>19</v>
      </c>
      <c r="J303" s="430">
        <v>5.8559999999999999</v>
      </c>
      <c r="K303" s="430">
        <v>0</v>
      </c>
      <c r="L303" s="432">
        <v>5.8559999999999999</v>
      </c>
      <c r="M303" s="430">
        <v>6846</v>
      </c>
      <c r="N303" s="433">
        <v>8.9999999999999998E-4</v>
      </c>
      <c r="O303" s="430">
        <v>5.9569999999999999</v>
      </c>
      <c r="P303" s="430">
        <v>0</v>
      </c>
    </row>
    <row r="304" spans="4:16">
      <c r="D304" s="374" t="s">
        <v>514</v>
      </c>
      <c r="E304" s="430" t="s">
        <v>521</v>
      </c>
      <c r="F304" s="431">
        <v>41324</v>
      </c>
      <c r="G304" s="390">
        <f t="shared" si="8"/>
        <v>2013</v>
      </c>
      <c r="H304" s="390">
        <f t="shared" si="9"/>
        <v>2</v>
      </c>
      <c r="I304" s="430">
        <v>19</v>
      </c>
      <c r="J304" s="430">
        <v>5.4690000000000003</v>
      </c>
      <c r="K304" s="430">
        <v>0</v>
      </c>
      <c r="L304" s="432">
        <v>5.4690000000000003</v>
      </c>
      <c r="M304" s="430">
        <v>6511</v>
      </c>
      <c r="N304" s="433">
        <v>8.0000000000000004E-4</v>
      </c>
      <c r="O304" s="430">
        <v>5.5750000000000002</v>
      </c>
      <c r="P304" s="430">
        <v>0</v>
      </c>
    </row>
    <row r="305" spans="4:16">
      <c r="D305" s="374" t="s">
        <v>514</v>
      </c>
      <c r="E305" s="430" t="s">
        <v>521</v>
      </c>
      <c r="F305" s="431">
        <v>41337</v>
      </c>
      <c r="G305" s="390">
        <f t="shared" si="8"/>
        <v>2013</v>
      </c>
      <c r="H305" s="390">
        <f t="shared" si="9"/>
        <v>3</v>
      </c>
      <c r="I305" s="430">
        <v>19</v>
      </c>
      <c r="J305" s="430">
        <v>4.9210000000000003</v>
      </c>
      <c r="K305" s="430">
        <v>0</v>
      </c>
      <c r="L305" s="432">
        <v>4.9210000000000003</v>
      </c>
      <c r="M305" s="430">
        <v>6172</v>
      </c>
      <c r="N305" s="433">
        <v>8.0000000000000004E-4</v>
      </c>
      <c r="O305" s="430">
        <v>5.024</v>
      </c>
      <c r="P305" s="430">
        <v>0</v>
      </c>
    </row>
    <row r="306" spans="4:16">
      <c r="D306" s="374" t="s">
        <v>514</v>
      </c>
      <c r="E306" s="430" t="s">
        <v>521</v>
      </c>
      <c r="F306" s="431">
        <v>41382</v>
      </c>
      <c r="G306" s="390">
        <f t="shared" si="8"/>
        <v>2013</v>
      </c>
      <c r="H306" s="390">
        <f t="shared" si="9"/>
        <v>4</v>
      </c>
      <c r="I306" s="430">
        <v>12</v>
      </c>
      <c r="J306" s="430">
        <v>4.0140000000000002</v>
      </c>
      <c r="K306" s="430">
        <v>0</v>
      </c>
      <c r="L306" s="432">
        <v>4.0140000000000002</v>
      </c>
      <c r="M306" s="430">
        <v>5851</v>
      </c>
      <c r="N306" s="433">
        <v>6.9999999999999999E-4</v>
      </c>
      <c r="O306" s="430">
        <v>4.0810000000000004</v>
      </c>
      <c r="P306" s="430">
        <v>0</v>
      </c>
    </row>
    <row r="307" spans="4:16">
      <c r="D307" s="374" t="s">
        <v>514</v>
      </c>
      <c r="E307" s="430" t="s">
        <v>521</v>
      </c>
      <c r="F307" s="431">
        <v>41408</v>
      </c>
      <c r="G307" s="390">
        <f t="shared" si="8"/>
        <v>2013</v>
      </c>
      <c r="H307" s="390">
        <f t="shared" si="9"/>
        <v>5</v>
      </c>
      <c r="I307" s="430">
        <v>17</v>
      </c>
      <c r="J307" s="430">
        <v>4.8659999999999997</v>
      </c>
      <c r="K307" s="430">
        <v>0</v>
      </c>
      <c r="L307" s="432">
        <v>4.8659999999999997</v>
      </c>
      <c r="M307" s="430">
        <v>6516</v>
      </c>
      <c r="N307" s="433">
        <v>6.9999999999999999E-4</v>
      </c>
      <c r="O307" s="430">
        <v>4.9279999999999999</v>
      </c>
      <c r="P307" s="430">
        <v>0</v>
      </c>
    </row>
    <row r="308" spans="4:16">
      <c r="D308" s="374" t="s">
        <v>514</v>
      </c>
      <c r="E308" s="430" t="s">
        <v>521</v>
      </c>
      <c r="F308" s="431">
        <v>41451</v>
      </c>
      <c r="G308" s="390">
        <f t="shared" si="8"/>
        <v>2013</v>
      </c>
      <c r="H308" s="390">
        <f t="shared" si="9"/>
        <v>6</v>
      </c>
      <c r="I308" s="430">
        <v>16</v>
      </c>
      <c r="J308" s="430">
        <v>4.9870000000000001</v>
      </c>
      <c r="K308" s="430">
        <v>0</v>
      </c>
      <c r="L308" s="432">
        <v>4.9870000000000001</v>
      </c>
      <c r="M308" s="430">
        <v>8280</v>
      </c>
      <c r="N308" s="433">
        <v>5.9999999999999995E-4</v>
      </c>
      <c r="O308" s="430">
        <v>7.0010000000000003</v>
      </c>
      <c r="P308" s="430">
        <v>0</v>
      </c>
    </row>
    <row r="309" spans="4:16">
      <c r="D309" s="374" t="s">
        <v>514</v>
      </c>
      <c r="E309" s="430" t="s">
        <v>521</v>
      </c>
      <c r="F309" s="431">
        <v>41473</v>
      </c>
      <c r="G309" s="390">
        <f t="shared" si="8"/>
        <v>2013</v>
      </c>
      <c r="H309" s="390">
        <f t="shared" si="9"/>
        <v>7</v>
      </c>
      <c r="I309" s="430">
        <v>17</v>
      </c>
      <c r="J309" s="430">
        <v>4.6420000000000003</v>
      </c>
      <c r="K309" s="430">
        <v>0</v>
      </c>
      <c r="L309" s="432">
        <v>4.6420000000000003</v>
      </c>
      <c r="M309" s="430">
        <v>9566</v>
      </c>
      <c r="N309" s="433">
        <v>5.0000000000000001E-4</v>
      </c>
      <c r="O309" s="430">
        <v>9.24</v>
      </c>
      <c r="P309" s="430">
        <v>0</v>
      </c>
    </row>
    <row r="310" spans="4:16">
      <c r="D310" s="374" t="s">
        <v>514</v>
      </c>
      <c r="E310" s="430" t="s">
        <v>521</v>
      </c>
      <c r="F310" s="431">
        <v>41512</v>
      </c>
      <c r="G310" s="390">
        <f t="shared" si="8"/>
        <v>2013</v>
      </c>
      <c r="H310" s="390">
        <f t="shared" si="9"/>
        <v>8</v>
      </c>
      <c r="I310" s="430">
        <v>17</v>
      </c>
      <c r="J310" s="430">
        <v>9.2859999999999996</v>
      </c>
      <c r="K310" s="430">
        <v>0</v>
      </c>
      <c r="L310" s="432">
        <v>9.2859999999999996</v>
      </c>
      <c r="M310" s="430">
        <v>9821</v>
      </c>
      <c r="N310" s="433">
        <v>8.9999999999999998E-4</v>
      </c>
      <c r="O310" s="430">
        <v>9.3689999999999998</v>
      </c>
      <c r="P310" s="430">
        <v>0</v>
      </c>
    </row>
    <row r="311" spans="4:16">
      <c r="D311" s="374" t="s">
        <v>514</v>
      </c>
      <c r="E311" s="430" t="s">
        <v>521</v>
      </c>
      <c r="F311" s="431">
        <v>41526</v>
      </c>
      <c r="G311" s="390">
        <f t="shared" si="8"/>
        <v>2013</v>
      </c>
      <c r="H311" s="390">
        <f t="shared" si="9"/>
        <v>9</v>
      </c>
      <c r="I311" s="430">
        <v>17</v>
      </c>
      <c r="J311" s="430">
        <v>8.6739999999999995</v>
      </c>
      <c r="K311" s="430">
        <v>0</v>
      </c>
      <c r="L311" s="432">
        <v>8.6739999999999995</v>
      </c>
      <c r="M311" s="430">
        <v>8781</v>
      </c>
      <c r="N311" s="433">
        <v>1E-3</v>
      </c>
      <c r="O311" s="430">
        <v>8.766</v>
      </c>
      <c r="P311" s="430">
        <v>0</v>
      </c>
    </row>
    <row r="312" spans="4:16">
      <c r="D312" s="374" t="s">
        <v>514</v>
      </c>
      <c r="E312" s="430" t="s">
        <v>521</v>
      </c>
      <c r="F312" s="431">
        <v>41548</v>
      </c>
      <c r="G312" s="390">
        <f t="shared" si="8"/>
        <v>2013</v>
      </c>
      <c r="H312" s="390">
        <f t="shared" si="9"/>
        <v>10</v>
      </c>
      <c r="I312" s="430">
        <v>14</v>
      </c>
      <c r="J312" s="430">
        <v>4.1669999999999998</v>
      </c>
      <c r="K312" s="430">
        <v>0</v>
      </c>
      <c r="L312" s="432">
        <v>4.1669999999999998</v>
      </c>
      <c r="M312" s="430">
        <v>6214</v>
      </c>
      <c r="N312" s="433">
        <v>6.9999999999999999E-4</v>
      </c>
      <c r="O312" s="430">
        <v>4.4009999999999998</v>
      </c>
      <c r="P312" s="430">
        <v>0</v>
      </c>
    </row>
    <row r="313" spans="4:16">
      <c r="D313" s="374" t="s">
        <v>514</v>
      </c>
      <c r="E313" s="430" t="s">
        <v>521</v>
      </c>
      <c r="F313" s="431">
        <v>41604</v>
      </c>
      <c r="G313" s="390">
        <f t="shared" si="8"/>
        <v>2013</v>
      </c>
      <c r="H313" s="390">
        <f t="shared" si="9"/>
        <v>11</v>
      </c>
      <c r="I313" s="430">
        <v>18</v>
      </c>
      <c r="J313" s="430">
        <v>5.1920000000000002</v>
      </c>
      <c r="K313" s="430">
        <v>0</v>
      </c>
      <c r="L313" s="432">
        <v>5.1920000000000002</v>
      </c>
      <c r="M313" s="430">
        <v>6372</v>
      </c>
      <c r="N313" s="433">
        <v>8.0000000000000004E-4</v>
      </c>
      <c r="O313" s="430">
        <v>5.2779999999999996</v>
      </c>
      <c r="P313" s="430">
        <v>0</v>
      </c>
    </row>
    <row r="314" spans="4:16">
      <c r="D314" s="374" t="s">
        <v>514</v>
      </c>
      <c r="E314" s="430" t="s">
        <v>521</v>
      </c>
      <c r="F314" s="431">
        <v>41619</v>
      </c>
      <c r="G314" s="390">
        <f t="shared" si="8"/>
        <v>2013</v>
      </c>
      <c r="H314" s="390">
        <f t="shared" si="9"/>
        <v>12</v>
      </c>
      <c r="I314" s="430">
        <v>18</v>
      </c>
      <c r="J314" s="430">
        <v>5.6970000000000001</v>
      </c>
      <c r="K314" s="430">
        <v>0</v>
      </c>
      <c r="L314" s="432">
        <v>5.6970000000000001</v>
      </c>
      <c r="M314" s="430">
        <v>6972</v>
      </c>
      <c r="N314" s="433">
        <v>8.0000000000000004E-4</v>
      </c>
      <c r="O314" s="430">
        <v>5.7990000000000004</v>
      </c>
      <c r="P314" s="430">
        <v>0</v>
      </c>
    </row>
    <row r="315" spans="4:16">
      <c r="D315" s="374" t="s">
        <v>514</v>
      </c>
      <c r="E315" s="374" t="s">
        <v>521</v>
      </c>
      <c r="F315" s="427">
        <v>41645</v>
      </c>
      <c r="G315" s="390">
        <f t="shared" si="8"/>
        <v>2014</v>
      </c>
      <c r="H315" s="390">
        <f t="shared" si="9"/>
        <v>1</v>
      </c>
      <c r="I315" s="374">
        <v>18</v>
      </c>
      <c r="J315" s="374">
        <v>6.1189999999999998</v>
      </c>
      <c r="K315" s="374">
        <v>0</v>
      </c>
      <c r="L315" s="428">
        <v>6.1189999999999998</v>
      </c>
      <c r="M315" s="429">
        <v>7188</v>
      </c>
      <c r="N315" s="374">
        <v>8.5000000000000006E-2</v>
      </c>
      <c r="O315" s="374">
        <v>6.24</v>
      </c>
      <c r="P315" s="374">
        <v>0</v>
      </c>
    </row>
    <row r="316" spans="4:16">
      <c r="D316" s="374" t="s">
        <v>514</v>
      </c>
      <c r="E316" s="374" t="s">
        <v>521</v>
      </c>
      <c r="F316" s="427">
        <v>41676</v>
      </c>
      <c r="G316" s="390">
        <f t="shared" si="8"/>
        <v>2014</v>
      </c>
      <c r="H316" s="390">
        <f t="shared" si="9"/>
        <v>2</v>
      </c>
      <c r="I316" s="374">
        <v>19</v>
      </c>
      <c r="J316" s="374">
        <v>5.4370000000000003</v>
      </c>
      <c r="K316" s="374">
        <v>0</v>
      </c>
      <c r="L316" s="428">
        <v>5.4370000000000003</v>
      </c>
      <c r="M316" s="429">
        <v>6743</v>
      </c>
      <c r="N316" s="374">
        <v>8.1000000000000003E-2</v>
      </c>
      <c r="O316" s="374">
        <v>5.54</v>
      </c>
      <c r="P316" s="374">
        <v>0</v>
      </c>
    </row>
    <row r="317" spans="4:16">
      <c r="D317" s="374" t="s">
        <v>514</v>
      </c>
      <c r="E317" s="374" t="s">
        <v>521</v>
      </c>
      <c r="F317" s="427">
        <v>41701</v>
      </c>
      <c r="G317" s="390">
        <f t="shared" si="8"/>
        <v>2014</v>
      </c>
      <c r="H317" s="390">
        <f t="shared" si="9"/>
        <v>3</v>
      </c>
      <c r="I317" s="374">
        <v>19</v>
      </c>
      <c r="J317" s="374">
        <v>5.3529999999999998</v>
      </c>
      <c r="K317" s="374">
        <v>0</v>
      </c>
      <c r="L317" s="428">
        <v>5.3529999999999998</v>
      </c>
      <c r="M317" s="429">
        <v>6537</v>
      </c>
      <c r="N317" s="374">
        <v>8.2000000000000003E-2</v>
      </c>
      <c r="O317" s="374">
        <v>5.4569999999999999</v>
      </c>
      <c r="P317" s="374">
        <v>0</v>
      </c>
    </row>
    <row r="318" spans="4:16">
      <c r="D318" s="374" t="s">
        <v>514</v>
      </c>
      <c r="E318" s="374" t="s">
        <v>521</v>
      </c>
      <c r="F318" s="427">
        <v>41730</v>
      </c>
      <c r="G318" s="390">
        <f t="shared" si="8"/>
        <v>2014</v>
      </c>
      <c r="H318" s="390">
        <f t="shared" si="9"/>
        <v>4</v>
      </c>
      <c r="I318" s="374">
        <v>11</v>
      </c>
      <c r="J318" s="374">
        <v>4.0419999999999998</v>
      </c>
      <c r="K318" s="374">
        <v>0</v>
      </c>
      <c r="L318" s="428">
        <v>4.0419999999999998</v>
      </c>
      <c r="M318" s="429">
        <v>5924</v>
      </c>
      <c r="N318" s="374">
        <v>6.8000000000000005E-2</v>
      </c>
      <c r="O318" s="374">
        <v>4.1230000000000002</v>
      </c>
      <c r="P318" s="374">
        <v>0</v>
      </c>
    </row>
    <row r="319" spans="4:16">
      <c r="D319" s="374" t="s">
        <v>514</v>
      </c>
      <c r="E319" s="374" t="s">
        <v>521</v>
      </c>
      <c r="F319" s="427">
        <v>41789</v>
      </c>
      <c r="G319" s="390">
        <f t="shared" si="8"/>
        <v>2014</v>
      </c>
      <c r="H319" s="390">
        <f t="shared" si="9"/>
        <v>5</v>
      </c>
      <c r="I319" s="374">
        <v>16</v>
      </c>
      <c r="J319" s="374">
        <v>6.26</v>
      </c>
      <c r="K319" s="374">
        <v>0</v>
      </c>
      <c r="L319" s="428">
        <v>6.26</v>
      </c>
      <c r="M319" s="429">
        <v>7422</v>
      </c>
      <c r="N319" s="374">
        <v>8.4000000000000005E-2</v>
      </c>
      <c r="O319" s="374">
        <v>6.2729999999999997</v>
      </c>
      <c r="P319" s="374">
        <v>0</v>
      </c>
    </row>
    <row r="320" spans="4:16">
      <c r="D320" s="374" t="s">
        <v>514</v>
      </c>
      <c r="E320" s="374" t="s">
        <v>521</v>
      </c>
      <c r="F320" s="427">
        <v>41814</v>
      </c>
      <c r="G320" s="390">
        <f t="shared" si="8"/>
        <v>2014</v>
      </c>
      <c r="H320" s="390">
        <f t="shared" si="9"/>
        <v>6</v>
      </c>
      <c r="I320" s="374">
        <v>16</v>
      </c>
      <c r="J320" s="374">
        <v>6.7590000000000003</v>
      </c>
      <c r="K320" s="374">
        <v>0</v>
      </c>
      <c r="L320" s="428">
        <v>6.7590000000000003</v>
      </c>
      <c r="M320" s="429">
        <v>7670</v>
      </c>
      <c r="N320" s="374">
        <v>8.7999999999999995E-2</v>
      </c>
      <c r="O320" s="374">
        <v>6.83</v>
      </c>
      <c r="P320" s="374">
        <v>0</v>
      </c>
    </row>
    <row r="321" spans="4:16">
      <c r="D321" s="374" t="s">
        <v>514</v>
      </c>
      <c r="E321" s="374" t="s">
        <v>521</v>
      </c>
      <c r="F321" s="427">
        <v>41841</v>
      </c>
      <c r="G321" s="390">
        <f t="shared" si="8"/>
        <v>2014</v>
      </c>
      <c r="H321" s="390">
        <f t="shared" si="9"/>
        <v>7</v>
      </c>
      <c r="I321" s="374">
        <v>17</v>
      </c>
      <c r="J321" s="374">
        <v>8.8849999999999998</v>
      </c>
      <c r="K321" s="374">
        <v>0</v>
      </c>
      <c r="L321" s="428">
        <v>8.8849999999999998</v>
      </c>
      <c r="M321" s="429">
        <v>9150</v>
      </c>
      <c r="N321" s="374">
        <v>9.7000000000000003E-2</v>
      </c>
      <c r="O321" s="374">
        <v>8.9629999999999992</v>
      </c>
      <c r="P321" s="374">
        <v>0</v>
      </c>
    </row>
    <row r="322" spans="4:16">
      <c r="D322" s="374" t="s">
        <v>514</v>
      </c>
      <c r="E322" s="374" t="s">
        <v>521</v>
      </c>
      <c r="F322" s="427">
        <v>41869</v>
      </c>
      <c r="G322" s="390">
        <f t="shared" si="8"/>
        <v>2014</v>
      </c>
      <c r="H322" s="390">
        <f t="shared" si="9"/>
        <v>8</v>
      </c>
      <c r="I322" s="374">
        <v>16</v>
      </c>
      <c r="J322" s="374">
        <v>7.9710000000000001</v>
      </c>
      <c r="K322" s="374">
        <v>0</v>
      </c>
      <c r="L322" s="428">
        <v>7.9710000000000001</v>
      </c>
      <c r="M322" s="429">
        <v>8190</v>
      </c>
      <c r="N322" s="374">
        <v>9.7000000000000003E-2</v>
      </c>
      <c r="O322" s="374">
        <v>8.1010000000000009</v>
      </c>
      <c r="P322" s="374">
        <v>0</v>
      </c>
    </row>
    <row r="323" spans="4:16">
      <c r="D323" s="374" t="s">
        <v>514</v>
      </c>
      <c r="E323" s="374" t="s">
        <v>521</v>
      </c>
      <c r="F323" s="427">
        <v>41886</v>
      </c>
      <c r="G323" s="390">
        <f t="shared" ref="G323:G386" si="10">YEAR(F323)</f>
        <v>2014</v>
      </c>
      <c r="H323" s="390">
        <f t="shared" ref="H323:H386" si="11">MONTH(F323)</f>
        <v>9</v>
      </c>
      <c r="I323" s="374">
        <v>15</v>
      </c>
      <c r="J323" s="374">
        <v>7.1289999999999996</v>
      </c>
      <c r="K323" s="374">
        <v>0</v>
      </c>
      <c r="L323" s="428">
        <v>7.1289999999999996</v>
      </c>
      <c r="M323" s="429">
        <v>7758</v>
      </c>
      <c r="N323" s="374">
        <v>9.1999999999999998E-2</v>
      </c>
      <c r="O323" s="374">
        <v>7.1890000000000001</v>
      </c>
      <c r="P323" s="374">
        <v>0</v>
      </c>
    </row>
    <row r="324" spans="4:16">
      <c r="D324" s="374" t="s">
        <v>514</v>
      </c>
      <c r="E324" s="374" t="s">
        <v>521</v>
      </c>
      <c r="F324" s="427">
        <v>41942</v>
      </c>
      <c r="G324" s="390">
        <f t="shared" si="10"/>
        <v>2014</v>
      </c>
      <c r="H324" s="390">
        <f t="shared" si="11"/>
        <v>10</v>
      </c>
      <c r="I324" s="374">
        <v>20</v>
      </c>
      <c r="J324" s="374">
        <v>4.5869999999999997</v>
      </c>
      <c r="K324" s="374">
        <v>0</v>
      </c>
      <c r="L324" s="428">
        <v>4.5869999999999997</v>
      </c>
      <c r="M324" s="429">
        <v>5901</v>
      </c>
      <c r="N324" s="374">
        <v>7.8E-2</v>
      </c>
      <c r="O324" s="374">
        <v>4.6189999999999998</v>
      </c>
      <c r="P324" s="374">
        <v>0</v>
      </c>
    </row>
    <row r="325" spans="4:16">
      <c r="D325" s="374" t="s">
        <v>514</v>
      </c>
      <c r="E325" s="374" t="s">
        <v>521</v>
      </c>
      <c r="F325" s="427">
        <v>41960</v>
      </c>
      <c r="G325" s="390">
        <f t="shared" si="10"/>
        <v>2014</v>
      </c>
      <c r="H325" s="390">
        <f t="shared" si="11"/>
        <v>11</v>
      </c>
      <c r="I325" s="374">
        <v>18</v>
      </c>
      <c r="J325" s="374">
        <v>6.0030000000000001</v>
      </c>
      <c r="K325" s="374">
        <v>0</v>
      </c>
      <c r="L325" s="428">
        <v>6.0030000000000001</v>
      </c>
      <c r="M325" s="429">
        <v>6677</v>
      </c>
      <c r="N325" s="374">
        <v>0.09</v>
      </c>
      <c r="O325" s="374">
        <v>6.1379999999999999</v>
      </c>
      <c r="P325" s="374">
        <v>0</v>
      </c>
    </row>
    <row r="326" spans="4:16">
      <c r="D326" s="374" t="s">
        <v>514</v>
      </c>
      <c r="E326" s="374" t="s">
        <v>521</v>
      </c>
      <c r="F326" s="427">
        <v>41974</v>
      </c>
      <c r="G326" s="390">
        <f t="shared" si="10"/>
        <v>2014</v>
      </c>
      <c r="H326" s="390">
        <f t="shared" si="11"/>
        <v>12</v>
      </c>
      <c r="I326" s="374">
        <v>18</v>
      </c>
      <c r="J326" s="374">
        <v>5.4530000000000003</v>
      </c>
      <c r="K326" s="374">
        <v>0</v>
      </c>
      <c r="L326" s="428">
        <v>5.4530000000000003</v>
      </c>
      <c r="M326" s="429">
        <v>6850</v>
      </c>
      <c r="N326" s="374">
        <v>0.08</v>
      </c>
      <c r="O326" s="374">
        <v>5.5830000000000002</v>
      </c>
      <c r="P326" s="374">
        <v>0</v>
      </c>
    </row>
    <row r="327" spans="4:16">
      <c r="D327" s="374" t="s">
        <v>514</v>
      </c>
      <c r="E327" s="374" t="s">
        <v>521</v>
      </c>
      <c r="F327" s="427">
        <v>42011</v>
      </c>
      <c r="G327" s="390">
        <f t="shared" si="10"/>
        <v>2015</v>
      </c>
      <c r="H327" s="390">
        <f t="shared" si="11"/>
        <v>1</v>
      </c>
      <c r="I327" s="374">
        <v>18</v>
      </c>
      <c r="J327" s="374">
        <v>5.5979999999999999</v>
      </c>
      <c r="K327" s="374">
        <v>0</v>
      </c>
      <c r="L327" s="428">
        <v>5.5979999999999999</v>
      </c>
      <c r="M327" s="429">
        <v>6978</v>
      </c>
      <c r="N327" s="374">
        <v>0.08</v>
      </c>
      <c r="O327" s="374">
        <v>5.6909999999999998</v>
      </c>
      <c r="P327" s="374">
        <v>0</v>
      </c>
    </row>
    <row r="328" spans="4:16">
      <c r="D328" s="374" t="s">
        <v>514</v>
      </c>
      <c r="E328" s="374" t="s">
        <v>521</v>
      </c>
      <c r="F328" s="427">
        <v>42053</v>
      </c>
      <c r="G328" s="390">
        <f t="shared" si="10"/>
        <v>2015</v>
      </c>
      <c r="H328" s="390">
        <f t="shared" si="11"/>
        <v>2</v>
      </c>
      <c r="I328" s="374">
        <v>19</v>
      </c>
      <c r="J328" s="374">
        <v>5.258</v>
      </c>
      <c r="K328" s="374">
        <v>0</v>
      </c>
      <c r="L328" s="428">
        <v>5.258</v>
      </c>
      <c r="M328" s="429">
        <v>6744</v>
      </c>
      <c r="N328" s="374">
        <v>7.8E-2</v>
      </c>
      <c r="O328" s="374">
        <v>5.359</v>
      </c>
      <c r="P328" s="374">
        <v>0</v>
      </c>
    </row>
    <row r="329" spans="4:16">
      <c r="D329" s="374" t="s">
        <v>514</v>
      </c>
      <c r="E329" s="374" t="s">
        <v>521</v>
      </c>
      <c r="F329" s="427">
        <v>42067</v>
      </c>
      <c r="G329" s="390">
        <f t="shared" si="10"/>
        <v>2015</v>
      </c>
      <c r="H329" s="390">
        <f t="shared" si="11"/>
        <v>3</v>
      </c>
      <c r="I329" s="374">
        <v>20</v>
      </c>
      <c r="J329" s="374">
        <v>4.9029999999999996</v>
      </c>
      <c r="K329" s="374">
        <v>0</v>
      </c>
      <c r="L329" s="428">
        <v>4.9029999999999996</v>
      </c>
      <c r="M329" s="429">
        <v>6470</v>
      </c>
      <c r="N329" s="374">
        <v>7.5999999999999998E-2</v>
      </c>
      <c r="O329" s="374">
        <v>4.9770000000000003</v>
      </c>
      <c r="P329" s="374">
        <v>0</v>
      </c>
    </row>
    <row r="330" spans="4:16">
      <c r="D330" s="374" t="s">
        <v>514</v>
      </c>
      <c r="E330" s="374" t="s">
        <v>521</v>
      </c>
      <c r="F330" s="427">
        <v>42103</v>
      </c>
      <c r="G330" s="390">
        <f t="shared" si="10"/>
        <v>2015</v>
      </c>
      <c r="H330" s="390">
        <f t="shared" si="11"/>
        <v>4</v>
      </c>
      <c r="I330" s="374">
        <v>12</v>
      </c>
      <c r="J330" s="374">
        <v>3.7759999999999998</v>
      </c>
      <c r="K330" s="374">
        <v>0</v>
      </c>
      <c r="L330" s="428">
        <v>3.7759999999999998</v>
      </c>
      <c r="M330" s="429">
        <v>5914</v>
      </c>
      <c r="N330" s="374">
        <v>6.4000000000000001E-2</v>
      </c>
      <c r="O330" s="374">
        <v>3.8140000000000001</v>
      </c>
      <c r="P330" s="374">
        <v>0</v>
      </c>
    </row>
    <row r="331" spans="4:16">
      <c r="D331" s="374" t="s">
        <v>514</v>
      </c>
      <c r="E331" s="374" t="s">
        <v>521</v>
      </c>
      <c r="F331" s="427">
        <v>42152</v>
      </c>
      <c r="G331" s="390">
        <f t="shared" si="10"/>
        <v>2015</v>
      </c>
      <c r="H331" s="390">
        <f t="shared" si="11"/>
        <v>5</v>
      </c>
      <c r="I331" s="374">
        <v>16</v>
      </c>
      <c r="J331" s="374">
        <v>4.9969999999999999</v>
      </c>
      <c r="K331" s="374">
        <v>0</v>
      </c>
      <c r="L331" s="428">
        <v>4.9969999999999999</v>
      </c>
      <c r="M331" s="429">
        <v>6837</v>
      </c>
      <c r="N331" s="374">
        <v>7.2999999999999995E-2</v>
      </c>
      <c r="O331" s="374">
        <v>5.0540000000000003</v>
      </c>
      <c r="P331" s="374">
        <v>0</v>
      </c>
    </row>
    <row r="332" spans="4:16">
      <c r="D332" s="374" t="s">
        <v>514</v>
      </c>
      <c r="E332" s="374" t="s">
        <v>521</v>
      </c>
      <c r="F332" s="427">
        <v>42164</v>
      </c>
      <c r="G332" s="390">
        <f t="shared" si="10"/>
        <v>2015</v>
      </c>
      <c r="H332" s="390">
        <f t="shared" si="11"/>
        <v>6</v>
      </c>
      <c r="I332" s="374">
        <v>17</v>
      </c>
      <c r="J332" s="374">
        <v>6.952</v>
      </c>
      <c r="K332" s="374">
        <v>0</v>
      </c>
      <c r="L332" s="428">
        <v>6.952</v>
      </c>
      <c r="M332" s="429">
        <v>8136</v>
      </c>
      <c r="N332" s="374">
        <v>8.5000000000000006E-2</v>
      </c>
      <c r="O332" s="374">
        <v>7.0359999999999996</v>
      </c>
      <c r="P332" s="374">
        <v>0</v>
      </c>
    </row>
    <row r="333" spans="4:16">
      <c r="D333" s="374" t="s">
        <v>514</v>
      </c>
      <c r="E333" s="374" t="s">
        <v>521</v>
      </c>
      <c r="F333" s="427">
        <v>42212</v>
      </c>
      <c r="G333" s="390">
        <f t="shared" si="10"/>
        <v>2015</v>
      </c>
      <c r="H333" s="390">
        <f t="shared" si="11"/>
        <v>7</v>
      </c>
      <c r="I333" s="374">
        <v>17</v>
      </c>
      <c r="J333" s="374">
        <v>7.24</v>
      </c>
      <c r="K333" s="374">
        <v>0</v>
      </c>
      <c r="L333" s="428">
        <v>7.24</v>
      </c>
      <c r="M333" s="429">
        <v>8769</v>
      </c>
      <c r="N333" s="374">
        <v>8.3000000000000004E-2</v>
      </c>
      <c r="O333" s="374">
        <v>7.3659999999999997</v>
      </c>
      <c r="P333" s="374">
        <v>0</v>
      </c>
    </row>
    <row r="334" spans="4:16">
      <c r="D334" s="374" t="s">
        <v>514</v>
      </c>
      <c r="E334" s="374" t="s">
        <v>521</v>
      </c>
      <c r="F334" s="427">
        <v>42230</v>
      </c>
      <c r="G334" s="390">
        <f t="shared" si="10"/>
        <v>2015</v>
      </c>
      <c r="H334" s="390">
        <f t="shared" si="11"/>
        <v>8</v>
      </c>
      <c r="I334" s="374">
        <v>16</v>
      </c>
      <c r="J334" s="374">
        <v>8.1720000000000006</v>
      </c>
      <c r="K334" s="374">
        <v>0</v>
      </c>
      <c r="L334" s="428">
        <v>8.1720000000000006</v>
      </c>
      <c r="M334" s="429">
        <v>8926</v>
      </c>
      <c r="N334" s="374">
        <v>9.1999999999999998E-2</v>
      </c>
      <c r="O334" s="374">
        <v>8.2550000000000008</v>
      </c>
      <c r="P334" s="374">
        <v>0</v>
      </c>
    </row>
    <row r="335" spans="4:16">
      <c r="D335" s="374" t="s">
        <v>514</v>
      </c>
      <c r="E335" s="374" t="s">
        <v>521</v>
      </c>
      <c r="F335" s="427">
        <v>42250</v>
      </c>
      <c r="G335" s="390">
        <f t="shared" si="10"/>
        <v>2015</v>
      </c>
      <c r="H335" s="390">
        <f t="shared" si="11"/>
        <v>9</v>
      </c>
      <c r="I335" s="374">
        <v>17</v>
      </c>
      <c r="J335" s="374">
        <v>8.3439999999999994</v>
      </c>
      <c r="K335" s="374">
        <v>0</v>
      </c>
      <c r="L335" s="428">
        <v>8.3439999999999994</v>
      </c>
      <c r="M335" s="429">
        <v>8657</v>
      </c>
      <c r="N335" s="374">
        <v>9.6000000000000002E-2</v>
      </c>
      <c r="O335" s="374">
        <v>8.4510000000000005</v>
      </c>
      <c r="P335" s="374">
        <v>0</v>
      </c>
    </row>
    <row r="336" spans="4:16">
      <c r="D336" s="374" t="s">
        <v>514</v>
      </c>
      <c r="E336" s="374" t="s">
        <v>521</v>
      </c>
      <c r="F336" s="427">
        <v>42285</v>
      </c>
      <c r="G336" s="390">
        <f t="shared" si="10"/>
        <v>2015</v>
      </c>
      <c r="H336" s="390">
        <f t="shared" si="11"/>
        <v>10</v>
      </c>
      <c r="I336" s="374">
        <v>12</v>
      </c>
      <c r="J336" s="374">
        <v>4.0990000000000002</v>
      </c>
      <c r="K336" s="374">
        <v>0</v>
      </c>
      <c r="L336" s="428">
        <v>4.0990000000000002</v>
      </c>
      <c r="M336" s="429">
        <v>5943</v>
      </c>
      <c r="N336" s="374">
        <v>6.9000000000000006E-2</v>
      </c>
      <c r="O336" s="374">
        <v>4.1660000000000004</v>
      </c>
      <c r="P336" s="374">
        <v>0</v>
      </c>
    </row>
    <row r="337" spans="4:16">
      <c r="D337" s="374" t="s">
        <v>514</v>
      </c>
      <c r="E337" s="374" t="s">
        <v>521</v>
      </c>
      <c r="F337" s="427">
        <v>42338</v>
      </c>
      <c r="G337" s="390">
        <f t="shared" si="10"/>
        <v>2015</v>
      </c>
      <c r="H337" s="390">
        <f t="shared" si="11"/>
        <v>11</v>
      </c>
      <c r="I337" s="374">
        <v>18</v>
      </c>
      <c r="J337" s="374">
        <v>4.9619999999999997</v>
      </c>
      <c r="K337" s="374">
        <v>0</v>
      </c>
      <c r="L337" s="428">
        <v>4.9619999999999997</v>
      </c>
      <c r="M337" s="429">
        <v>6574</v>
      </c>
      <c r="N337" s="374">
        <v>7.4999999999999997E-2</v>
      </c>
      <c r="O337" s="374">
        <v>5.0990000000000002</v>
      </c>
      <c r="P337" s="374">
        <v>0</v>
      </c>
    </row>
    <row r="338" spans="4:16">
      <c r="D338" s="374" t="s">
        <v>514</v>
      </c>
      <c r="E338" s="374" t="s">
        <v>521</v>
      </c>
      <c r="F338" s="427">
        <v>42355</v>
      </c>
      <c r="G338" s="390">
        <f t="shared" si="10"/>
        <v>2015</v>
      </c>
      <c r="H338" s="390">
        <f t="shared" si="11"/>
        <v>12</v>
      </c>
      <c r="I338" s="374">
        <v>18</v>
      </c>
      <c r="J338" s="374">
        <v>5.04</v>
      </c>
      <c r="K338" s="374">
        <v>0</v>
      </c>
      <c r="L338" s="428">
        <v>5.04</v>
      </c>
      <c r="M338" s="429">
        <v>6450</v>
      </c>
      <c r="N338" s="374">
        <v>7.8E-2</v>
      </c>
      <c r="O338" s="374">
        <v>5.1470000000000002</v>
      </c>
      <c r="P338" s="374">
        <v>0</v>
      </c>
    </row>
    <row r="339" spans="4:16">
      <c r="D339" s="374" t="s">
        <v>514</v>
      </c>
      <c r="E339" s="430" t="s">
        <v>522</v>
      </c>
      <c r="F339" s="431">
        <v>40927</v>
      </c>
      <c r="G339" s="390">
        <f t="shared" si="10"/>
        <v>2012</v>
      </c>
      <c r="H339" s="390">
        <f t="shared" si="11"/>
        <v>1</v>
      </c>
      <c r="I339" s="430">
        <v>19</v>
      </c>
      <c r="J339" s="430">
        <v>2.0830000000000002</v>
      </c>
      <c r="K339" s="430">
        <v>0</v>
      </c>
      <c r="L339" s="432">
        <v>2.0830000000000002</v>
      </c>
      <c r="M339" s="430">
        <v>6604</v>
      </c>
      <c r="N339" s="433">
        <v>2.9999999999999997E-4</v>
      </c>
      <c r="O339" s="430">
        <v>2.1269999999999998</v>
      </c>
      <c r="P339" s="430">
        <v>0</v>
      </c>
    </row>
    <row r="340" spans="4:16">
      <c r="D340" s="374" t="s">
        <v>514</v>
      </c>
      <c r="E340" s="430" t="s">
        <v>522</v>
      </c>
      <c r="F340" s="431">
        <v>40967</v>
      </c>
      <c r="G340" s="390">
        <f t="shared" si="10"/>
        <v>2012</v>
      </c>
      <c r="H340" s="390">
        <f t="shared" si="11"/>
        <v>2</v>
      </c>
      <c r="I340" s="430">
        <v>19</v>
      </c>
      <c r="J340" s="430">
        <v>1.929</v>
      </c>
      <c r="K340" s="430">
        <v>0</v>
      </c>
      <c r="L340" s="432">
        <v>1.929</v>
      </c>
      <c r="M340" s="430">
        <v>6178</v>
      </c>
      <c r="N340" s="433">
        <v>2.9999999999999997E-4</v>
      </c>
      <c r="O340" s="430">
        <v>1.9790000000000001</v>
      </c>
      <c r="P340" s="430">
        <v>0</v>
      </c>
    </row>
    <row r="341" spans="4:16">
      <c r="D341" s="374" t="s">
        <v>514</v>
      </c>
      <c r="E341" s="430" t="s">
        <v>522</v>
      </c>
      <c r="F341" s="431">
        <v>40987</v>
      </c>
      <c r="G341" s="390">
        <f t="shared" si="10"/>
        <v>2012</v>
      </c>
      <c r="H341" s="390">
        <f t="shared" si="11"/>
        <v>3</v>
      </c>
      <c r="I341" s="430">
        <v>14</v>
      </c>
      <c r="J341" s="430">
        <v>2.6070000000000002</v>
      </c>
      <c r="K341" s="430">
        <v>0</v>
      </c>
      <c r="L341" s="432">
        <v>2.6070000000000002</v>
      </c>
      <c r="M341" s="430">
        <v>6170</v>
      </c>
      <c r="N341" s="433">
        <v>4.0000000000000002E-4</v>
      </c>
      <c r="O341" s="430">
        <v>2.6520000000000001</v>
      </c>
      <c r="P341" s="430">
        <v>0</v>
      </c>
    </row>
    <row r="342" spans="4:16">
      <c r="D342" s="374" t="s">
        <v>514</v>
      </c>
      <c r="E342" s="430" t="s">
        <v>522</v>
      </c>
      <c r="F342" s="431">
        <v>41024</v>
      </c>
      <c r="G342" s="390">
        <f t="shared" si="10"/>
        <v>2012</v>
      </c>
      <c r="H342" s="390">
        <f t="shared" si="11"/>
        <v>4</v>
      </c>
      <c r="I342" s="430">
        <v>15</v>
      </c>
      <c r="J342" s="430">
        <v>2.419</v>
      </c>
      <c r="K342" s="430">
        <v>0</v>
      </c>
      <c r="L342" s="432">
        <v>2.419</v>
      </c>
      <c r="M342" s="430">
        <v>5813</v>
      </c>
      <c r="N342" s="433">
        <v>4.0000000000000002E-4</v>
      </c>
      <c r="O342" s="430">
        <v>2.4620000000000002</v>
      </c>
      <c r="P342" s="430">
        <v>0</v>
      </c>
    </row>
    <row r="343" spans="4:16">
      <c r="D343" s="374" t="s">
        <v>514</v>
      </c>
      <c r="E343" s="430" t="s">
        <v>522</v>
      </c>
      <c r="F343" s="431">
        <v>41047</v>
      </c>
      <c r="G343" s="390">
        <f t="shared" si="10"/>
        <v>2012</v>
      </c>
      <c r="H343" s="390">
        <f t="shared" si="11"/>
        <v>5</v>
      </c>
      <c r="I343" s="430">
        <v>17</v>
      </c>
      <c r="J343" s="430">
        <v>2.0979999999999999</v>
      </c>
      <c r="K343" s="430">
        <v>0</v>
      </c>
      <c r="L343" s="432">
        <v>2.0979999999999999</v>
      </c>
      <c r="M343" s="430">
        <v>7203</v>
      </c>
      <c r="N343" s="433">
        <v>2.9999999999999997E-4</v>
      </c>
      <c r="O343" s="430">
        <v>2.1469999999999998</v>
      </c>
      <c r="P343" s="430">
        <v>0</v>
      </c>
    </row>
    <row r="344" spans="4:16">
      <c r="D344" s="374" t="s">
        <v>514</v>
      </c>
      <c r="E344" s="430" t="s">
        <v>522</v>
      </c>
      <c r="F344" s="431">
        <v>41087</v>
      </c>
      <c r="G344" s="390">
        <f t="shared" si="10"/>
        <v>2012</v>
      </c>
      <c r="H344" s="390">
        <f t="shared" si="11"/>
        <v>6</v>
      </c>
      <c r="I344" s="430">
        <v>17</v>
      </c>
      <c r="J344" s="430">
        <v>3.3740000000000001</v>
      </c>
      <c r="K344" s="430">
        <v>0</v>
      </c>
      <c r="L344" s="432">
        <v>3.3740000000000001</v>
      </c>
      <c r="M344" s="430">
        <v>8833</v>
      </c>
      <c r="N344" s="433">
        <v>4.0000000000000002E-4</v>
      </c>
      <c r="O344" s="430">
        <v>3.456</v>
      </c>
      <c r="P344" s="430">
        <v>0</v>
      </c>
    </row>
    <row r="345" spans="4:16">
      <c r="D345" s="374" t="s">
        <v>514</v>
      </c>
      <c r="E345" s="430" t="s">
        <v>522</v>
      </c>
      <c r="F345" s="431">
        <v>41092</v>
      </c>
      <c r="G345" s="390">
        <f t="shared" si="10"/>
        <v>2012</v>
      </c>
      <c r="H345" s="390">
        <f t="shared" si="11"/>
        <v>7</v>
      </c>
      <c r="I345" s="430">
        <v>17</v>
      </c>
      <c r="J345" s="430">
        <v>3.3460000000000001</v>
      </c>
      <c r="K345" s="430">
        <v>0</v>
      </c>
      <c r="L345" s="432">
        <v>3.3460000000000001</v>
      </c>
      <c r="M345" s="430">
        <v>9682</v>
      </c>
      <c r="N345" s="433">
        <v>2.9999999999999997E-4</v>
      </c>
      <c r="O345" s="430">
        <v>3.411</v>
      </c>
      <c r="P345" s="430">
        <v>0</v>
      </c>
    </row>
    <row r="346" spans="4:16">
      <c r="D346" s="374" t="s">
        <v>514</v>
      </c>
      <c r="E346" s="430" t="s">
        <v>522</v>
      </c>
      <c r="F346" s="431">
        <v>41122</v>
      </c>
      <c r="G346" s="390">
        <f t="shared" si="10"/>
        <v>2012</v>
      </c>
      <c r="H346" s="390">
        <f t="shared" si="11"/>
        <v>8</v>
      </c>
      <c r="I346" s="430">
        <v>17</v>
      </c>
      <c r="J346" s="430">
        <v>3.4350000000000001</v>
      </c>
      <c r="K346" s="430">
        <v>0</v>
      </c>
      <c r="L346" s="432">
        <v>3.4350000000000001</v>
      </c>
      <c r="M346" s="430">
        <v>8979</v>
      </c>
      <c r="N346" s="433">
        <v>4.0000000000000002E-4</v>
      </c>
      <c r="O346" s="430">
        <v>3.5049999999999999</v>
      </c>
      <c r="P346" s="430">
        <v>0</v>
      </c>
    </row>
    <row r="347" spans="4:16">
      <c r="D347" s="374" t="s">
        <v>514</v>
      </c>
      <c r="E347" s="430" t="s">
        <v>522</v>
      </c>
      <c r="F347" s="431">
        <v>41156</v>
      </c>
      <c r="G347" s="390">
        <f t="shared" si="10"/>
        <v>2012</v>
      </c>
      <c r="H347" s="390">
        <f t="shared" si="11"/>
        <v>9</v>
      </c>
      <c r="I347" s="430">
        <v>16</v>
      </c>
      <c r="J347" s="430">
        <v>3.5510000000000002</v>
      </c>
      <c r="K347" s="430">
        <v>0</v>
      </c>
      <c r="L347" s="432">
        <v>3.5510000000000002</v>
      </c>
      <c r="M347" s="430">
        <v>8521</v>
      </c>
      <c r="N347" s="433">
        <v>4.0000000000000002E-4</v>
      </c>
      <c r="O347" s="430">
        <v>3.625</v>
      </c>
      <c r="P347" s="430">
        <v>0</v>
      </c>
    </row>
    <row r="348" spans="4:16">
      <c r="D348" s="374" t="s">
        <v>514</v>
      </c>
      <c r="E348" s="430" t="s">
        <v>522</v>
      </c>
      <c r="F348" s="431">
        <v>41185</v>
      </c>
      <c r="G348" s="390">
        <f t="shared" si="10"/>
        <v>2012</v>
      </c>
      <c r="H348" s="390">
        <f t="shared" si="11"/>
        <v>10</v>
      </c>
      <c r="I348" s="430">
        <v>14</v>
      </c>
      <c r="J348" s="430">
        <v>2.5920000000000001</v>
      </c>
      <c r="K348" s="430">
        <v>0</v>
      </c>
      <c r="L348" s="432">
        <v>2.5920000000000001</v>
      </c>
      <c r="M348" s="430">
        <v>6122</v>
      </c>
      <c r="N348" s="433">
        <v>4.0000000000000002E-4</v>
      </c>
      <c r="O348" s="430">
        <v>2.6419999999999999</v>
      </c>
      <c r="P348" s="430">
        <v>0</v>
      </c>
    </row>
    <row r="349" spans="4:16">
      <c r="D349" s="374" t="s">
        <v>514</v>
      </c>
      <c r="E349" s="430" t="s">
        <v>522</v>
      </c>
      <c r="F349" s="431">
        <v>41239</v>
      </c>
      <c r="G349" s="390">
        <f t="shared" si="10"/>
        <v>2012</v>
      </c>
      <c r="H349" s="390">
        <f t="shared" si="11"/>
        <v>11</v>
      </c>
      <c r="I349" s="430">
        <v>18</v>
      </c>
      <c r="J349" s="430">
        <v>2.3940000000000001</v>
      </c>
      <c r="K349" s="430">
        <v>0</v>
      </c>
      <c r="L349" s="432">
        <v>2.3940000000000001</v>
      </c>
      <c r="M349" s="430">
        <v>6416</v>
      </c>
      <c r="N349" s="433">
        <v>4.0000000000000002E-4</v>
      </c>
      <c r="O349" s="430">
        <v>2.4529999999999998</v>
      </c>
      <c r="P349" s="430">
        <v>0</v>
      </c>
    </row>
    <row r="350" spans="4:16">
      <c r="D350" s="374" t="s">
        <v>514</v>
      </c>
      <c r="E350" s="430" t="s">
        <v>522</v>
      </c>
      <c r="F350" s="431">
        <v>41253</v>
      </c>
      <c r="G350" s="390">
        <f t="shared" si="10"/>
        <v>2012</v>
      </c>
      <c r="H350" s="390">
        <f t="shared" si="11"/>
        <v>12</v>
      </c>
      <c r="I350" s="430">
        <v>18</v>
      </c>
      <c r="J350" s="430">
        <v>2.5859999999999999</v>
      </c>
      <c r="K350" s="430">
        <v>0</v>
      </c>
      <c r="L350" s="432">
        <v>2.5859999999999999</v>
      </c>
      <c r="M350" s="430">
        <v>6609</v>
      </c>
      <c r="N350" s="433">
        <v>4.0000000000000002E-4</v>
      </c>
      <c r="O350" s="430">
        <v>2.6320000000000001</v>
      </c>
      <c r="P350" s="430">
        <v>0</v>
      </c>
    </row>
    <row r="351" spans="4:16">
      <c r="D351" s="374" t="s">
        <v>514</v>
      </c>
      <c r="E351" s="430" t="s">
        <v>522</v>
      </c>
      <c r="F351" s="431">
        <v>41295</v>
      </c>
      <c r="G351" s="390">
        <f t="shared" si="10"/>
        <v>2013</v>
      </c>
      <c r="H351" s="390">
        <f t="shared" si="11"/>
        <v>1</v>
      </c>
      <c r="I351" s="430">
        <v>19</v>
      </c>
      <c r="J351" s="430">
        <v>2.4609999999999999</v>
      </c>
      <c r="K351" s="430">
        <v>0</v>
      </c>
      <c r="L351" s="432">
        <v>2.4609999999999999</v>
      </c>
      <c r="M351" s="430">
        <v>6846</v>
      </c>
      <c r="N351" s="433">
        <v>4.0000000000000002E-4</v>
      </c>
      <c r="O351" s="430">
        <v>2.5089999999999999</v>
      </c>
      <c r="P351" s="430">
        <v>0</v>
      </c>
    </row>
    <row r="352" spans="4:16">
      <c r="D352" s="374" t="s">
        <v>514</v>
      </c>
      <c r="E352" s="430" t="s">
        <v>522</v>
      </c>
      <c r="F352" s="431">
        <v>41324</v>
      </c>
      <c r="G352" s="390">
        <f t="shared" si="10"/>
        <v>2013</v>
      </c>
      <c r="H352" s="390">
        <f t="shared" si="11"/>
        <v>2</v>
      </c>
      <c r="I352" s="430">
        <v>19</v>
      </c>
      <c r="J352" s="430">
        <v>2.2149999999999999</v>
      </c>
      <c r="K352" s="430">
        <v>0</v>
      </c>
      <c r="L352" s="432">
        <v>2.2149999999999999</v>
      </c>
      <c r="M352" s="430">
        <v>6511</v>
      </c>
      <c r="N352" s="433">
        <v>2.9999999999999997E-4</v>
      </c>
      <c r="O352" s="430">
        <v>2.2650000000000001</v>
      </c>
      <c r="P352" s="430">
        <v>0</v>
      </c>
    </row>
    <row r="353" spans="4:16">
      <c r="D353" s="374" t="s">
        <v>514</v>
      </c>
      <c r="E353" s="430" t="s">
        <v>522</v>
      </c>
      <c r="F353" s="431">
        <v>41337</v>
      </c>
      <c r="G353" s="390">
        <f t="shared" si="10"/>
        <v>2013</v>
      </c>
      <c r="H353" s="390">
        <f t="shared" si="11"/>
        <v>3</v>
      </c>
      <c r="I353" s="430">
        <v>19</v>
      </c>
      <c r="J353" s="430">
        <v>2.31</v>
      </c>
      <c r="K353" s="430">
        <v>0</v>
      </c>
      <c r="L353" s="432">
        <v>2.31</v>
      </c>
      <c r="M353" s="430">
        <v>6172</v>
      </c>
      <c r="N353" s="433">
        <v>4.0000000000000002E-4</v>
      </c>
      <c r="O353" s="430">
        <v>2.117</v>
      </c>
      <c r="P353" s="430">
        <v>0</v>
      </c>
    </row>
    <row r="354" spans="4:16">
      <c r="D354" s="374" t="s">
        <v>514</v>
      </c>
      <c r="E354" s="430" t="s">
        <v>522</v>
      </c>
      <c r="F354" s="431">
        <v>41382</v>
      </c>
      <c r="G354" s="390">
        <f t="shared" si="10"/>
        <v>2013</v>
      </c>
      <c r="H354" s="390">
        <f t="shared" si="11"/>
        <v>4</v>
      </c>
      <c r="I354" s="430">
        <v>12</v>
      </c>
      <c r="J354" s="430">
        <v>1.1970000000000001</v>
      </c>
      <c r="K354" s="430">
        <v>2.4540000000000002</v>
      </c>
      <c r="L354" s="432">
        <v>3.6509999999999998</v>
      </c>
      <c r="M354" s="430">
        <v>5851</v>
      </c>
      <c r="N354" s="433">
        <v>5.9999999999999995E-4</v>
      </c>
      <c r="O354" s="430">
        <v>1.2230000000000001</v>
      </c>
      <c r="P354" s="430">
        <v>2.4540000000000002</v>
      </c>
    </row>
    <row r="355" spans="4:16">
      <c r="D355" s="374" t="s">
        <v>514</v>
      </c>
      <c r="E355" s="430" t="s">
        <v>522</v>
      </c>
      <c r="F355" s="431">
        <v>41408</v>
      </c>
      <c r="G355" s="390">
        <f t="shared" si="10"/>
        <v>2013</v>
      </c>
      <c r="H355" s="390">
        <f t="shared" si="11"/>
        <v>5</v>
      </c>
      <c r="I355" s="430">
        <v>17</v>
      </c>
      <c r="J355" s="430">
        <v>2.177</v>
      </c>
      <c r="K355" s="430">
        <v>0</v>
      </c>
      <c r="L355" s="432">
        <v>2.177</v>
      </c>
      <c r="M355" s="430">
        <v>6516</v>
      </c>
      <c r="N355" s="433">
        <v>2.9999999999999997E-4</v>
      </c>
      <c r="O355" s="430">
        <v>2.2080000000000002</v>
      </c>
      <c r="P355" s="430">
        <v>0</v>
      </c>
    </row>
    <row r="356" spans="4:16">
      <c r="D356" s="374" t="s">
        <v>514</v>
      </c>
      <c r="E356" s="430" t="s">
        <v>522</v>
      </c>
      <c r="F356" s="431">
        <v>41451</v>
      </c>
      <c r="G356" s="390">
        <f t="shared" si="10"/>
        <v>2013</v>
      </c>
      <c r="H356" s="390">
        <f t="shared" si="11"/>
        <v>6</v>
      </c>
      <c r="I356" s="430">
        <v>16</v>
      </c>
      <c r="J356" s="430">
        <v>3.3450000000000002</v>
      </c>
      <c r="K356" s="430">
        <v>0</v>
      </c>
      <c r="L356" s="432">
        <v>3.3450000000000002</v>
      </c>
      <c r="M356" s="430">
        <v>8280</v>
      </c>
      <c r="N356" s="433">
        <v>4.0000000000000002E-4</v>
      </c>
      <c r="O356" s="430">
        <v>3.375</v>
      </c>
      <c r="P356" s="430">
        <v>0</v>
      </c>
    </row>
    <row r="357" spans="4:16">
      <c r="D357" s="374" t="s">
        <v>514</v>
      </c>
      <c r="E357" s="430" t="s">
        <v>522</v>
      </c>
      <c r="F357" s="431">
        <v>41473</v>
      </c>
      <c r="G357" s="390">
        <f t="shared" si="10"/>
        <v>2013</v>
      </c>
      <c r="H357" s="390">
        <f t="shared" si="11"/>
        <v>7</v>
      </c>
      <c r="I357" s="430">
        <v>17</v>
      </c>
      <c r="J357" s="430">
        <v>3.73</v>
      </c>
      <c r="K357" s="430">
        <v>0</v>
      </c>
      <c r="L357" s="432">
        <v>3.73</v>
      </c>
      <c r="M357" s="430">
        <v>9566</v>
      </c>
      <c r="N357" s="433">
        <v>4.0000000000000002E-4</v>
      </c>
      <c r="O357" s="430">
        <v>3.7850000000000001</v>
      </c>
      <c r="P357" s="430">
        <v>0</v>
      </c>
    </row>
    <row r="358" spans="4:16">
      <c r="D358" s="374" t="s">
        <v>514</v>
      </c>
      <c r="E358" s="430" t="s">
        <v>522</v>
      </c>
      <c r="F358" s="431">
        <v>41512</v>
      </c>
      <c r="G358" s="390">
        <f t="shared" si="10"/>
        <v>2013</v>
      </c>
      <c r="H358" s="390">
        <f t="shared" si="11"/>
        <v>8</v>
      </c>
      <c r="I358" s="430">
        <v>17</v>
      </c>
      <c r="J358" s="430">
        <v>3.4460000000000002</v>
      </c>
      <c r="K358" s="430">
        <v>0.26100000000000001</v>
      </c>
      <c r="L358" s="432">
        <v>3.7069999999999999</v>
      </c>
      <c r="M358" s="430">
        <v>9821</v>
      </c>
      <c r="N358" s="433">
        <v>4.0000000000000002E-4</v>
      </c>
      <c r="O358" s="430">
        <v>3.2789999999999999</v>
      </c>
      <c r="P358" s="430">
        <v>0.26100000000000001</v>
      </c>
    </row>
    <row r="359" spans="4:16">
      <c r="D359" s="374" t="s">
        <v>514</v>
      </c>
      <c r="E359" s="430" t="s">
        <v>522</v>
      </c>
      <c r="F359" s="431">
        <v>41526</v>
      </c>
      <c r="G359" s="390">
        <f t="shared" si="10"/>
        <v>2013</v>
      </c>
      <c r="H359" s="390">
        <f t="shared" si="11"/>
        <v>9</v>
      </c>
      <c r="I359" s="430">
        <v>17</v>
      </c>
      <c r="J359" s="430">
        <v>3.169</v>
      </c>
      <c r="K359" s="430">
        <v>0</v>
      </c>
      <c r="L359" s="432">
        <v>3.169</v>
      </c>
      <c r="M359" s="430">
        <v>8781</v>
      </c>
      <c r="N359" s="433">
        <v>4.0000000000000002E-4</v>
      </c>
      <c r="O359" s="430">
        <v>3.2130000000000001</v>
      </c>
      <c r="P359" s="430">
        <v>0</v>
      </c>
    </row>
    <row r="360" spans="4:16">
      <c r="D360" s="374" t="s">
        <v>514</v>
      </c>
      <c r="E360" s="430" t="s">
        <v>522</v>
      </c>
      <c r="F360" s="431">
        <v>41548</v>
      </c>
      <c r="G360" s="390">
        <f t="shared" si="10"/>
        <v>2013</v>
      </c>
      <c r="H360" s="390">
        <f t="shared" si="11"/>
        <v>10</v>
      </c>
      <c r="I360" s="430">
        <v>14</v>
      </c>
      <c r="J360" s="430">
        <v>2.4990000000000001</v>
      </c>
      <c r="K360" s="430">
        <v>0</v>
      </c>
      <c r="L360" s="432">
        <v>2.4990000000000001</v>
      </c>
      <c r="M360" s="430">
        <v>6214</v>
      </c>
      <c r="N360" s="433">
        <v>4.0000000000000002E-4</v>
      </c>
      <c r="O360" s="430">
        <v>2.528</v>
      </c>
      <c r="P360" s="430">
        <v>0</v>
      </c>
    </row>
    <row r="361" spans="4:16">
      <c r="D361" s="374" t="s">
        <v>514</v>
      </c>
      <c r="E361" s="430" t="s">
        <v>522</v>
      </c>
      <c r="F361" s="431">
        <v>41604</v>
      </c>
      <c r="G361" s="390">
        <f t="shared" si="10"/>
        <v>2013</v>
      </c>
      <c r="H361" s="390">
        <f t="shared" si="11"/>
        <v>11</v>
      </c>
      <c r="I361" s="430">
        <v>18</v>
      </c>
      <c r="J361" s="430">
        <v>2.6150000000000002</v>
      </c>
      <c r="K361" s="430">
        <v>0</v>
      </c>
      <c r="L361" s="432">
        <v>2.6150000000000002</v>
      </c>
      <c r="M361" s="430">
        <v>6372</v>
      </c>
      <c r="N361" s="433">
        <v>4.0000000000000002E-4</v>
      </c>
      <c r="O361" s="430">
        <v>2.6440000000000001</v>
      </c>
      <c r="P361" s="430">
        <v>0</v>
      </c>
    </row>
    <row r="362" spans="4:16">
      <c r="D362" s="374" t="s">
        <v>514</v>
      </c>
      <c r="E362" s="430" t="s">
        <v>522</v>
      </c>
      <c r="F362" s="431">
        <v>41619</v>
      </c>
      <c r="G362" s="390">
        <f t="shared" si="10"/>
        <v>2013</v>
      </c>
      <c r="H362" s="390">
        <f t="shared" si="11"/>
        <v>12</v>
      </c>
      <c r="I362" s="430">
        <v>18</v>
      </c>
      <c r="J362" s="430">
        <v>2.4060000000000001</v>
      </c>
      <c r="K362" s="430">
        <v>0</v>
      </c>
      <c r="L362" s="432">
        <v>2.4060000000000001</v>
      </c>
      <c r="M362" s="430">
        <v>6972</v>
      </c>
      <c r="N362" s="433">
        <v>2.9999999999999997E-4</v>
      </c>
      <c r="O362" s="430">
        <v>2.4289999999999998</v>
      </c>
      <c r="P362" s="430">
        <v>0</v>
      </c>
    </row>
    <row r="363" spans="4:16">
      <c r="D363" s="374" t="s">
        <v>514</v>
      </c>
      <c r="E363" s="374" t="s">
        <v>522</v>
      </c>
      <c r="F363" s="427">
        <v>41645</v>
      </c>
      <c r="G363" s="390">
        <f t="shared" si="10"/>
        <v>2014</v>
      </c>
      <c r="H363" s="390">
        <f t="shared" si="11"/>
        <v>1</v>
      </c>
      <c r="I363" s="374">
        <v>18</v>
      </c>
      <c r="J363" s="374">
        <v>2.4750000000000001</v>
      </c>
      <c r="K363" s="374">
        <v>0</v>
      </c>
      <c r="L363" s="428">
        <v>2.4750000000000001</v>
      </c>
      <c r="M363" s="429">
        <v>7188</v>
      </c>
      <c r="N363" s="374">
        <v>3.4000000000000002E-2</v>
      </c>
      <c r="O363" s="374">
        <v>2.4889999999999999</v>
      </c>
      <c r="P363" s="374">
        <v>0</v>
      </c>
    </row>
    <row r="364" spans="4:16">
      <c r="D364" s="374" t="s">
        <v>514</v>
      </c>
      <c r="E364" s="374" t="s">
        <v>522</v>
      </c>
      <c r="F364" s="427">
        <v>41676</v>
      </c>
      <c r="G364" s="390">
        <f t="shared" si="10"/>
        <v>2014</v>
      </c>
      <c r="H364" s="390">
        <f t="shared" si="11"/>
        <v>2</v>
      </c>
      <c r="I364" s="374">
        <v>19</v>
      </c>
      <c r="J364" s="374">
        <v>2.3149999999999999</v>
      </c>
      <c r="K364" s="374">
        <v>0</v>
      </c>
      <c r="L364" s="428">
        <v>2.3149999999999999</v>
      </c>
      <c r="M364" s="429">
        <v>6743</v>
      </c>
      <c r="N364" s="374">
        <v>3.4000000000000002E-2</v>
      </c>
      <c r="O364" s="374">
        <v>2.3319999999999999</v>
      </c>
      <c r="P364" s="374">
        <v>0</v>
      </c>
    </row>
    <row r="365" spans="4:16">
      <c r="D365" s="374" t="s">
        <v>514</v>
      </c>
      <c r="E365" s="374" t="s">
        <v>522</v>
      </c>
      <c r="F365" s="427">
        <v>41701</v>
      </c>
      <c r="G365" s="390">
        <f t="shared" si="10"/>
        <v>2014</v>
      </c>
      <c r="H365" s="390">
        <f t="shared" si="11"/>
        <v>3</v>
      </c>
      <c r="I365" s="374">
        <v>19</v>
      </c>
      <c r="J365" s="374">
        <v>2.2730000000000001</v>
      </c>
      <c r="K365" s="374">
        <v>0</v>
      </c>
      <c r="L365" s="428">
        <v>2.2730000000000001</v>
      </c>
      <c r="M365" s="429">
        <v>6537</v>
      </c>
      <c r="N365" s="374">
        <v>3.5000000000000003E-2</v>
      </c>
      <c r="O365" s="374">
        <v>2.282</v>
      </c>
      <c r="P365" s="374">
        <v>0</v>
      </c>
    </row>
    <row r="366" spans="4:16">
      <c r="D366" s="374" t="s">
        <v>514</v>
      </c>
      <c r="E366" s="374" t="s">
        <v>522</v>
      </c>
      <c r="F366" s="427">
        <v>41730</v>
      </c>
      <c r="G366" s="390">
        <f t="shared" si="10"/>
        <v>2014</v>
      </c>
      <c r="H366" s="390">
        <f t="shared" si="11"/>
        <v>4</v>
      </c>
      <c r="I366" s="374">
        <v>11</v>
      </c>
      <c r="J366" s="374">
        <v>2.4510000000000001</v>
      </c>
      <c r="K366" s="374">
        <v>0</v>
      </c>
      <c r="L366" s="428">
        <v>2.4510000000000001</v>
      </c>
      <c r="M366" s="429">
        <v>5924</v>
      </c>
      <c r="N366" s="374">
        <v>4.1000000000000002E-2</v>
      </c>
      <c r="O366" s="374">
        <v>2.4710000000000001</v>
      </c>
      <c r="P366" s="374">
        <v>0</v>
      </c>
    </row>
    <row r="367" spans="4:16">
      <c r="D367" s="374" t="s">
        <v>514</v>
      </c>
      <c r="E367" s="374" t="s">
        <v>522</v>
      </c>
      <c r="F367" s="427">
        <v>41789</v>
      </c>
      <c r="G367" s="390">
        <f t="shared" si="10"/>
        <v>2014</v>
      </c>
      <c r="H367" s="390">
        <f t="shared" si="11"/>
        <v>5</v>
      </c>
      <c r="I367" s="374">
        <v>16</v>
      </c>
      <c r="J367" s="374">
        <v>2.3450000000000002</v>
      </c>
      <c r="K367" s="374">
        <v>0</v>
      </c>
      <c r="L367" s="428">
        <v>2.3450000000000002</v>
      </c>
      <c r="M367" s="429">
        <v>7422</v>
      </c>
      <c r="N367" s="374">
        <v>3.2000000000000001E-2</v>
      </c>
      <c r="O367" s="374">
        <v>2.3679999999999999</v>
      </c>
      <c r="P367" s="374">
        <v>0</v>
      </c>
    </row>
    <row r="368" spans="4:16">
      <c r="D368" s="374" t="s">
        <v>514</v>
      </c>
      <c r="E368" s="374" t="s">
        <v>522</v>
      </c>
      <c r="F368" s="427">
        <v>41814</v>
      </c>
      <c r="G368" s="390">
        <f t="shared" si="10"/>
        <v>2014</v>
      </c>
      <c r="H368" s="390">
        <f t="shared" si="11"/>
        <v>6</v>
      </c>
      <c r="I368" s="374">
        <v>16</v>
      </c>
      <c r="J368" s="374">
        <v>2.7770000000000001</v>
      </c>
      <c r="K368" s="374">
        <v>0</v>
      </c>
      <c r="L368" s="428">
        <v>2.7770000000000001</v>
      </c>
      <c r="M368" s="429">
        <v>7670</v>
      </c>
      <c r="N368" s="374">
        <v>3.5999999999999997E-2</v>
      </c>
      <c r="O368" s="374">
        <v>2.8050000000000002</v>
      </c>
      <c r="P368" s="374">
        <v>0</v>
      </c>
    </row>
    <row r="369" spans="4:16">
      <c r="D369" s="374" t="s">
        <v>514</v>
      </c>
      <c r="E369" s="374" t="s">
        <v>522</v>
      </c>
      <c r="F369" s="427">
        <v>41841</v>
      </c>
      <c r="G369" s="390">
        <f t="shared" si="10"/>
        <v>2014</v>
      </c>
      <c r="H369" s="390">
        <f t="shared" si="11"/>
        <v>7</v>
      </c>
      <c r="I369" s="374">
        <v>17</v>
      </c>
      <c r="J369" s="374">
        <v>3.09</v>
      </c>
      <c r="K369" s="374">
        <v>0</v>
      </c>
      <c r="L369" s="428">
        <v>3.09</v>
      </c>
      <c r="M369" s="429">
        <v>9150</v>
      </c>
      <c r="N369" s="374">
        <v>3.4000000000000002E-2</v>
      </c>
      <c r="O369" s="374">
        <v>3.4689999999999999</v>
      </c>
      <c r="P369" s="374">
        <v>0</v>
      </c>
    </row>
    <row r="370" spans="4:16">
      <c r="D370" s="374" t="s">
        <v>514</v>
      </c>
      <c r="E370" s="374" t="s">
        <v>522</v>
      </c>
      <c r="F370" s="427">
        <v>41869</v>
      </c>
      <c r="G370" s="390">
        <f t="shared" si="10"/>
        <v>2014</v>
      </c>
      <c r="H370" s="390">
        <f t="shared" si="11"/>
        <v>8</v>
      </c>
      <c r="I370" s="374">
        <v>16</v>
      </c>
      <c r="J370" s="374">
        <v>3.26</v>
      </c>
      <c r="K370" s="374">
        <v>0</v>
      </c>
      <c r="L370" s="428">
        <v>3.26</v>
      </c>
      <c r="M370" s="429">
        <v>8190</v>
      </c>
      <c r="N370" s="374">
        <v>0.04</v>
      </c>
      <c r="O370" s="374">
        <v>3.2930000000000001</v>
      </c>
      <c r="P370" s="374">
        <v>0</v>
      </c>
    </row>
    <row r="371" spans="4:16">
      <c r="D371" s="374" t="s">
        <v>514</v>
      </c>
      <c r="E371" s="374" t="s">
        <v>522</v>
      </c>
      <c r="F371" s="427">
        <v>41886</v>
      </c>
      <c r="G371" s="390">
        <f t="shared" si="10"/>
        <v>2014</v>
      </c>
      <c r="H371" s="390">
        <f t="shared" si="11"/>
        <v>9</v>
      </c>
      <c r="I371" s="374">
        <v>15</v>
      </c>
      <c r="J371" s="374">
        <v>3.2639999999999998</v>
      </c>
      <c r="K371" s="374">
        <v>0</v>
      </c>
      <c r="L371" s="428">
        <v>3.2639999999999998</v>
      </c>
      <c r="M371" s="429">
        <v>7758</v>
      </c>
      <c r="N371" s="374">
        <v>4.2000000000000003E-2</v>
      </c>
      <c r="O371" s="374">
        <v>3.2919999999999998</v>
      </c>
      <c r="P371" s="374">
        <v>0</v>
      </c>
    </row>
    <row r="372" spans="4:16">
      <c r="D372" s="374" t="s">
        <v>514</v>
      </c>
      <c r="E372" s="374" t="s">
        <v>522</v>
      </c>
      <c r="F372" s="427">
        <v>41942</v>
      </c>
      <c r="G372" s="390">
        <f t="shared" si="10"/>
        <v>2014</v>
      </c>
      <c r="H372" s="390">
        <f t="shared" si="11"/>
        <v>10</v>
      </c>
      <c r="I372" s="374">
        <v>20</v>
      </c>
      <c r="J372" s="374">
        <v>2.125</v>
      </c>
      <c r="K372" s="374">
        <v>0</v>
      </c>
      <c r="L372" s="428">
        <v>2.125</v>
      </c>
      <c r="M372" s="429">
        <v>5901</v>
      </c>
      <c r="N372" s="374">
        <v>3.5999999999999997E-2</v>
      </c>
      <c r="O372" s="374">
        <v>2.16</v>
      </c>
      <c r="P372" s="374">
        <v>0</v>
      </c>
    </row>
    <row r="373" spans="4:16">
      <c r="D373" s="374" t="s">
        <v>514</v>
      </c>
      <c r="E373" s="374" t="s">
        <v>522</v>
      </c>
      <c r="F373" s="427">
        <v>41960</v>
      </c>
      <c r="G373" s="390">
        <f t="shared" si="10"/>
        <v>2014</v>
      </c>
      <c r="H373" s="390">
        <f t="shared" si="11"/>
        <v>11</v>
      </c>
      <c r="I373" s="374">
        <v>18</v>
      </c>
      <c r="J373" s="374">
        <v>2.46</v>
      </c>
      <c r="K373" s="374">
        <v>0</v>
      </c>
      <c r="L373" s="428">
        <v>2.46</v>
      </c>
      <c r="M373" s="429">
        <v>6677</v>
      </c>
      <c r="N373" s="374">
        <v>3.6999999999999998E-2</v>
      </c>
      <c r="O373" s="374">
        <v>2.4710000000000001</v>
      </c>
      <c r="P373" s="374">
        <v>0</v>
      </c>
    </row>
    <row r="374" spans="4:16">
      <c r="D374" s="374" t="s">
        <v>514</v>
      </c>
      <c r="E374" s="374" t="s">
        <v>522</v>
      </c>
      <c r="F374" s="427">
        <v>41974</v>
      </c>
      <c r="G374" s="390">
        <f t="shared" si="10"/>
        <v>2014</v>
      </c>
      <c r="H374" s="390">
        <f t="shared" si="11"/>
        <v>12</v>
      </c>
      <c r="I374" s="374">
        <v>18</v>
      </c>
      <c r="J374" s="374">
        <v>2.7149999999999999</v>
      </c>
      <c r="K374" s="374">
        <v>0</v>
      </c>
      <c r="L374" s="428">
        <v>2.7149999999999999</v>
      </c>
      <c r="M374" s="429">
        <v>6850</v>
      </c>
      <c r="N374" s="374">
        <v>0.04</v>
      </c>
      <c r="O374" s="374">
        <v>2.7389999999999999</v>
      </c>
      <c r="P374" s="374">
        <v>0</v>
      </c>
    </row>
    <row r="375" spans="4:16">
      <c r="D375" s="374" t="s">
        <v>514</v>
      </c>
      <c r="E375" s="374" t="s">
        <v>522</v>
      </c>
      <c r="F375" s="427">
        <v>42011</v>
      </c>
      <c r="G375" s="390">
        <f t="shared" si="10"/>
        <v>2015</v>
      </c>
      <c r="H375" s="390">
        <f t="shared" si="11"/>
        <v>1</v>
      </c>
      <c r="I375" s="374">
        <v>18</v>
      </c>
      <c r="J375" s="374">
        <v>2.7109999999999999</v>
      </c>
      <c r="K375" s="374">
        <v>0</v>
      </c>
      <c r="L375" s="428">
        <v>2.7109999999999999</v>
      </c>
      <c r="M375" s="429">
        <v>6978</v>
      </c>
      <c r="N375" s="374">
        <v>3.9E-2</v>
      </c>
      <c r="O375" s="374">
        <v>2.7509999999999999</v>
      </c>
      <c r="P375" s="374">
        <v>0</v>
      </c>
    </row>
    <row r="376" spans="4:16">
      <c r="D376" s="374" t="s">
        <v>514</v>
      </c>
      <c r="E376" s="374" t="s">
        <v>522</v>
      </c>
      <c r="F376" s="427">
        <v>42053</v>
      </c>
      <c r="G376" s="390">
        <f t="shared" si="10"/>
        <v>2015</v>
      </c>
      <c r="H376" s="390">
        <f t="shared" si="11"/>
        <v>2</v>
      </c>
      <c r="I376" s="374">
        <v>19</v>
      </c>
      <c r="J376" s="374">
        <v>2.464</v>
      </c>
      <c r="K376" s="374">
        <v>0</v>
      </c>
      <c r="L376" s="428">
        <v>2.464</v>
      </c>
      <c r="M376" s="429">
        <v>6744</v>
      </c>
      <c r="N376" s="374">
        <v>3.6999999999999998E-2</v>
      </c>
      <c r="O376" s="374">
        <v>2.4670000000000001</v>
      </c>
      <c r="P376" s="374">
        <v>0</v>
      </c>
    </row>
    <row r="377" spans="4:16">
      <c r="D377" s="374" t="s">
        <v>514</v>
      </c>
      <c r="E377" s="374" t="s">
        <v>522</v>
      </c>
      <c r="F377" s="427">
        <v>42067</v>
      </c>
      <c r="G377" s="390">
        <f t="shared" si="10"/>
        <v>2015</v>
      </c>
      <c r="H377" s="390">
        <f t="shared" si="11"/>
        <v>3</v>
      </c>
      <c r="I377" s="374">
        <v>20</v>
      </c>
      <c r="J377" s="374">
        <v>2.0990000000000002</v>
      </c>
      <c r="K377" s="374">
        <v>0</v>
      </c>
      <c r="L377" s="428">
        <v>2.0990000000000002</v>
      </c>
      <c r="M377" s="429">
        <v>6470</v>
      </c>
      <c r="N377" s="374">
        <v>3.2000000000000001E-2</v>
      </c>
      <c r="O377" s="374">
        <v>2.12</v>
      </c>
      <c r="P377" s="374">
        <v>0</v>
      </c>
    </row>
    <row r="378" spans="4:16">
      <c r="D378" s="374" t="s">
        <v>514</v>
      </c>
      <c r="E378" s="374" t="s">
        <v>522</v>
      </c>
      <c r="F378" s="427">
        <v>42103</v>
      </c>
      <c r="G378" s="390">
        <f t="shared" si="10"/>
        <v>2015</v>
      </c>
      <c r="H378" s="390">
        <f t="shared" si="11"/>
        <v>4</v>
      </c>
      <c r="I378" s="374">
        <v>12</v>
      </c>
      <c r="J378" s="374">
        <v>2.2709999999999999</v>
      </c>
      <c r="K378" s="374">
        <v>0</v>
      </c>
      <c r="L378" s="428">
        <v>2.2709999999999999</v>
      </c>
      <c r="M378" s="429">
        <v>5914</v>
      </c>
      <c r="N378" s="374">
        <v>3.7999999999999999E-2</v>
      </c>
      <c r="O378" s="374">
        <v>2.2930000000000001</v>
      </c>
      <c r="P378" s="374">
        <v>0</v>
      </c>
    </row>
    <row r="379" spans="4:16">
      <c r="D379" s="374" t="s">
        <v>514</v>
      </c>
      <c r="E379" s="374" t="s">
        <v>522</v>
      </c>
      <c r="F379" s="427">
        <v>42152</v>
      </c>
      <c r="G379" s="390">
        <f t="shared" si="10"/>
        <v>2015</v>
      </c>
      <c r="H379" s="390">
        <f t="shared" si="11"/>
        <v>5</v>
      </c>
      <c r="I379" s="374">
        <v>16</v>
      </c>
      <c r="J379" s="374">
        <v>2.3690000000000002</v>
      </c>
      <c r="K379" s="374">
        <v>0</v>
      </c>
      <c r="L379" s="428">
        <v>2.3690000000000002</v>
      </c>
      <c r="M379" s="429">
        <v>6837</v>
      </c>
      <c r="N379" s="374">
        <v>3.5000000000000003E-2</v>
      </c>
      <c r="O379" s="374">
        <v>2.391</v>
      </c>
      <c r="P379" s="374">
        <v>0</v>
      </c>
    </row>
    <row r="380" spans="4:16">
      <c r="D380" s="374" t="s">
        <v>514</v>
      </c>
      <c r="E380" s="374" t="s">
        <v>522</v>
      </c>
      <c r="F380" s="427">
        <v>42164</v>
      </c>
      <c r="G380" s="390">
        <f t="shared" si="10"/>
        <v>2015</v>
      </c>
      <c r="H380" s="390">
        <f t="shared" si="11"/>
        <v>6</v>
      </c>
      <c r="I380" s="374">
        <v>17</v>
      </c>
      <c r="J380" s="374">
        <v>2.8580000000000001</v>
      </c>
      <c r="K380" s="374">
        <v>0</v>
      </c>
      <c r="L380" s="428">
        <v>2.8580000000000001</v>
      </c>
      <c r="M380" s="429">
        <v>8136</v>
      </c>
      <c r="N380" s="374">
        <v>3.5000000000000003E-2</v>
      </c>
      <c r="O380" s="374">
        <v>2.9009999999999998</v>
      </c>
      <c r="P380" s="374">
        <v>0</v>
      </c>
    </row>
    <row r="381" spans="4:16">
      <c r="D381" s="374" t="s">
        <v>514</v>
      </c>
      <c r="E381" s="374" t="s">
        <v>522</v>
      </c>
      <c r="F381" s="427">
        <v>42212</v>
      </c>
      <c r="G381" s="390">
        <f t="shared" si="10"/>
        <v>2015</v>
      </c>
      <c r="H381" s="390">
        <f t="shared" si="11"/>
        <v>7</v>
      </c>
      <c r="I381" s="374">
        <v>17</v>
      </c>
      <c r="J381" s="374">
        <v>3.2090000000000001</v>
      </c>
      <c r="K381" s="374">
        <v>0</v>
      </c>
      <c r="L381" s="428">
        <v>3.2090000000000001</v>
      </c>
      <c r="M381" s="429">
        <v>8769</v>
      </c>
      <c r="N381" s="374">
        <v>3.6999999999999998E-2</v>
      </c>
      <c r="O381" s="374">
        <v>3.2530000000000001</v>
      </c>
      <c r="P381" s="374">
        <v>0</v>
      </c>
    </row>
    <row r="382" spans="4:16">
      <c r="D382" s="374" t="s">
        <v>514</v>
      </c>
      <c r="E382" s="374" t="s">
        <v>522</v>
      </c>
      <c r="F382" s="427">
        <v>42230</v>
      </c>
      <c r="G382" s="390">
        <f t="shared" si="10"/>
        <v>2015</v>
      </c>
      <c r="H382" s="390">
        <f t="shared" si="11"/>
        <v>8</v>
      </c>
      <c r="I382" s="374">
        <v>16</v>
      </c>
      <c r="J382" s="374">
        <v>3.488</v>
      </c>
      <c r="K382" s="374">
        <v>0</v>
      </c>
      <c r="L382" s="428">
        <v>3.488</v>
      </c>
      <c r="M382" s="429">
        <v>8926</v>
      </c>
      <c r="N382" s="374">
        <v>3.9E-2</v>
      </c>
      <c r="O382" s="374">
        <v>3.51</v>
      </c>
      <c r="P382" s="374">
        <v>0</v>
      </c>
    </row>
    <row r="383" spans="4:16">
      <c r="D383" s="374" t="s">
        <v>514</v>
      </c>
      <c r="E383" s="374" t="s">
        <v>522</v>
      </c>
      <c r="F383" s="427">
        <v>42250</v>
      </c>
      <c r="G383" s="390">
        <f t="shared" si="10"/>
        <v>2015</v>
      </c>
      <c r="H383" s="390">
        <f t="shared" si="11"/>
        <v>9</v>
      </c>
      <c r="I383" s="374">
        <v>17</v>
      </c>
      <c r="J383" s="374">
        <v>3.4910000000000001</v>
      </c>
      <c r="K383" s="374">
        <v>0</v>
      </c>
      <c r="L383" s="428">
        <v>3.4910000000000001</v>
      </c>
      <c r="M383" s="429">
        <v>8657</v>
      </c>
      <c r="N383" s="374">
        <v>0.04</v>
      </c>
      <c r="O383" s="374">
        <v>3.5369999999999999</v>
      </c>
      <c r="P383" s="374">
        <v>0</v>
      </c>
    </row>
    <row r="384" spans="4:16">
      <c r="D384" s="374" t="s">
        <v>514</v>
      </c>
      <c r="E384" s="374" t="s">
        <v>522</v>
      </c>
      <c r="F384" s="427">
        <v>42285</v>
      </c>
      <c r="G384" s="390">
        <f t="shared" si="10"/>
        <v>2015</v>
      </c>
      <c r="H384" s="390">
        <f t="shared" si="11"/>
        <v>10</v>
      </c>
      <c r="I384" s="374">
        <v>12</v>
      </c>
      <c r="J384" s="374">
        <v>2.4860000000000002</v>
      </c>
      <c r="K384" s="374">
        <v>0</v>
      </c>
      <c r="L384" s="428">
        <v>2.4860000000000002</v>
      </c>
      <c r="M384" s="429">
        <v>5943</v>
      </c>
      <c r="N384" s="374">
        <v>4.2000000000000003E-2</v>
      </c>
      <c r="O384" s="374">
        <v>2.5</v>
      </c>
      <c r="P384" s="374">
        <v>0</v>
      </c>
    </row>
    <row r="385" spans="4:16">
      <c r="D385" s="374" t="s">
        <v>514</v>
      </c>
      <c r="E385" s="374" t="s">
        <v>522</v>
      </c>
      <c r="F385" s="427">
        <v>42338</v>
      </c>
      <c r="G385" s="390">
        <f t="shared" si="10"/>
        <v>2015</v>
      </c>
      <c r="H385" s="390">
        <f t="shared" si="11"/>
        <v>11</v>
      </c>
      <c r="I385" s="374">
        <v>18</v>
      </c>
      <c r="J385" s="374">
        <v>2.327</v>
      </c>
      <c r="K385" s="374">
        <v>0</v>
      </c>
      <c r="L385" s="428">
        <v>2.327</v>
      </c>
      <c r="M385" s="429">
        <v>6574</v>
      </c>
      <c r="N385" s="374">
        <v>3.5000000000000003E-2</v>
      </c>
      <c r="O385" s="374">
        <v>2.343</v>
      </c>
      <c r="P385" s="374">
        <v>0</v>
      </c>
    </row>
    <row r="386" spans="4:16">
      <c r="D386" s="374" t="s">
        <v>514</v>
      </c>
      <c r="E386" s="374" t="s">
        <v>522</v>
      </c>
      <c r="F386" s="427">
        <v>42355</v>
      </c>
      <c r="G386" s="390">
        <f t="shared" si="10"/>
        <v>2015</v>
      </c>
      <c r="H386" s="390">
        <f t="shared" si="11"/>
        <v>12</v>
      </c>
      <c r="I386" s="374">
        <v>18</v>
      </c>
      <c r="J386" s="374">
        <v>2.3290000000000002</v>
      </c>
      <c r="K386" s="374">
        <v>0</v>
      </c>
      <c r="L386" s="428">
        <v>2.3290000000000002</v>
      </c>
      <c r="M386" s="429">
        <v>6450</v>
      </c>
      <c r="N386" s="374">
        <v>3.5999999999999997E-2</v>
      </c>
      <c r="O386" s="374">
        <v>2.3660000000000001</v>
      </c>
      <c r="P386" s="374">
        <v>0</v>
      </c>
    </row>
    <row r="387" spans="4:16">
      <c r="D387" s="374" t="s">
        <v>514</v>
      </c>
      <c r="E387" s="430" t="s">
        <v>525</v>
      </c>
      <c r="F387" s="431">
        <v>40927</v>
      </c>
      <c r="G387" s="390">
        <f t="shared" ref="G387:G450" si="12">YEAR(F387)</f>
        <v>2012</v>
      </c>
      <c r="H387" s="390">
        <f t="shared" ref="H387:H450" si="13">MONTH(F387)</f>
        <v>1</v>
      </c>
      <c r="I387" s="430">
        <v>19</v>
      </c>
      <c r="J387" s="430">
        <v>5.92</v>
      </c>
      <c r="K387" s="430">
        <v>0</v>
      </c>
      <c r="L387" s="432">
        <v>4.92</v>
      </c>
      <c r="M387" s="430">
        <v>6604</v>
      </c>
      <c r="N387" s="433">
        <v>8.9999999999999998E-4</v>
      </c>
      <c r="O387" s="430">
        <v>6.0410000000000004</v>
      </c>
      <c r="P387" s="430">
        <v>0</v>
      </c>
    </row>
    <row r="388" spans="4:16">
      <c r="D388" s="374" t="s">
        <v>514</v>
      </c>
      <c r="E388" s="430" t="s">
        <v>525</v>
      </c>
      <c r="F388" s="431">
        <v>40967</v>
      </c>
      <c r="G388" s="390">
        <f t="shared" si="12"/>
        <v>2012</v>
      </c>
      <c r="H388" s="390">
        <f t="shared" si="13"/>
        <v>2</v>
      </c>
      <c r="I388" s="430">
        <v>19</v>
      </c>
      <c r="J388" s="430">
        <v>5.3449999999999998</v>
      </c>
      <c r="K388" s="430">
        <v>0</v>
      </c>
      <c r="L388" s="432">
        <v>4.3449999999999998</v>
      </c>
      <c r="M388" s="430">
        <v>6178</v>
      </c>
      <c r="N388" s="433">
        <v>8.9999999999999998E-4</v>
      </c>
      <c r="O388" s="430">
        <v>5.4409999999999998</v>
      </c>
      <c r="P388" s="430">
        <v>0</v>
      </c>
    </row>
    <row r="389" spans="4:16">
      <c r="D389" s="374" t="s">
        <v>514</v>
      </c>
      <c r="E389" s="430" t="s">
        <v>525</v>
      </c>
      <c r="F389" s="431">
        <v>40987</v>
      </c>
      <c r="G389" s="390">
        <f t="shared" si="12"/>
        <v>2012</v>
      </c>
      <c r="H389" s="390">
        <f t="shared" si="13"/>
        <v>3</v>
      </c>
      <c r="I389" s="430">
        <v>14</v>
      </c>
      <c r="J389" s="430">
        <v>5.8819999999999997</v>
      </c>
      <c r="K389" s="430">
        <v>0</v>
      </c>
      <c r="L389" s="432">
        <v>4.8819999999999997</v>
      </c>
      <c r="M389" s="430">
        <v>6170</v>
      </c>
      <c r="N389" s="433">
        <v>1E-3</v>
      </c>
      <c r="O389" s="430">
        <v>5.9720000000000004</v>
      </c>
      <c r="P389" s="430">
        <v>0</v>
      </c>
    </row>
    <row r="390" spans="4:16">
      <c r="D390" s="374" t="s">
        <v>514</v>
      </c>
      <c r="E390" s="430" t="s">
        <v>525</v>
      </c>
      <c r="F390" s="431">
        <v>41024</v>
      </c>
      <c r="G390" s="390">
        <f t="shared" si="12"/>
        <v>2012</v>
      </c>
      <c r="H390" s="390">
        <f t="shared" si="13"/>
        <v>4</v>
      </c>
      <c r="I390" s="430">
        <v>15</v>
      </c>
      <c r="J390" s="430">
        <v>5.468</v>
      </c>
      <c r="K390" s="430">
        <v>0</v>
      </c>
      <c r="L390" s="432">
        <v>4.468</v>
      </c>
      <c r="M390" s="430">
        <v>5813</v>
      </c>
      <c r="N390" s="433">
        <v>8.9999999999999998E-4</v>
      </c>
      <c r="O390" s="430">
        <v>5.5640000000000001</v>
      </c>
      <c r="P390" s="430">
        <v>0</v>
      </c>
    </row>
    <row r="391" spans="4:16">
      <c r="D391" s="374" t="s">
        <v>514</v>
      </c>
      <c r="E391" s="430" t="s">
        <v>525</v>
      </c>
      <c r="F391" s="431">
        <v>41047</v>
      </c>
      <c r="G391" s="390">
        <f t="shared" si="12"/>
        <v>2012</v>
      </c>
      <c r="H391" s="390">
        <f t="shared" si="13"/>
        <v>5</v>
      </c>
      <c r="I391" s="430">
        <v>17</v>
      </c>
      <c r="J391" s="430">
        <v>6.1829999999999998</v>
      </c>
      <c r="K391" s="430">
        <v>0</v>
      </c>
      <c r="L391" s="432">
        <v>4.1829999999999998</v>
      </c>
      <c r="M391" s="430">
        <v>7203</v>
      </c>
      <c r="N391" s="433">
        <v>8.9999999999999998E-4</v>
      </c>
      <c r="O391" s="430">
        <v>6.29</v>
      </c>
      <c r="P391" s="430">
        <v>0</v>
      </c>
    </row>
    <row r="392" spans="4:16">
      <c r="D392" s="374" t="s">
        <v>514</v>
      </c>
      <c r="E392" s="430" t="s">
        <v>525</v>
      </c>
      <c r="F392" s="431">
        <v>41087</v>
      </c>
      <c r="G392" s="390">
        <f t="shared" si="12"/>
        <v>2012</v>
      </c>
      <c r="H392" s="390">
        <f t="shared" si="13"/>
        <v>6</v>
      </c>
      <c r="I392" s="430">
        <v>17</v>
      </c>
      <c r="J392" s="430">
        <v>10.260999999999999</v>
      </c>
      <c r="K392" s="430">
        <v>0</v>
      </c>
      <c r="L392" s="432">
        <v>8.2609999999999992</v>
      </c>
      <c r="M392" s="430">
        <v>8833</v>
      </c>
      <c r="N392" s="433">
        <v>1.1999999999999999E-3</v>
      </c>
      <c r="O392" s="430">
        <v>10.444000000000001</v>
      </c>
      <c r="P392" s="430">
        <v>0</v>
      </c>
    </row>
    <row r="393" spans="4:16">
      <c r="D393" s="374" t="s">
        <v>514</v>
      </c>
      <c r="E393" s="430" t="s">
        <v>525</v>
      </c>
      <c r="F393" s="431">
        <v>41092</v>
      </c>
      <c r="G393" s="390">
        <f t="shared" si="12"/>
        <v>2012</v>
      </c>
      <c r="H393" s="390">
        <f t="shared" si="13"/>
        <v>7</v>
      </c>
      <c r="I393" s="430">
        <v>17</v>
      </c>
      <c r="J393" s="430">
        <v>12.08</v>
      </c>
      <c r="K393" s="430">
        <v>0</v>
      </c>
      <c r="L393" s="432">
        <v>10.08</v>
      </c>
      <c r="M393" s="430">
        <v>9682</v>
      </c>
      <c r="N393" s="433">
        <v>1.1999999999999999E-3</v>
      </c>
      <c r="O393" s="430">
        <v>12.282999999999999</v>
      </c>
      <c r="P393" s="430">
        <v>0</v>
      </c>
    </row>
    <row r="394" spans="4:16">
      <c r="D394" s="374" t="s">
        <v>514</v>
      </c>
      <c r="E394" s="430" t="s">
        <v>525</v>
      </c>
      <c r="F394" s="431">
        <v>41122</v>
      </c>
      <c r="G394" s="390">
        <f t="shared" si="12"/>
        <v>2012</v>
      </c>
      <c r="H394" s="390">
        <f t="shared" si="13"/>
        <v>8</v>
      </c>
      <c r="I394" s="430">
        <v>17</v>
      </c>
      <c r="J394" s="430">
        <v>11.404</v>
      </c>
      <c r="K394" s="430">
        <v>0</v>
      </c>
      <c r="L394" s="432">
        <v>9.4039999999999999</v>
      </c>
      <c r="M394" s="430">
        <v>8979</v>
      </c>
      <c r="N394" s="433">
        <v>1.2999999999999999E-3</v>
      </c>
      <c r="O394" s="430">
        <v>11.595000000000001</v>
      </c>
      <c r="P394" s="430">
        <v>0</v>
      </c>
    </row>
    <row r="395" spans="4:16">
      <c r="D395" s="374" t="s">
        <v>514</v>
      </c>
      <c r="E395" s="430" t="s">
        <v>525</v>
      </c>
      <c r="F395" s="431">
        <v>41156</v>
      </c>
      <c r="G395" s="390">
        <f t="shared" si="12"/>
        <v>2012</v>
      </c>
      <c r="H395" s="390">
        <f t="shared" si="13"/>
        <v>9</v>
      </c>
      <c r="I395" s="430">
        <v>16</v>
      </c>
      <c r="J395" s="430">
        <v>10.097</v>
      </c>
      <c r="K395" s="430">
        <v>0</v>
      </c>
      <c r="L395" s="432">
        <v>8.0969999999999995</v>
      </c>
      <c r="M395" s="430">
        <v>8521</v>
      </c>
      <c r="N395" s="433">
        <v>1.1999999999999999E-3</v>
      </c>
      <c r="O395" s="430">
        <v>10.257</v>
      </c>
      <c r="P395" s="430">
        <v>0</v>
      </c>
    </row>
    <row r="396" spans="4:16">
      <c r="D396" s="374" t="s">
        <v>514</v>
      </c>
      <c r="E396" s="430" t="s">
        <v>525</v>
      </c>
      <c r="F396" s="431">
        <v>41185</v>
      </c>
      <c r="G396" s="390">
        <f t="shared" si="12"/>
        <v>2012</v>
      </c>
      <c r="H396" s="390">
        <f t="shared" si="13"/>
        <v>10</v>
      </c>
      <c r="I396" s="430">
        <v>14</v>
      </c>
      <c r="J396" s="430">
        <v>6.48</v>
      </c>
      <c r="K396" s="430">
        <v>0</v>
      </c>
      <c r="L396" s="432">
        <v>4.4800000000000004</v>
      </c>
      <c r="M396" s="430">
        <v>6122</v>
      </c>
      <c r="N396" s="433">
        <v>1.1000000000000001E-3</v>
      </c>
      <c r="O396" s="430">
        <v>6.59</v>
      </c>
      <c r="P396" s="430">
        <v>0</v>
      </c>
    </row>
    <row r="397" spans="4:16">
      <c r="D397" s="374" t="s">
        <v>514</v>
      </c>
      <c r="E397" s="430" t="s">
        <v>525</v>
      </c>
      <c r="F397" s="431">
        <v>41239</v>
      </c>
      <c r="G397" s="390">
        <f t="shared" si="12"/>
        <v>2012</v>
      </c>
      <c r="H397" s="390">
        <f t="shared" si="13"/>
        <v>11</v>
      </c>
      <c r="I397" s="430">
        <v>18</v>
      </c>
      <c r="J397" s="430">
        <v>6.7080000000000002</v>
      </c>
      <c r="K397" s="430">
        <v>0</v>
      </c>
      <c r="L397" s="432">
        <v>5.7080000000000002</v>
      </c>
      <c r="M397" s="430">
        <v>6416</v>
      </c>
      <c r="N397" s="433">
        <v>1E-3</v>
      </c>
      <c r="O397" s="430">
        <v>6.8319999999999999</v>
      </c>
      <c r="P397" s="430">
        <v>0</v>
      </c>
    </row>
    <row r="398" spans="4:16">
      <c r="D398" s="374" t="s">
        <v>514</v>
      </c>
      <c r="E398" s="430" t="s">
        <v>525</v>
      </c>
      <c r="F398" s="431">
        <v>41253</v>
      </c>
      <c r="G398" s="390">
        <f t="shared" si="12"/>
        <v>2012</v>
      </c>
      <c r="H398" s="390">
        <f t="shared" si="13"/>
        <v>12</v>
      </c>
      <c r="I398" s="430">
        <v>18</v>
      </c>
      <c r="J398" s="430">
        <v>6.6139999999999999</v>
      </c>
      <c r="K398" s="430">
        <v>0</v>
      </c>
      <c r="L398" s="432">
        <v>5.6139999999999999</v>
      </c>
      <c r="M398" s="430">
        <v>6609</v>
      </c>
      <c r="N398" s="433">
        <v>1E-3</v>
      </c>
      <c r="O398" s="430">
        <v>6.7430000000000003</v>
      </c>
      <c r="P398" s="430">
        <v>0</v>
      </c>
    </row>
    <row r="399" spans="4:16">
      <c r="D399" s="374" t="s">
        <v>514</v>
      </c>
      <c r="E399" s="430" t="s">
        <v>525</v>
      </c>
      <c r="F399" s="431">
        <v>41295</v>
      </c>
      <c r="G399" s="390">
        <f t="shared" si="12"/>
        <v>2013</v>
      </c>
      <c r="H399" s="390">
        <f t="shared" si="13"/>
        <v>1</v>
      </c>
      <c r="I399" s="430">
        <v>19</v>
      </c>
      <c r="J399" s="430">
        <v>6.4710000000000001</v>
      </c>
      <c r="K399" s="430">
        <v>0</v>
      </c>
      <c r="L399" s="432">
        <v>5.4710000000000001</v>
      </c>
      <c r="M399" s="430">
        <v>6846</v>
      </c>
      <c r="N399" s="433">
        <v>8.9999999999999998E-4</v>
      </c>
      <c r="O399" s="430">
        <v>6.6</v>
      </c>
      <c r="P399" s="430">
        <v>0</v>
      </c>
    </row>
    <row r="400" spans="4:16">
      <c r="D400" s="374" t="s">
        <v>514</v>
      </c>
      <c r="E400" s="430" t="s">
        <v>525</v>
      </c>
      <c r="F400" s="431">
        <v>41324</v>
      </c>
      <c r="G400" s="390">
        <f t="shared" si="12"/>
        <v>2013</v>
      </c>
      <c r="H400" s="390">
        <f t="shared" si="13"/>
        <v>2</v>
      </c>
      <c r="I400" s="430">
        <v>19</v>
      </c>
      <c r="J400" s="430">
        <v>5.5220000000000002</v>
      </c>
      <c r="K400" s="430">
        <v>0</v>
      </c>
      <c r="L400" s="432">
        <v>4.5220000000000002</v>
      </c>
      <c r="M400" s="430">
        <v>6511</v>
      </c>
      <c r="N400" s="433">
        <v>8.0000000000000004E-4</v>
      </c>
      <c r="O400" s="430">
        <v>5.63</v>
      </c>
      <c r="P400" s="430">
        <v>0</v>
      </c>
    </row>
    <row r="401" spans="4:16">
      <c r="D401" s="374" t="s">
        <v>514</v>
      </c>
      <c r="E401" s="430" t="s">
        <v>525</v>
      </c>
      <c r="F401" s="431">
        <v>41337</v>
      </c>
      <c r="G401" s="390">
        <f t="shared" si="12"/>
        <v>2013</v>
      </c>
      <c r="H401" s="390">
        <f t="shared" si="13"/>
        <v>3</v>
      </c>
      <c r="I401" s="430">
        <v>19</v>
      </c>
      <c r="J401" s="430">
        <v>5.82</v>
      </c>
      <c r="K401" s="430">
        <v>0</v>
      </c>
      <c r="L401" s="432">
        <v>4.82</v>
      </c>
      <c r="M401" s="430">
        <v>6172</v>
      </c>
      <c r="N401" s="433">
        <v>8.9999999999999998E-4</v>
      </c>
      <c r="O401" s="430">
        <v>5.899</v>
      </c>
      <c r="P401" s="430">
        <v>0</v>
      </c>
    </row>
    <row r="402" spans="4:16">
      <c r="D402" s="374" t="s">
        <v>514</v>
      </c>
      <c r="E402" s="430" t="s">
        <v>525</v>
      </c>
      <c r="F402" s="431">
        <v>41382</v>
      </c>
      <c r="G402" s="390">
        <f t="shared" si="12"/>
        <v>2013</v>
      </c>
      <c r="H402" s="390">
        <f t="shared" si="13"/>
        <v>4</v>
      </c>
      <c r="I402" s="430">
        <v>12</v>
      </c>
      <c r="J402" s="430">
        <v>5.585</v>
      </c>
      <c r="K402" s="430">
        <v>0</v>
      </c>
      <c r="L402" s="432">
        <v>4.585</v>
      </c>
      <c r="M402" s="430">
        <v>5851</v>
      </c>
      <c r="N402" s="433">
        <v>1E-3</v>
      </c>
      <c r="O402" s="430">
        <v>5.641</v>
      </c>
      <c r="P402" s="430">
        <v>0</v>
      </c>
    </row>
    <row r="403" spans="4:16">
      <c r="D403" s="374" t="s">
        <v>514</v>
      </c>
      <c r="E403" s="430" t="s">
        <v>525</v>
      </c>
      <c r="F403" s="431">
        <v>41408</v>
      </c>
      <c r="G403" s="390">
        <f t="shared" si="12"/>
        <v>2013</v>
      </c>
      <c r="H403" s="390">
        <f t="shared" si="13"/>
        <v>5</v>
      </c>
      <c r="I403" s="430">
        <v>17</v>
      </c>
      <c r="J403" s="430">
        <v>6.6189999999999998</v>
      </c>
      <c r="K403" s="430">
        <v>0</v>
      </c>
      <c r="L403" s="432">
        <v>4.6189999999999998</v>
      </c>
      <c r="M403" s="430">
        <v>6516</v>
      </c>
      <c r="N403" s="433">
        <v>1E-3</v>
      </c>
      <c r="O403" s="430">
        <v>6.6959999999999997</v>
      </c>
      <c r="P403" s="430">
        <v>0</v>
      </c>
    </row>
    <row r="404" spans="4:16">
      <c r="D404" s="374" t="s">
        <v>514</v>
      </c>
      <c r="E404" s="430" t="s">
        <v>525</v>
      </c>
      <c r="F404" s="431">
        <v>41451</v>
      </c>
      <c r="G404" s="390">
        <f t="shared" si="12"/>
        <v>2013</v>
      </c>
      <c r="H404" s="390">
        <f t="shared" si="13"/>
        <v>6</v>
      </c>
      <c r="I404" s="430">
        <v>16</v>
      </c>
      <c r="J404" s="430">
        <v>9.9920000000000009</v>
      </c>
      <c r="K404" s="430">
        <v>0</v>
      </c>
      <c r="L404" s="432">
        <v>7.992</v>
      </c>
      <c r="M404" s="430">
        <v>8280</v>
      </c>
      <c r="N404" s="433">
        <v>1.1999999999999999E-3</v>
      </c>
      <c r="O404" s="430">
        <v>10.102</v>
      </c>
      <c r="P404" s="430">
        <v>0</v>
      </c>
    </row>
    <row r="405" spans="4:16">
      <c r="D405" s="374" t="s">
        <v>514</v>
      </c>
      <c r="E405" s="430" t="s">
        <v>525</v>
      </c>
      <c r="F405" s="431">
        <v>41473</v>
      </c>
      <c r="G405" s="390">
        <f t="shared" si="12"/>
        <v>2013</v>
      </c>
      <c r="H405" s="390">
        <f t="shared" si="13"/>
        <v>7</v>
      </c>
      <c r="I405" s="430">
        <v>17</v>
      </c>
      <c r="J405" s="430">
        <v>11.231</v>
      </c>
      <c r="K405" s="430">
        <v>0</v>
      </c>
      <c r="L405" s="432">
        <v>9.2309999999999999</v>
      </c>
      <c r="M405" s="430">
        <v>9566</v>
      </c>
      <c r="N405" s="433">
        <v>1.1999999999999999E-3</v>
      </c>
      <c r="O405" s="430">
        <v>11.36</v>
      </c>
      <c r="P405" s="430">
        <v>0</v>
      </c>
    </row>
    <row r="406" spans="4:16">
      <c r="D406" s="374" t="s">
        <v>514</v>
      </c>
      <c r="E406" s="430" t="s">
        <v>525</v>
      </c>
      <c r="F406" s="431">
        <v>41512</v>
      </c>
      <c r="G406" s="390">
        <f t="shared" si="12"/>
        <v>2013</v>
      </c>
      <c r="H406" s="390">
        <f t="shared" si="13"/>
        <v>8</v>
      </c>
      <c r="I406" s="430">
        <v>17</v>
      </c>
      <c r="J406" s="430">
        <v>11.321999999999999</v>
      </c>
      <c r="K406" s="430">
        <v>0</v>
      </c>
      <c r="L406" s="432">
        <v>9.3219999999999992</v>
      </c>
      <c r="M406" s="430">
        <v>9821</v>
      </c>
      <c r="N406" s="433">
        <v>1.1999999999999999E-3</v>
      </c>
      <c r="O406" s="430">
        <v>11.47</v>
      </c>
      <c r="P406" s="430">
        <v>0</v>
      </c>
    </row>
    <row r="407" spans="4:16">
      <c r="D407" s="374" t="s">
        <v>514</v>
      </c>
      <c r="E407" s="430" t="s">
        <v>525</v>
      </c>
      <c r="F407" s="431">
        <v>41526</v>
      </c>
      <c r="G407" s="390">
        <f t="shared" si="12"/>
        <v>2013</v>
      </c>
      <c r="H407" s="390">
        <f t="shared" si="13"/>
        <v>9</v>
      </c>
      <c r="I407" s="430">
        <v>17</v>
      </c>
      <c r="J407" s="430">
        <v>11.481999999999999</v>
      </c>
      <c r="K407" s="430">
        <v>0</v>
      </c>
      <c r="L407" s="432">
        <v>9.4819999999999993</v>
      </c>
      <c r="M407" s="430">
        <v>8781</v>
      </c>
      <c r="N407" s="433">
        <v>1.2999999999999999E-3</v>
      </c>
      <c r="O407" s="430">
        <v>11.605</v>
      </c>
      <c r="P407" s="430">
        <v>0</v>
      </c>
    </row>
    <row r="408" spans="4:16">
      <c r="D408" s="374" t="s">
        <v>514</v>
      </c>
      <c r="E408" s="430" t="s">
        <v>525</v>
      </c>
      <c r="F408" s="431">
        <v>41548</v>
      </c>
      <c r="G408" s="390">
        <f t="shared" si="12"/>
        <v>2013</v>
      </c>
      <c r="H408" s="390">
        <f t="shared" si="13"/>
        <v>10</v>
      </c>
      <c r="I408" s="430">
        <v>14</v>
      </c>
      <c r="J408" s="430">
        <v>7.5069999999999997</v>
      </c>
      <c r="K408" s="430">
        <v>0</v>
      </c>
      <c r="L408" s="432">
        <v>5.5069999999999997</v>
      </c>
      <c r="M408" s="430">
        <v>6214</v>
      </c>
      <c r="N408" s="433">
        <v>1.1999999999999999E-3</v>
      </c>
      <c r="O408" s="430">
        <v>7.593</v>
      </c>
      <c r="P408" s="430">
        <v>0</v>
      </c>
    </row>
    <row r="409" spans="4:16">
      <c r="D409" s="374" t="s">
        <v>514</v>
      </c>
      <c r="E409" s="430" t="s">
        <v>525</v>
      </c>
      <c r="F409" s="431">
        <v>41604</v>
      </c>
      <c r="G409" s="390">
        <f t="shared" si="12"/>
        <v>2013</v>
      </c>
      <c r="H409" s="390">
        <f t="shared" si="13"/>
        <v>11</v>
      </c>
      <c r="I409" s="430">
        <v>18</v>
      </c>
      <c r="J409" s="430">
        <v>6.8</v>
      </c>
      <c r="K409" s="430">
        <v>0</v>
      </c>
      <c r="L409" s="432">
        <v>5.8</v>
      </c>
      <c r="M409" s="430">
        <v>6372</v>
      </c>
      <c r="N409" s="433">
        <v>1.1000000000000001E-3</v>
      </c>
      <c r="O409" s="430">
        <v>6.875</v>
      </c>
      <c r="P409" s="430">
        <v>0</v>
      </c>
    </row>
    <row r="410" spans="4:16">
      <c r="D410" s="374" t="s">
        <v>514</v>
      </c>
      <c r="E410" s="430" t="s">
        <v>525</v>
      </c>
      <c r="F410" s="431">
        <v>41619</v>
      </c>
      <c r="G410" s="390">
        <f t="shared" si="12"/>
        <v>2013</v>
      </c>
      <c r="H410" s="390">
        <f t="shared" si="13"/>
        <v>12</v>
      </c>
      <c r="I410" s="430">
        <v>18</v>
      </c>
      <c r="J410" s="430">
        <v>7.125</v>
      </c>
      <c r="K410" s="430">
        <v>0</v>
      </c>
      <c r="L410" s="432">
        <v>6.125</v>
      </c>
      <c r="M410" s="430">
        <v>6972</v>
      </c>
      <c r="N410" s="433">
        <v>1E-3</v>
      </c>
      <c r="O410" s="430">
        <v>7.2370000000000001</v>
      </c>
      <c r="P410" s="430">
        <v>0</v>
      </c>
    </row>
    <row r="411" spans="4:16">
      <c r="D411" s="374" t="s">
        <v>514</v>
      </c>
      <c r="E411" s="374" t="s">
        <v>525</v>
      </c>
      <c r="F411" s="427">
        <v>41645</v>
      </c>
      <c r="G411" s="390">
        <f t="shared" si="12"/>
        <v>2014</v>
      </c>
      <c r="H411" s="390">
        <f t="shared" si="13"/>
        <v>1</v>
      </c>
      <c r="I411" s="374">
        <v>18</v>
      </c>
      <c r="J411" s="374">
        <v>6.2220000000000004</v>
      </c>
      <c r="K411" s="374">
        <v>0</v>
      </c>
      <c r="L411" s="428">
        <v>6.2220000000000004</v>
      </c>
      <c r="M411" s="429">
        <v>7188</v>
      </c>
      <c r="N411" s="374">
        <v>8.6999999999999994E-2</v>
      </c>
      <c r="O411" s="374">
        <v>6.3140000000000001</v>
      </c>
      <c r="P411" s="374">
        <v>0</v>
      </c>
    </row>
    <row r="412" spans="4:16">
      <c r="D412" s="374" t="s">
        <v>514</v>
      </c>
      <c r="E412" s="374" t="s">
        <v>525</v>
      </c>
      <c r="F412" s="427">
        <v>41676</v>
      </c>
      <c r="G412" s="390">
        <f t="shared" si="12"/>
        <v>2014</v>
      </c>
      <c r="H412" s="390">
        <f t="shared" si="13"/>
        <v>2</v>
      </c>
      <c r="I412" s="374">
        <v>19</v>
      </c>
      <c r="J412" s="374">
        <v>5.8620000000000001</v>
      </c>
      <c r="K412" s="374">
        <v>0</v>
      </c>
      <c r="L412" s="428">
        <v>5.8620000000000001</v>
      </c>
      <c r="M412" s="429">
        <v>6743</v>
      </c>
      <c r="N412" s="374">
        <v>8.6999999999999994E-2</v>
      </c>
      <c r="O412" s="374">
        <v>5.9409999999999998</v>
      </c>
      <c r="P412" s="374">
        <v>0</v>
      </c>
    </row>
    <row r="413" spans="4:16">
      <c r="D413" s="374" t="s">
        <v>514</v>
      </c>
      <c r="E413" s="374" t="s">
        <v>525</v>
      </c>
      <c r="F413" s="427">
        <v>41701</v>
      </c>
      <c r="G413" s="390">
        <f t="shared" si="12"/>
        <v>2014</v>
      </c>
      <c r="H413" s="390">
        <f t="shared" si="13"/>
        <v>3</v>
      </c>
      <c r="I413" s="374">
        <v>19</v>
      </c>
      <c r="J413" s="374">
        <v>5.64</v>
      </c>
      <c r="K413" s="374">
        <v>0</v>
      </c>
      <c r="L413" s="428">
        <v>5.64</v>
      </c>
      <c r="M413" s="429">
        <v>6537</v>
      </c>
      <c r="N413" s="374">
        <v>8.5999999999999993E-2</v>
      </c>
      <c r="O413" s="374">
        <v>5.6859999999999999</v>
      </c>
      <c r="P413" s="374">
        <v>0</v>
      </c>
    </row>
    <row r="414" spans="4:16">
      <c r="D414" s="374" t="s">
        <v>514</v>
      </c>
      <c r="E414" s="374" t="s">
        <v>525</v>
      </c>
      <c r="F414" s="427">
        <v>41730</v>
      </c>
      <c r="G414" s="390">
        <f t="shared" si="12"/>
        <v>2014</v>
      </c>
      <c r="H414" s="390">
        <f t="shared" si="13"/>
        <v>4</v>
      </c>
      <c r="I414" s="374">
        <v>11</v>
      </c>
      <c r="J414" s="374">
        <v>6.1459999999999999</v>
      </c>
      <c r="K414" s="374">
        <v>0</v>
      </c>
      <c r="L414" s="428">
        <v>6.1459999999999999</v>
      </c>
      <c r="M414" s="429">
        <v>5924</v>
      </c>
      <c r="N414" s="374">
        <v>0.104</v>
      </c>
      <c r="O414" s="374">
        <v>6.1719999999999997</v>
      </c>
      <c r="P414" s="374">
        <v>0</v>
      </c>
    </row>
    <row r="415" spans="4:16">
      <c r="D415" s="374" t="s">
        <v>514</v>
      </c>
      <c r="E415" s="374" t="s">
        <v>525</v>
      </c>
      <c r="F415" s="427">
        <v>41789</v>
      </c>
      <c r="G415" s="390">
        <f t="shared" si="12"/>
        <v>2014</v>
      </c>
      <c r="H415" s="390">
        <f t="shared" si="13"/>
        <v>5</v>
      </c>
      <c r="I415" s="374">
        <v>16</v>
      </c>
      <c r="J415" s="374">
        <v>6.7779999999999996</v>
      </c>
      <c r="K415" s="374">
        <v>0</v>
      </c>
      <c r="L415" s="428">
        <v>6.7779999999999996</v>
      </c>
      <c r="M415" s="429">
        <v>7422</v>
      </c>
      <c r="N415" s="374">
        <v>9.0999999999999998E-2</v>
      </c>
      <c r="O415" s="374">
        <v>6.8579999999999997</v>
      </c>
      <c r="P415" s="374">
        <v>0</v>
      </c>
    </row>
    <row r="416" spans="4:16">
      <c r="D416" s="374" t="s">
        <v>514</v>
      </c>
      <c r="E416" s="374" t="s">
        <v>525</v>
      </c>
      <c r="F416" s="427">
        <v>41814</v>
      </c>
      <c r="G416" s="390">
        <f t="shared" si="12"/>
        <v>2014</v>
      </c>
      <c r="H416" s="390">
        <f t="shared" si="13"/>
        <v>6</v>
      </c>
      <c r="I416" s="374">
        <v>16</v>
      </c>
      <c r="J416" s="374">
        <v>8.9339999999999993</v>
      </c>
      <c r="K416" s="374">
        <v>0</v>
      </c>
      <c r="L416" s="428">
        <v>8.9339999999999993</v>
      </c>
      <c r="M416" s="429">
        <v>7670</v>
      </c>
      <c r="N416" s="374">
        <v>0.11600000000000001</v>
      </c>
      <c r="O416" s="374">
        <v>9.0039999999999996</v>
      </c>
      <c r="P416" s="374">
        <v>0</v>
      </c>
    </row>
    <row r="417" spans="4:16">
      <c r="D417" s="374" t="s">
        <v>514</v>
      </c>
      <c r="E417" s="374" t="s">
        <v>525</v>
      </c>
      <c r="F417" s="427">
        <v>41841</v>
      </c>
      <c r="G417" s="390">
        <f t="shared" si="12"/>
        <v>2014</v>
      </c>
      <c r="H417" s="390">
        <f t="shared" si="13"/>
        <v>7</v>
      </c>
      <c r="I417" s="374">
        <v>17</v>
      </c>
      <c r="J417" s="374">
        <v>10.343</v>
      </c>
      <c r="K417" s="374">
        <v>0</v>
      </c>
      <c r="L417" s="428">
        <v>10.343</v>
      </c>
      <c r="M417" s="429">
        <v>9150</v>
      </c>
      <c r="N417" s="374">
        <v>0.113</v>
      </c>
      <c r="O417" s="374">
        <v>10.451000000000001</v>
      </c>
      <c r="P417" s="374">
        <v>0</v>
      </c>
    </row>
    <row r="418" spans="4:16">
      <c r="D418" s="374" t="s">
        <v>514</v>
      </c>
      <c r="E418" s="374" t="s">
        <v>525</v>
      </c>
      <c r="F418" s="427">
        <v>41869</v>
      </c>
      <c r="G418" s="390">
        <f t="shared" si="12"/>
        <v>2014</v>
      </c>
      <c r="H418" s="390">
        <f t="shared" si="13"/>
        <v>8</v>
      </c>
      <c r="I418" s="374">
        <v>16</v>
      </c>
      <c r="J418" s="374">
        <v>10.327</v>
      </c>
      <c r="K418" s="374">
        <v>0</v>
      </c>
      <c r="L418" s="428">
        <v>10.327</v>
      </c>
      <c r="M418" s="429">
        <v>8190</v>
      </c>
      <c r="N418" s="374">
        <v>0.126</v>
      </c>
      <c r="O418" s="374">
        <v>10.413</v>
      </c>
      <c r="P418" s="374">
        <v>0</v>
      </c>
    </row>
    <row r="419" spans="4:16">
      <c r="D419" s="374" t="s">
        <v>514</v>
      </c>
      <c r="E419" s="374" t="s">
        <v>525</v>
      </c>
      <c r="F419" s="427">
        <v>41886</v>
      </c>
      <c r="G419" s="390">
        <f t="shared" si="12"/>
        <v>2014</v>
      </c>
      <c r="H419" s="390">
        <f t="shared" si="13"/>
        <v>9</v>
      </c>
      <c r="I419" s="374">
        <v>15</v>
      </c>
      <c r="J419" s="374">
        <v>10.095000000000001</v>
      </c>
      <c r="K419" s="374">
        <v>0</v>
      </c>
      <c r="L419" s="428">
        <v>10.095000000000001</v>
      </c>
      <c r="M419" s="429">
        <v>7758</v>
      </c>
      <c r="N419" s="374">
        <v>0.13</v>
      </c>
      <c r="O419" s="374">
        <v>10.257999999999999</v>
      </c>
      <c r="P419" s="374">
        <v>0</v>
      </c>
    </row>
    <row r="420" spans="4:16">
      <c r="D420" s="374" t="s">
        <v>514</v>
      </c>
      <c r="E420" s="374" t="s">
        <v>525</v>
      </c>
      <c r="F420" s="427">
        <v>41942</v>
      </c>
      <c r="G420" s="390">
        <f t="shared" si="12"/>
        <v>2014</v>
      </c>
      <c r="H420" s="390">
        <f t="shared" si="13"/>
        <v>10</v>
      </c>
      <c r="I420" s="374">
        <v>20</v>
      </c>
      <c r="J420" s="374">
        <v>6.8259999999999996</v>
      </c>
      <c r="K420" s="374">
        <v>0</v>
      </c>
      <c r="L420" s="428">
        <v>6.8259999999999996</v>
      </c>
      <c r="M420" s="429">
        <v>5901</v>
      </c>
      <c r="N420" s="374">
        <v>0.11600000000000001</v>
      </c>
      <c r="O420" s="374">
        <v>6.8730000000000002</v>
      </c>
      <c r="P420" s="374">
        <v>0</v>
      </c>
    </row>
    <row r="421" spans="4:16">
      <c r="D421" s="374" t="s">
        <v>514</v>
      </c>
      <c r="E421" s="374" t="s">
        <v>525</v>
      </c>
      <c r="F421" s="427">
        <v>41960</v>
      </c>
      <c r="G421" s="390">
        <f t="shared" si="12"/>
        <v>2014</v>
      </c>
      <c r="H421" s="390">
        <f t="shared" si="13"/>
        <v>11</v>
      </c>
      <c r="I421" s="374">
        <v>18</v>
      </c>
      <c r="J421" s="374">
        <v>6.1820000000000004</v>
      </c>
      <c r="K421" s="374">
        <v>0</v>
      </c>
      <c r="L421" s="428">
        <v>6.1820000000000004</v>
      </c>
      <c r="M421" s="429">
        <v>6677</v>
      </c>
      <c r="N421" s="374">
        <v>9.2999999999999999E-2</v>
      </c>
      <c r="O421" s="374">
        <v>6.2309999999999999</v>
      </c>
      <c r="P421" s="374">
        <v>0</v>
      </c>
    </row>
    <row r="422" spans="4:16">
      <c r="D422" s="374" t="s">
        <v>514</v>
      </c>
      <c r="E422" s="374" t="s">
        <v>525</v>
      </c>
      <c r="F422" s="427">
        <v>41974</v>
      </c>
      <c r="G422" s="390">
        <f t="shared" si="12"/>
        <v>2014</v>
      </c>
      <c r="H422" s="390">
        <f t="shared" si="13"/>
        <v>12</v>
      </c>
      <c r="I422" s="374">
        <v>18</v>
      </c>
      <c r="J422" s="374">
        <v>6.5830000000000002</v>
      </c>
      <c r="K422" s="374">
        <v>0</v>
      </c>
      <c r="L422" s="428">
        <v>6.5830000000000002</v>
      </c>
      <c r="M422" s="429">
        <v>6850</v>
      </c>
      <c r="N422" s="374">
        <v>9.6000000000000002E-2</v>
      </c>
      <c r="O422" s="374">
        <v>6.63</v>
      </c>
      <c r="P422" s="374">
        <v>0</v>
      </c>
    </row>
    <row r="423" spans="4:16">
      <c r="D423" s="374" t="s">
        <v>514</v>
      </c>
      <c r="E423" s="374" t="s">
        <v>525</v>
      </c>
      <c r="F423" s="427">
        <v>42011</v>
      </c>
      <c r="G423" s="390">
        <f t="shared" si="12"/>
        <v>2015</v>
      </c>
      <c r="H423" s="390">
        <f t="shared" si="13"/>
        <v>1</v>
      </c>
      <c r="I423" s="374">
        <v>18</v>
      </c>
      <c r="J423" s="374">
        <v>6.7270000000000003</v>
      </c>
      <c r="K423" s="374">
        <v>0</v>
      </c>
      <c r="L423" s="428">
        <v>6.7270000000000003</v>
      </c>
      <c r="M423" s="429">
        <v>6978</v>
      </c>
      <c r="N423" s="374">
        <v>9.6000000000000002E-2</v>
      </c>
      <c r="O423" s="374">
        <v>6.8890000000000002</v>
      </c>
      <c r="P423" s="374">
        <v>0</v>
      </c>
    </row>
    <row r="424" spans="4:16">
      <c r="D424" s="374" t="s">
        <v>514</v>
      </c>
      <c r="E424" s="374" t="s">
        <v>525</v>
      </c>
      <c r="F424" s="427">
        <v>42053</v>
      </c>
      <c r="G424" s="390">
        <f t="shared" si="12"/>
        <v>2015</v>
      </c>
      <c r="H424" s="390">
        <f t="shared" si="13"/>
        <v>2</v>
      </c>
      <c r="I424" s="374">
        <v>19</v>
      </c>
      <c r="J424" s="374">
        <v>6.399</v>
      </c>
      <c r="K424" s="374">
        <v>0</v>
      </c>
      <c r="L424" s="428">
        <v>6.399</v>
      </c>
      <c r="M424" s="429">
        <v>6744</v>
      </c>
      <c r="N424" s="374">
        <v>9.5000000000000001E-2</v>
      </c>
      <c r="O424" s="374">
        <v>6.4720000000000004</v>
      </c>
      <c r="P424" s="374">
        <v>0</v>
      </c>
    </row>
    <row r="425" spans="4:16">
      <c r="D425" s="374" t="s">
        <v>514</v>
      </c>
      <c r="E425" s="374" t="s">
        <v>525</v>
      </c>
      <c r="F425" s="427">
        <v>42067</v>
      </c>
      <c r="G425" s="390">
        <f t="shared" si="12"/>
        <v>2015</v>
      </c>
      <c r="H425" s="390">
        <f t="shared" si="13"/>
        <v>3</v>
      </c>
      <c r="I425" s="374">
        <v>20</v>
      </c>
      <c r="J425" s="374">
        <v>5.7480000000000002</v>
      </c>
      <c r="K425" s="374">
        <v>0</v>
      </c>
      <c r="L425" s="428">
        <v>5.7480000000000002</v>
      </c>
      <c r="M425" s="429">
        <v>6470</v>
      </c>
      <c r="N425" s="374">
        <v>8.8999999999999996E-2</v>
      </c>
      <c r="O425" s="374">
        <v>5.8209999999999997</v>
      </c>
      <c r="P425" s="374">
        <v>0</v>
      </c>
    </row>
    <row r="426" spans="4:16">
      <c r="D426" s="374" t="s">
        <v>514</v>
      </c>
      <c r="E426" s="374" t="s">
        <v>525</v>
      </c>
      <c r="F426" s="427">
        <v>42103</v>
      </c>
      <c r="G426" s="390">
        <f t="shared" si="12"/>
        <v>2015</v>
      </c>
      <c r="H426" s="390">
        <f t="shared" si="13"/>
        <v>4</v>
      </c>
      <c r="I426" s="374">
        <v>12</v>
      </c>
      <c r="J426" s="374">
        <v>5.91</v>
      </c>
      <c r="K426" s="374">
        <v>0</v>
      </c>
      <c r="L426" s="428">
        <v>5.91</v>
      </c>
      <c r="M426" s="429">
        <v>5914</v>
      </c>
      <c r="N426" s="374">
        <v>0.1</v>
      </c>
      <c r="O426" s="374">
        <v>5.96</v>
      </c>
      <c r="P426" s="374">
        <v>0</v>
      </c>
    </row>
    <row r="427" spans="4:16">
      <c r="D427" s="374" t="s">
        <v>514</v>
      </c>
      <c r="E427" s="374" t="s">
        <v>525</v>
      </c>
      <c r="F427" s="427">
        <v>42152</v>
      </c>
      <c r="G427" s="390">
        <f t="shared" si="12"/>
        <v>2015</v>
      </c>
      <c r="H427" s="390">
        <f t="shared" si="13"/>
        <v>5</v>
      </c>
      <c r="I427" s="374">
        <v>16</v>
      </c>
      <c r="J427" s="374">
        <v>6.3769999999999998</v>
      </c>
      <c r="K427" s="374">
        <v>0</v>
      </c>
      <c r="L427" s="428">
        <v>6.3769999999999998</v>
      </c>
      <c r="M427" s="429">
        <v>6837</v>
      </c>
      <c r="N427" s="374">
        <v>9.2999999999999999E-2</v>
      </c>
      <c r="O427" s="374">
        <v>6.4219999999999997</v>
      </c>
      <c r="P427" s="374">
        <v>0</v>
      </c>
    </row>
    <row r="428" spans="4:16">
      <c r="D428" s="374" t="s">
        <v>514</v>
      </c>
      <c r="E428" s="374" t="s">
        <v>525</v>
      </c>
      <c r="F428" s="427">
        <v>42164</v>
      </c>
      <c r="G428" s="390">
        <f t="shared" si="12"/>
        <v>2015</v>
      </c>
      <c r="H428" s="390">
        <f t="shared" si="13"/>
        <v>6</v>
      </c>
      <c r="I428" s="374">
        <v>17</v>
      </c>
      <c r="J428" s="374">
        <v>8.7420000000000009</v>
      </c>
      <c r="K428" s="374">
        <v>0</v>
      </c>
      <c r="L428" s="428">
        <v>8.7420000000000009</v>
      </c>
      <c r="M428" s="429">
        <v>8136</v>
      </c>
      <c r="N428" s="374">
        <v>0.107</v>
      </c>
      <c r="O428" s="374">
        <v>8.8279999999999994</v>
      </c>
      <c r="P428" s="374">
        <v>0</v>
      </c>
    </row>
    <row r="429" spans="4:16">
      <c r="D429" s="374" t="s">
        <v>514</v>
      </c>
      <c r="E429" s="374" t="s">
        <v>525</v>
      </c>
      <c r="F429" s="427">
        <v>42212</v>
      </c>
      <c r="G429" s="390">
        <f t="shared" si="12"/>
        <v>2015</v>
      </c>
      <c r="H429" s="390">
        <f t="shared" si="13"/>
        <v>7</v>
      </c>
      <c r="I429" s="374">
        <v>17</v>
      </c>
      <c r="J429" s="374">
        <v>10.702</v>
      </c>
      <c r="K429" s="374">
        <v>0</v>
      </c>
      <c r="L429" s="428">
        <v>10.702</v>
      </c>
      <c r="M429" s="429">
        <v>8769</v>
      </c>
      <c r="N429" s="374">
        <v>0.122</v>
      </c>
      <c r="O429" s="374">
        <v>10.808999999999999</v>
      </c>
      <c r="P429" s="374">
        <v>0</v>
      </c>
    </row>
    <row r="430" spans="4:16">
      <c r="D430" s="374" t="s">
        <v>514</v>
      </c>
      <c r="E430" s="374" t="s">
        <v>525</v>
      </c>
      <c r="F430" s="427">
        <v>42230</v>
      </c>
      <c r="G430" s="390">
        <f t="shared" si="12"/>
        <v>2015</v>
      </c>
      <c r="H430" s="390">
        <f t="shared" si="13"/>
        <v>8</v>
      </c>
      <c r="I430" s="374">
        <v>16</v>
      </c>
      <c r="J430" s="374">
        <v>10.050000000000001</v>
      </c>
      <c r="K430" s="374">
        <v>0</v>
      </c>
      <c r="L430" s="428">
        <v>10.050000000000001</v>
      </c>
      <c r="M430" s="429">
        <v>8926</v>
      </c>
      <c r="N430" s="374">
        <v>0.113</v>
      </c>
      <c r="O430" s="374">
        <v>10.141999999999999</v>
      </c>
      <c r="P430" s="374">
        <v>0</v>
      </c>
    </row>
    <row r="431" spans="4:16">
      <c r="D431" s="374" t="s">
        <v>514</v>
      </c>
      <c r="E431" s="374" t="s">
        <v>525</v>
      </c>
      <c r="F431" s="427">
        <v>42250</v>
      </c>
      <c r="G431" s="390">
        <f t="shared" si="12"/>
        <v>2015</v>
      </c>
      <c r="H431" s="390">
        <f t="shared" si="13"/>
        <v>9</v>
      </c>
      <c r="I431" s="374">
        <v>17</v>
      </c>
      <c r="J431" s="374">
        <v>11.39</v>
      </c>
      <c r="K431" s="374">
        <v>0</v>
      </c>
      <c r="L431" s="428">
        <v>11.39</v>
      </c>
      <c r="M431" s="429">
        <v>8657</v>
      </c>
      <c r="N431" s="374">
        <v>0.13200000000000001</v>
      </c>
      <c r="O431" s="374">
        <v>11.491</v>
      </c>
      <c r="P431" s="374">
        <v>0</v>
      </c>
    </row>
    <row r="432" spans="4:16">
      <c r="D432" s="374" t="s">
        <v>514</v>
      </c>
      <c r="E432" s="374" t="s">
        <v>525</v>
      </c>
      <c r="F432" s="427">
        <v>42285</v>
      </c>
      <c r="G432" s="390">
        <f t="shared" si="12"/>
        <v>2015</v>
      </c>
      <c r="H432" s="390">
        <f t="shared" si="13"/>
        <v>10</v>
      </c>
      <c r="I432" s="374">
        <v>12</v>
      </c>
      <c r="J432" s="374">
        <v>7.4370000000000003</v>
      </c>
      <c r="K432" s="374">
        <v>0</v>
      </c>
      <c r="L432" s="428">
        <v>7.4370000000000003</v>
      </c>
      <c r="M432" s="429">
        <v>5943</v>
      </c>
      <c r="N432" s="374">
        <v>0.125</v>
      </c>
      <c r="O432" s="374">
        <v>7.5</v>
      </c>
      <c r="P432" s="374">
        <v>0</v>
      </c>
    </row>
    <row r="433" spans="4:16">
      <c r="D433" s="374" t="s">
        <v>514</v>
      </c>
      <c r="E433" s="374" t="s">
        <v>525</v>
      </c>
      <c r="F433" s="427">
        <v>42338</v>
      </c>
      <c r="G433" s="390">
        <f t="shared" si="12"/>
        <v>2015</v>
      </c>
      <c r="H433" s="390">
        <f t="shared" si="13"/>
        <v>11</v>
      </c>
      <c r="I433" s="374">
        <v>18</v>
      </c>
      <c r="J433" s="374">
        <v>6.0830000000000002</v>
      </c>
      <c r="K433" s="374">
        <v>0</v>
      </c>
      <c r="L433" s="428">
        <v>6.0830000000000002</v>
      </c>
      <c r="M433" s="429">
        <v>6574</v>
      </c>
      <c r="N433" s="374">
        <v>9.2999999999999999E-2</v>
      </c>
      <c r="O433" s="374">
        <v>6.125</v>
      </c>
      <c r="P433" s="374">
        <v>0</v>
      </c>
    </row>
    <row r="434" spans="4:16">
      <c r="D434" s="374" t="s">
        <v>514</v>
      </c>
      <c r="E434" s="374" t="s">
        <v>525</v>
      </c>
      <c r="F434" s="427">
        <v>42355</v>
      </c>
      <c r="G434" s="390">
        <f t="shared" si="12"/>
        <v>2015</v>
      </c>
      <c r="H434" s="390">
        <f t="shared" si="13"/>
        <v>12</v>
      </c>
      <c r="I434" s="374">
        <v>18</v>
      </c>
      <c r="J434" s="374">
        <v>6.4089999999999998</v>
      </c>
      <c r="K434" s="374">
        <v>0</v>
      </c>
      <c r="L434" s="428">
        <v>6.4089999999999998</v>
      </c>
      <c r="M434" s="429">
        <v>6450</v>
      </c>
      <c r="N434" s="374">
        <v>9.9000000000000005E-2</v>
      </c>
      <c r="O434" s="374">
        <v>6.4470000000000001</v>
      </c>
      <c r="P434" s="374">
        <v>0</v>
      </c>
    </row>
    <row r="435" spans="4:16">
      <c r="D435" s="374" t="s">
        <v>523</v>
      </c>
      <c r="E435" s="430" t="s">
        <v>524</v>
      </c>
      <c r="F435" s="431">
        <v>40927</v>
      </c>
      <c r="G435" s="390">
        <f t="shared" si="12"/>
        <v>2012</v>
      </c>
      <c r="H435" s="390">
        <f t="shared" si="13"/>
        <v>1</v>
      </c>
      <c r="I435" s="430">
        <v>19</v>
      </c>
      <c r="J435" s="430">
        <v>3.6920000000000002</v>
      </c>
      <c r="K435" s="430">
        <v>0</v>
      </c>
      <c r="L435" s="432">
        <v>3.6920000000000002</v>
      </c>
      <c r="M435" s="430">
        <v>0</v>
      </c>
      <c r="N435" s="433">
        <v>0</v>
      </c>
      <c r="O435" s="430">
        <v>3.7120000000000002</v>
      </c>
      <c r="P435" s="430">
        <v>0</v>
      </c>
    </row>
    <row r="436" spans="4:16">
      <c r="D436" s="374" t="s">
        <v>523</v>
      </c>
      <c r="E436" s="430" t="s">
        <v>524</v>
      </c>
      <c r="F436" s="431">
        <v>40952</v>
      </c>
      <c r="G436" s="390">
        <f t="shared" si="12"/>
        <v>2012</v>
      </c>
      <c r="H436" s="390">
        <f t="shared" si="13"/>
        <v>2</v>
      </c>
      <c r="I436" s="430">
        <v>19</v>
      </c>
      <c r="J436" s="430">
        <v>3.6349999999999998</v>
      </c>
      <c r="K436" s="430">
        <v>0</v>
      </c>
      <c r="L436" s="432">
        <v>3.6349999999999998</v>
      </c>
      <c r="M436" s="430">
        <v>0</v>
      </c>
      <c r="N436" s="433">
        <v>0</v>
      </c>
      <c r="O436" s="430">
        <v>3.6560000000000001</v>
      </c>
      <c r="P436" s="430">
        <v>0</v>
      </c>
    </row>
    <row r="437" spans="4:16">
      <c r="D437" s="374" t="s">
        <v>523</v>
      </c>
      <c r="E437" s="430" t="s">
        <v>524</v>
      </c>
      <c r="F437" s="431">
        <v>40973</v>
      </c>
      <c r="G437" s="390">
        <f t="shared" si="12"/>
        <v>2012</v>
      </c>
      <c r="H437" s="390">
        <f t="shared" si="13"/>
        <v>3</v>
      </c>
      <c r="I437" s="430">
        <v>8</v>
      </c>
      <c r="J437" s="430">
        <v>3.4940000000000002</v>
      </c>
      <c r="K437" s="430">
        <v>0</v>
      </c>
      <c r="L437" s="432">
        <v>3.4940000000000002</v>
      </c>
      <c r="M437" s="430">
        <v>0</v>
      </c>
      <c r="N437" s="433">
        <v>0</v>
      </c>
      <c r="O437" s="430">
        <v>3.5209999999999999</v>
      </c>
      <c r="P437" s="430">
        <v>0</v>
      </c>
    </row>
    <row r="438" spans="4:16">
      <c r="D438" s="374" t="s">
        <v>523</v>
      </c>
      <c r="E438" s="430" t="s">
        <v>524</v>
      </c>
      <c r="F438" s="431">
        <v>41001</v>
      </c>
      <c r="G438" s="390">
        <f t="shared" si="12"/>
        <v>2012</v>
      </c>
      <c r="H438" s="390">
        <f t="shared" si="13"/>
        <v>4</v>
      </c>
      <c r="I438" s="430">
        <v>21</v>
      </c>
      <c r="J438" s="430">
        <v>2.4409999999999998</v>
      </c>
      <c r="K438" s="430">
        <v>0</v>
      </c>
      <c r="L438" s="432">
        <v>2.4409999999999998</v>
      </c>
      <c r="M438" s="430">
        <v>0</v>
      </c>
      <c r="N438" s="433">
        <v>0</v>
      </c>
      <c r="O438" s="430">
        <v>2.46</v>
      </c>
      <c r="P438" s="430">
        <v>0</v>
      </c>
    </row>
    <row r="439" spans="4:16">
      <c r="D439" s="374" t="s">
        <v>523</v>
      </c>
      <c r="E439" s="430" t="s">
        <v>524</v>
      </c>
      <c r="F439" s="431">
        <v>41053</v>
      </c>
      <c r="G439" s="390">
        <f t="shared" si="12"/>
        <v>2012</v>
      </c>
      <c r="H439" s="390">
        <f t="shared" si="13"/>
        <v>5</v>
      </c>
      <c r="I439" s="430">
        <v>14</v>
      </c>
      <c r="J439" s="430">
        <v>2.1840000000000002</v>
      </c>
      <c r="K439" s="430">
        <v>0</v>
      </c>
      <c r="L439" s="432">
        <v>2.1840000000000002</v>
      </c>
      <c r="M439" s="430">
        <v>0</v>
      </c>
      <c r="N439" s="433">
        <v>0</v>
      </c>
      <c r="O439" s="430">
        <v>2.2040000000000002</v>
      </c>
      <c r="P439" s="430">
        <v>0</v>
      </c>
    </row>
    <row r="440" spans="4:16">
      <c r="D440" s="374" t="s">
        <v>523</v>
      </c>
      <c r="E440" s="430" t="s">
        <v>524</v>
      </c>
      <c r="F440" s="431">
        <v>41087</v>
      </c>
      <c r="G440" s="390">
        <f t="shared" si="12"/>
        <v>2012</v>
      </c>
      <c r="H440" s="390">
        <f t="shared" si="13"/>
        <v>6</v>
      </c>
      <c r="I440" s="430">
        <v>17</v>
      </c>
      <c r="J440" s="430">
        <v>4.0720000000000001</v>
      </c>
      <c r="K440" s="430">
        <v>0</v>
      </c>
      <c r="L440" s="432">
        <v>4.0720000000000001</v>
      </c>
      <c r="M440" s="430">
        <v>0</v>
      </c>
      <c r="N440" s="433">
        <v>0</v>
      </c>
      <c r="O440" s="430">
        <v>4.0949999999999998</v>
      </c>
      <c r="P440" s="430">
        <v>0</v>
      </c>
    </row>
    <row r="441" spans="4:16">
      <c r="D441" s="374" t="s">
        <v>523</v>
      </c>
      <c r="E441" s="430" t="s">
        <v>524</v>
      </c>
      <c r="F441" s="431">
        <v>41115</v>
      </c>
      <c r="G441" s="390">
        <f t="shared" si="12"/>
        <v>2012</v>
      </c>
      <c r="H441" s="390">
        <f t="shared" si="13"/>
        <v>7</v>
      </c>
      <c r="I441" s="430">
        <v>17</v>
      </c>
      <c r="J441" s="430">
        <v>4.2</v>
      </c>
      <c r="K441" s="430">
        <v>0</v>
      </c>
      <c r="L441" s="432">
        <v>4.2</v>
      </c>
      <c r="M441" s="430">
        <v>0</v>
      </c>
      <c r="N441" s="433">
        <v>0</v>
      </c>
      <c r="O441" s="430">
        <v>4.2149999999999999</v>
      </c>
      <c r="P441" s="430">
        <v>0</v>
      </c>
    </row>
    <row r="442" spans="4:16">
      <c r="D442" s="374" t="s">
        <v>523</v>
      </c>
      <c r="E442" s="430" t="s">
        <v>524</v>
      </c>
      <c r="F442" s="431">
        <v>41124</v>
      </c>
      <c r="G442" s="390">
        <f t="shared" si="12"/>
        <v>2012</v>
      </c>
      <c r="H442" s="390">
        <f t="shared" si="13"/>
        <v>8</v>
      </c>
      <c r="I442" s="430">
        <v>17</v>
      </c>
      <c r="J442" s="430">
        <v>4.0919999999999996</v>
      </c>
      <c r="K442" s="430">
        <v>0</v>
      </c>
      <c r="L442" s="432">
        <v>4.0919999999999996</v>
      </c>
      <c r="M442" s="430">
        <v>0</v>
      </c>
      <c r="N442" s="433">
        <v>0</v>
      </c>
      <c r="O442" s="430">
        <v>4.1159999999999997</v>
      </c>
      <c r="P442" s="430">
        <v>0</v>
      </c>
    </row>
    <row r="443" spans="4:16">
      <c r="D443" s="374" t="s">
        <v>523</v>
      </c>
      <c r="E443" s="430" t="s">
        <v>524</v>
      </c>
      <c r="F443" s="431">
        <v>41156</v>
      </c>
      <c r="G443" s="390">
        <f t="shared" si="12"/>
        <v>2012</v>
      </c>
      <c r="H443" s="390">
        <f t="shared" si="13"/>
        <v>9</v>
      </c>
      <c r="I443" s="430">
        <v>17</v>
      </c>
      <c r="J443" s="430">
        <v>4.0730000000000004</v>
      </c>
      <c r="K443" s="430">
        <v>0</v>
      </c>
      <c r="L443" s="432">
        <v>4.0730000000000004</v>
      </c>
      <c r="M443" s="430">
        <v>0</v>
      </c>
      <c r="N443" s="433">
        <v>0</v>
      </c>
      <c r="O443" s="430">
        <v>4.1029999999999998</v>
      </c>
      <c r="P443" s="430">
        <v>0</v>
      </c>
    </row>
    <row r="444" spans="4:16">
      <c r="D444" s="374" t="s">
        <v>523</v>
      </c>
      <c r="E444" s="430" t="s">
        <v>524</v>
      </c>
      <c r="F444" s="431">
        <v>41211</v>
      </c>
      <c r="G444" s="390">
        <f t="shared" si="12"/>
        <v>2012</v>
      </c>
      <c r="H444" s="390">
        <f t="shared" si="13"/>
        <v>10</v>
      </c>
      <c r="I444" s="430">
        <v>8</v>
      </c>
      <c r="J444" s="430">
        <v>2.4820000000000002</v>
      </c>
      <c r="K444" s="430">
        <v>0</v>
      </c>
      <c r="L444" s="432">
        <v>2.4820000000000002</v>
      </c>
      <c r="M444" s="430">
        <v>0</v>
      </c>
      <c r="N444" s="433">
        <v>0</v>
      </c>
      <c r="O444" s="430">
        <v>2.4980000000000002</v>
      </c>
      <c r="P444" s="430">
        <v>0</v>
      </c>
    </row>
    <row r="445" spans="4:16">
      <c r="D445" s="374" t="s">
        <v>523</v>
      </c>
      <c r="E445" s="430" t="s">
        <v>524</v>
      </c>
      <c r="F445" s="431">
        <v>41225</v>
      </c>
      <c r="G445" s="390">
        <f t="shared" si="12"/>
        <v>2012</v>
      </c>
      <c r="H445" s="390">
        <f t="shared" si="13"/>
        <v>11</v>
      </c>
      <c r="I445" s="430">
        <v>18</v>
      </c>
      <c r="J445" s="430">
        <v>3.12</v>
      </c>
      <c r="K445" s="430">
        <v>0</v>
      </c>
      <c r="L445" s="432">
        <v>3.12</v>
      </c>
      <c r="M445" s="430">
        <v>0</v>
      </c>
      <c r="N445" s="433">
        <v>0</v>
      </c>
      <c r="O445" s="430">
        <v>3.137</v>
      </c>
      <c r="P445" s="430">
        <v>0</v>
      </c>
    </row>
    <row r="446" spans="4:16">
      <c r="D446" s="374" t="s">
        <v>523</v>
      </c>
      <c r="E446" s="430" t="s">
        <v>524</v>
      </c>
      <c r="F446" s="431">
        <v>41263</v>
      </c>
      <c r="G446" s="390">
        <f t="shared" si="12"/>
        <v>2012</v>
      </c>
      <c r="H446" s="390">
        <f t="shared" si="13"/>
        <v>12</v>
      </c>
      <c r="I446" s="430">
        <v>18</v>
      </c>
      <c r="J446" s="430">
        <v>2.5990000000000002</v>
      </c>
      <c r="K446" s="430">
        <v>0</v>
      </c>
      <c r="L446" s="432">
        <v>2.5990000000000002</v>
      </c>
      <c r="M446" s="430">
        <v>0</v>
      </c>
      <c r="N446" s="433">
        <v>0</v>
      </c>
      <c r="O446" s="430">
        <v>2.6190000000000002</v>
      </c>
      <c r="P446" s="430">
        <v>0</v>
      </c>
    </row>
    <row r="447" spans="4:16">
      <c r="D447" s="374" t="s">
        <v>523</v>
      </c>
      <c r="E447" s="430" t="s">
        <v>524</v>
      </c>
      <c r="F447" s="431">
        <v>41305</v>
      </c>
      <c r="G447" s="390">
        <f t="shared" si="12"/>
        <v>2013</v>
      </c>
      <c r="H447" s="390">
        <f t="shared" si="13"/>
        <v>1</v>
      </c>
      <c r="I447" s="430">
        <v>19</v>
      </c>
      <c r="J447" s="430">
        <v>3.3</v>
      </c>
      <c r="K447" s="430">
        <v>0</v>
      </c>
      <c r="L447" s="432">
        <v>3.3</v>
      </c>
      <c r="M447" s="430">
        <v>0</v>
      </c>
      <c r="N447" s="433">
        <v>0</v>
      </c>
      <c r="O447" s="430">
        <v>3.3029999999999999</v>
      </c>
      <c r="P447" s="430">
        <v>0</v>
      </c>
    </row>
    <row r="448" spans="4:16">
      <c r="D448" s="374" t="s">
        <v>523</v>
      </c>
      <c r="E448" s="430" t="s">
        <v>524</v>
      </c>
      <c r="F448" s="431">
        <v>41306</v>
      </c>
      <c r="G448" s="390">
        <f t="shared" si="12"/>
        <v>2013</v>
      </c>
      <c r="H448" s="390">
        <f t="shared" si="13"/>
        <v>2</v>
      </c>
      <c r="I448" s="430">
        <v>8</v>
      </c>
      <c r="J448" s="430">
        <v>3.8039999999999998</v>
      </c>
      <c r="K448" s="430">
        <v>0</v>
      </c>
      <c r="L448" s="432">
        <v>3.8039999999999998</v>
      </c>
      <c r="M448" s="430">
        <v>0</v>
      </c>
      <c r="N448" s="433">
        <v>0</v>
      </c>
      <c r="O448" s="430">
        <v>3.8239999999999998</v>
      </c>
      <c r="P448" s="430">
        <v>0</v>
      </c>
    </row>
    <row r="449" spans="4:16">
      <c r="D449" s="374" t="s">
        <v>523</v>
      </c>
      <c r="E449" s="430" t="s">
        <v>524</v>
      </c>
      <c r="F449" s="431">
        <v>41354</v>
      </c>
      <c r="G449" s="390">
        <f t="shared" si="12"/>
        <v>2013</v>
      </c>
      <c r="H449" s="390">
        <f t="shared" si="13"/>
        <v>3</v>
      </c>
      <c r="I449" s="430">
        <v>8</v>
      </c>
      <c r="J449" s="430">
        <v>3.3069999999999999</v>
      </c>
      <c r="K449" s="430">
        <v>0</v>
      </c>
      <c r="L449" s="432">
        <v>3.3069999999999999</v>
      </c>
      <c r="M449" s="430">
        <v>0</v>
      </c>
      <c r="N449" s="433">
        <v>0</v>
      </c>
      <c r="O449" s="430">
        <v>3.34</v>
      </c>
      <c r="P449" s="430">
        <v>0</v>
      </c>
    </row>
    <row r="450" spans="4:16">
      <c r="D450" s="374" t="s">
        <v>523</v>
      </c>
      <c r="E450" s="430" t="s">
        <v>524</v>
      </c>
      <c r="F450" s="431">
        <v>41366</v>
      </c>
      <c r="G450" s="390">
        <f t="shared" si="12"/>
        <v>2013</v>
      </c>
      <c r="H450" s="390">
        <f t="shared" si="13"/>
        <v>4</v>
      </c>
      <c r="I450" s="430">
        <v>8</v>
      </c>
      <c r="J450" s="430">
        <v>3.2160000000000002</v>
      </c>
      <c r="K450" s="430">
        <v>0</v>
      </c>
      <c r="L450" s="432">
        <v>3.2160000000000002</v>
      </c>
      <c r="M450" s="430">
        <v>0</v>
      </c>
      <c r="N450" s="433">
        <v>0</v>
      </c>
      <c r="O450" s="430">
        <v>3.2480000000000002</v>
      </c>
      <c r="P450" s="430">
        <v>0</v>
      </c>
    </row>
    <row r="451" spans="4:16">
      <c r="D451" s="374" t="s">
        <v>523</v>
      </c>
      <c r="E451" s="430" t="s">
        <v>524</v>
      </c>
      <c r="F451" s="431">
        <v>41424</v>
      </c>
      <c r="G451" s="390">
        <f t="shared" ref="G451:G514" si="14">YEAR(F451)</f>
        <v>2013</v>
      </c>
      <c r="H451" s="390">
        <f t="shared" ref="H451:H514" si="15">MONTH(F451)</f>
        <v>5</v>
      </c>
      <c r="I451" s="430">
        <v>12</v>
      </c>
      <c r="J451" s="430">
        <v>2.0579999999999998</v>
      </c>
      <c r="K451" s="430">
        <v>0</v>
      </c>
      <c r="L451" s="432">
        <v>2.0579999999999998</v>
      </c>
      <c r="M451" s="430">
        <v>0</v>
      </c>
      <c r="N451" s="433">
        <v>0</v>
      </c>
      <c r="O451" s="430">
        <v>2.0550000000000002</v>
      </c>
      <c r="P451" s="430">
        <v>0</v>
      </c>
    </row>
    <row r="452" spans="4:16">
      <c r="D452" s="374" t="s">
        <v>523</v>
      </c>
      <c r="E452" s="430" t="s">
        <v>524</v>
      </c>
      <c r="F452" s="431">
        <v>41451</v>
      </c>
      <c r="G452" s="390">
        <f t="shared" si="14"/>
        <v>2013</v>
      </c>
      <c r="H452" s="390">
        <f t="shared" si="15"/>
        <v>6</v>
      </c>
      <c r="I452" s="430">
        <v>17</v>
      </c>
      <c r="J452" s="430">
        <v>3.53</v>
      </c>
      <c r="K452" s="430">
        <v>0</v>
      </c>
      <c r="L452" s="432">
        <v>3.53</v>
      </c>
      <c r="M452" s="430">
        <v>0</v>
      </c>
      <c r="N452" s="433">
        <v>0</v>
      </c>
      <c r="O452" s="430">
        <v>3.5289999999999999</v>
      </c>
      <c r="P452" s="430">
        <v>0</v>
      </c>
    </row>
    <row r="453" spans="4:16">
      <c r="D453" s="374" t="s">
        <v>523</v>
      </c>
      <c r="E453" s="430" t="s">
        <v>524</v>
      </c>
      <c r="F453" s="431">
        <v>41472</v>
      </c>
      <c r="G453" s="390">
        <f t="shared" si="14"/>
        <v>2013</v>
      </c>
      <c r="H453" s="390">
        <f t="shared" si="15"/>
        <v>7</v>
      </c>
      <c r="I453" s="430">
        <v>17</v>
      </c>
      <c r="J453" s="430">
        <v>4.91</v>
      </c>
      <c r="K453" s="430">
        <v>0</v>
      </c>
      <c r="L453" s="432">
        <v>4.91</v>
      </c>
      <c r="M453" s="430">
        <v>0</v>
      </c>
      <c r="N453" s="433">
        <v>0</v>
      </c>
      <c r="O453" s="430">
        <v>4.92</v>
      </c>
      <c r="P453" s="430">
        <v>0</v>
      </c>
    </row>
    <row r="454" spans="4:16">
      <c r="D454" s="374" t="s">
        <v>523</v>
      </c>
      <c r="E454" s="430" t="s">
        <v>524</v>
      </c>
      <c r="F454" s="431">
        <v>41516</v>
      </c>
      <c r="G454" s="390">
        <f t="shared" si="14"/>
        <v>2013</v>
      </c>
      <c r="H454" s="390">
        <f t="shared" si="15"/>
        <v>8</v>
      </c>
      <c r="I454" s="430">
        <v>16</v>
      </c>
      <c r="J454" s="430">
        <v>4.1420000000000003</v>
      </c>
      <c r="K454" s="430">
        <v>0</v>
      </c>
      <c r="L454" s="432">
        <v>4.1420000000000003</v>
      </c>
      <c r="M454" s="430">
        <v>0</v>
      </c>
      <c r="N454" s="433">
        <v>0</v>
      </c>
      <c r="O454" s="430">
        <v>4.1440000000000001</v>
      </c>
      <c r="P454" s="430">
        <v>0</v>
      </c>
    </row>
    <row r="455" spans="4:16">
      <c r="D455" s="374" t="s">
        <v>523</v>
      </c>
      <c r="E455" s="430" t="s">
        <v>524</v>
      </c>
      <c r="F455" s="431">
        <v>41526</v>
      </c>
      <c r="G455" s="390">
        <f t="shared" si="14"/>
        <v>2013</v>
      </c>
      <c r="H455" s="390">
        <f t="shared" si="15"/>
        <v>9</v>
      </c>
      <c r="I455" s="430">
        <v>17</v>
      </c>
      <c r="J455" s="430">
        <v>3.7069999999999999</v>
      </c>
      <c r="K455" s="430">
        <v>0</v>
      </c>
      <c r="L455" s="432">
        <v>3.7069999999999999</v>
      </c>
      <c r="M455" s="430">
        <v>0</v>
      </c>
      <c r="N455" s="433">
        <v>0</v>
      </c>
      <c r="O455" s="430">
        <v>3.6960000000000002</v>
      </c>
      <c r="P455" s="430">
        <v>0</v>
      </c>
    </row>
    <row r="456" spans="4:16">
      <c r="D456" s="374" t="s">
        <v>523</v>
      </c>
      <c r="E456" s="430" t="s">
        <v>524</v>
      </c>
      <c r="F456" s="431">
        <v>41571</v>
      </c>
      <c r="G456" s="390">
        <f t="shared" si="14"/>
        <v>2013</v>
      </c>
      <c r="H456" s="390">
        <f t="shared" si="15"/>
        <v>10</v>
      </c>
      <c r="I456" s="430">
        <v>20</v>
      </c>
      <c r="J456" s="430">
        <v>3.2669999999999999</v>
      </c>
      <c r="K456" s="430">
        <v>0</v>
      </c>
      <c r="L456" s="432">
        <v>3.2669999999999999</v>
      </c>
      <c r="M456" s="430">
        <v>0</v>
      </c>
      <c r="N456" s="433">
        <v>0</v>
      </c>
      <c r="O456" s="430">
        <v>3.2360000000000002</v>
      </c>
      <c r="P456" s="430">
        <v>0</v>
      </c>
    </row>
    <row r="457" spans="4:16">
      <c r="D457" s="374" t="s">
        <v>523</v>
      </c>
      <c r="E457" s="430" t="s">
        <v>524</v>
      </c>
      <c r="F457" s="431">
        <v>41590</v>
      </c>
      <c r="G457" s="390">
        <f t="shared" si="14"/>
        <v>2013</v>
      </c>
      <c r="H457" s="390">
        <f t="shared" si="15"/>
        <v>11</v>
      </c>
      <c r="I457" s="430">
        <v>19</v>
      </c>
      <c r="J457" s="430">
        <v>3.4470000000000001</v>
      </c>
      <c r="K457" s="430">
        <v>0</v>
      </c>
      <c r="L457" s="432">
        <v>3.4470000000000001</v>
      </c>
      <c r="M457" s="430">
        <v>0</v>
      </c>
      <c r="N457" s="433">
        <v>0</v>
      </c>
      <c r="O457" s="430">
        <v>3.3849999999999998</v>
      </c>
      <c r="P457" s="430">
        <v>0</v>
      </c>
    </row>
    <row r="458" spans="4:16">
      <c r="D458" s="374" t="s">
        <v>523</v>
      </c>
      <c r="E458" s="430" t="s">
        <v>524</v>
      </c>
      <c r="F458" s="431">
        <v>41619</v>
      </c>
      <c r="G458" s="390">
        <f t="shared" si="14"/>
        <v>2013</v>
      </c>
      <c r="H458" s="390">
        <f t="shared" si="15"/>
        <v>12</v>
      </c>
      <c r="I458" s="430">
        <v>18</v>
      </c>
      <c r="J458" s="430">
        <v>3.452</v>
      </c>
      <c r="K458" s="430">
        <v>0</v>
      </c>
      <c r="L458" s="432">
        <v>3.452</v>
      </c>
      <c r="M458" s="430">
        <v>0</v>
      </c>
      <c r="N458" s="433">
        <v>0</v>
      </c>
      <c r="O458" s="430">
        <v>3.3839999999999999</v>
      </c>
      <c r="P458" s="430">
        <v>0</v>
      </c>
    </row>
    <row r="459" spans="4:16">
      <c r="D459" s="374" t="s">
        <v>523</v>
      </c>
      <c r="E459" s="374" t="s">
        <v>524</v>
      </c>
      <c r="F459" s="427">
        <v>41645</v>
      </c>
      <c r="G459" s="390">
        <f t="shared" si="14"/>
        <v>2014</v>
      </c>
      <c r="H459" s="390">
        <f t="shared" si="15"/>
        <v>1</v>
      </c>
      <c r="I459" s="374">
        <v>18</v>
      </c>
      <c r="J459" s="374">
        <v>3.4729999999999999</v>
      </c>
      <c r="K459" s="374">
        <v>0</v>
      </c>
      <c r="L459" s="428">
        <v>3.4729999999999999</v>
      </c>
      <c r="M459" s="374">
        <v>0</v>
      </c>
      <c r="N459" s="374">
        <v>0</v>
      </c>
      <c r="O459" s="374">
        <v>3.4159999999999999</v>
      </c>
      <c r="P459" s="374">
        <v>0</v>
      </c>
    </row>
    <row r="460" spans="4:16">
      <c r="D460" s="374" t="s">
        <v>523</v>
      </c>
      <c r="E460" s="374" t="s">
        <v>524</v>
      </c>
      <c r="F460" s="427">
        <v>41681</v>
      </c>
      <c r="G460" s="390">
        <f t="shared" si="14"/>
        <v>2014</v>
      </c>
      <c r="H460" s="390">
        <f t="shared" si="15"/>
        <v>2</v>
      </c>
      <c r="I460" s="374">
        <v>8</v>
      </c>
      <c r="J460" s="374">
        <v>3.0830000000000002</v>
      </c>
      <c r="K460" s="374">
        <v>0</v>
      </c>
      <c r="L460" s="428">
        <v>3.0830000000000002</v>
      </c>
      <c r="M460" s="374">
        <v>0</v>
      </c>
      <c r="N460" s="374">
        <v>0</v>
      </c>
      <c r="O460" s="374">
        <v>3.0259999999999998</v>
      </c>
      <c r="P460" s="374">
        <v>0</v>
      </c>
    </row>
    <row r="461" spans="4:16">
      <c r="D461" s="374" t="s">
        <v>523</v>
      </c>
      <c r="E461" s="374" t="s">
        <v>524</v>
      </c>
      <c r="F461" s="427">
        <v>41701</v>
      </c>
      <c r="G461" s="390">
        <f t="shared" si="14"/>
        <v>2014</v>
      </c>
      <c r="H461" s="390">
        <f t="shared" si="15"/>
        <v>3</v>
      </c>
      <c r="I461" s="374">
        <v>8</v>
      </c>
      <c r="J461" s="374">
        <v>4.2930000000000001</v>
      </c>
      <c r="K461" s="374">
        <v>0</v>
      </c>
      <c r="L461" s="428">
        <v>4.2930000000000001</v>
      </c>
      <c r="M461" s="374">
        <v>0</v>
      </c>
      <c r="N461" s="374">
        <v>0</v>
      </c>
      <c r="O461" s="374">
        <v>4.165</v>
      </c>
      <c r="P461" s="374">
        <v>0</v>
      </c>
    </row>
    <row r="462" spans="4:16">
      <c r="D462" s="374" t="s">
        <v>523</v>
      </c>
      <c r="E462" s="374" t="s">
        <v>524</v>
      </c>
      <c r="F462" s="427">
        <v>41730</v>
      </c>
      <c r="G462" s="390">
        <f t="shared" si="14"/>
        <v>2014</v>
      </c>
      <c r="H462" s="390">
        <f t="shared" si="15"/>
        <v>4</v>
      </c>
      <c r="I462" s="374">
        <v>9</v>
      </c>
      <c r="J462" s="374">
        <v>2.516</v>
      </c>
      <c r="K462" s="374">
        <v>0</v>
      </c>
      <c r="L462" s="428">
        <v>2.516</v>
      </c>
      <c r="M462" s="374">
        <v>0</v>
      </c>
      <c r="N462" s="374">
        <v>0</v>
      </c>
      <c r="O462" s="374">
        <v>2.4420000000000002</v>
      </c>
      <c r="P462" s="374">
        <v>0</v>
      </c>
    </row>
    <row r="463" spans="4:16">
      <c r="D463" s="374" t="s">
        <v>523</v>
      </c>
      <c r="E463" s="374" t="s">
        <v>524</v>
      </c>
      <c r="F463" s="427">
        <v>41789</v>
      </c>
      <c r="G463" s="390">
        <f t="shared" si="14"/>
        <v>2014</v>
      </c>
      <c r="H463" s="390">
        <f t="shared" si="15"/>
        <v>5</v>
      </c>
      <c r="I463" s="374">
        <v>17</v>
      </c>
      <c r="J463" s="374">
        <v>2.8050000000000002</v>
      </c>
      <c r="K463" s="374">
        <v>0</v>
      </c>
      <c r="L463" s="428">
        <v>2.8050000000000002</v>
      </c>
      <c r="M463" s="374">
        <v>0</v>
      </c>
      <c r="N463" s="374">
        <v>0</v>
      </c>
      <c r="O463" s="374">
        <v>2.7080000000000002</v>
      </c>
      <c r="P463" s="374">
        <v>0</v>
      </c>
    </row>
    <row r="464" spans="4:16">
      <c r="D464" s="374" t="s">
        <v>523</v>
      </c>
      <c r="E464" s="374" t="s">
        <v>524</v>
      </c>
      <c r="F464" s="427">
        <v>41808</v>
      </c>
      <c r="G464" s="390">
        <f t="shared" si="14"/>
        <v>2014</v>
      </c>
      <c r="H464" s="390">
        <f t="shared" si="15"/>
        <v>6</v>
      </c>
      <c r="I464" s="374">
        <v>18</v>
      </c>
      <c r="J464" s="374">
        <v>3.181</v>
      </c>
      <c r="K464" s="374">
        <v>0</v>
      </c>
      <c r="L464" s="428">
        <v>3.181</v>
      </c>
      <c r="M464" s="374">
        <v>0</v>
      </c>
      <c r="N464" s="374">
        <v>0</v>
      </c>
      <c r="O464" s="374">
        <v>3.0790000000000002</v>
      </c>
      <c r="P464" s="374">
        <v>0</v>
      </c>
    </row>
    <row r="465" spans="4:16">
      <c r="D465" s="374" t="s">
        <v>523</v>
      </c>
      <c r="E465" s="374" t="s">
        <v>524</v>
      </c>
      <c r="F465" s="427">
        <v>41842</v>
      </c>
      <c r="G465" s="390">
        <f t="shared" si="14"/>
        <v>2014</v>
      </c>
      <c r="H465" s="390">
        <f t="shared" si="15"/>
        <v>7</v>
      </c>
      <c r="I465" s="374">
        <v>17</v>
      </c>
      <c r="J465" s="374">
        <v>3.5920000000000001</v>
      </c>
      <c r="K465" s="374">
        <v>0</v>
      </c>
      <c r="L465" s="428">
        <v>3.5920000000000001</v>
      </c>
      <c r="M465" s="374">
        <v>0</v>
      </c>
      <c r="N465" s="374">
        <v>0</v>
      </c>
      <c r="O465" s="374">
        <v>3.51</v>
      </c>
      <c r="P465" s="374">
        <v>0</v>
      </c>
    </row>
    <row r="466" spans="4:16">
      <c r="D466" s="374" t="s">
        <v>523</v>
      </c>
      <c r="E466" s="374" t="s">
        <v>524</v>
      </c>
      <c r="F466" s="427">
        <v>41876</v>
      </c>
      <c r="G466" s="390">
        <f t="shared" si="14"/>
        <v>2014</v>
      </c>
      <c r="H466" s="390">
        <f t="shared" si="15"/>
        <v>8</v>
      </c>
      <c r="I466" s="374">
        <v>17</v>
      </c>
      <c r="J466" s="374">
        <v>3.379</v>
      </c>
      <c r="K466" s="374">
        <v>0</v>
      </c>
      <c r="L466" s="428">
        <v>3.379</v>
      </c>
      <c r="M466" s="374">
        <v>0</v>
      </c>
      <c r="N466" s="374">
        <v>0</v>
      </c>
      <c r="O466" s="374">
        <v>3.3919999999999999</v>
      </c>
      <c r="P466" s="374">
        <v>0</v>
      </c>
    </row>
    <row r="467" spans="4:16">
      <c r="D467" s="374" t="s">
        <v>523</v>
      </c>
      <c r="E467" s="374" t="s">
        <v>524</v>
      </c>
      <c r="F467" s="427">
        <v>41886</v>
      </c>
      <c r="G467" s="390">
        <f t="shared" si="14"/>
        <v>2014</v>
      </c>
      <c r="H467" s="390">
        <f t="shared" si="15"/>
        <v>9</v>
      </c>
      <c r="I467" s="374">
        <v>17</v>
      </c>
      <c r="J467" s="374">
        <v>3.8220000000000001</v>
      </c>
      <c r="K467" s="374">
        <v>0</v>
      </c>
      <c r="L467" s="428">
        <v>3.8220000000000001</v>
      </c>
      <c r="M467" s="374">
        <v>0</v>
      </c>
      <c r="N467" s="374">
        <v>0</v>
      </c>
      <c r="O467" s="374">
        <v>3.8719999999999999</v>
      </c>
      <c r="P467" s="374">
        <v>0</v>
      </c>
    </row>
    <row r="468" spans="4:16">
      <c r="D468" s="374" t="s">
        <v>523</v>
      </c>
      <c r="E468" s="374" t="s">
        <v>524</v>
      </c>
      <c r="F468" s="427">
        <v>41939</v>
      </c>
      <c r="G468" s="390">
        <f t="shared" si="14"/>
        <v>2014</v>
      </c>
      <c r="H468" s="390">
        <f t="shared" si="15"/>
        <v>10</v>
      </c>
      <c r="I468" s="374">
        <v>19</v>
      </c>
      <c r="J468" s="374">
        <v>2.9649999999999999</v>
      </c>
      <c r="K468" s="374">
        <v>0</v>
      </c>
      <c r="L468" s="428">
        <v>2.9649999999999999</v>
      </c>
      <c r="M468" s="429">
        <v>2906</v>
      </c>
      <c r="N468" s="374">
        <v>0.10199999999999999</v>
      </c>
      <c r="O468" s="374">
        <v>2.9609999999999999</v>
      </c>
      <c r="P468" s="374">
        <v>0</v>
      </c>
    </row>
    <row r="469" spans="4:16">
      <c r="D469" s="374" t="s">
        <v>523</v>
      </c>
      <c r="E469" s="374" t="s">
        <v>524</v>
      </c>
      <c r="F469" s="427">
        <v>41960</v>
      </c>
      <c r="G469" s="390">
        <f t="shared" si="14"/>
        <v>2014</v>
      </c>
      <c r="H469" s="390">
        <f t="shared" si="15"/>
        <v>11</v>
      </c>
      <c r="I469" s="374">
        <v>18</v>
      </c>
      <c r="J469" s="374">
        <v>2.6760000000000002</v>
      </c>
      <c r="K469" s="374">
        <v>0</v>
      </c>
      <c r="L469" s="428">
        <v>2.6760000000000002</v>
      </c>
      <c r="M469" s="374">
        <v>0</v>
      </c>
      <c r="N469" s="374">
        <v>0</v>
      </c>
      <c r="O469" s="374">
        <v>2.6709999999999998</v>
      </c>
      <c r="P469" s="374">
        <v>0</v>
      </c>
    </row>
    <row r="470" spans="4:16">
      <c r="D470" s="374" t="s">
        <v>523</v>
      </c>
      <c r="E470" s="374" t="s">
        <v>524</v>
      </c>
      <c r="F470" s="427">
        <v>41974</v>
      </c>
      <c r="G470" s="390">
        <f t="shared" si="14"/>
        <v>2014</v>
      </c>
      <c r="H470" s="390">
        <f t="shared" si="15"/>
        <v>12</v>
      </c>
      <c r="I470" s="374">
        <v>19</v>
      </c>
      <c r="J470" s="374">
        <v>3.14</v>
      </c>
      <c r="K470" s="374">
        <v>0</v>
      </c>
      <c r="L470" s="428">
        <v>3.14</v>
      </c>
      <c r="M470" s="374">
        <v>0</v>
      </c>
      <c r="N470" s="374">
        <v>0</v>
      </c>
      <c r="O470" s="374">
        <v>3.1480000000000001</v>
      </c>
      <c r="P470" s="374">
        <v>0</v>
      </c>
    </row>
    <row r="471" spans="4:16">
      <c r="D471" s="374" t="s">
        <v>523</v>
      </c>
      <c r="E471" s="374" t="s">
        <v>524</v>
      </c>
      <c r="F471" s="427">
        <v>42011</v>
      </c>
      <c r="G471" s="390">
        <f t="shared" si="14"/>
        <v>2015</v>
      </c>
      <c r="H471" s="390">
        <f t="shared" si="15"/>
        <v>1</v>
      </c>
      <c r="I471" s="374">
        <v>19</v>
      </c>
      <c r="J471" s="374">
        <v>3.02</v>
      </c>
      <c r="K471" s="374">
        <v>0</v>
      </c>
      <c r="L471" s="428">
        <v>3.02</v>
      </c>
      <c r="M471" s="429">
        <v>3438</v>
      </c>
      <c r="N471" s="374">
        <v>8.7999999999999995E-2</v>
      </c>
      <c r="O471" s="374">
        <v>3.0289999999999999</v>
      </c>
      <c r="P471" s="374">
        <v>0</v>
      </c>
    </row>
    <row r="472" spans="4:16">
      <c r="D472" s="374" t="s">
        <v>523</v>
      </c>
      <c r="E472" s="374" t="s">
        <v>524</v>
      </c>
      <c r="F472" s="427">
        <v>42053</v>
      </c>
      <c r="G472" s="390">
        <f t="shared" si="14"/>
        <v>2015</v>
      </c>
      <c r="H472" s="390">
        <f t="shared" si="15"/>
        <v>2</v>
      </c>
      <c r="I472" s="374">
        <v>19</v>
      </c>
      <c r="J472" s="374">
        <v>3.3170000000000002</v>
      </c>
      <c r="K472" s="374">
        <v>0</v>
      </c>
      <c r="L472" s="428">
        <v>3.3170000000000002</v>
      </c>
      <c r="M472" s="429">
        <v>3305</v>
      </c>
      <c r="N472" s="374">
        <v>0.1</v>
      </c>
      <c r="O472" s="374">
        <v>3.2869999999999999</v>
      </c>
      <c r="P472" s="374">
        <v>0</v>
      </c>
    </row>
    <row r="473" spans="4:16">
      <c r="D473" s="374" t="s">
        <v>523</v>
      </c>
      <c r="E473" s="374" t="s">
        <v>524</v>
      </c>
      <c r="F473" s="427">
        <v>42067</v>
      </c>
      <c r="G473" s="390">
        <f t="shared" si="14"/>
        <v>2015</v>
      </c>
      <c r="H473" s="390">
        <f t="shared" si="15"/>
        <v>3</v>
      </c>
      <c r="I473" s="374">
        <v>9</v>
      </c>
      <c r="J473" s="374">
        <v>3.3220000000000001</v>
      </c>
      <c r="K473" s="374">
        <v>0</v>
      </c>
      <c r="L473" s="428">
        <v>3.3220000000000001</v>
      </c>
      <c r="M473" s="374">
        <v>0</v>
      </c>
      <c r="N473" s="374">
        <v>0</v>
      </c>
      <c r="O473" s="374">
        <v>3.2749999999999999</v>
      </c>
      <c r="P473" s="374">
        <v>0</v>
      </c>
    </row>
    <row r="474" spans="4:16">
      <c r="D474" s="374" t="s">
        <v>523</v>
      </c>
      <c r="E474" s="374" t="s">
        <v>524</v>
      </c>
      <c r="F474" s="427">
        <v>42103</v>
      </c>
      <c r="G474" s="390">
        <f t="shared" si="14"/>
        <v>2015</v>
      </c>
      <c r="H474" s="390">
        <f t="shared" si="15"/>
        <v>4</v>
      </c>
      <c r="I474" s="374">
        <v>11</v>
      </c>
      <c r="J474" s="374">
        <v>2.3029999999999999</v>
      </c>
      <c r="K474" s="374">
        <v>0</v>
      </c>
      <c r="L474" s="428">
        <v>2.3029999999999999</v>
      </c>
      <c r="M474" s="374">
        <v>0</v>
      </c>
      <c r="N474" s="374">
        <v>0</v>
      </c>
      <c r="O474" s="374">
        <v>2.2959999999999998</v>
      </c>
      <c r="P474" s="374">
        <v>0</v>
      </c>
    </row>
    <row r="475" spans="4:16">
      <c r="D475" s="374" t="s">
        <v>523</v>
      </c>
      <c r="E475" s="374" t="s">
        <v>524</v>
      </c>
      <c r="F475" s="427">
        <v>42152</v>
      </c>
      <c r="G475" s="390">
        <f t="shared" si="14"/>
        <v>2015</v>
      </c>
      <c r="H475" s="390">
        <f t="shared" si="15"/>
        <v>5</v>
      </c>
      <c r="I475" s="374">
        <v>15</v>
      </c>
      <c r="J475" s="374">
        <v>2.4489999999999998</v>
      </c>
      <c r="K475" s="374">
        <v>0</v>
      </c>
      <c r="L475" s="428">
        <v>2.4489999999999998</v>
      </c>
      <c r="M475" s="374">
        <v>0</v>
      </c>
      <c r="N475" s="374">
        <v>0</v>
      </c>
      <c r="O475" s="374">
        <v>2.4249999999999998</v>
      </c>
      <c r="P475" s="374">
        <v>0</v>
      </c>
    </row>
    <row r="476" spans="4:16">
      <c r="D476" s="374" t="s">
        <v>523</v>
      </c>
      <c r="E476" s="374" t="s">
        <v>524</v>
      </c>
      <c r="F476" s="427">
        <v>42165</v>
      </c>
      <c r="G476" s="390">
        <f t="shared" si="14"/>
        <v>2015</v>
      </c>
      <c r="H476" s="390">
        <f t="shared" si="15"/>
        <v>6</v>
      </c>
      <c r="I476" s="374">
        <v>18</v>
      </c>
      <c r="J476" s="374">
        <v>3.395</v>
      </c>
      <c r="K476" s="374">
        <v>0</v>
      </c>
      <c r="L476" s="428">
        <v>3.395</v>
      </c>
      <c r="M476" s="374">
        <v>0</v>
      </c>
      <c r="N476" s="374">
        <v>0</v>
      </c>
      <c r="O476" s="374">
        <v>3.38</v>
      </c>
      <c r="P476" s="374">
        <v>0</v>
      </c>
    </row>
    <row r="477" spans="4:16">
      <c r="D477" s="374" t="s">
        <v>523</v>
      </c>
      <c r="E477" s="374" t="s">
        <v>524</v>
      </c>
      <c r="F477" s="427">
        <v>42198</v>
      </c>
      <c r="G477" s="390">
        <f t="shared" si="14"/>
        <v>2015</v>
      </c>
      <c r="H477" s="390">
        <f t="shared" si="15"/>
        <v>7</v>
      </c>
      <c r="I477" s="374">
        <v>16</v>
      </c>
      <c r="J477" s="374">
        <v>4.1020000000000003</v>
      </c>
      <c r="K477" s="374">
        <v>0</v>
      </c>
      <c r="L477" s="428">
        <v>4.1020000000000003</v>
      </c>
      <c r="M477" s="374">
        <v>0</v>
      </c>
      <c r="N477" s="374">
        <v>0</v>
      </c>
      <c r="O477" s="374">
        <v>4.0490000000000004</v>
      </c>
      <c r="P477" s="374">
        <v>0</v>
      </c>
    </row>
    <row r="478" spans="4:16">
      <c r="D478" s="374" t="s">
        <v>523</v>
      </c>
      <c r="E478" s="374" t="s">
        <v>524</v>
      </c>
      <c r="F478" s="427">
        <v>42230</v>
      </c>
      <c r="G478" s="390">
        <f t="shared" si="14"/>
        <v>2015</v>
      </c>
      <c r="H478" s="390">
        <f t="shared" si="15"/>
        <v>8</v>
      </c>
      <c r="I478" s="374">
        <v>17</v>
      </c>
      <c r="J478" s="374">
        <v>4.2859999999999996</v>
      </c>
      <c r="K478" s="374">
        <v>0</v>
      </c>
      <c r="L478" s="428">
        <v>4.2859999999999996</v>
      </c>
      <c r="M478" s="374">
        <v>0</v>
      </c>
      <c r="N478" s="374">
        <v>0</v>
      </c>
      <c r="O478" s="374">
        <v>4.2350000000000003</v>
      </c>
      <c r="P478" s="374">
        <v>0</v>
      </c>
    </row>
    <row r="479" spans="4:16">
      <c r="D479" s="374" t="s">
        <v>523</v>
      </c>
      <c r="E479" s="374" t="s">
        <v>524</v>
      </c>
      <c r="F479" s="427">
        <v>42250</v>
      </c>
      <c r="G479" s="390">
        <f t="shared" si="14"/>
        <v>2015</v>
      </c>
      <c r="H479" s="390">
        <f t="shared" si="15"/>
        <v>9</v>
      </c>
      <c r="I479" s="374">
        <v>17</v>
      </c>
      <c r="J479" s="374">
        <v>4.21</v>
      </c>
      <c r="K479" s="374">
        <v>0</v>
      </c>
      <c r="L479" s="428">
        <v>4.21</v>
      </c>
      <c r="M479" s="374">
        <v>0</v>
      </c>
      <c r="N479" s="374">
        <v>0</v>
      </c>
      <c r="O479" s="374">
        <v>4.1559999999999997</v>
      </c>
      <c r="P479" s="374">
        <v>0</v>
      </c>
    </row>
    <row r="480" spans="4:16">
      <c r="D480" s="374" t="s">
        <v>523</v>
      </c>
      <c r="E480" s="374" t="s">
        <v>524</v>
      </c>
      <c r="F480" s="427">
        <v>42284</v>
      </c>
      <c r="G480" s="390">
        <f t="shared" si="14"/>
        <v>2015</v>
      </c>
      <c r="H480" s="390">
        <f t="shared" si="15"/>
        <v>10</v>
      </c>
      <c r="I480" s="374">
        <v>15</v>
      </c>
      <c r="J480" s="374">
        <v>3.347</v>
      </c>
      <c r="K480" s="374">
        <v>0</v>
      </c>
      <c r="L480" s="428">
        <v>3.347</v>
      </c>
      <c r="M480" s="374">
        <v>0</v>
      </c>
      <c r="N480" s="374">
        <v>0</v>
      </c>
      <c r="O480" s="374">
        <v>3.3050000000000002</v>
      </c>
      <c r="P480" s="374">
        <v>0</v>
      </c>
    </row>
    <row r="481" spans="4:16">
      <c r="D481" s="374" t="s">
        <v>523</v>
      </c>
      <c r="E481" s="374" t="s">
        <v>524</v>
      </c>
      <c r="F481" s="427">
        <v>42338</v>
      </c>
      <c r="G481" s="390">
        <f t="shared" si="14"/>
        <v>2015</v>
      </c>
      <c r="H481" s="390">
        <f t="shared" si="15"/>
        <v>11</v>
      </c>
      <c r="I481" s="374">
        <v>18</v>
      </c>
      <c r="J481" s="374">
        <v>3.4689999999999999</v>
      </c>
      <c r="K481" s="374">
        <v>0</v>
      </c>
      <c r="L481" s="428">
        <v>3.4689999999999999</v>
      </c>
      <c r="M481" s="374">
        <v>0</v>
      </c>
      <c r="N481" s="374">
        <v>0</v>
      </c>
      <c r="O481" s="374">
        <v>3.4129999999999998</v>
      </c>
      <c r="P481" s="374">
        <v>0</v>
      </c>
    </row>
    <row r="482" spans="4:16">
      <c r="D482" s="374" t="s">
        <v>523</v>
      </c>
      <c r="E482" s="374" t="s">
        <v>524</v>
      </c>
      <c r="F482" s="427">
        <v>42355</v>
      </c>
      <c r="G482" s="390">
        <f t="shared" si="14"/>
        <v>2015</v>
      </c>
      <c r="H482" s="390">
        <f t="shared" si="15"/>
        <v>12</v>
      </c>
      <c r="I482" s="374">
        <v>19</v>
      </c>
      <c r="J482" s="374">
        <v>2.617</v>
      </c>
      <c r="K482" s="374">
        <v>0</v>
      </c>
      <c r="L482" s="428">
        <v>2.617</v>
      </c>
      <c r="M482" s="374">
        <v>0</v>
      </c>
      <c r="N482" s="374">
        <v>0</v>
      </c>
      <c r="O482" s="374">
        <v>2.5910000000000002</v>
      </c>
      <c r="P482" s="374">
        <v>0</v>
      </c>
    </row>
    <row r="483" spans="4:16">
      <c r="D483" s="374" t="s">
        <v>523</v>
      </c>
      <c r="E483" s="430" t="s">
        <v>526</v>
      </c>
      <c r="F483" s="431">
        <v>40927</v>
      </c>
      <c r="G483" s="390">
        <f t="shared" si="14"/>
        <v>2012</v>
      </c>
      <c r="H483" s="390">
        <f t="shared" si="15"/>
        <v>1</v>
      </c>
      <c r="I483" s="430">
        <v>19</v>
      </c>
      <c r="J483" s="430">
        <v>3.302</v>
      </c>
      <c r="K483" s="430">
        <v>0</v>
      </c>
      <c r="L483" s="432">
        <v>3.302</v>
      </c>
      <c r="M483" s="430">
        <v>0</v>
      </c>
      <c r="N483" s="433">
        <v>0</v>
      </c>
      <c r="O483" s="430">
        <v>3.3839999999999999</v>
      </c>
      <c r="P483" s="430">
        <v>0</v>
      </c>
    </row>
    <row r="484" spans="4:16">
      <c r="D484" s="374" t="s">
        <v>523</v>
      </c>
      <c r="E484" s="430" t="s">
        <v>526</v>
      </c>
      <c r="F484" s="431">
        <v>40952</v>
      </c>
      <c r="G484" s="390">
        <f t="shared" si="14"/>
        <v>2012</v>
      </c>
      <c r="H484" s="390">
        <f t="shared" si="15"/>
        <v>2</v>
      </c>
      <c r="I484" s="430">
        <v>19</v>
      </c>
      <c r="J484" s="430">
        <v>3.0169999999999999</v>
      </c>
      <c r="K484" s="430">
        <v>0</v>
      </c>
      <c r="L484" s="432">
        <v>3.0169999999999999</v>
      </c>
      <c r="M484" s="430">
        <v>0</v>
      </c>
      <c r="N484" s="433">
        <v>0</v>
      </c>
      <c r="O484" s="430">
        <v>3.069</v>
      </c>
      <c r="P484" s="430">
        <v>0</v>
      </c>
    </row>
    <row r="485" spans="4:16">
      <c r="D485" s="374" t="s">
        <v>523</v>
      </c>
      <c r="E485" s="430" t="s">
        <v>526</v>
      </c>
      <c r="F485" s="431">
        <v>40973</v>
      </c>
      <c r="G485" s="390">
        <f t="shared" si="14"/>
        <v>2012</v>
      </c>
      <c r="H485" s="390">
        <f t="shared" si="15"/>
        <v>3</v>
      </c>
      <c r="I485" s="430">
        <v>8</v>
      </c>
      <c r="J485" s="430">
        <v>3.4849999999999999</v>
      </c>
      <c r="K485" s="430">
        <v>0</v>
      </c>
      <c r="L485" s="432">
        <v>3.4849999999999999</v>
      </c>
      <c r="M485" s="430">
        <v>0</v>
      </c>
      <c r="N485" s="433">
        <v>0</v>
      </c>
      <c r="O485" s="430">
        <v>3.6269999999999998</v>
      </c>
      <c r="P485" s="430">
        <v>0</v>
      </c>
    </row>
    <row r="486" spans="4:16">
      <c r="D486" s="374" t="s">
        <v>523</v>
      </c>
      <c r="E486" s="430" t="s">
        <v>526</v>
      </c>
      <c r="F486" s="431">
        <v>41001</v>
      </c>
      <c r="G486" s="390">
        <f t="shared" si="14"/>
        <v>2012</v>
      </c>
      <c r="H486" s="390">
        <f t="shared" si="15"/>
        <v>4</v>
      </c>
      <c r="I486" s="430">
        <v>21</v>
      </c>
      <c r="J486" s="430">
        <v>2.5219999999999998</v>
      </c>
      <c r="K486" s="430">
        <v>0</v>
      </c>
      <c r="L486" s="432">
        <v>2.5219999999999998</v>
      </c>
      <c r="M486" s="430">
        <v>0</v>
      </c>
      <c r="N486" s="433">
        <v>0</v>
      </c>
      <c r="O486" s="430">
        <v>2.62</v>
      </c>
      <c r="P486" s="430">
        <v>0</v>
      </c>
    </row>
    <row r="487" spans="4:16">
      <c r="D487" s="374" t="s">
        <v>523</v>
      </c>
      <c r="E487" s="430" t="s">
        <v>526</v>
      </c>
      <c r="F487" s="431">
        <v>41053</v>
      </c>
      <c r="G487" s="390">
        <f t="shared" si="14"/>
        <v>2012</v>
      </c>
      <c r="H487" s="390">
        <f t="shared" si="15"/>
        <v>5</v>
      </c>
      <c r="I487" s="430">
        <v>14</v>
      </c>
      <c r="J487" s="430">
        <v>4.0469999999999997</v>
      </c>
      <c r="K487" s="430">
        <v>0</v>
      </c>
      <c r="L487" s="432">
        <v>4.0469999999999997</v>
      </c>
      <c r="M487" s="430">
        <v>0</v>
      </c>
      <c r="N487" s="433">
        <v>0</v>
      </c>
      <c r="O487" s="430">
        <v>4.149</v>
      </c>
      <c r="P487" s="430">
        <v>0</v>
      </c>
    </row>
    <row r="488" spans="4:16">
      <c r="D488" s="374" t="s">
        <v>523</v>
      </c>
      <c r="E488" s="430" t="s">
        <v>526</v>
      </c>
      <c r="F488" s="431">
        <v>41087</v>
      </c>
      <c r="G488" s="390">
        <f t="shared" si="14"/>
        <v>2012</v>
      </c>
      <c r="H488" s="390">
        <f t="shared" si="15"/>
        <v>6</v>
      </c>
      <c r="I488" s="430">
        <v>17</v>
      </c>
      <c r="J488" s="430">
        <v>5.2149999999999999</v>
      </c>
      <c r="K488" s="430">
        <v>0</v>
      </c>
      <c r="L488" s="432">
        <v>5.2149999999999999</v>
      </c>
      <c r="M488" s="430">
        <v>0</v>
      </c>
      <c r="N488" s="433">
        <v>0</v>
      </c>
      <c r="O488" s="430">
        <v>5.3109999999999999</v>
      </c>
      <c r="P488" s="430">
        <v>0</v>
      </c>
    </row>
    <row r="489" spans="4:16">
      <c r="D489" s="374" t="s">
        <v>523</v>
      </c>
      <c r="E489" s="430" t="s">
        <v>526</v>
      </c>
      <c r="F489" s="431">
        <v>41115</v>
      </c>
      <c r="G489" s="390">
        <f t="shared" si="14"/>
        <v>2012</v>
      </c>
      <c r="H489" s="390">
        <f t="shared" si="15"/>
        <v>7</v>
      </c>
      <c r="I489" s="430">
        <v>17</v>
      </c>
      <c r="J489" s="430">
        <v>2.4E-2</v>
      </c>
      <c r="K489" s="430">
        <v>4.9800000000000004</v>
      </c>
      <c r="L489" s="432">
        <v>5.0039999999999996</v>
      </c>
      <c r="M489" s="430">
        <v>0</v>
      </c>
      <c r="N489" s="433">
        <v>0</v>
      </c>
      <c r="O489" s="430">
        <v>1E-3</v>
      </c>
      <c r="P489" s="430">
        <v>4.9800000000000004</v>
      </c>
    </row>
    <row r="490" spans="4:16">
      <c r="D490" s="374" t="s">
        <v>523</v>
      </c>
      <c r="E490" s="430" t="s">
        <v>526</v>
      </c>
      <c r="F490" s="431">
        <v>41124</v>
      </c>
      <c r="G490" s="390">
        <f t="shared" si="14"/>
        <v>2012</v>
      </c>
      <c r="H490" s="390">
        <f t="shared" si="15"/>
        <v>8</v>
      </c>
      <c r="I490" s="430">
        <v>17</v>
      </c>
      <c r="J490" s="430">
        <v>4.5960000000000001</v>
      </c>
      <c r="K490" s="430">
        <v>0</v>
      </c>
      <c r="L490" s="432">
        <v>4.5960000000000001</v>
      </c>
      <c r="M490" s="430">
        <v>0</v>
      </c>
      <c r="N490" s="433">
        <v>0</v>
      </c>
      <c r="O490" s="430">
        <v>4.6989999999999998</v>
      </c>
      <c r="P490" s="430">
        <v>0</v>
      </c>
    </row>
    <row r="491" spans="4:16">
      <c r="D491" s="374" t="s">
        <v>523</v>
      </c>
      <c r="E491" s="430" t="s">
        <v>526</v>
      </c>
      <c r="F491" s="431">
        <v>41156</v>
      </c>
      <c r="G491" s="390">
        <f t="shared" si="14"/>
        <v>2012</v>
      </c>
      <c r="H491" s="390">
        <f t="shared" si="15"/>
        <v>9</v>
      </c>
      <c r="I491" s="430">
        <v>17</v>
      </c>
      <c r="J491" s="430">
        <v>4.9569999999999999</v>
      </c>
      <c r="K491" s="430">
        <v>0</v>
      </c>
      <c r="L491" s="432">
        <v>4.9569999999999999</v>
      </c>
      <c r="M491" s="430">
        <v>0</v>
      </c>
      <c r="N491" s="433">
        <v>0</v>
      </c>
      <c r="O491" s="430">
        <v>5.0350000000000001</v>
      </c>
      <c r="P491" s="430">
        <v>0</v>
      </c>
    </row>
    <row r="492" spans="4:16">
      <c r="D492" s="374" t="s">
        <v>523</v>
      </c>
      <c r="E492" s="430" t="s">
        <v>526</v>
      </c>
      <c r="F492" s="431">
        <v>41211</v>
      </c>
      <c r="G492" s="390">
        <f t="shared" si="14"/>
        <v>2012</v>
      </c>
      <c r="H492" s="390">
        <f t="shared" si="15"/>
        <v>10</v>
      </c>
      <c r="I492" s="430">
        <v>8</v>
      </c>
      <c r="J492" s="430">
        <v>3.5449999999999999</v>
      </c>
      <c r="K492" s="430">
        <v>0</v>
      </c>
      <c r="L492" s="432">
        <v>3.5449999999999999</v>
      </c>
      <c r="M492" s="430">
        <v>0</v>
      </c>
      <c r="N492" s="433">
        <v>0</v>
      </c>
      <c r="O492" s="430">
        <v>3.601</v>
      </c>
      <c r="P492" s="430">
        <v>0</v>
      </c>
    </row>
    <row r="493" spans="4:16">
      <c r="D493" s="374" t="s">
        <v>523</v>
      </c>
      <c r="E493" s="430" t="s">
        <v>526</v>
      </c>
      <c r="F493" s="431">
        <v>41225</v>
      </c>
      <c r="G493" s="390">
        <f t="shared" si="14"/>
        <v>2012</v>
      </c>
      <c r="H493" s="390">
        <f t="shared" si="15"/>
        <v>11</v>
      </c>
      <c r="I493" s="430">
        <v>18</v>
      </c>
      <c r="J493" s="430">
        <v>3.274</v>
      </c>
      <c r="K493" s="430">
        <v>0</v>
      </c>
      <c r="L493" s="432">
        <v>3.274</v>
      </c>
      <c r="M493" s="430">
        <v>0</v>
      </c>
      <c r="N493" s="433">
        <v>0</v>
      </c>
      <c r="O493" s="430">
        <v>3.3039999999999998</v>
      </c>
      <c r="P493" s="430">
        <v>0</v>
      </c>
    </row>
    <row r="494" spans="4:16">
      <c r="D494" s="374" t="s">
        <v>523</v>
      </c>
      <c r="E494" s="430" t="s">
        <v>526</v>
      </c>
      <c r="F494" s="431">
        <v>41263</v>
      </c>
      <c r="G494" s="390">
        <f t="shared" si="14"/>
        <v>2012</v>
      </c>
      <c r="H494" s="390">
        <f t="shared" si="15"/>
        <v>12</v>
      </c>
      <c r="I494" s="430">
        <v>18</v>
      </c>
      <c r="J494" s="430">
        <v>3.4569999999999999</v>
      </c>
      <c r="K494" s="430">
        <v>0</v>
      </c>
      <c r="L494" s="432">
        <v>3.4569999999999999</v>
      </c>
      <c r="M494" s="430">
        <v>0</v>
      </c>
      <c r="N494" s="433">
        <v>0</v>
      </c>
      <c r="O494" s="430">
        <v>3.4940000000000002</v>
      </c>
      <c r="P494" s="430">
        <v>0</v>
      </c>
    </row>
    <row r="495" spans="4:16">
      <c r="D495" s="374" t="s">
        <v>523</v>
      </c>
      <c r="E495" s="430" t="s">
        <v>526</v>
      </c>
      <c r="F495" s="431">
        <v>41305</v>
      </c>
      <c r="G495" s="390">
        <f t="shared" si="14"/>
        <v>2013</v>
      </c>
      <c r="H495" s="390">
        <f t="shared" si="15"/>
        <v>1</v>
      </c>
      <c r="I495" s="430">
        <v>19</v>
      </c>
      <c r="J495" s="430">
        <v>3.5169999999999999</v>
      </c>
      <c r="K495" s="430">
        <v>0</v>
      </c>
      <c r="L495" s="432">
        <v>3.5169999999999999</v>
      </c>
      <c r="M495" s="430">
        <v>0</v>
      </c>
      <c r="N495" s="433">
        <v>0</v>
      </c>
      <c r="O495" s="430">
        <v>3.5510000000000002</v>
      </c>
      <c r="P495" s="430">
        <v>0</v>
      </c>
    </row>
    <row r="496" spans="4:16">
      <c r="D496" s="374" t="s">
        <v>523</v>
      </c>
      <c r="E496" s="430" t="s">
        <v>526</v>
      </c>
      <c r="F496" s="431">
        <v>41306</v>
      </c>
      <c r="G496" s="390">
        <f t="shared" si="14"/>
        <v>2013</v>
      </c>
      <c r="H496" s="390">
        <f t="shared" si="15"/>
        <v>2</v>
      </c>
      <c r="I496" s="430">
        <v>8</v>
      </c>
      <c r="J496" s="430">
        <v>4.1139999999999999</v>
      </c>
      <c r="K496" s="430">
        <v>0</v>
      </c>
      <c r="L496" s="432">
        <v>4.1139999999999999</v>
      </c>
      <c r="M496" s="430">
        <v>0</v>
      </c>
      <c r="N496" s="433">
        <v>0</v>
      </c>
      <c r="O496" s="430">
        <v>4.16</v>
      </c>
      <c r="P496" s="430">
        <v>0</v>
      </c>
    </row>
    <row r="497" spans="4:16">
      <c r="D497" s="374" t="s">
        <v>523</v>
      </c>
      <c r="E497" s="430" t="s">
        <v>526</v>
      </c>
      <c r="F497" s="431">
        <v>41354</v>
      </c>
      <c r="G497" s="390">
        <f t="shared" si="14"/>
        <v>2013</v>
      </c>
      <c r="H497" s="390">
        <f t="shared" si="15"/>
        <v>3</v>
      </c>
      <c r="I497" s="430">
        <v>8</v>
      </c>
      <c r="J497" s="430">
        <v>3.7</v>
      </c>
      <c r="K497" s="430">
        <v>0</v>
      </c>
      <c r="L497" s="432">
        <v>3.7</v>
      </c>
      <c r="M497" s="430">
        <v>0</v>
      </c>
      <c r="N497" s="433">
        <v>0</v>
      </c>
      <c r="O497" s="430">
        <v>3.7469999999999999</v>
      </c>
      <c r="P497" s="430">
        <v>0</v>
      </c>
    </row>
    <row r="498" spans="4:16">
      <c r="D498" s="374" t="s">
        <v>523</v>
      </c>
      <c r="E498" s="430" t="s">
        <v>526</v>
      </c>
      <c r="F498" s="431">
        <v>41366</v>
      </c>
      <c r="G498" s="390">
        <f t="shared" si="14"/>
        <v>2013</v>
      </c>
      <c r="H498" s="390">
        <f t="shared" si="15"/>
        <v>4</v>
      </c>
      <c r="I498" s="430">
        <v>8</v>
      </c>
      <c r="J498" s="430">
        <v>3.504</v>
      </c>
      <c r="K498" s="430">
        <v>0</v>
      </c>
      <c r="L498" s="432">
        <v>3.504</v>
      </c>
      <c r="M498" s="430">
        <v>0</v>
      </c>
      <c r="N498" s="433">
        <v>0</v>
      </c>
      <c r="O498" s="430">
        <v>3.55</v>
      </c>
      <c r="P498" s="430">
        <v>0</v>
      </c>
    </row>
    <row r="499" spans="4:16">
      <c r="D499" s="374" t="s">
        <v>523</v>
      </c>
      <c r="E499" s="430" t="s">
        <v>526</v>
      </c>
      <c r="F499" s="431">
        <v>41424</v>
      </c>
      <c r="G499" s="390">
        <f t="shared" si="14"/>
        <v>2013</v>
      </c>
      <c r="H499" s="390">
        <f t="shared" si="15"/>
        <v>5</v>
      </c>
      <c r="I499" s="430">
        <v>12</v>
      </c>
      <c r="J499" s="430">
        <v>3.915</v>
      </c>
      <c r="K499" s="430">
        <v>0</v>
      </c>
      <c r="L499" s="432">
        <v>3.915</v>
      </c>
      <c r="M499" s="430">
        <v>0</v>
      </c>
      <c r="N499" s="433">
        <v>0</v>
      </c>
      <c r="O499" s="430">
        <v>3.8769999999999998</v>
      </c>
      <c r="P499" s="430">
        <v>0</v>
      </c>
    </row>
    <row r="500" spans="4:16">
      <c r="D500" s="374" t="s">
        <v>523</v>
      </c>
      <c r="E500" s="430" t="s">
        <v>526</v>
      </c>
      <c r="F500" s="431">
        <v>41451</v>
      </c>
      <c r="G500" s="390">
        <f t="shared" si="14"/>
        <v>2013</v>
      </c>
      <c r="H500" s="390">
        <f t="shared" si="15"/>
        <v>6</v>
      </c>
      <c r="I500" s="430">
        <v>17</v>
      </c>
      <c r="J500" s="430">
        <v>4.47</v>
      </c>
      <c r="K500" s="430">
        <v>0</v>
      </c>
      <c r="L500" s="432">
        <v>4.47</v>
      </c>
      <c r="M500" s="430">
        <v>0</v>
      </c>
      <c r="N500" s="433">
        <v>0</v>
      </c>
      <c r="O500" s="430">
        <v>4.4390000000000001</v>
      </c>
      <c r="P500" s="430">
        <v>0</v>
      </c>
    </row>
    <row r="501" spans="4:16">
      <c r="D501" s="374" t="s">
        <v>523</v>
      </c>
      <c r="E501" s="430" t="s">
        <v>526</v>
      </c>
      <c r="F501" s="431">
        <v>41472</v>
      </c>
      <c r="G501" s="390">
        <f t="shared" si="14"/>
        <v>2013</v>
      </c>
      <c r="H501" s="390">
        <f t="shared" si="15"/>
        <v>7</v>
      </c>
      <c r="I501" s="430">
        <v>17</v>
      </c>
      <c r="J501" s="430">
        <v>4.9809999999999999</v>
      </c>
      <c r="K501" s="430">
        <v>0</v>
      </c>
      <c r="L501" s="432">
        <v>4.9809999999999999</v>
      </c>
      <c r="M501" s="430">
        <v>0</v>
      </c>
      <c r="N501" s="433">
        <v>0</v>
      </c>
      <c r="O501" s="430">
        <v>4.9420000000000002</v>
      </c>
      <c r="P501" s="430">
        <v>0</v>
      </c>
    </row>
    <row r="502" spans="4:16">
      <c r="D502" s="374" t="s">
        <v>523</v>
      </c>
      <c r="E502" s="430" t="s">
        <v>526</v>
      </c>
      <c r="F502" s="431">
        <v>41516</v>
      </c>
      <c r="G502" s="390">
        <f t="shared" si="14"/>
        <v>2013</v>
      </c>
      <c r="H502" s="390">
        <f t="shared" si="15"/>
        <v>8</v>
      </c>
      <c r="I502" s="430">
        <v>16</v>
      </c>
      <c r="J502" s="430">
        <v>4.3719999999999999</v>
      </c>
      <c r="K502" s="430">
        <v>0</v>
      </c>
      <c r="L502" s="432">
        <v>4.3719999999999999</v>
      </c>
      <c r="M502" s="430">
        <v>0</v>
      </c>
      <c r="N502" s="433">
        <v>0</v>
      </c>
      <c r="O502" s="430">
        <v>4.34</v>
      </c>
      <c r="P502" s="430">
        <v>0</v>
      </c>
    </row>
    <row r="503" spans="4:16">
      <c r="D503" s="374" t="s">
        <v>523</v>
      </c>
      <c r="E503" s="430" t="s">
        <v>526</v>
      </c>
      <c r="F503" s="431">
        <v>41526</v>
      </c>
      <c r="G503" s="390">
        <f t="shared" si="14"/>
        <v>2013</v>
      </c>
      <c r="H503" s="390">
        <f t="shared" si="15"/>
        <v>9</v>
      </c>
      <c r="I503" s="430">
        <v>17</v>
      </c>
      <c r="J503" s="430">
        <v>4.8490000000000002</v>
      </c>
      <c r="K503" s="430">
        <v>0</v>
      </c>
      <c r="L503" s="432">
        <v>4.8490000000000002</v>
      </c>
      <c r="M503" s="430">
        <v>0</v>
      </c>
      <c r="N503" s="433">
        <v>0</v>
      </c>
      <c r="O503" s="430">
        <v>4.8159999999999998</v>
      </c>
      <c r="P503" s="430">
        <v>0</v>
      </c>
    </row>
    <row r="504" spans="4:16">
      <c r="D504" s="374" t="s">
        <v>523</v>
      </c>
      <c r="E504" s="430" t="s">
        <v>526</v>
      </c>
      <c r="F504" s="431">
        <v>41571</v>
      </c>
      <c r="G504" s="390">
        <f t="shared" si="14"/>
        <v>2013</v>
      </c>
      <c r="H504" s="390">
        <f t="shared" si="15"/>
        <v>10</v>
      </c>
      <c r="I504" s="430">
        <v>20</v>
      </c>
      <c r="J504" s="430">
        <v>2.6360000000000001</v>
      </c>
      <c r="K504" s="430">
        <v>0</v>
      </c>
      <c r="L504" s="432">
        <v>2.6360000000000001</v>
      </c>
      <c r="M504" s="430">
        <v>0</v>
      </c>
      <c r="N504" s="433">
        <v>0</v>
      </c>
      <c r="O504" s="430">
        <v>2.6179999999999999</v>
      </c>
      <c r="P504" s="430">
        <v>0</v>
      </c>
    </row>
    <row r="505" spans="4:16">
      <c r="D505" s="374" t="s">
        <v>523</v>
      </c>
      <c r="E505" s="430" t="s">
        <v>526</v>
      </c>
      <c r="F505" s="431">
        <v>41590</v>
      </c>
      <c r="G505" s="390">
        <f t="shared" si="14"/>
        <v>2013</v>
      </c>
      <c r="H505" s="390">
        <f t="shared" si="15"/>
        <v>11</v>
      </c>
      <c r="I505" s="430">
        <v>19</v>
      </c>
      <c r="J505" s="430">
        <v>2.9790000000000001</v>
      </c>
      <c r="K505" s="430">
        <v>0</v>
      </c>
      <c r="L505" s="432">
        <v>2.9790000000000001</v>
      </c>
      <c r="M505" s="430">
        <v>0</v>
      </c>
      <c r="N505" s="433">
        <v>0</v>
      </c>
      <c r="O505" s="430">
        <v>2.9550000000000001</v>
      </c>
      <c r="P505" s="430">
        <v>0</v>
      </c>
    </row>
    <row r="506" spans="4:16">
      <c r="D506" s="374" t="s">
        <v>523</v>
      </c>
      <c r="E506" s="430" t="s">
        <v>526</v>
      </c>
      <c r="F506" s="431">
        <v>41619</v>
      </c>
      <c r="G506" s="390">
        <f t="shared" si="14"/>
        <v>2013</v>
      </c>
      <c r="H506" s="390">
        <f t="shared" si="15"/>
        <v>12</v>
      </c>
      <c r="I506" s="430">
        <v>18</v>
      </c>
      <c r="J506" s="430">
        <v>3.5939999999999999</v>
      </c>
      <c r="K506" s="430">
        <v>0</v>
      </c>
      <c r="L506" s="432">
        <v>3.5939999999999999</v>
      </c>
      <c r="M506" s="430">
        <v>0</v>
      </c>
      <c r="N506" s="433">
        <v>0</v>
      </c>
      <c r="O506" s="430">
        <v>3.5640000000000001</v>
      </c>
      <c r="P506" s="430">
        <v>0</v>
      </c>
    </row>
    <row r="507" spans="4:16">
      <c r="D507" s="374" t="s">
        <v>523</v>
      </c>
      <c r="E507" s="374" t="s">
        <v>526</v>
      </c>
      <c r="F507" s="427">
        <v>41645</v>
      </c>
      <c r="G507" s="390">
        <f t="shared" si="14"/>
        <v>2014</v>
      </c>
      <c r="H507" s="390">
        <f t="shared" si="15"/>
        <v>1</v>
      </c>
      <c r="I507" s="374">
        <v>18</v>
      </c>
      <c r="J507" s="374">
        <v>3.649</v>
      </c>
      <c r="K507" s="374">
        <v>0</v>
      </c>
      <c r="L507" s="428">
        <v>3.649</v>
      </c>
      <c r="M507" s="374">
        <v>0</v>
      </c>
      <c r="N507" s="374">
        <v>0</v>
      </c>
      <c r="O507" s="374">
        <v>3.6190000000000002</v>
      </c>
      <c r="P507" s="374">
        <v>0</v>
      </c>
    </row>
    <row r="508" spans="4:16">
      <c r="D508" s="374" t="s">
        <v>523</v>
      </c>
      <c r="E508" s="374" t="s">
        <v>526</v>
      </c>
      <c r="F508" s="427">
        <v>41681</v>
      </c>
      <c r="G508" s="390">
        <f t="shared" si="14"/>
        <v>2014</v>
      </c>
      <c r="H508" s="390">
        <f t="shared" si="15"/>
        <v>2</v>
      </c>
      <c r="I508" s="374">
        <v>8</v>
      </c>
      <c r="J508" s="374">
        <v>3.96</v>
      </c>
      <c r="K508" s="374">
        <v>0</v>
      </c>
      <c r="L508" s="428">
        <v>3.96</v>
      </c>
      <c r="M508" s="374">
        <v>0</v>
      </c>
      <c r="N508" s="374">
        <v>0</v>
      </c>
      <c r="O508" s="374">
        <v>3.9319999999999999</v>
      </c>
      <c r="P508" s="374">
        <v>0</v>
      </c>
    </row>
    <row r="509" spans="4:16">
      <c r="D509" s="374" t="s">
        <v>523</v>
      </c>
      <c r="E509" s="374" t="s">
        <v>526</v>
      </c>
      <c r="F509" s="427">
        <v>41701</v>
      </c>
      <c r="G509" s="390">
        <f t="shared" si="14"/>
        <v>2014</v>
      </c>
      <c r="H509" s="390">
        <f t="shared" si="15"/>
        <v>3</v>
      </c>
      <c r="I509" s="374">
        <v>8</v>
      </c>
      <c r="J509" s="374">
        <v>3.855</v>
      </c>
      <c r="K509" s="374">
        <v>0</v>
      </c>
      <c r="L509" s="428">
        <v>3.855</v>
      </c>
      <c r="M509" s="374">
        <v>0</v>
      </c>
      <c r="N509" s="374">
        <v>0</v>
      </c>
      <c r="O509" s="374">
        <v>3.8260000000000001</v>
      </c>
      <c r="P509" s="374">
        <v>0</v>
      </c>
    </row>
    <row r="510" spans="4:16">
      <c r="D510" s="374" t="s">
        <v>523</v>
      </c>
      <c r="E510" s="374" t="s">
        <v>526</v>
      </c>
      <c r="F510" s="427">
        <v>41730</v>
      </c>
      <c r="G510" s="390">
        <f t="shared" si="14"/>
        <v>2014</v>
      </c>
      <c r="H510" s="390">
        <f t="shared" si="15"/>
        <v>4</v>
      </c>
      <c r="I510" s="374">
        <v>9</v>
      </c>
      <c r="J510" s="374">
        <v>3.7989999999999999</v>
      </c>
      <c r="K510" s="374">
        <v>0</v>
      </c>
      <c r="L510" s="428">
        <v>3.7989999999999999</v>
      </c>
      <c r="M510" s="374">
        <v>0</v>
      </c>
      <c r="N510" s="374">
        <v>0</v>
      </c>
      <c r="O510" s="374">
        <v>3.7690000000000001</v>
      </c>
      <c r="P510" s="374">
        <v>0</v>
      </c>
    </row>
    <row r="511" spans="4:16">
      <c r="D511" s="374" t="s">
        <v>523</v>
      </c>
      <c r="E511" s="374" t="s">
        <v>526</v>
      </c>
      <c r="F511" s="427">
        <v>41789</v>
      </c>
      <c r="G511" s="390">
        <f t="shared" si="14"/>
        <v>2014</v>
      </c>
      <c r="H511" s="390">
        <f t="shared" si="15"/>
        <v>5</v>
      </c>
      <c r="I511" s="374">
        <v>17</v>
      </c>
      <c r="J511" s="374">
        <v>3.8380000000000001</v>
      </c>
      <c r="K511" s="374">
        <v>0</v>
      </c>
      <c r="L511" s="428">
        <v>3.8380000000000001</v>
      </c>
      <c r="M511" s="374">
        <v>0</v>
      </c>
      <c r="N511" s="374">
        <v>0</v>
      </c>
      <c r="O511" s="374">
        <v>3.8119999999999998</v>
      </c>
      <c r="P511" s="374">
        <v>0</v>
      </c>
    </row>
    <row r="512" spans="4:16">
      <c r="D512" s="374" t="s">
        <v>523</v>
      </c>
      <c r="E512" s="374" t="s">
        <v>526</v>
      </c>
      <c r="F512" s="427">
        <v>41808</v>
      </c>
      <c r="G512" s="390">
        <f t="shared" si="14"/>
        <v>2014</v>
      </c>
      <c r="H512" s="390">
        <f t="shared" si="15"/>
        <v>6</v>
      </c>
      <c r="I512" s="374">
        <v>18</v>
      </c>
      <c r="J512" s="374">
        <v>3.992</v>
      </c>
      <c r="K512" s="374">
        <v>0</v>
      </c>
      <c r="L512" s="428">
        <v>3.992</v>
      </c>
      <c r="M512" s="374">
        <v>0</v>
      </c>
      <c r="N512" s="374">
        <v>0</v>
      </c>
      <c r="O512" s="374">
        <v>3.9590000000000001</v>
      </c>
      <c r="P512" s="374">
        <v>0</v>
      </c>
    </row>
    <row r="513" spans="4:16">
      <c r="D513" s="374" t="s">
        <v>523</v>
      </c>
      <c r="E513" s="374" t="s">
        <v>526</v>
      </c>
      <c r="F513" s="427">
        <v>41842</v>
      </c>
      <c r="G513" s="390">
        <f t="shared" si="14"/>
        <v>2014</v>
      </c>
      <c r="H513" s="390">
        <f t="shared" si="15"/>
        <v>7</v>
      </c>
      <c r="I513" s="374">
        <v>17</v>
      </c>
      <c r="J513" s="374">
        <v>4.5970000000000004</v>
      </c>
      <c r="K513" s="374">
        <v>0</v>
      </c>
      <c r="L513" s="428">
        <v>4.5970000000000004</v>
      </c>
      <c r="M513" s="374">
        <v>0</v>
      </c>
      <c r="N513" s="374">
        <v>0</v>
      </c>
      <c r="O513" s="374">
        <v>4.5549999999999997</v>
      </c>
      <c r="P513" s="374">
        <v>0</v>
      </c>
    </row>
    <row r="514" spans="4:16">
      <c r="D514" s="374" t="s">
        <v>523</v>
      </c>
      <c r="E514" s="374" t="s">
        <v>526</v>
      </c>
      <c r="F514" s="427">
        <v>41876</v>
      </c>
      <c r="G514" s="390">
        <f t="shared" si="14"/>
        <v>2014</v>
      </c>
      <c r="H514" s="390">
        <f t="shared" si="15"/>
        <v>8</v>
      </c>
      <c r="I514" s="374">
        <v>17</v>
      </c>
      <c r="J514" s="374">
        <v>3.7450000000000001</v>
      </c>
      <c r="K514" s="374">
        <v>0</v>
      </c>
      <c r="L514" s="428">
        <v>3.7450000000000001</v>
      </c>
      <c r="M514" s="374">
        <v>0</v>
      </c>
      <c r="N514" s="374">
        <v>0</v>
      </c>
      <c r="O514" s="374">
        <v>3.7130000000000001</v>
      </c>
      <c r="P514" s="374">
        <v>0</v>
      </c>
    </row>
    <row r="515" spans="4:16">
      <c r="D515" s="374" t="s">
        <v>523</v>
      </c>
      <c r="E515" s="374" t="s">
        <v>526</v>
      </c>
      <c r="F515" s="427">
        <v>41886</v>
      </c>
      <c r="G515" s="390">
        <f t="shared" ref="G515:G578" si="16">YEAR(F515)</f>
        <v>2014</v>
      </c>
      <c r="H515" s="390">
        <f t="shared" ref="H515:H578" si="17">MONTH(F515)</f>
        <v>9</v>
      </c>
      <c r="I515" s="374">
        <v>17</v>
      </c>
      <c r="J515" s="374">
        <v>4.2949999999999999</v>
      </c>
      <c r="K515" s="374">
        <v>0</v>
      </c>
      <c r="L515" s="428">
        <v>4.2949999999999999</v>
      </c>
      <c r="M515" s="374">
        <v>0</v>
      </c>
      <c r="N515" s="374">
        <v>0</v>
      </c>
      <c r="O515" s="374">
        <v>4.2610000000000001</v>
      </c>
      <c r="P515" s="374">
        <v>0</v>
      </c>
    </row>
    <row r="516" spans="4:16">
      <c r="D516" s="374" t="s">
        <v>523</v>
      </c>
      <c r="E516" s="374" t="s">
        <v>526</v>
      </c>
      <c r="F516" s="427">
        <v>41939</v>
      </c>
      <c r="G516" s="390">
        <f t="shared" si="16"/>
        <v>2014</v>
      </c>
      <c r="H516" s="390">
        <f t="shared" si="17"/>
        <v>10</v>
      </c>
      <c r="I516" s="374">
        <v>19</v>
      </c>
      <c r="J516" s="374">
        <v>2.7989999999999999</v>
      </c>
      <c r="K516" s="374">
        <v>0</v>
      </c>
      <c r="L516" s="428">
        <v>2.7989999999999999</v>
      </c>
      <c r="M516" s="429">
        <v>2906</v>
      </c>
      <c r="N516" s="374">
        <v>9.6000000000000002E-2</v>
      </c>
      <c r="O516" s="374">
        <v>2.778</v>
      </c>
      <c r="P516" s="374">
        <v>0</v>
      </c>
    </row>
    <row r="517" spans="4:16">
      <c r="D517" s="374" t="s">
        <v>523</v>
      </c>
      <c r="E517" s="374" t="s">
        <v>526</v>
      </c>
      <c r="F517" s="427">
        <v>41960</v>
      </c>
      <c r="G517" s="390">
        <f t="shared" si="16"/>
        <v>2014</v>
      </c>
      <c r="H517" s="390">
        <f t="shared" si="17"/>
        <v>11</v>
      </c>
      <c r="I517" s="374">
        <v>18</v>
      </c>
      <c r="J517" s="374">
        <v>3.347</v>
      </c>
      <c r="K517" s="374">
        <v>0</v>
      </c>
      <c r="L517" s="428">
        <v>3.347</v>
      </c>
      <c r="M517" s="374">
        <v>0</v>
      </c>
      <c r="N517" s="374">
        <v>0</v>
      </c>
      <c r="O517" s="374">
        <v>3.3330000000000002</v>
      </c>
      <c r="P517" s="374">
        <v>0</v>
      </c>
    </row>
    <row r="518" spans="4:16">
      <c r="D518" s="374" t="s">
        <v>523</v>
      </c>
      <c r="E518" s="374" t="s">
        <v>526</v>
      </c>
      <c r="F518" s="427">
        <v>41974</v>
      </c>
      <c r="G518" s="390">
        <f t="shared" si="16"/>
        <v>2014</v>
      </c>
      <c r="H518" s="390">
        <f t="shared" si="17"/>
        <v>12</v>
      </c>
      <c r="I518" s="374">
        <v>19</v>
      </c>
      <c r="J518" s="374">
        <v>3.3490000000000002</v>
      </c>
      <c r="K518" s="374">
        <v>0</v>
      </c>
      <c r="L518" s="428">
        <v>3.3490000000000002</v>
      </c>
      <c r="M518" s="374">
        <v>0</v>
      </c>
      <c r="N518" s="374">
        <v>0</v>
      </c>
      <c r="O518" s="374">
        <v>3.3359999999999999</v>
      </c>
      <c r="P518" s="374">
        <v>0</v>
      </c>
    </row>
    <row r="519" spans="4:16">
      <c r="D519" s="374" t="s">
        <v>523</v>
      </c>
      <c r="E519" s="374" t="s">
        <v>526</v>
      </c>
      <c r="F519" s="427">
        <v>42011</v>
      </c>
      <c r="G519" s="390">
        <f t="shared" si="16"/>
        <v>2015</v>
      </c>
      <c r="H519" s="390">
        <f t="shared" si="17"/>
        <v>1</v>
      </c>
      <c r="I519" s="374">
        <v>19</v>
      </c>
      <c r="J519" s="374">
        <v>3.472</v>
      </c>
      <c r="K519" s="374">
        <v>0</v>
      </c>
      <c r="L519" s="428">
        <v>3.472</v>
      </c>
      <c r="M519" s="429">
        <v>3438</v>
      </c>
      <c r="N519" s="374">
        <v>0.10100000000000001</v>
      </c>
      <c r="O519" s="374">
        <v>3.456</v>
      </c>
      <c r="P519" s="374">
        <v>0</v>
      </c>
    </row>
    <row r="520" spans="4:16">
      <c r="D520" s="374" t="s">
        <v>523</v>
      </c>
      <c r="E520" s="374" t="s">
        <v>526</v>
      </c>
      <c r="F520" s="427">
        <v>42053</v>
      </c>
      <c r="G520" s="390">
        <f t="shared" si="16"/>
        <v>2015</v>
      </c>
      <c r="H520" s="390">
        <f t="shared" si="17"/>
        <v>2</v>
      </c>
      <c r="I520" s="374">
        <v>19</v>
      </c>
      <c r="J520" s="374">
        <v>3.3439999999999999</v>
      </c>
      <c r="K520" s="374">
        <v>0</v>
      </c>
      <c r="L520" s="428">
        <v>3.3439999999999999</v>
      </c>
      <c r="M520" s="429">
        <v>3305</v>
      </c>
      <c r="N520" s="374">
        <v>0.10100000000000001</v>
      </c>
      <c r="O520" s="374">
        <v>3.32</v>
      </c>
      <c r="P520" s="374">
        <v>0</v>
      </c>
    </row>
    <row r="521" spans="4:16">
      <c r="D521" s="374" t="s">
        <v>523</v>
      </c>
      <c r="E521" s="374" t="s">
        <v>526</v>
      </c>
      <c r="F521" s="427">
        <v>42067</v>
      </c>
      <c r="G521" s="390">
        <f t="shared" si="16"/>
        <v>2015</v>
      </c>
      <c r="H521" s="390">
        <f t="shared" si="17"/>
        <v>3</v>
      </c>
      <c r="I521" s="374">
        <v>9</v>
      </c>
      <c r="J521" s="374">
        <v>3.9350000000000001</v>
      </c>
      <c r="K521" s="374">
        <v>0</v>
      </c>
      <c r="L521" s="428">
        <v>3.9350000000000001</v>
      </c>
      <c r="M521" s="374">
        <v>0</v>
      </c>
      <c r="N521" s="374">
        <v>0</v>
      </c>
      <c r="O521" s="374">
        <v>3.9039999999999999</v>
      </c>
      <c r="P521" s="374">
        <v>0</v>
      </c>
    </row>
    <row r="522" spans="4:16">
      <c r="D522" s="374" t="s">
        <v>523</v>
      </c>
      <c r="E522" s="374" t="s">
        <v>526</v>
      </c>
      <c r="F522" s="427">
        <v>42103</v>
      </c>
      <c r="G522" s="390">
        <f t="shared" si="16"/>
        <v>2015</v>
      </c>
      <c r="H522" s="390">
        <f t="shared" si="17"/>
        <v>4</v>
      </c>
      <c r="I522" s="374">
        <v>11</v>
      </c>
      <c r="J522" s="374">
        <v>3.7690000000000001</v>
      </c>
      <c r="K522" s="374">
        <v>0</v>
      </c>
      <c r="L522" s="428">
        <v>3.7690000000000001</v>
      </c>
      <c r="M522" s="374">
        <v>0</v>
      </c>
      <c r="N522" s="374">
        <v>0</v>
      </c>
      <c r="O522" s="374">
        <v>3.7440000000000002</v>
      </c>
      <c r="P522" s="374">
        <v>0</v>
      </c>
    </row>
    <row r="523" spans="4:16">
      <c r="D523" s="374" t="s">
        <v>523</v>
      </c>
      <c r="E523" s="374" t="s">
        <v>526</v>
      </c>
      <c r="F523" s="427">
        <v>42152</v>
      </c>
      <c r="G523" s="390">
        <f t="shared" si="16"/>
        <v>2015</v>
      </c>
      <c r="H523" s="390">
        <f t="shared" si="17"/>
        <v>5</v>
      </c>
      <c r="I523" s="374">
        <v>15</v>
      </c>
      <c r="J523" s="374">
        <v>3.9449999999999998</v>
      </c>
      <c r="K523" s="374">
        <v>0</v>
      </c>
      <c r="L523" s="428">
        <v>3.9449999999999998</v>
      </c>
      <c r="M523" s="374">
        <v>0</v>
      </c>
      <c r="N523" s="374">
        <v>0</v>
      </c>
      <c r="O523" s="374">
        <v>3.911</v>
      </c>
      <c r="P523" s="374">
        <v>0</v>
      </c>
    </row>
    <row r="524" spans="4:16">
      <c r="D524" s="374" t="s">
        <v>523</v>
      </c>
      <c r="E524" s="374" t="s">
        <v>526</v>
      </c>
      <c r="F524" s="427">
        <v>42165</v>
      </c>
      <c r="G524" s="390">
        <f t="shared" si="16"/>
        <v>2015</v>
      </c>
      <c r="H524" s="390">
        <f t="shared" si="17"/>
        <v>6</v>
      </c>
      <c r="I524" s="374">
        <v>18</v>
      </c>
      <c r="J524" s="374">
        <v>3.496</v>
      </c>
      <c r="K524" s="374">
        <v>0</v>
      </c>
      <c r="L524" s="428">
        <v>3.496</v>
      </c>
      <c r="M524" s="374">
        <v>0</v>
      </c>
      <c r="N524" s="374">
        <v>0</v>
      </c>
      <c r="O524" s="374">
        <v>3.4580000000000002</v>
      </c>
      <c r="P524" s="374">
        <v>0</v>
      </c>
    </row>
    <row r="525" spans="4:16">
      <c r="D525" s="374" t="s">
        <v>523</v>
      </c>
      <c r="E525" s="374" t="s">
        <v>526</v>
      </c>
      <c r="F525" s="427">
        <v>42198</v>
      </c>
      <c r="G525" s="390">
        <f t="shared" si="16"/>
        <v>2015</v>
      </c>
      <c r="H525" s="390">
        <f t="shared" si="17"/>
        <v>7</v>
      </c>
      <c r="I525" s="374">
        <v>16</v>
      </c>
      <c r="J525" s="374">
        <v>5.069</v>
      </c>
      <c r="K525" s="374">
        <v>0</v>
      </c>
      <c r="L525" s="428">
        <v>5.069</v>
      </c>
      <c r="M525" s="374">
        <v>0</v>
      </c>
      <c r="N525" s="374">
        <v>0</v>
      </c>
      <c r="O525" s="374">
        <v>5.0229999999999997</v>
      </c>
      <c r="P525" s="374">
        <v>0</v>
      </c>
    </row>
    <row r="526" spans="4:16">
      <c r="D526" s="374" t="s">
        <v>523</v>
      </c>
      <c r="E526" s="374" t="s">
        <v>526</v>
      </c>
      <c r="F526" s="427">
        <v>42230</v>
      </c>
      <c r="G526" s="390">
        <f t="shared" si="16"/>
        <v>2015</v>
      </c>
      <c r="H526" s="390">
        <f t="shared" si="17"/>
        <v>8</v>
      </c>
      <c r="I526" s="374">
        <v>17</v>
      </c>
      <c r="J526" s="374">
        <v>4.6959999999999997</v>
      </c>
      <c r="K526" s="374">
        <v>0</v>
      </c>
      <c r="L526" s="428">
        <v>4.6959999999999997</v>
      </c>
      <c r="M526" s="374">
        <v>0</v>
      </c>
      <c r="N526" s="374">
        <v>0</v>
      </c>
      <c r="O526" s="374">
        <v>4.6630000000000003</v>
      </c>
      <c r="P526" s="374">
        <v>0</v>
      </c>
    </row>
    <row r="527" spans="4:16">
      <c r="D527" s="374" t="s">
        <v>523</v>
      </c>
      <c r="E527" s="374" t="s">
        <v>526</v>
      </c>
      <c r="F527" s="427">
        <v>42250</v>
      </c>
      <c r="G527" s="390">
        <f t="shared" si="16"/>
        <v>2015</v>
      </c>
      <c r="H527" s="390">
        <f t="shared" si="17"/>
        <v>9</v>
      </c>
      <c r="I527" s="374">
        <v>17</v>
      </c>
      <c r="J527" s="374">
        <v>5.0250000000000004</v>
      </c>
      <c r="K527" s="374">
        <v>0</v>
      </c>
      <c r="L527" s="428">
        <v>5.0250000000000004</v>
      </c>
      <c r="M527" s="374">
        <v>0</v>
      </c>
      <c r="N527" s="374">
        <v>0</v>
      </c>
      <c r="O527" s="374">
        <v>4.9870000000000001</v>
      </c>
      <c r="P527" s="374">
        <v>0</v>
      </c>
    </row>
    <row r="528" spans="4:16">
      <c r="D528" s="374" t="s">
        <v>523</v>
      </c>
      <c r="E528" s="374" t="s">
        <v>526</v>
      </c>
      <c r="F528" s="427">
        <v>42284</v>
      </c>
      <c r="G528" s="390">
        <f t="shared" si="16"/>
        <v>2015</v>
      </c>
      <c r="H528" s="390">
        <f t="shared" si="17"/>
        <v>10</v>
      </c>
      <c r="I528" s="374">
        <v>15</v>
      </c>
      <c r="J528" s="374">
        <v>3.3690000000000002</v>
      </c>
      <c r="K528" s="374">
        <v>0</v>
      </c>
      <c r="L528" s="428">
        <v>3.3690000000000002</v>
      </c>
      <c r="M528" s="374">
        <v>0</v>
      </c>
      <c r="N528" s="374">
        <v>0</v>
      </c>
      <c r="O528" s="374">
        <v>3.34</v>
      </c>
      <c r="P528" s="374">
        <v>0</v>
      </c>
    </row>
    <row r="529" spans="4:16">
      <c r="D529" s="374" t="s">
        <v>523</v>
      </c>
      <c r="E529" s="374" t="s">
        <v>526</v>
      </c>
      <c r="F529" s="427">
        <v>42338</v>
      </c>
      <c r="G529" s="390">
        <f t="shared" si="16"/>
        <v>2015</v>
      </c>
      <c r="H529" s="390">
        <f t="shared" si="17"/>
        <v>11</v>
      </c>
      <c r="I529" s="374">
        <v>18</v>
      </c>
      <c r="J529" s="374">
        <v>3.218</v>
      </c>
      <c r="K529" s="374">
        <v>0</v>
      </c>
      <c r="L529" s="428">
        <v>3.218</v>
      </c>
      <c r="M529" s="374">
        <v>0</v>
      </c>
      <c r="N529" s="374">
        <v>0</v>
      </c>
      <c r="O529" s="374">
        <v>3.198</v>
      </c>
      <c r="P529" s="374">
        <v>0</v>
      </c>
    </row>
    <row r="530" spans="4:16">
      <c r="D530" s="374" t="s">
        <v>523</v>
      </c>
      <c r="E530" s="374" t="s">
        <v>526</v>
      </c>
      <c r="F530" s="427">
        <v>42355</v>
      </c>
      <c r="G530" s="390">
        <f t="shared" si="16"/>
        <v>2015</v>
      </c>
      <c r="H530" s="390">
        <f t="shared" si="17"/>
        <v>12</v>
      </c>
      <c r="I530" s="374">
        <v>19</v>
      </c>
      <c r="J530" s="374">
        <v>3.1549999999999998</v>
      </c>
      <c r="K530" s="374">
        <v>0</v>
      </c>
      <c r="L530" s="428">
        <v>3.1549999999999998</v>
      </c>
      <c r="M530" s="374">
        <v>0</v>
      </c>
      <c r="N530" s="374">
        <v>0</v>
      </c>
      <c r="O530" s="374">
        <v>3.13</v>
      </c>
      <c r="P530" s="374">
        <v>0</v>
      </c>
    </row>
    <row r="531" spans="4:16">
      <c r="D531" s="374" t="s">
        <v>523</v>
      </c>
      <c r="E531" s="430" t="s">
        <v>527</v>
      </c>
      <c r="F531" s="431">
        <v>40927</v>
      </c>
      <c r="G531" s="390">
        <f t="shared" si="16"/>
        <v>2012</v>
      </c>
      <c r="H531" s="390">
        <f t="shared" si="17"/>
        <v>1</v>
      </c>
      <c r="I531" s="430">
        <v>19</v>
      </c>
      <c r="J531" s="430">
        <v>10.085000000000001</v>
      </c>
      <c r="K531" s="430">
        <v>0</v>
      </c>
      <c r="L531" s="432">
        <v>10.085000000000001</v>
      </c>
      <c r="M531" s="430">
        <v>0</v>
      </c>
      <c r="N531" s="433">
        <v>0</v>
      </c>
      <c r="O531" s="430">
        <v>10.166</v>
      </c>
      <c r="P531" s="430">
        <v>0</v>
      </c>
    </row>
    <row r="532" spans="4:16">
      <c r="D532" s="374" t="s">
        <v>523</v>
      </c>
      <c r="E532" s="430" t="s">
        <v>527</v>
      </c>
      <c r="F532" s="431">
        <v>40952</v>
      </c>
      <c r="G532" s="390">
        <f t="shared" si="16"/>
        <v>2012</v>
      </c>
      <c r="H532" s="390">
        <f t="shared" si="17"/>
        <v>2</v>
      </c>
      <c r="I532" s="430">
        <v>19</v>
      </c>
      <c r="J532" s="430">
        <v>9.2759999999999998</v>
      </c>
      <c r="K532" s="430">
        <v>0</v>
      </c>
      <c r="L532" s="432">
        <v>9.2759999999999998</v>
      </c>
      <c r="M532" s="430">
        <v>0</v>
      </c>
      <c r="N532" s="433">
        <v>0</v>
      </c>
      <c r="O532" s="430">
        <v>9.3670000000000009</v>
      </c>
      <c r="P532" s="430">
        <v>0</v>
      </c>
    </row>
    <row r="533" spans="4:16">
      <c r="D533" s="374" t="s">
        <v>523</v>
      </c>
      <c r="E533" s="430" t="s">
        <v>527</v>
      </c>
      <c r="F533" s="431">
        <v>40973</v>
      </c>
      <c r="G533" s="390">
        <f t="shared" si="16"/>
        <v>2012</v>
      </c>
      <c r="H533" s="390">
        <f t="shared" si="17"/>
        <v>3</v>
      </c>
      <c r="I533" s="430">
        <v>8</v>
      </c>
      <c r="J533" s="430">
        <v>9.8460000000000001</v>
      </c>
      <c r="K533" s="430">
        <v>0</v>
      </c>
      <c r="L533" s="432">
        <v>9.8460000000000001</v>
      </c>
      <c r="M533" s="430">
        <v>0</v>
      </c>
      <c r="N533" s="433">
        <v>0</v>
      </c>
      <c r="O533" s="430">
        <v>9.9920000000000009</v>
      </c>
      <c r="P533" s="430">
        <v>0</v>
      </c>
    </row>
    <row r="534" spans="4:16">
      <c r="D534" s="374" t="s">
        <v>523</v>
      </c>
      <c r="E534" s="430" t="s">
        <v>527</v>
      </c>
      <c r="F534" s="431">
        <v>41001</v>
      </c>
      <c r="G534" s="390">
        <f t="shared" si="16"/>
        <v>2012</v>
      </c>
      <c r="H534" s="390">
        <f t="shared" si="17"/>
        <v>4</v>
      </c>
      <c r="I534" s="430">
        <v>21</v>
      </c>
      <c r="J534" s="430">
        <v>8.3089999999999993</v>
      </c>
      <c r="K534" s="430">
        <v>0</v>
      </c>
      <c r="L534" s="432">
        <v>8.3089999999999993</v>
      </c>
      <c r="M534" s="430">
        <v>0</v>
      </c>
      <c r="N534" s="433">
        <v>0</v>
      </c>
      <c r="O534" s="430">
        <v>8.41</v>
      </c>
      <c r="P534" s="430">
        <v>0</v>
      </c>
    </row>
    <row r="535" spans="4:16">
      <c r="D535" s="374" t="s">
        <v>523</v>
      </c>
      <c r="E535" s="430" t="s">
        <v>527</v>
      </c>
      <c r="F535" s="431">
        <v>41053</v>
      </c>
      <c r="G535" s="390">
        <f t="shared" si="16"/>
        <v>2012</v>
      </c>
      <c r="H535" s="390">
        <f t="shared" si="17"/>
        <v>5</v>
      </c>
      <c r="I535" s="430">
        <v>14</v>
      </c>
      <c r="J535" s="430">
        <v>10.004</v>
      </c>
      <c r="K535" s="430">
        <v>0</v>
      </c>
      <c r="L535" s="432">
        <v>10.004</v>
      </c>
      <c r="M535" s="430">
        <v>0</v>
      </c>
      <c r="N535" s="433">
        <v>0</v>
      </c>
      <c r="O535" s="430">
        <v>10.085000000000001</v>
      </c>
      <c r="P535" s="430">
        <v>0</v>
      </c>
    </row>
    <row r="536" spans="4:16">
      <c r="D536" s="374" t="s">
        <v>523</v>
      </c>
      <c r="E536" s="430" t="s">
        <v>527</v>
      </c>
      <c r="F536" s="431">
        <v>41087</v>
      </c>
      <c r="G536" s="390">
        <f t="shared" si="16"/>
        <v>2012</v>
      </c>
      <c r="H536" s="390">
        <f t="shared" si="17"/>
        <v>6</v>
      </c>
      <c r="I536" s="430">
        <v>17</v>
      </c>
      <c r="J536" s="430">
        <v>12.907</v>
      </c>
      <c r="K536" s="430">
        <v>0</v>
      </c>
      <c r="L536" s="432">
        <v>12.907</v>
      </c>
      <c r="M536" s="430">
        <v>0</v>
      </c>
      <c r="N536" s="433">
        <v>0</v>
      </c>
      <c r="O536" s="430">
        <v>13.022</v>
      </c>
      <c r="P536" s="430">
        <v>0</v>
      </c>
    </row>
    <row r="537" spans="4:16">
      <c r="D537" s="374" t="s">
        <v>523</v>
      </c>
      <c r="E537" s="430" t="s">
        <v>527</v>
      </c>
      <c r="F537" s="431">
        <v>41115</v>
      </c>
      <c r="G537" s="390">
        <f t="shared" si="16"/>
        <v>2012</v>
      </c>
      <c r="H537" s="390">
        <f t="shared" si="17"/>
        <v>7</v>
      </c>
      <c r="I537" s="430">
        <v>17</v>
      </c>
      <c r="J537" s="430">
        <v>14.327</v>
      </c>
      <c r="K537" s="430">
        <v>0</v>
      </c>
      <c r="L537" s="432">
        <v>14.327</v>
      </c>
      <c r="M537" s="430">
        <v>0</v>
      </c>
      <c r="N537" s="433">
        <v>0</v>
      </c>
      <c r="O537" s="430">
        <v>14.372</v>
      </c>
      <c r="P537" s="430">
        <v>0</v>
      </c>
    </row>
    <row r="538" spans="4:16">
      <c r="D538" s="374" t="s">
        <v>523</v>
      </c>
      <c r="E538" s="430" t="s">
        <v>527</v>
      </c>
      <c r="F538" s="431">
        <v>41124</v>
      </c>
      <c r="G538" s="390">
        <f t="shared" si="16"/>
        <v>2012</v>
      </c>
      <c r="H538" s="390">
        <f t="shared" si="17"/>
        <v>8</v>
      </c>
      <c r="I538" s="430">
        <v>17</v>
      </c>
      <c r="J538" s="430">
        <v>12.675000000000001</v>
      </c>
      <c r="K538" s="430">
        <v>0</v>
      </c>
      <c r="L538" s="432">
        <v>12.675000000000001</v>
      </c>
      <c r="M538" s="430">
        <v>0</v>
      </c>
      <c r="N538" s="433">
        <v>0</v>
      </c>
      <c r="O538" s="430">
        <v>12.808999999999999</v>
      </c>
      <c r="P538" s="430">
        <v>0</v>
      </c>
    </row>
    <row r="539" spans="4:16">
      <c r="D539" s="374" t="s">
        <v>523</v>
      </c>
      <c r="E539" s="430" t="s">
        <v>527</v>
      </c>
      <c r="F539" s="431">
        <v>41156</v>
      </c>
      <c r="G539" s="390">
        <f t="shared" si="16"/>
        <v>2012</v>
      </c>
      <c r="H539" s="390">
        <f t="shared" si="17"/>
        <v>9</v>
      </c>
      <c r="I539" s="430">
        <v>17</v>
      </c>
      <c r="J539" s="430">
        <v>12.493</v>
      </c>
      <c r="K539" s="430">
        <v>0</v>
      </c>
      <c r="L539" s="432">
        <v>12.493</v>
      </c>
      <c r="M539" s="430">
        <v>0</v>
      </c>
      <c r="N539" s="433">
        <v>0</v>
      </c>
      <c r="O539" s="430">
        <v>12.502000000000001</v>
      </c>
      <c r="P539" s="430">
        <v>0</v>
      </c>
    </row>
    <row r="540" spans="4:16">
      <c r="D540" s="374" t="s">
        <v>523</v>
      </c>
      <c r="E540" s="430" t="s">
        <v>527</v>
      </c>
      <c r="F540" s="431">
        <v>41211</v>
      </c>
      <c r="G540" s="390">
        <f t="shared" si="16"/>
        <v>2012</v>
      </c>
      <c r="H540" s="390">
        <f t="shared" si="17"/>
        <v>10</v>
      </c>
      <c r="I540" s="430">
        <v>8</v>
      </c>
      <c r="J540" s="430">
        <v>8.7110000000000003</v>
      </c>
      <c r="K540" s="430">
        <v>0</v>
      </c>
      <c r="L540" s="432">
        <v>8.7110000000000003</v>
      </c>
      <c r="M540" s="430">
        <v>0</v>
      </c>
      <c r="N540" s="433">
        <v>0</v>
      </c>
      <c r="O540" s="430">
        <v>8.8629999999999995</v>
      </c>
      <c r="P540" s="430">
        <v>0</v>
      </c>
    </row>
    <row r="541" spans="4:16">
      <c r="D541" s="374" t="s">
        <v>523</v>
      </c>
      <c r="E541" s="430" t="s">
        <v>527</v>
      </c>
      <c r="F541" s="431">
        <v>41225</v>
      </c>
      <c r="G541" s="390">
        <f t="shared" si="16"/>
        <v>2012</v>
      </c>
      <c r="H541" s="390">
        <f t="shared" si="17"/>
        <v>11</v>
      </c>
      <c r="I541" s="430">
        <v>18</v>
      </c>
      <c r="J541" s="430">
        <v>9.4320000000000004</v>
      </c>
      <c r="K541" s="430">
        <v>0</v>
      </c>
      <c r="L541" s="432">
        <v>9.4320000000000004</v>
      </c>
      <c r="M541" s="430">
        <v>0</v>
      </c>
      <c r="N541" s="433">
        <v>0</v>
      </c>
      <c r="O541" s="430">
        <v>9.5559999999999992</v>
      </c>
      <c r="P541" s="430">
        <v>0</v>
      </c>
    </row>
    <row r="542" spans="4:16">
      <c r="D542" s="374" t="s">
        <v>523</v>
      </c>
      <c r="E542" s="430" t="s">
        <v>527</v>
      </c>
      <c r="F542" s="431">
        <v>41263</v>
      </c>
      <c r="G542" s="390">
        <f t="shared" si="16"/>
        <v>2012</v>
      </c>
      <c r="H542" s="390">
        <f t="shared" si="17"/>
        <v>12</v>
      </c>
      <c r="I542" s="430">
        <v>18</v>
      </c>
      <c r="J542" s="430">
        <v>10.574</v>
      </c>
      <c r="K542" s="430">
        <v>0</v>
      </c>
      <c r="L542" s="432">
        <v>10.574</v>
      </c>
      <c r="M542" s="430">
        <v>0</v>
      </c>
      <c r="N542" s="433">
        <v>0</v>
      </c>
      <c r="O542" s="430">
        <v>10.717000000000001</v>
      </c>
      <c r="P542" s="430">
        <v>0</v>
      </c>
    </row>
    <row r="543" spans="4:16">
      <c r="D543" s="374" t="s">
        <v>523</v>
      </c>
      <c r="E543" s="430" t="s">
        <v>527</v>
      </c>
      <c r="F543" s="431">
        <v>41305</v>
      </c>
      <c r="G543" s="390">
        <f t="shared" si="16"/>
        <v>2013</v>
      </c>
      <c r="H543" s="390">
        <f t="shared" si="17"/>
        <v>1</v>
      </c>
      <c r="I543" s="430">
        <v>19</v>
      </c>
      <c r="J543" s="430">
        <v>10.327</v>
      </c>
      <c r="K543" s="430">
        <v>0</v>
      </c>
      <c r="L543" s="432">
        <v>10.327</v>
      </c>
      <c r="M543" s="430">
        <v>0</v>
      </c>
      <c r="N543" s="433">
        <v>0</v>
      </c>
      <c r="O543" s="430">
        <v>10.455</v>
      </c>
      <c r="P543" s="430">
        <v>0</v>
      </c>
    </row>
    <row r="544" spans="4:16">
      <c r="D544" s="374" t="s">
        <v>523</v>
      </c>
      <c r="E544" s="430" t="s">
        <v>527</v>
      </c>
      <c r="F544" s="431">
        <v>41306</v>
      </c>
      <c r="G544" s="390">
        <f t="shared" si="16"/>
        <v>2013</v>
      </c>
      <c r="H544" s="390">
        <f t="shared" si="17"/>
        <v>2</v>
      </c>
      <c r="I544" s="430">
        <v>8</v>
      </c>
      <c r="J544" s="430">
        <v>9.9719999999999995</v>
      </c>
      <c r="K544" s="430">
        <v>0</v>
      </c>
      <c r="L544" s="432">
        <v>9.9719999999999995</v>
      </c>
      <c r="M544" s="430">
        <v>0</v>
      </c>
      <c r="N544" s="433">
        <v>0</v>
      </c>
      <c r="O544" s="430">
        <v>10.1</v>
      </c>
      <c r="P544" s="430">
        <v>0</v>
      </c>
    </row>
    <row r="545" spans="4:16">
      <c r="D545" s="374" t="s">
        <v>523</v>
      </c>
      <c r="E545" s="430" t="s">
        <v>527</v>
      </c>
      <c r="F545" s="431">
        <v>41354</v>
      </c>
      <c r="G545" s="390">
        <f t="shared" si="16"/>
        <v>2013</v>
      </c>
      <c r="H545" s="390">
        <f t="shared" si="17"/>
        <v>3</v>
      </c>
      <c r="I545" s="430">
        <v>8</v>
      </c>
      <c r="J545" s="430">
        <v>10.018000000000001</v>
      </c>
      <c r="K545" s="430">
        <v>0</v>
      </c>
      <c r="L545" s="432">
        <v>10.018000000000001</v>
      </c>
      <c r="M545" s="430">
        <v>0</v>
      </c>
      <c r="N545" s="433">
        <v>0</v>
      </c>
      <c r="O545" s="430">
        <v>10.14</v>
      </c>
      <c r="P545" s="430">
        <v>0</v>
      </c>
    </row>
    <row r="546" spans="4:16">
      <c r="D546" s="374" t="s">
        <v>523</v>
      </c>
      <c r="E546" s="430" t="s">
        <v>527</v>
      </c>
      <c r="F546" s="431">
        <v>41366</v>
      </c>
      <c r="G546" s="390">
        <f t="shared" si="16"/>
        <v>2013</v>
      </c>
      <c r="H546" s="390">
        <f t="shared" si="17"/>
        <v>4</v>
      </c>
      <c r="I546" s="430">
        <v>8</v>
      </c>
      <c r="J546" s="430">
        <v>9.65</v>
      </c>
      <c r="K546" s="430">
        <v>0</v>
      </c>
      <c r="L546" s="432">
        <v>9.65</v>
      </c>
      <c r="M546" s="430">
        <v>0</v>
      </c>
      <c r="N546" s="433">
        <v>0</v>
      </c>
      <c r="O546" s="430">
        <v>9.798</v>
      </c>
      <c r="P546" s="430">
        <v>0</v>
      </c>
    </row>
    <row r="547" spans="4:16">
      <c r="D547" s="374" t="s">
        <v>523</v>
      </c>
      <c r="E547" s="430" t="s">
        <v>527</v>
      </c>
      <c r="F547" s="431">
        <v>41424</v>
      </c>
      <c r="G547" s="390">
        <f t="shared" si="16"/>
        <v>2013</v>
      </c>
      <c r="H547" s="390">
        <f t="shared" si="17"/>
        <v>5</v>
      </c>
      <c r="I547" s="430">
        <v>12</v>
      </c>
      <c r="J547" s="430">
        <v>10.188000000000001</v>
      </c>
      <c r="K547" s="430">
        <v>0</v>
      </c>
      <c r="L547" s="432">
        <v>10.188000000000001</v>
      </c>
      <c r="M547" s="430">
        <v>0</v>
      </c>
      <c r="N547" s="433">
        <v>0</v>
      </c>
      <c r="O547" s="430">
        <v>10.273999999999999</v>
      </c>
      <c r="P547" s="430">
        <v>0</v>
      </c>
    </row>
    <row r="548" spans="4:16">
      <c r="D548" s="374" t="s">
        <v>523</v>
      </c>
      <c r="E548" s="430" t="s">
        <v>527</v>
      </c>
      <c r="F548" s="431">
        <v>41451</v>
      </c>
      <c r="G548" s="390">
        <f t="shared" si="16"/>
        <v>2013</v>
      </c>
      <c r="H548" s="390">
        <f t="shared" si="17"/>
        <v>6</v>
      </c>
      <c r="I548" s="430">
        <v>17</v>
      </c>
      <c r="J548" s="430">
        <v>11.348000000000001</v>
      </c>
      <c r="K548" s="430">
        <v>0</v>
      </c>
      <c r="L548" s="432">
        <v>11.348000000000001</v>
      </c>
      <c r="M548" s="430">
        <v>0</v>
      </c>
      <c r="N548" s="433">
        <v>0</v>
      </c>
      <c r="O548" s="430">
        <v>11.449</v>
      </c>
      <c r="P548" s="430">
        <v>0</v>
      </c>
    </row>
    <row r="549" spans="4:16">
      <c r="D549" s="374" t="s">
        <v>523</v>
      </c>
      <c r="E549" s="430" t="s">
        <v>527</v>
      </c>
      <c r="F549" s="431">
        <v>41472</v>
      </c>
      <c r="G549" s="390">
        <f t="shared" si="16"/>
        <v>2013</v>
      </c>
      <c r="H549" s="390">
        <f t="shared" si="17"/>
        <v>7</v>
      </c>
      <c r="I549" s="430">
        <v>17</v>
      </c>
      <c r="J549" s="430">
        <v>12.637</v>
      </c>
      <c r="K549" s="430">
        <v>0</v>
      </c>
      <c r="L549" s="432">
        <v>12.637</v>
      </c>
      <c r="M549" s="430">
        <v>0</v>
      </c>
      <c r="N549" s="433">
        <v>0</v>
      </c>
      <c r="O549" s="430">
        <v>12.773</v>
      </c>
      <c r="P549" s="430">
        <v>0</v>
      </c>
    </row>
    <row r="550" spans="4:16">
      <c r="D550" s="374" t="s">
        <v>523</v>
      </c>
      <c r="E550" s="430" t="s">
        <v>527</v>
      </c>
      <c r="F550" s="431">
        <v>41516</v>
      </c>
      <c r="G550" s="390">
        <f t="shared" si="16"/>
        <v>2013</v>
      </c>
      <c r="H550" s="390">
        <f t="shared" si="17"/>
        <v>8</v>
      </c>
      <c r="I550" s="430">
        <v>16</v>
      </c>
      <c r="J550" s="430">
        <v>12.329000000000001</v>
      </c>
      <c r="K550" s="430">
        <v>0</v>
      </c>
      <c r="L550" s="432">
        <v>12.329000000000001</v>
      </c>
      <c r="M550" s="430">
        <v>0</v>
      </c>
      <c r="N550" s="433">
        <v>0</v>
      </c>
      <c r="O550" s="430">
        <v>12.435</v>
      </c>
      <c r="P550" s="430">
        <v>0</v>
      </c>
    </row>
    <row r="551" spans="4:16">
      <c r="D551" s="374" t="s">
        <v>523</v>
      </c>
      <c r="E551" s="430" t="s">
        <v>527</v>
      </c>
      <c r="F551" s="431">
        <v>41526</v>
      </c>
      <c r="G551" s="390">
        <f t="shared" si="16"/>
        <v>2013</v>
      </c>
      <c r="H551" s="390">
        <f t="shared" si="17"/>
        <v>9</v>
      </c>
      <c r="I551" s="430">
        <v>17</v>
      </c>
      <c r="J551" s="430">
        <v>13.331</v>
      </c>
      <c r="K551" s="430">
        <v>0</v>
      </c>
      <c r="L551" s="432">
        <v>13.331</v>
      </c>
      <c r="M551" s="430">
        <v>0</v>
      </c>
      <c r="N551" s="433">
        <v>0</v>
      </c>
      <c r="O551" s="430">
        <v>13.451000000000001</v>
      </c>
      <c r="P551" s="430">
        <v>0</v>
      </c>
    </row>
    <row r="552" spans="4:16">
      <c r="D552" s="374" t="s">
        <v>523</v>
      </c>
      <c r="E552" s="430" t="s">
        <v>527</v>
      </c>
      <c r="F552" s="431">
        <v>41571</v>
      </c>
      <c r="G552" s="390">
        <f t="shared" si="16"/>
        <v>2013</v>
      </c>
      <c r="H552" s="390">
        <f t="shared" si="17"/>
        <v>10</v>
      </c>
      <c r="I552" s="430">
        <v>20</v>
      </c>
      <c r="J552" s="430">
        <v>8.6639999999999997</v>
      </c>
      <c r="K552" s="430">
        <v>0</v>
      </c>
      <c r="L552" s="432">
        <v>8.6639999999999997</v>
      </c>
      <c r="M552" s="430">
        <v>0</v>
      </c>
      <c r="N552" s="433">
        <v>0</v>
      </c>
      <c r="O552" s="430">
        <v>8.734</v>
      </c>
      <c r="P552" s="430">
        <v>0</v>
      </c>
    </row>
    <row r="553" spans="4:16">
      <c r="D553" s="374" t="s">
        <v>523</v>
      </c>
      <c r="E553" s="430" t="s">
        <v>527</v>
      </c>
      <c r="F553" s="431">
        <v>41590</v>
      </c>
      <c r="G553" s="390">
        <f t="shared" si="16"/>
        <v>2013</v>
      </c>
      <c r="H553" s="390">
        <f t="shared" si="17"/>
        <v>11</v>
      </c>
      <c r="I553" s="430">
        <v>19</v>
      </c>
      <c r="J553" s="430">
        <v>9.3160000000000007</v>
      </c>
      <c r="K553" s="430">
        <v>0</v>
      </c>
      <c r="L553" s="432">
        <v>9.3160000000000007</v>
      </c>
      <c r="M553" s="430">
        <v>0</v>
      </c>
      <c r="N553" s="433">
        <v>0</v>
      </c>
      <c r="O553" s="430">
        <v>9.41</v>
      </c>
      <c r="P553" s="430">
        <v>0</v>
      </c>
    </row>
    <row r="554" spans="4:16">
      <c r="D554" s="374" t="s">
        <v>523</v>
      </c>
      <c r="E554" s="430" t="s">
        <v>527</v>
      </c>
      <c r="F554" s="431">
        <v>41619</v>
      </c>
      <c r="G554" s="390">
        <f t="shared" si="16"/>
        <v>2013</v>
      </c>
      <c r="H554" s="390">
        <f t="shared" si="17"/>
        <v>12</v>
      </c>
      <c r="I554" s="430">
        <v>18</v>
      </c>
      <c r="J554" s="430">
        <v>10.396000000000001</v>
      </c>
      <c r="K554" s="430">
        <v>0</v>
      </c>
      <c r="L554" s="432">
        <v>10.396000000000001</v>
      </c>
      <c r="M554" s="430">
        <v>0</v>
      </c>
      <c r="N554" s="433">
        <v>0</v>
      </c>
      <c r="O554" s="430">
        <v>10.507999999999999</v>
      </c>
      <c r="P554" s="430">
        <v>0</v>
      </c>
    </row>
    <row r="555" spans="4:16">
      <c r="D555" s="374" t="s">
        <v>523</v>
      </c>
      <c r="E555" s="374" t="s">
        <v>527</v>
      </c>
      <c r="F555" s="427">
        <v>41645</v>
      </c>
      <c r="G555" s="390">
        <f t="shared" si="16"/>
        <v>2014</v>
      </c>
      <c r="H555" s="390">
        <f t="shared" si="17"/>
        <v>1</v>
      </c>
      <c r="I555" s="374">
        <v>18</v>
      </c>
      <c r="J555" s="374">
        <v>7.0789999999999997</v>
      </c>
      <c r="K555" s="374">
        <v>1.694</v>
      </c>
      <c r="L555" s="428">
        <v>8.7729999999999997</v>
      </c>
      <c r="M555" s="374">
        <v>0</v>
      </c>
      <c r="N555" s="374">
        <v>0</v>
      </c>
      <c r="O555" s="374">
        <v>7.1859999999999999</v>
      </c>
      <c r="P555" s="374">
        <v>1.694</v>
      </c>
    </row>
    <row r="556" spans="4:16">
      <c r="D556" s="374" t="s">
        <v>523</v>
      </c>
      <c r="E556" s="374" t="s">
        <v>527</v>
      </c>
      <c r="F556" s="427">
        <v>41681</v>
      </c>
      <c r="G556" s="390">
        <f t="shared" si="16"/>
        <v>2014</v>
      </c>
      <c r="H556" s="390">
        <f t="shared" si="17"/>
        <v>2</v>
      </c>
      <c r="I556" s="374">
        <v>8</v>
      </c>
      <c r="J556" s="374">
        <v>10.786</v>
      </c>
      <c r="K556" s="374">
        <v>0</v>
      </c>
      <c r="L556" s="428">
        <v>10.786</v>
      </c>
      <c r="M556" s="374">
        <v>0</v>
      </c>
      <c r="N556" s="374">
        <v>0</v>
      </c>
      <c r="O556" s="374">
        <v>10.919</v>
      </c>
      <c r="P556" s="374">
        <v>0</v>
      </c>
    </row>
    <row r="557" spans="4:16">
      <c r="D557" s="374" t="s">
        <v>523</v>
      </c>
      <c r="E557" s="374" t="s">
        <v>527</v>
      </c>
      <c r="F557" s="427">
        <v>41701</v>
      </c>
      <c r="G557" s="390">
        <f t="shared" si="16"/>
        <v>2014</v>
      </c>
      <c r="H557" s="390">
        <f t="shared" si="17"/>
        <v>3</v>
      </c>
      <c r="I557" s="374">
        <v>8</v>
      </c>
      <c r="J557" s="374">
        <v>10.236000000000001</v>
      </c>
      <c r="K557" s="374">
        <v>0</v>
      </c>
      <c r="L557" s="428">
        <v>10.236000000000001</v>
      </c>
      <c r="M557" s="374">
        <v>0</v>
      </c>
      <c r="N557" s="374">
        <v>0</v>
      </c>
      <c r="O557" s="374">
        <v>10.372999999999999</v>
      </c>
      <c r="P557" s="374">
        <v>0</v>
      </c>
    </row>
    <row r="558" spans="4:16">
      <c r="D558" s="374" t="s">
        <v>523</v>
      </c>
      <c r="E558" s="374" t="s">
        <v>527</v>
      </c>
      <c r="F558" s="427">
        <v>41730</v>
      </c>
      <c r="G558" s="390">
        <f t="shared" si="16"/>
        <v>2014</v>
      </c>
      <c r="H558" s="390">
        <f t="shared" si="17"/>
        <v>4</v>
      </c>
      <c r="I558" s="374">
        <v>9</v>
      </c>
      <c r="J558" s="374">
        <v>10.026</v>
      </c>
      <c r="K558" s="374">
        <v>0</v>
      </c>
      <c r="L558" s="428">
        <v>10.026</v>
      </c>
      <c r="M558" s="374">
        <v>0</v>
      </c>
      <c r="N558" s="374">
        <v>0</v>
      </c>
      <c r="O558" s="374">
        <v>10.124000000000001</v>
      </c>
      <c r="P558" s="374">
        <v>0</v>
      </c>
    </row>
    <row r="559" spans="4:16">
      <c r="D559" s="374" t="s">
        <v>523</v>
      </c>
      <c r="E559" s="374" t="s">
        <v>527</v>
      </c>
      <c r="F559" s="427">
        <v>41789</v>
      </c>
      <c r="G559" s="390">
        <f t="shared" si="16"/>
        <v>2014</v>
      </c>
      <c r="H559" s="390">
        <f t="shared" si="17"/>
        <v>5</v>
      </c>
      <c r="I559" s="374">
        <v>17</v>
      </c>
      <c r="J559" s="374">
        <v>11.21</v>
      </c>
      <c r="K559" s="374">
        <v>0</v>
      </c>
      <c r="L559" s="428">
        <v>11.21</v>
      </c>
      <c r="M559" s="374">
        <v>0</v>
      </c>
      <c r="N559" s="374">
        <v>0</v>
      </c>
      <c r="O559" s="374">
        <v>11.292999999999999</v>
      </c>
      <c r="P559" s="374">
        <v>0</v>
      </c>
    </row>
    <row r="560" spans="4:16">
      <c r="D560" s="374" t="s">
        <v>523</v>
      </c>
      <c r="E560" s="374" t="s">
        <v>527</v>
      </c>
      <c r="F560" s="427">
        <v>41808</v>
      </c>
      <c r="G560" s="390">
        <f t="shared" si="16"/>
        <v>2014</v>
      </c>
      <c r="H560" s="390">
        <f t="shared" si="17"/>
        <v>6</v>
      </c>
      <c r="I560" s="374">
        <v>18</v>
      </c>
      <c r="J560" s="374">
        <v>10.576000000000001</v>
      </c>
      <c r="K560" s="374">
        <v>0</v>
      </c>
      <c r="L560" s="428">
        <v>10.576000000000001</v>
      </c>
      <c r="M560" s="374">
        <v>0</v>
      </c>
      <c r="N560" s="374">
        <v>0</v>
      </c>
      <c r="O560" s="374">
        <v>10.675000000000001</v>
      </c>
      <c r="P560" s="374">
        <v>0</v>
      </c>
    </row>
    <row r="561" spans="4:16">
      <c r="D561" s="374" t="s">
        <v>523</v>
      </c>
      <c r="E561" s="374" t="s">
        <v>527</v>
      </c>
      <c r="F561" s="427">
        <v>41842</v>
      </c>
      <c r="G561" s="390">
        <f t="shared" si="16"/>
        <v>2014</v>
      </c>
      <c r="H561" s="390">
        <f t="shared" si="17"/>
        <v>7</v>
      </c>
      <c r="I561" s="374">
        <v>17</v>
      </c>
      <c r="J561" s="374">
        <v>12.515000000000001</v>
      </c>
      <c r="K561" s="374">
        <v>0</v>
      </c>
      <c r="L561" s="428">
        <v>12.515000000000001</v>
      </c>
      <c r="M561" s="374">
        <v>0</v>
      </c>
      <c r="N561" s="374">
        <v>0</v>
      </c>
      <c r="O561" s="374">
        <v>12.631</v>
      </c>
      <c r="P561" s="374">
        <v>0</v>
      </c>
    </row>
    <row r="562" spans="4:16">
      <c r="D562" s="374" t="s">
        <v>523</v>
      </c>
      <c r="E562" s="374" t="s">
        <v>527</v>
      </c>
      <c r="F562" s="427">
        <v>41876</v>
      </c>
      <c r="G562" s="390">
        <f t="shared" si="16"/>
        <v>2014</v>
      </c>
      <c r="H562" s="390">
        <f t="shared" si="17"/>
        <v>8</v>
      </c>
      <c r="I562" s="374">
        <v>17</v>
      </c>
      <c r="J562" s="374">
        <v>10.762</v>
      </c>
      <c r="K562" s="374">
        <v>0</v>
      </c>
      <c r="L562" s="428">
        <v>10.762</v>
      </c>
      <c r="M562" s="374">
        <v>0</v>
      </c>
      <c r="N562" s="374">
        <v>0</v>
      </c>
      <c r="O562" s="374">
        <v>10.875</v>
      </c>
      <c r="P562" s="374">
        <v>0</v>
      </c>
    </row>
    <row r="563" spans="4:16">
      <c r="D563" s="374" t="s">
        <v>523</v>
      </c>
      <c r="E563" s="374" t="s">
        <v>527</v>
      </c>
      <c r="F563" s="427">
        <v>41886</v>
      </c>
      <c r="G563" s="390">
        <f t="shared" si="16"/>
        <v>2014</v>
      </c>
      <c r="H563" s="390">
        <f t="shared" si="17"/>
        <v>9</v>
      </c>
      <c r="I563" s="374">
        <v>17</v>
      </c>
      <c r="J563" s="374">
        <v>10.996</v>
      </c>
      <c r="K563" s="374">
        <v>0</v>
      </c>
      <c r="L563" s="428">
        <v>10.996</v>
      </c>
      <c r="M563" s="374">
        <v>0</v>
      </c>
      <c r="N563" s="374">
        <v>0</v>
      </c>
      <c r="O563" s="374">
        <v>11.095000000000001</v>
      </c>
      <c r="P563" s="374">
        <v>0</v>
      </c>
    </row>
    <row r="564" spans="4:16">
      <c r="D564" s="374" t="s">
        <v>523</v>
      </c>
      <c r="E564" s="374" t="s">
        <v>527</v>
      </c>
      <c r="F564" s="427">
        <v>41939</v>
      </c>
      <c r="G564" s="390">
        <f t="shared" si="16"/>
        <v>2014</v>
      </c>
      <c r="H564" s="390">
        <f t="shared" si="17"/>
        <v>10</v>
      </c>
      <c r="I564" s="374">
        <v>19</v>
      </c>
      <c r="J564" s="374">
        <v>7.4539999999999997</v>
      </c>
      <c r="K564" s="374">
        <v>0</v>
      </c>
      <c r="L564" s="428">
        <v>7.4539999999999997</v>
      </c>
      <c r="M564" s="429">
        <v>2906</v>
      </c>
      <c r="N564" s="374">
        <v>0.25700000000000001</v>
      </c>
      <c r="O564" s="374">
        <v>7.5330000000000004</v>
      </c>
      <c r="P564" s="374">
        <v>0</v>
      </c>
    </row>
    <row r="565" spans="4:16">
      <c r="D565" s="374" t="s">
        <v>523</v>
      </c>
      <c r="E565" s="374" t="s">
        <v>527</v>
      </c>
      <c r="F565" s="427">
        <v>41960</v>
      </c>
      <c r="G565" s="390">
        <f t="shared" si="16"/>
        <v>2014</v>
      </c>
      <c r="H565" s="390">
        <f t="shared" si="17"/>
        <v>11</v>
      </c>
      <c r="I565" s="374">
        <v>18</v>
      </c>
      <c r="J565" s="374">
        <v>10.384</v>
      </c>
      <c r="K565" s="374">
        <v>0</v>
      </c>
      <c r="L565" s="428">
        <v>10.384</v>
      </c>
      <c r="M565" s="374">
        <v>0</v>
      </c>
      <c r="N565" s="374">
        <v>0</v>
      </c>
      <c r="O565" s="374">
        <v>10.49</v>
      </c>
      <c r="P565" s="374">
        <v>0</v>
      </c>
    </row>
    <row r="566" spans="4:16">
      <c r="D566" s="374" t="s">
        <v>523</v>
      </c>
      <c r="E566" s="374" t="s">
        <v>527</v>
      </c>
      <c r="F566" s="427">
        <v>41974</v>
      </c>
      <c r="G566" s="390">
        <f t="shared" si="16"/>
        <v>2014</v>
      </c>
      <c r="H566" s="390">
        <f t="shared" si="17"/>
        <v>12</v>
      </c>
      <c r="I566" s="374">
        <v>19</v>
      </c>
      <c r="J566" s="374">
        <v>10.105</v>
      </c>
      <c r="K566" s="374">
        <v>0</v>
      </c>
      <c r="L566" s="428">
        <v>10.105</v>
      </c>
      <c r="M566" s="374">
        <v>0</v>
      </c>
      <c r="N566" s="374">
        <v>0</v>
      </c>
      <c r="O566" s="374">
        <v>10.212</v>
      </c>
      <c r="P566" s="374">
        <v>0</v>
      </c>
    </row>
    <row r="567" spans="4:16">
      <c r="D567" s="374" t="s">
        <v>523</v>
      </c>
      <c r="E567" s="374" t="s">
        <v>527</v>
      </c>
      <c r="F567" s="427">
        <v>42011</v>
      </c>
      <c r="G567" s="390">
        <f t="shared" si="16"/>
        <v>2015</v>
      </c>
      <c r="H567" s="390">
        <f t="shared" si="17"/>
        <v>1</v>
      </c>
      <c r="I567" s="374">
        <v>19</v>
      </c>
      <c r="J567" s="374">
        <v>10.785</v>
      </c>
      <c r="K567" s="374">
        <v>0</v>
      </c>
      <c r="L567" s="428">
        <v>10.785</v>
      </c>
      <c r="M567" s="429">
        <v>3438</v>
      </c>
      <c r="N567" s="374">
        <v>0.314</v>
      </c>
      <c r="O567" s="374">
        <v>10.901999999999999</v>
      </c>
      <c r="P567" s="374">
        <v>0</v>
      </c>
    </row>
    <row r="568" spans="4:16">
      <c r="D568" s="374" t="s">
        <v>523</v>
      </c>
      <c r="E568" s="374" t="s">
        <v>527</v>
      </c>
      <c r="F568" s="427">
        <v>42053</v>
      </c>
      <c r="G568" s="390">
        <f t="shared" si="16"/>
        <v>2015</v>
      </c>
      <c r="H568" s="390">
        <f t="shared" si="17"/>
        <v>2</v>
      </c>
      <c r="I568" s="374">
        <v>19</v>
      </c>
      <c r="J568" s="374">
        <v>10.705</v>
      </c>
      <c r="K568" s="374">
        <v>0</v>
      </c>
      <c r="L568" s="428">
        <v>10.705</v>
      </c>
      <c r="M568" s="429">
        <v>3305</v>
      </c>
      <c r="N568" s="374">
        <v>0.32400000000000001</v>
      </c>
      <c r="O568" s="374">
        <v>10.804</v>
      </c>
      <c r="P568" s="374">
        <v>0</v>
      </c>
    </row>
    <row r="569" spans="4:16">
      <c r="D569" s="374" t="s">
        <v>523</v>
      </c>
      <c r="E569" s="374" t="s">
        <v>527</v>
      </c>
      <c r="F569" s="427">
        <v>42067</v>
      </c>
      <c r="G569" s="390">
        <f t="shared" si="16"/>
        <v>2015</v>
      </c>
      <c r="H569" s="390">
        <f t="shared" si="17"/>
        <v>3</v>
      </c>
      <c r="I569" s="374">
        <v>9</v>
      </c>
      <c r="J569" s="374">
        <v>10.286</v>
      </c>
      <c r="K569" s="374">
        <v>0</v>
      </c>
      <c r="L569" s="428">
        <v>10.286</v>
      </c>
      <c r="M569" s="374">
        <v>0</v>
      </c>
      <c r="N569" s="374">
        <v>0</v>
      </c>
      <c r="O569" s="374">
        <v>10.391999999999999</v>
      </c>
      <c r="P569" s="374">
        <v>0</v>
      </c>
    </row>
    <row r="570" spans="4:16">
      <c r="D570" s="374" t="s">
        <v>523</v>
      </c>
      <c r="E570" s="374" t="s">
        <v>527</v>
      </c>
      <c r="F570" s="427">
        <v>42103</v>
      </c>
      <c r="G570" s="390">
        <f t="shared" si="16"/>
        <v>2015</v>
      </c>
      <c r="H570" s="390">
        <f t="shared" si="17"/>
        <v>4</v>
      </c>
      <c r="I570" s="374">
        <v>11</v>
      </c>
      <c r="J570" s="374">
        <v>9.8019999999999996</v>
      </c>
      <c r="K570" s="374">
        <v>0</v>
      </c>
      <c r="L570" s="428">
        <v>9.8019999999999996</v>
      </c>
      <c r="M570" s="374">
        <v>0</v>
      </c>
      <c r="N570" s="374">
        <v>0</v>
      </c>
      <c r="O570" s="374">
        <v>9.8960000000000008</v>
      </c>
      <c r="P570" s="374">
        <v>0</v>
      </c>
    </row>
    <row r="571" spans="4:16">
      <c r="D571" s="374" t="s">
        <v>523</v>
      </c>
      <c r="E571" s="374" t="s">
        <v>527</v>
      </c>
      <c r="F571" s="427">
        <v>42152</v>
      </c>
      <c r="G571" s="390">
        <f t="shared" si="16"/>
        <v>2015</v>
      </c>
      <c r="H571" s="390">
        <f t="shared" si="17"/>
        <v>5</v>
      </c>
      <c r="I571" s="374">
        <v>15</v>
      </c>
      <c r="J571" s="374">
        <v>10.784000000000001</v>
      </c>
      <c r="K571" s="374">
        <v>0</v>
      </c>
      <c r="L571" s="428">
        <v>10.784000000000001</v>
      </c>
      <c r="M571" s="374">
        <v>0</v>
      </c>
      <c r="N571" s="374">
        <v>0</v>
      </c>
      <c r="O571" s="374">
        <v>10.898</v>
      </c>
      <c r="P571" s="374">
        <v>0</v>
      </c>
    </row>
    <row r="572" spans="4:16">
      <c r="D572" s="374" t="s">
        <v>523</v>
      </c>
      <c r="E572" s="374" t="s">
        <v>527</v>
      </c>
      <c r="F572" s="427">
        <v>42165</v>
      </c>
      <c r="G572" s="390">
        <f t="shared" si="16"/>
        <v>2015</v>
      </c>
      <c r="H572" s="390">
        <f t="shared" si="17"/>
        <v>6</v>
      </c>
      <c r="I572" s="374">
        <v>18</v>
      </c>
      <c r="J572" s="374">
        <v>11.148</v>
      </c>
      <c r="K572" s="374">
        <v>0</v>
      </c>
      <c r="L572" s="428">
        <v>11.148</v>
      </c>
      <c r="M572" s="374">
        <v>0</v>
      </c>
      <c r="N572" s="374">
        <v>0</v>
      </c>
      <c r="O572" s="374">
        <v>11.252000000000001</v>
      </c>
      <c r="P572" s="374">
        <v>0</v>
      </c>
    </row>
    <row r="573" spans="4:16">
      <c r="D573" s="374" t="s">
        <v>523</v>
      </c>
      <c r="E573" s="374" t="s">
        <v>527</v>
      </c>
      <c r="F573" s="427">
        <v>42198</v>
      </c>
      <c r="G573" s="390">
        <f t="shared" si="16"/>
        <v>2015</v>
      </c>
      <c r="H573" s="390">
        <f t="shared" si="17"/>
        <v>7</v>
      </c>
      <c r="I573" s="374">
        <v>16</v>
      </c>
      <c r="J573" s="374">
        <v>13.098000000000001</v>
      </c>
      <c r="K573" s="374">
        <v>0</v>
      </c>
      <c r="L573" s="428">
        <v>13.098000000000001</v>
      </c>
      <c r="M573" s="374">
        <v>0</v>
      </c>
      <c r="N573" s="374">
        <v>0</v>
      </c>
      <c r="O573" s="374">
        <v>13.259</v>
      </c>
      <c r="P573" s="374">
        <v>0</v>
      </c>
    </row>
    <row r="574" spans="4:16">
      <c r="D574" s="374" t="s">
        <v>523</v>
      </c>
      <c r="E574" s="374" t="s">
        <v>527</v>
      </c>
      <c r="F574" s="427">
        <v>42230</v>
      </c>
      <c r="G574" s="390">
        <f t="shared" si="16"/>
        <v>2015</v>
      </c>
      <c r="H574" s="390">
        <f t="shared" si="17"/>
        <v>8</v>
      </c>
      <c r="I574" s="374">
        <v>17</v>
      </c>
      <c r="J574" s="374">
        <v>12.111000000000001</v>
      </c>
      <c r="K574" s="374">
        <v>0</v>
      </c>
      <c r="L574" s="428">
        <v>12.111000000000001</v>
      </c>
      <c r="M574" s="374">
        <v>0</v>
      </c>
      <c r="N574" s="374">
        <v>0</v>
      </c>
      <c r="O574" s="374">
        <v>12.206</v>
      </c>
      <c r="P574" s="374">
        <v>0</v>
      </c>
    </row>
    <row r="575" spans="4:16">
      <c r="D575" s="374" t="s">
        <v>523</v>
      </c>
      <c r="E575" s="374" t="s">
        <v>527</v>
      </c>
      <c r="F575" s="427">
        <v>42250</v>
      </c>
      <c r="G575" s="390">
        <f t="shared" si="16"/>
        <v>2015</v>
      </c>
      <c r="H575" s="390">
        <f t="shared" si="17"/>
        <v>9</v>
      </c>
      <c r="I575" s="374">
        <v>17</v>
      </c>
      <c r="J575" s="374">
        <v>13.505000000000001</v>
      </c>
      <c r="K575" s="374">
        <v>0</v>
      </c>
      <c r="L575" s="428">
        <v>13.505000000000001</v>
      </c>
      <c r="M575" s="374">
        <v>0</v>
      </c>
      <c r="N575" s="374">
        <v>0</v>
      </c>
      <c r="O575" s="374">
        <v>13.63</v>
      </c>
      <c r="P575" s="374">
        <v>0</v>
      </c>
    </row>
    <row r="576" spans="4:16">
      <c r="D576" s="374" t="s">
        <v>523</v>
      </c>
      <c r="E576" s="374" t="s">
        <v>527</v>
      </c>
      <c r="F576" s="427">
        <v>42284</v>
      </c>
      <c r="G576" s="390">
        <f t="shared" si="16"/>
        <v>2015</v>
      </c>
      <c r="H576" s="390">
        <f t="shared" si="17"/>
        <v>10</v>
      </c>
      <c r="I576" s="374">
        <v>15</v>
      </c>
      <c r="J576" s="374">
        <v>7.1289999999999996</v>
      </c>
      <c r="K576" s="374">
        <v>0</v>
      </c>
      <c r="L576" s="428">
        <v>7.1289999999999996</v>
      </c>
      <c r="M576" s="374">
        <v>0</v>
      </c>
      <c r="N576" s="374">
        <v>0</v>
      </c>
      <c r="O576" s="374">
        <v>7.1989999999999998</v>
      </c>
      <c r="P576" s="374">
        <v>0</v>
      </c>
    </row>
    <row r="577" spans="4:16">
      <c r="D577" s="374" t="s">
        <v>523</v>
      </c>
      <c r="E577" s="374" t="s">
        <v>527</v>
      </c>
      <c r="F577" s="427">
        <v>42338</v>
      </c>
      <c r="G577" s="390">
        <f t="shared" si="16"/>
        <v>2015</v>
      </c>
      <c r="H577" s="390">
        <f t="shared" si="17"/>
        <v>11</v>
      </c>
      <c r="I577" s="374">
        <v>18</v>
      </c>
      <c r="J577" s="374">
        <v>8.2409999999999997</v>
      </c>
      <c r="K577" s="374">
        <v>0</v>
      </c>
      <c r="L577" s="428">
        <v>8.2409999999999997</v>
      </c>
      <c r="M577" s="374">
        <v>0</v>
      </c>
      <c r="N577" s="374">
        <v>0</v>
      </c>
      <c r="O577" s="374">
        <v>8.3529999999999998</v>
      </c>
      <c r="P577" s="374">
        <v>0</v>
      </c>
    </row>
    <row r="578" spans="4:16">
      <c r="D578" s="374" t="s">
        <v>523</v>
      </c>
      <c r="E578" s="374" t="s">
        <v>527</v>
      </c>
      <c r="F578" s="427">
        <v>42355</v>
      </c>
      <c r="G578" s="390">
        <f t="shared" si="16"/>
        <v>2015</v>
      </c>
      <c r="H578" s="390">
        <f t="shared" si="17"/>
        <v>12</v>
      </c>
      <c r="I578" s="374">
        <v>19</v>
      </c>
      <c r="J578" s="374">
        <v>8.3870000000000005</v>
      </c>
      <c r="K578" s="374">
        <v>0</v>
      </c>
      <c r="L578" s="428">
        <v>8.3870000000000005</v>
      </c>
      <c r="M578" s="374">
        <v>0</v>
      </c>
      <c r="N578" s="374">
        <v>0</v>
      </c>
      <c r="O578" s="374">
        <v>8.48</v>
      </c>
      <c r="P578" s="374">
        <v>0</v>
      </c>
    </row>
  </sheetData>
  <phoneticPr fontId="3" type="noConversion"/>
  <pageMargins left="0.75" right="0.75" top="1" bottom="1" header="0.5" footer="0.5"/>
  <pageSetup scale="8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T12"/>
  <sheetViews>
    <sheetView topLeftCell="D1" workbookViewId="0">
      <selection activeCell="I22" sqref="I22"/>
    </sheetView>
  </sheetViews>
  <sheetFormatPr defaultRowHeight="12.75"/>
  <sheetData>
    <row r="4" spans="4:20" ht="15.75">
      <c r="D4" s="33" t="s">
        <v>536</v>
      </c>
    </row>
    <row r="7" spans="4:20">
      <c r="D7" s="34" t="s">
        <v>12</v>
      </c>
      <c r="I7" s="464" t="s">
        <v>673</v>
      </c>
      <c r="J7" s="304"/>
      <c r="K7" s="304"/>
      <c r="L7" s="304"/>
      <c r="M7" s="304"/>
      <c r="N7" s="304"/>
      <c r="O7" s="304"/>
      <c r="P7" s="304"/>
      <c r="Q7" s="304"/>
      <c r="R7" s="304"/>
      <c r="S7" s="304"/>
      <c r="T7" s="304"/>
    </row>
    <row r="8" spans="4:20">
      <c r="I8" s="464" t="s">
        <v>675</v>
      </c>
      <c r="J8" s="304"/>
      <c r="K8" s="304"/>
      <c r="L8" s="304"/>
      <c r="M8" s="304"/>
      <c r="N8" s="304"/>
      <c r="O8" s="304"/>
      <c r="P8" s="304"/>
      <c r="Q8" s="304"/>
      <c r="R8" s="304"/>
      <c r="S8" s="304"/>
      <c r="T8" s="304"/>
    </row>
    <row r="9" spans="4:20">
      <c r="I9" s="304"/>
      <c r="J9" s="304"/>
      <c r="K9" s="304"/>
      <c r="L9" s="304"/>
      <c r="M9" s="304"/>
      <c r="N9" s="304"/>
      <c r="O9" s="304"/>
      <c r="P9" s="304"/>
      <c r="Q9" s="304"/>
      <c r="R9" s="304"/>
      <c r="S9" s="304"/>
      <c r="T9" s="304"/>
    </row>
    <row r="10" spans="4:20">
      <c r="I10" s="304"/>
      <c r="J10" s="304"/>
      <c r="K10" s="304"/>
      <c r="L10" s="304"/>
      <c r="M10" s="304"/>
      <c r="N10" s="304"/>
      <c r="O10" s="304"/>
      <c r="P10" s="304"/>
      <c r="Q10" s="304"/>
      <c r="R10" s="304"/>
      <c r="S10" s="304"/>
      <c r="T10" s="304"/>
    </row>
    <row r="11" spans="4:20">
      <c r="I11" s="464" t="s">
        <v>676</v>
      </c>
      <c r="J11" s="304"/>
      <c r="K11" s="304"/>
      <c r="L11" s="304"/>
      <c r="M11" s="304"/>
      <c r="N11" s="304"/>
      <c r="O11" s="304"/>
      <c r="P11" s="304"/>
      <c r="Q11" s="304"/>
      <c r="R11" s="304"/>
      <c r="S11" s="304"/>
      <c r="T11" s="304"/>
    </row>
    <row r="12" spans="4:20">
      <c r="I12" s="304"/>
      <c r="J12" s="304"/>
      <c r="K12" s="304"/>
      <c r="L12" s="304"/>
      <c r="M12" s="304"/>
      <c r="N12" s="304"/>
      <c r="O12" s="304"/>
      <c r="P12" s="304"/>
      <c r="Q12" s="304"/>
      <c r="R12" s="304"/>
      <c r="S12" s="304"/>
      <c r="T12" s="304"/>
    </row>
  </sheetData>
  <phoneticPr fontId="3"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topLeftCell="J28" workbookViewId="0">
      <selection activeCell="M39" sqref="M39"/>
    </sheetView>
  </sheetViews>
  <sheetFormatPr defaultRowHeight="12.75"/>
  <cols>
    <col min="1" max="1" width="10.140625" bestFit="1" customWidth="1"/>
    <col min="3" max="5" width="10.28515625" bestFit="1" customWidth="1"/>
    <col min="6" max="6" width="15" bestFit="1" customWidth="1"/>
    <col min="7" max="7" width="11.85546875" bestFit="1" customWidth="1"/>
    <col min="8" max="8" width="12.85546875" bestFit="1" customWidth="1"/>
    <col min="9" max="9" width="11.85546875" customWidth="1"/>
    <col min="10" max="10" width="12.85546875" bestFit="1" customWidth="1"/>
    <col min="11" max="11" width="11.28515625" bestFit="1" customWidth="1"/>
    <col min="12" max="12" width="15.5703125" bestFit="1" customWidth="1"/>
    <col min="13" max="13" width="19.140625" bestFit="1" customWidth="1"/>
    <col min="15" max="15" width="12.28515625" bestFit="1" customWidth="1"/>
    <col min="16" max="16" width="11.28515625" bestFit="1" customWidth="1"/>
    <col min="17" max="17" width="12.85546875" bestFit="1" customWidth="1"/>
    <col min="18" max="18" width="11.28515625" bestFit="1" customWidth="1"/>
    <col min="19" max="19" width="12.42578125" bestFit="1" customWidth="1"/>
    <col min="20" max="20" width="15.5703125" bestFit="1" customWidth="1"/>
    <col min="21" max="22" width="12.42578125" bestFit="1" customWidth="1"/>
    <col min="23" max="23" width="12.28515625" bestFit="1" customWidth="1"/>
    <col min="24" max="24" width="9.85546875" bestFit="1" customWidth="1"/>
    <col min="25" max="25" width="12.140625" bestFit="1" customWidth="1"/>
    <col min="26" max="26" width="14" bestFit="1" customWidth="1"/>
    <col min="27" max="27" width="12.5703125" bestFit="1" customWidth="1"/>
    <col min="28" max="28" width="11.42578125" bestFit="1" customWidth="1"/>
    <col min="29" max="29" width="12.5703125" bestFit="1" customWidth="1"/>
    <col min="30" max="30" width="14" bestFit="1" customWidth="1"/>
    <col min="31" max="31" width="12.85546875" bestFit="1" customWidth="1"/>
    <col min="32" max="32" width="14" bestFit="1" customWidth="1"/>
    <col min="33" max="33" width="12.28515625" bestFit="1" customWidth="1"/>
  </cols>
  <sheetData>
    <row r="1" spans="1:22">
      <c r="A1" t="s">
        <v>831</v>
      </c>
    </row>
    <row r="2" spans="1:22">
      <c r="A2" t="s">
        <v>11</v>
      </c>
    </row>
    <row r="3" spans="1:22">
      <c r="A3" s="350">
        <f>'EIA412 BALANCE SHEET'!A3</f>
        <v>42369</v>
      </c>
    </row>
    <row r="4" spans="1:22">
      <c r="C4" s="357"/>
      <c r="D4" s="357"/>
      <c r="E4" s="161"/>
      <c r="F4" s="161"/>
      <c r="G4" s="357"/>
      <c r="H4" s="357"/>
      <c r="I4" s="357"/>
      <c r="J4" s="161"/>
      <c r="K4" s="161"/>
    </row>
    <row r="5" spans="1:22" ht="13.5" thickBot="1">
      <c r="C5" s="161"/>
      <c r="D5" s="161"/>
      <c r="E5" s="161"/>
      <c r="F5" s="161"/>
      <c r="G5" s="161"/>
      <c r="H5" s="161"/>
      <c r="I5" s="161"/>
      <c r="J5" s="161"/>
      <c r="K5" s="161"/>
    </row>
    <row r="6" spans="1:22">
      <c r="G6" s="358"/>
      <c r="O6" s="532" t="s">
        <v>565</v>
      </c>
      <c r="P6" s="533"/>
      <c r="Q6" s="533"/>
      <c r="R6" s="533"/>
      <c r="S6" s="533"/>
      <c r="T6" s="533"/>
      <c r="U6" s="533"/>
      <c r="V6" s="534"/>
    </row>
    <row r="7" spans="1:22">
      <c r="F7" s="365" t="s">
        <v>11</v>
      </c>
      <c r="G7" s="356"/>
      <c r="O7" s="487"/>
      <c r="P7" s="14"/>
      <c r="Q7" s="14"/>
      <c r="R7" s="14"/>
      <c r="S7" s="14"/>
      <c r="T7" s="14"/>
      <c r="U7" s="14"/>
      <c r="V7" s="488"/>
    </row>
    <row r="8" spans="1:22">
      <c r="C8" s="356"/>
      <c r="D8" s="356"/>
      <c r="F8" s="27" t="s">
        <v>558</v>
      </c>
      <c r="G8" s="360"/>
      <c r="H8" s="360"/>
      <c r="I8" s="360"/>
      <c r="J8" s="27" t="s">
        <v>347</v>
      </c>
      <c r="L8" s="27">
        <v>2015</v>
      </c>
      <c r="M8" s="454">
        <v>2015</v>
      </c>
      <c r="O8" s="489" t="s">
        <v>558</v>
      </c>
      <c r="P8" s="490"/>
      <c r="Q8" s="490"/>
      <c r="R8" s="490"/>
      <c r="S8" s="163" t="s">
        <v>347</v>
      </c>
      <c r="T8" s="14" t="s">
        <v>235</v>
      </c>
      <c r="U8" s="491" t="s">
        <v>562</v>
      </c>
      <c r="V8" s="492">
        <v>2015</v>
      </c>
    </row>
    <row r="9" spans="1:22">
      <c r="A9" s="362" t="s">
        <v>538</v>
      </c>
      <c r="C9" s="356"/>
      <c r="D9" s="356"/>
      <c r="F9" s="27" t="s">
        <v>348</v>
      </c>
      <c r="G9" s="361" t="s">
        <v>349</v>
      </c>
      <c r="H9" s="361" t="s">
        <v>350</v>
      </c>
      <c r="I9" s="361" t="s">
        <v>351</v>
      </c>
      <c r="J9" s="361" t="s">
        <v>348</v>
      </c>
      <c r="L9" s="361" t="s">
        <v>561</v>
      </c>
      <c r="M9" s="361" t="s">
        <v>677</v>
      </c>
      <c r="O9" s="489" t="s">
        <v>348</v>
      </c>
      <c r="P9" s="493" t="s">
        <v>349</v>
      </c>
      <c r="Q9" s="493" t="s">
        <v>350</v>
      </c>
      <c r="R9" s="493" t="s">
        <v>351</v>
      </c>
      <c r="S9" s="507" t="s">
        <v>348</v>
      </c>
      <c r="T9" s="493" t="s">
        <v>561</v>
      </c>
      <c r="U9" s="493" t="s">
        <v>563</v>
      </c>
      <c r="V9" s="494" t="s">
        <v>561</v>
      </c>
    </row>
    <row r="10" spans="1:22">
      <c r="O10" s="487"/>
      <c r="P10" s="14"/>
      <c r="Q10" s="14"/>
      <c r="R10" s="14"/>
      <c r="S10" s="164"/>
      <c r="T10" s="14"/>
      <c r="U10" s="14"/>
      <c r="V10" s="488"/>
    </row>
    <row r="11" spans="1:22">
      <c r="A11" t="s">
        <v>537</v>
      </c>
      <c r="O11" s="487"/>
      <c r="P11" s="14"/>
      <c r="Q11" s="14"/>
      <c r="R11" s="14"/>
      <c r="S11" s="164"/>
      <c r="T11" s="14"/>
      <c r="U11" s="14"/>
      <c r="V11" s="488"/>
    </row>
    <row r="12" spans="1:22">
      <c r="A12" t="s">
        <v>539</v>
      </c>
      <c r="F12" s="366">
        <v>1988827</v>
      </c>
      <c r="G12" s="366">
        <v>0</v>
      </c>
      <c r="H12" s="366">
        <v>0</v>
      </c>
      <c r="I12" s="357"/>
      <c r="J12" s="366">
        <f t="shared" ref="J12:J13" si="0">F12+G12+H12+I12</f>
        <v>1988827</v>
      </c>
      <c r="K12" s="304"/>
      <c r="L12" s="434">
        <v>32483</v>
      </c>
      <c r="M12" s="434">
        <v>1303283</v>
      </c>
      <c r="O12" s="487" t="s">
        <v>4</v>
      </c>
      <c r="P12" s="14"/>
      <c r="Q12" s="14"/>
      <c r="R12" s="14"/>
      <c r="S12" s="164"/>
      <c r="T12" s="14"/>
      <c r="U12" s="14"/>
      <c r="V12" s="488"/>
    </row>
    <row r="13" spans="1:22">
      <c r="A13" t="s">
        <v>540</v>
      </c>
      <c r="F13" s="366">
        <v>12831716</v>
      </c>
      <c r="G13" s="366">
        <v>0</v>
      </c>
      <c r="H13" s="366">
        <v>0</v>
      </c>
      <c r="I13" s="357"/>
      <c r="J13" s="366">
        <f t="shared" si="0"/>
        <v>12831716</v>
      </c>
      <c r="K13" s="304"/>
      <c r="L13" s="434">
        <f>10870+111937+219600+4407</f>
        <v>346814</v>
      </c>
      <c r="M13" s="434">
        <f>3083103+6191796+783958+92247</f>
        <v>10151104</v>
      </c>
      <c r="O13" s="495">
        <f>F12+F13</f>
        <v>14820543</v>
      </c>
      <c r="P13" s="496">
        <f>G12+G13</f>
        <v>0</v>
      </c>
      <c r="Q13" s="496">
        <f>H12+H13</f>
        <v>0</v>
      </c>
      <c r="R13" s="496">
        <f>I12+I13</f>
        <v>0</v>
      </c>
      <c r="S13" s="508">
        <f>SUM(O13:R13)</f>
        <v>14820543</v>
      </c>
      <c r="T13" s="497">
        <f>M13+M12</f>
        <v>11454387</v>
      </c>
      <c r="U13" s="496">
        <f>S13-T13</f>
        <v>3366156</v>
      </c>
      <c r="V13" s="498">
        <f>L13+L12</f>
        <v>379297</v>
      </c>
    </row>
    <row r="14" spans="1:22">
      <c r="A14" t="s">
        <v>541</v>
      </c>
      <c r="F14" s="366">
        <v>5622986</v>
      </c>
      <c r="G14" s="366">
        <v>429927</v>
      </c>
      <c r="H14" s="366">
        <v>0</v>
      </c>
      <c r="I14" s="357">
        <v>0</v>
      </c>
      <c r="J14" s="366">
        <f>F14+G14+H14+I14</f>
        <v>6052913</v>
      </c>
      <c r="K14" s="465"/>
      <c r="L14" s="434">
        <f>138924+20717</f>
        <v>159641</v>
      </c>
      <c r="M14" s="434">
        <f>3649076+340216</f>
        <v>3989292</v>
      </c>
      <c r="O14" s="487" t="s">
        <v>5</v>
      </c>
      <c r="P14" s="14"/>
      <c r="Q14" s="14"/>
      <c r="R14" s="14"/>
      <c r="S14" s="164"/>
      <c r="T14" s="250"/>
      <c r="U14" s="14"/>
      <c r="V14" s="488"/>
    </row>
    <row r="15" spans="1:22">
      <c r="A15" t="s">
        <v>560</v>
      </c>
      <c r="F15" s="366">
        <v>9702416</v>
      </c>
      <c r="G15" s="366">
        <v>0</v>
      </c>
      <c r="H15" s="366"/>
      <c r="I15" s="357">
        <v>0</v>
      </c>
      <c r="J15" s="366">
        <f t="shared" ref="J15:J19" si="1">F15+G15+H15+I15</f>
        <v>9702416</v>
      </c>
      <c r="K15" s="304"/>
      <c r="L15" s="434">
        <f>142956+176909</f>
        <v>319865</v>
      </c>
      <c r="M15" s="434">
        <f>519094+1391353</f>
        <v>1910447</v>
      </c>
      <c r="O15" s="495">
        <f>F15</f>
        <v>9702416</v>
      </c>
      <c r="P15" s="499">
        <f>G15</f>
        <v>0</v>
      </c>
      <c r="Q15" s="499">
        <f t="shared" ref="Q15:R15" si="2">H15</f>
        <v>0</v>
      </c>
      <c r="R15" s="499">
        <f t="shared" si="2"/>
        <v>0</v>
      </c>
      <c r="S15" s="509">
        <f>SUM(O15:R15)</f>
        <v>9702416</v>
      </c>
      <c r="T15" s="497">
        <f>M15</f>
        <v>1910447</v>
      </c>
      <c r="U15" s="496">
        <f>S15-T15</f>
        <v>7791969</v>
      </c>
      <c r="V15" s="500">
        <f>L15</f>
        <v>319865</v>
      </c>
    </row>
    <row r="16" spans="1:22">
      <c r="A16" t="s">
        <v>542</v>
      </c>
      <c r="F16" s="366">
        <v>175454</v>
      </c>
      <c r="G16" s="366">
        <v>0</v>
      </c>
      <c r="H16" s="366">
        <v>0</v>
      </c>
      <c r="I16" s="357"/>
      <c r="J16" s="366">
        <f t="shared" si="1"/>
        <v>175454</v>
      </c>
      <c r="K16" s="304"/>
      <c r="L16" s="434">
        <f>5568</f>
        <v>5568</v>
      </c>
      <c r="M16" s="434">
        <f>149582</f>
        <v>149582</v>
      </c>
      <c r="O16" s="487"/>
      <c r="P16" s="14"/>
      <c r="Q16" s="14"/>
      <c r="R16" s="14"/>
      <c r="S16" s="164"/>
      <c r="T16" s="250"/>
      <c r="U16" s="14"/>
      <c r="V16" s="488"/>
    </row>
    <row r="17" spans="1:22">
      <c r="A17" t="s">
        <v>543</v>
      </c>
      <c r="F17" s="366">
        <v>3056480</v>
      </c>
      <c r="G17" s="366">
        <v>0</v>
      </c>
      <c r="H17" s="366">
        <v>0</v>
      </c>
      <c r="I17" s="357"/>
      <c r="J17" s="366">
        <f t="shared" si="1"/>
        <v>3056480</v>
      </c>
      <c r="K17" s="304"/>
      <c r="L17" s="434">
        <f>32200+44403</f>
        <v>76603</v>
      </c>
      <c r="M17" s="434">
        <f>322074+494034</f>
        <v>816108</v>
      </c>
      <c r="O17" s="487"/>
      <c r="P17" s="14"/>
      <c r="Q17" s="14"/>
      <c r="R17" s="14"/>
      <c r="S17" s="164"/>
      <c r="T17" s="250"/>
      <c r="U17" s="14"/>
      <c r="V17" s="488"/>
    </row>
    <row r="18" spans="1:22">
      <c r="A18" t="s">
        <v>544</v>
      </c>
      <c r="F18" s="366">
        <v>468366</v>
      </c>
      <c r="G18" s="366">
        <v>0</v>
      </c>
      <c r="H18" s="366">
        <v>0</v>
      </c>
      <c r="I18" s="357"/>
      <c r="J18" s="366">
        <f t="shared" si="1"/>
        <v>468366</v>
      </c>
      <c r="K18" s="304"/>
      <c r="L18" s="434">
        <f>225</f>
        <v>225</v>
      </c>
      <c r="M18" s="434">
        <f>468219</f>
        <v>468219</v>
      </c>
      <c r="O18" s="487" t="s">
        <v>6</v>
      </c>
      <c r="P18" s="14"/>
      <c r="Q18" s="14"/>
      <c r="R18" s="14"/>
      <c r="S18" s="164"/>
      <c r="T18" s="250"/>
      <c r="U18" s="14"/>
      <c r="V18" s="488"/>
    </row>
    <row r="19" spans="1:22">
      <c r="A19" t="s">
        <v>545</v>
      </c>
      <c r="F19" s="366">
        <v>435879</v>
      </c>
      <c r="G19" s="366">
        <v>0</v>
      </c>
      <c r="H19" s="366">
        <v>0</v>
      </c>
      <c r="I19" s="357"/>
      <c r="J19" s="366">
        <f t="shared" si="1"/>
        <v>435879</v>
      </c>
      <c r="K19" s="304"/>
      <c r="L19" s="434">
        <f>18346</f>
        <v>18346</v>
      </c>
      <c r="M19" s="434">
        <f>343844</f>
        <v>343844</v>
      </c>
      <c r="O19" s="495">
        <f>F19+F18+F17+F16+F14</f>
        <v>9759165</v>
      </c>
      <c r="P19" s="496">
        <f t="shared" ref="P19:R19" si="3">G19+G18+G17+G16+G14</f>
        <v>429927</v>
      </c>
      <c r="Q19" s="496">
        <f t="shared" si="3"/>
        <v>0</v>
      </c>
      <c r="R19" s="496">
        <f t="shared" si="3"/>
        <v>0</v>
      </c>
      <c r="S19" s="508">
        <f>SUM(O19:R19)</f>
        <v>10189092</v>
      </c>
      <c r="T19" s="496">
        <f>M19+M18+M17+M16+M14</f>
        <v>5767045</v>
      </c>
      <c r="U19" s="496">
        <f>S19-T19</f>
        <v>4422047</v>
      </c>
      <c r="V19" s="498">
        <f>L19+L18+L17+L16+L14</f>
        <v>260383</v>
      </c>
    </row>
    <row r="20" spans="1:22">
      <c r="B20" t="s">
        <v>546</v>
      </c>
      <c r="F20" s="366">
        <v>34282124</v>
      </c>
      <c r="G20" s="366">
        <f>SUM(G12:G19)</f>
        <v>429927</v>
      </c>
      <c r="H20" s="366">
        <f>SUM(H12:H19)</f>
        <v>0</v>
      </c>
      <c r="I20" s="357"/>
      <c r="J20" s="366">
        <f t="shared" ref="J20:J25" si="4">F20+G20+H20</f>
        <v>34712051</v>
      </c>
      <c r="K20" s="304"/>
      <c r="L20" s="366">
        <f>SUM(L12:L19)</f>
        <v>959545</v>
      </c>
      <c r="M20" s="366">
        <f>SUM(M12:M19)</f>
        <v>19131879</v>
      </c>
      <c r="O20" s="487"/>
      <c r="P20" s="14"/>
      <c r="Q20" s="14"/>
      <c r="R20" s="14"/>
      <c r="S20" s="164"/>
      <c r="T20" s="250"/>
      <c r="U20" s="14"/>
      <c r="V20" s="488"/>
    </row>
    <row r="21" spans="1:22">
      <c r="A21" t="s">
        <v>554</v>
      </c>
      <c r="B21" t="s">
        <v>555</v>
      </c>
      <c r="F21" s="366">
        <v>-18173350</v>
      </c>
      <c r="G21" s="366">
        <v>-961067</v>
      </c>
      <c r="H21" s="366">
        <v>0</v>
      </c>
      <c r="I21" s="357"/>
      <c r="J21" s="366">
        <f t="shared" si="4"/>
        <v>-19134417</v>
      </c>
      <c r="K21" s="304"/>
      <c r="L21" s="366"/>
      <c r="M21" s="357" t="s">
        <v>11</v>
      </c>
      <c r="O21" s="487"/>
      <c r="P21" s="14"/>
      <c r="Q21" s="14"/>
      <c r="R21" s="14"/>
      <c r="S21" s="164"/>
      <c r="T21" s="250"/>
      <c r="U21" s="14"/>
      <c r="V21" s="488"/>
    </row>
    <row r="22" spans="1:22">
      <c r="B22" t="s">
        <v>559</v>
      </c>
      <c r="F22" s="366">
        <v>16108774</v>
      </c>
      <c r="G22" s="366">
        <f>G21+G20</f>
        <v>-531140</v>
      </c>
      <c r="H22" s="366">
        <f>H21+H20</f>
        <v>0</v>
      </c>
      <c r="I22" s="357"/>
      <c r="J22" s="366">
        <f t="shared" si="4"/>
        <v>15577634</v>
      </c>
      <c r="K22" s="304"/>
      <c r="L22" s="366"/>
      <c r="M22" s="357"/>
      <c r="O22" s="495">
        <f>O19+O15+O13</f>
        <v>34282124</v>
      </c>
      <c r="P22" s="496">
        <f t="shared" ref="P22:V22" si="5">P19+P15+P13</f>
        <v>429927</v>
      </c>
      <c r="Q22" s="496">
        <f t="shared" si="5"/>
        <v>0</v>
      </c>
      <c r="R22" s="496">
        <f t="shared" si="5"/>
        <v>0</v>
      </c>
      <c r="S22" s="508">
        <f t="shared" si="5"/>
        <v>34712051</v>
      </c>
      <c r="T22" s="501">
        <f>T19+T15+T13</f>
        <v>19131879</v>
      </c>
      <c r="U22" s="496">
        <f t="shared" si="5"/>
        <v>15580172</v>
      </c>
      <c r="V22" s="498">
        <f t="shared" si="5"/>
        <v>959545</v>
      </c>
    </row>
    <row r="23" spans="1:22">
      <c r="A23" t="s">
        <v>11</v>
      </c>
      <c r="F23" s="366">
        <v>0</v>
      </c>
      <c r="G23" s="366"/>
      <c r="H23" s="366"/>
      <c r="I23" s="357"/>
      <c r="J23" s="366">
        <f t="shared" si="4"/>
        <v>0</v>
      </c>
      <c r="K23" s="304"/>
      <c r="L23" s="366"/>
      <c r="M23" s="357"/>
      <c r="O23" s="487" t="s">
        <v>628</v>
      </c>
      <c r="P23" s="14"/>
      <c r="Q23" s="14"/>
      <c r="R23" s="14"/>
      <c r="S23" s="164"/>
      <c r="T23" s="250"/>
      <c r="U23" s="14"/>
      <c r="V23" s="488"/>
    </row>
    <row r="24" spans="1:22">
      <c r="A24" t="s">
        <v>826</v>
      </c>
      <c r="F24" s="366">
        <v>204352</v>
      </c>
      <c r="G24" s="366">
        <v>50079</v>
      </c>
      <c r="H24" s="366">
        <v>-234908</v>
      </c>
      <c r="I24" s="357"/>
      <c r="J24" s="366">
        <f t="shared" si="4"/>
        <v>19523</v>
      </c>
      <c r="K24" s="304"/>
      <c r="L24" s="366"/>
      <c r="M24" s="357"/>
      <c r="O24" s="502">
        <f>F24</f>
        <v>204352</v>
      </c>
      <c r="P24" s="496">
        <f>G24</f>
        <v>50079</v>
      </c>
      <c r="Q24" s="499">
        <f>H24</f>
        <v>-234908</v>
      </c>
      <c r="R24" s="503">
        <v>0</v>
      </c>
      <c r="S24" s="508">
        <f>SUM(O24:R24)</f>
        <v>19523</v>
      </c>
      <c r="T24" s="250"/>
      <c r="U24" s="14"/>
      <c r="V24" s="488"/>
    </row>
    <row r="25" spans="1:22">
      <c r="B25" t="s">
        <v>547</v>
      </c>
      <c r="F25" s="366">
        <v>16314141</v>
      </c>
      <c r="G25" s="366">
        <f>G24+G22</f>
        <v>-481061</v>
      </c>
      <c r="H25" s="366">
        <f>H24+H22</f>
        <v>-234908</v>
      </c>
      <c r="I25" s="357"/>
      <c r="J25" s="366">
        <f t="shared" si="4"/>
        <v>15598172</v>
      </c>
      <c r="K25" s="304"/>
      <c r="L25" s="366"/>
      <c r="M25" s="357"/>
      <c r="O25" s="487"/>
      <c r="P25" s="14"/>
      <c r="Q25" s="14"/>
      <c r="R25" s="14"/>
      <c r="S25" s="164"/>
      <c r="T25" s="496" t="s">
        <v>11</v>
      </c>
      <c r="U25" s="14"/>
      <c r="V25" s="488"/>
    </row>
    <row r="26" spans="1:22">
      <c r="F26" s="366" t="s">
        <v>11</v>
      </c>
      <c r="G26" s="366"/>
      <c r="H26" s="366"/>
      <c r="I26" s="357"/>
      <c r="J26" s="366" t="s">
        <v>11</v>
      </c>
      <c r="K26" s="304"/>
      <c r="L26" s="366"/>
      <c r="M26" s="357"/>
      <c r="O26" s="487"/>
      <c r="P26" s="14"/>
      <c r="Q26" s="14"/>
      <c r="R26" s="14"/>
      <c r="S26" s="164"/>
      <c r="T26" s="14"/>
      <c r="U26" s="14"/>
      <c r="V26" s="488"/>
    </row>
    <row r="27" spans="1:22">
      <c r="A27" t="s">
        <v>548</v>
      </c>
      <c r="F27" s="366"/>
      <c r="G27" s="366"/>
      <c r="H27" s="366"/>
      <c r="I27" s="357"/>
      <c r="J27" s="366"/>
      <c r="K27" s="304"/>
      <c r="L27" s="366"/>
      <c r="M27" s="357"/>
      <c r="O27" s="487"/>
      <c r="P27" s="14"/>
      <c r="Q27" s="14"/>
      <c r="R27" s="14"/>
      <c r="S27" s="164"/>
      <c r="T27" s="14"/>
      <c r="U27" s="14"/>
      <c r="V27" s="488"/>
    </row>
    <row r="28" spans="1:22">
      <c r="A28" t="s">
        <v>549</v>
      </c>
      <c r="F28" s="366">
        <v>183145</v>
      </c>
      <c r="G28" s="366">
        <v>0</v>
      </c>
      <c r="H28" s="366">
        <v>0</v>
      </c>
      <c r="I28" s="357"/>
      <c r="J28" s="366">
        <f t="shared" ref="J28:J34" si="6">F28+G28+H28</f>
        <v>183145</v>
      </c>
      <c r="K28" s="304"/>
      <c r="L28" s="435">
        <v>3456</v>
      </c>
      <c r="M28" s="434">
        <v>10154</v>
      </c>
      <c r="O28" s="487"/>
      <c r="P28" s="14"/>
      <c r="Q28" s="14"/>
      <c r="R28" s="14"/>
      <c r="S28" s="164"/>
      <c r="T28" s="14"/>
      <c r="U28" s="14"/>
      <c r="V28" s="488"/>
    </row>
    <row r="29" spans="1:22">
      <c r="A29" t="s">
        <v>550</v>
      </c>
      <c r="F29" s="366">
        <v>885674</v>
      </c>
      <c r="G29" s="366">
        <v>361090</v>
      </c>
      <c r="H29" s="366">
        <v>-171096</v>
      </c>
      <c r="I29" s="357"/>
      <c r="J29" s="366">
        <f t="shared" si="6"/>
        <v>1075668</v>
      </c>
      <c r="K29" s="304"/>
      <c r="L29" s="434">
        <f>58977</f>
        <v>58977</v>
      </c>
      <c r="M29" s="434">
        <f>837450-171096</f>
        <v>666354</v>
      </c>
      <c r="O29" s="487"/>
      <c r="P29" s="14"/>
      <c r="Q29" s="14"/>
      <c r="R29" s="14"/>
      <c r="S29" s="164"/>
      <c r="T29" s="14"/>
      <c r="U29" s="14"/>
      <c r="V29" s="488"/>
    </row>
    <row r="30" spans="1:22">
      <c r="A30" t="s">
        <v>551</v>
      </c>
      <c r="F30" s="281">
        <v>178254</v>
      </c>
      <c r="G30" s="366">
        <v>0</v>
      </c>
      <c r="H30" s="366">
        <v>0</v>
      </c>
      <c r="I30" s="357"/>
      <c r="J30" s="281">
        <f t="shared" si="6"/>
        <v>178254</v>
      </c>
      <c r="K30" s="369"/>
      <c r="L30" s="434">
        <f>1789</f>
        <v>1789</v>
      </c>
      <c r="M30" s="434">
        <f>129937+34082</f>
        <v>164019</v>
      </c>
      <c r="O30" s="487"/>
      <c r="P30" s="14"/>
      <c r="Q30" s="14"/>
      <c r="R30" s="14"/>
      <c r="S30" s="164"/>
      <c r="T30" s="14"/>
      <c r="U30" s="14"/>
      <c r="V30" s="488"/>
    </row>
    <row r="31" spans="1:22">
      <c r="A31" t="s">
        <v>552</v>
      </c>
      <c r="F31" s="281">
        <v>264780</v>
      </c>
      <c r="G31" s="366">
        <v>0</v>
      </c>
      <c r="H31" s="366">
        <v>-16111</v>
      </c>
      <c r="I31" s="357"/>
      <c r="J31" s="281">
        <f t="shared" si="6"/>
        <v>248669</v>
      </c>
      <c r="K31" s="369"/>
      <c r="L31" s="434">
        <f>4253+5975+1522</f>
        <v>11750</v>
      </c>
      <c r="M31" s="434">
        <f>158244+22540-11711+2538</f>
        <v>171611</v>
      </c>
      <c r="O31" s="487" t="s">
        <v>564</v>
      </c>
      <c r="P31" s="14"/>
      <c r="Q31" s="14"/>
      <c r="R31" s="14"/>
      <c r="S31" s="164"/>
      <c r="T31" s="14"/>
      <c r="U31" s="14"/>
      <c r="V31" s="488"/>
    </row>
    <row r="32" spans="1:22">
      <c r="B32" t="s">
        <v>553</v>
      </c>
      <c r="F32" s="281">
        <v>1511853</v>
      </c>
      <c r="G32" s="366">
        <f>SUM(G28:G31)</f>
        <v>361090</v>
      </c>
      <c r="H32" s="366">
        <f>SUM(H28:H31)</f>
        <v>-187207</v>
      </c>
      <c r="I32" s="357"/>
      <c r="J32" s="281">
        <f t="shared" si="6"/>
        <v>1685736</v>
      </c>
      <c r="K32" s="363"/>
      <c r="L32" s="366">
        <f>SUM(L28:L31)</f>
        <v>75972</v>
      </c>
      <c r="M32" s="366">
        <f>SUM(M28:M31)</f>
        <v>1012138</v>
      </c>
      <c r="O32" s="495">
        <f>F32</f>
        <v>1511853</v>
      </c>
      <c r="P32" s="496">
        <f t="shared" ref="P32:R32" si="7">G32</f>
        <v>361090</v>
      </c>
      <c r="Q32" s="496">
        <f t="shared" si="7"/>
        <v>-187207</v>
      </c>
      <c r="R32" s="496">
        <f t="shared" si="7"/>
        <v>0</v>
      </c>
      <c r="S32" s="508">
        <f>SUM(O32:R32)</f>
        <v>1685736</v>
      </c>
      <c r="T32" s="496">
        <f>M32</f>
        <v>1012138</v>
      </c>
      <c r="U32" s="496">
        <f>S32-T32</f>
        <v>673598</v>
      </c>
      <c r="V32" s="498">
        <f>L32</f>
        <v>75972</v>
      </c>
    </row>
    <row r="33" spans="1:22">
      <c r="A33" t="s">
        <v>554</v>
      </c>
      <c r="B33" t="s">
        <v>555</v>
      </c>
      <c r="F33" s="281">
        <v>-1117957</v>
      </c>
      <c r="G33" s="366">
        <v>-74450</v>
      </c>
      <c r="H33" s="366">
        <v>182807</v>
      </c>
      <c r="I33" s="357"/>
      <c r="J33" s="281">
        <f t="shared" si="6"/>
        <v>-1009600</v>
      </c>
      <c r="L33" s="366"/>
      <c r="M33" s="357"/>
      <c r="O33" s="487"/>
      <c r="P33" s="14"/>
      <c r="Q33" s="14"/>
      <c r="R33" s="14"/>
      <c r="S33" s="164"/>
      <c r="T33" s="14"/>
      <c r="U33" s="14"/>
      <c r="V33" s="488"/>
    </row>
    <row r="34" spans="1:22">
      <c r="B34" t="s">
        <v>556</v>
      </c>
      <c r="F34" s="281">
        <v>393896</v>
      </c>
      <c r="G34" s="366">
        <f>G33+G32</f>
        <v>286640</v>
      </c>
      <c r="H34" s="366">
        <f>H33+H32</f>
        <v>-4400</v>
      </c>
      <c r="I34" s="357"/>
      <c r="J34" s="281">
        <f t="shared" si="6"/>
        <v>676136</v>
      </c>
      <c r="L34" s="366"/>
      <c r="M34" s="357"/>
      <c r="O34" s="487"/>
      <c r="P34" s="14"/>
      <c r="Q34" s="14"/>
      <c r="R34" s="14"/>
      <c r="S34" s="164"/>
      <c r="T34" s="14"/>
      <c r="U34" s="14"/>
      <c r="V34" s="488"/>
    </row>
    <row r="35" spans="1:22">
      <c r="F35" s="281"/>
      <c r="G35" s="366"/>
      <c r="H35" s="366"/>
      <c r="I35" s="357"/>
      <c r="J35" s="281"/>
      <c r="L35" s="366"/>
      <c r="M35" s="357"/>
      <c r="O35" s="487"/>
      <c r="P35" s="14"/>
      <c r="Q35" s="14"/>
      <c r="R35" s="14"/>
      <c r="S35" s="164"/>
      <c r="T35" s="14"/>
      <c r="U35" s="14"/>
      <c r="V35" s="488"/>
    </row>
    <row r="36" spans="1:22">
      <c r="B36" t="s">
        <v>557</v>
      </c>
      <c r="F36" s="281">
        <v>16707022</v>
      </c>
      <c r="G36" s="366">
        <f>G34+G25</f>
        <v>-194421</v>
      </c>
      <c r="H36" s="366">
        <f>H34+H25</f>
        <v>-239308</v>
      </c>
      <c r="I36" s="357"/>
      <c r="J36" s="281">
        <f>F36+G36+H36</f>
        <v>16273293</v>
      </c>
      <c r="K36" s="369" t="s">
        <v>11</v>
      </c>
      <c r="L36" s="366">
        <f>L32+L20</f>
        <v>1035517</v>
      </c>
      <c r="M36" s="366">
        <f>M32+M20</f>
        <v>20144017</v>
      </c>
      <c r="O36" s="495">
        <f>O13+O15+O19+O32</f>
        <v>35793977</v>
      </c>
      <c r="P36" s="496">
        <f t="shared" ref="P36:V36" si="8">P13+P15+P19+P32</f>
        <v>791017</v>
      </c>
      <c r="Q36" s="496">
        <f t="shared" si="8"/>
        <v>-187207</v>
      </c>
      <c r="R36" s="496">
        <f t="shared" si="8"/>
        <v>0</v>
      </c>
      <c r="S36" s="508">
        <f t="shared" si="8"/>
        <v>36397787</v>
      </c>
      <c r="T36" s="496">
        <f t="shared" si="8"/>
        <v>20144017</v>
      </c>
      <c r="U36" s="496">
        <f t="shared" si="8"/>
        <v>16253770</v>
      </c>
      <c r="V36" s="498">
        <f t="shared" si="8"/>
        <v>1035517</v>
      </c>
    </row>
    <row r="37" spans="1:22">
      <c r="G37" s="304"/>
      <c r="H37" s="366"/>
      <c r="I37" s="357"/>
      <c r="O37" s="487"/>
      <c r="P37" s="14"/>
      <c r="Q37" s="14"/>
      <c r="R37" s="14"/>
      <c r="S37" s="164"/>
      <c r="T37" s="14"/>
      <c r="U37" s="14"/>
      <c r="V37" s="488"/>
    </row>
    <row r="38" spans="1:22">
      <c r="F38" s="363">
        <v>35793977</v>
      </c>
      <c r="G38" s="465">
        <f t="shared" ref="G38:J38" si="9">G32+G20</f>
        <v>791017</v>
      </c>
      <c r="H38" s="366">
        <f t="shared" si="9"/>
        <v>-187207</v>
      </c>
      <c r="I38" s="357">
        <f t="shared" si="9"/>
        <v>0</v>
      </c>
      <c r="J38" s="369">
        <f t="shared" si="9"/>
        <v>36397787</v>
      </c>
      <c r="O38" s="487"/>
      <c r="P38" s="14"/>
      <c r="Q38" s="14"/>
      <c r="R38" s="14"/>
      <c r="S38" s="508">
        <f>S36+S24</f>
        <v>36417310</v>
      </c>
      <c r="T38" s="496">
        <f>M47</f>
        <v>0</v>
      </c>
      <c r="U38" s="14"/>
      <c r="V38" s="488"/>
    </row>
    <row r="39" spans="1:22">
      <c r="G39" s="304"/>
      <c r="H39" s="465"/>
      <c r="I39" s="304"/>
      <c r="O39" s="487"/>
      <c r="P39" s="14"/>
      <c r="Q39" s="14"/>
      <c r="R39" s="14"/>
      <c r="S39" s="164"/>
      <c r="T39" s="14"/>
      <c r="U39" s="14"/>
      <c r="V39" s="488"/>
    </row>
    <row r="40" spans="1:22" ht="13.5" thickBot="1">
      <c r="F40" s="368">
        <v>35998329</v>
      </c>
      <c r="G40" s="465">
        <f>G33+G21</f>
        <v>-1035517</v>
      </c>
      <c r="H40" s="465"/>
      <c r="I40" s="304"/>
      <c r="J40" s="369">
        <f>J38+J24</f>
        <v>36417310</v>
      </c>
      <c r="O40" s="504"/>
      <c r="P40" s="505"/>
      <c r="Q40" s="505"/>
      <c r="R40" s="505"/>
      <c r="S40" s="510">
        <f>S38-S36</f>
        <v>19523</v>
      </c>
      <c r="T40" s="505"/>
      <c r="U40" s="505"/>
      <c r="V40" s="506"/>
    </row>
    <row r="42" spans="1:22">
      <c r="F42" s="369">
        <f>F40-F38</f>
        <v>204352</v>
      </c>
      <c r="J42" s="369">
        <f>J40-J38</f>
        <v>19523</v>
      </c>
    </row>
    <row r="45" spans="1:22">
      <c r="H45" t="s">
        <v>11</v>
      </c>
      <c r="J45" s="369">
        <f>J21+J33</f>
        <v>-20144017</v>
      </c>
      <c r="L45" s="369">
        <f>G40</f>
        <v>-1035517</v>
      </c>
      <c r="M45" s="369">
        <f>J45</f>
        <v>-20144017</v>
      </c>
    </row>
    <row r="47" spans="1:22">
      <c r="M47" s="369">
        <f>M45+M36</f>
        <v>0</v>
      </c>
    </row>
  </sheetData>
  <mergeCells count="1">
    <mergeCell ref="O6:V6"/>
  </mergeCells>
  <pageMargins left="0.7" right="0.7" top="0.75" bottom="0.75" header="0.3" footer="0.3"/>
  <pageSetup scale="4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7"/>
  <sheetViews>
    <sheetView topLeftCell="H136" workbookViewId="0">
      <selection activeCell="V147" sqref="V147"/>
    </sheetView>
  </sheetViews>
  <sheetFormatPr defaultRowHeight="12.75"/>
  <cols>
    <col min="7" max="7" width="33.140625" customWidth="1"/>
    <col min="19" max="19" width="14.7109375" customWidth="1"/>
    <col min="20" max="20" width="8.85546875" customWidth="1"/>
    <col min="22" max="22" width="12.85546875" bestFit="1" customWidth="1"/>
  </cols>
  <sheetData>
    <row r="1" spans="1:23" ht="13.5" thickBot="1">
      <c r="A1" s="470"/>
      <c r="B1" s="470"/>
      <c r="C1" s="470"/>
      <c r="D1" s="470"/>
      <c r="E1" s="470"/>
      <c r="F1" s="470"/>
      <c r="G1" s="470"/>
      <c r="H1" s="470"/>
      <c r="I1" s="470"/>
      <c r="J1" s="470"/>
      <c r="K1" s="470"/>
      <c r="L1" s="470"/>
      <c r="M1" s="470"/>
      <c r="N1" s="470"/>
      <c r="O1" s="470"/>
      <c r="P1" s="470"/>
      <c r="Q1" s="470"/>
      <c r="R1" s="470"/>
      <c r="S1" s="470"/>
      <c r="T1" s="470"/>
      <c r="U1" s="470"/>
      <c r="V1" s="470"/>
      <c r="W1" s="470"/>
    </row>
    <row r="2" spans="1:23" ht="14.25" thickTop="1" thickBot="1">
      <c r="A2" s="535"/>
      <c r="B2" s="535"/>
      <c r="C2" s="535"/>
      <c r="D2" s="535"/>
      <c r="E2" s="535"/>
      <c r="F2" s="535"/>
      <c r="G2" s="535"/>
      <c r="H2" s="535"/>
      <c r="I2" s="535"/>
      <c r="J2" s="535"/>
      <c r="K2" s="535"/>
      <c r="L2" s="535"/>
      <c r="M2" s="535"/>
      <c r="N2" s="535"/>
      <c r="O2" s="535"/>
      <c r="P2" s="535"/>
      <c r="Q2" s="535"/>
      <c r="R2" s="535"/>
      <c r="S2" s="535"/>
      <c r="T2" s="535"/>
      <c r="U2" s="535"/>
      <c r="V2" s="535"/>
      <c r="W2" s="535"/>
    </row>
    <row r="3" spans="1:23" ht="13.5" thickTop="1">
      <c r="A3" s="470"/>
      <c r="B3" s="471"/>
      <c r="C3" s="471"/>
      <c r="D3" s="471"/>
      <c r="E3" s="471"/>
      <c r="F3" s="471"/>
      <c r="G3" s="471"/>
      <c r="H3" s="471"/>
      <c r="I3" s="471"/>
      <c r="J3" s="471"/>
      <c r="K3" s="471"/>
      <c r="L3" s="471"/>
      <c r="M3" s="471"/>
      <c r="N3" s="471"/>
      <c r="O3" s="471"/>
      <c r="P3" s="471"/>
      <c r="Q3" s="471"/>
      <c r="R3" s="471"/>
      <c r="S3" s="471"/>
      <c r="T3" s="471"/>
      <c r="U3" s="471"/>
      <c r="V3" s="471"/>
      <c r="W3" s="470"/>
    </row>
    <row r="4" spans="1:23">
      <c r="A4" s="536" t="s">
        <v>679</v>
      </c>
      <c r="B4" s="536"/>
      <c r="C4" s="537" t="s">
        <v>680</v>
      </c>
      <c r="D4" s="537"/>
      <c r="E4" s="471"/>
      <c r="F4" s="471"/>
      <c r="G4" s="538" t="s">
        <v>681</v>
      </c>
      <c r="H4" s="538"/>
      <c r="I4" s="538"/>
      <c r="J4" s="538"/>
      <c r="K4" s="538"/>
      <c r="L4" s="538"/>
      <c r="M4" s="538"/>
      <c r="N4" s="538"/>
      <c r="O4" s="538"/>
      <c r="P4" s="471"/>
      <c r="Q4" s="471"/>
      <c r="R4" s="471"/>
      <c r="S4" s="471"/>
      <c r="T4" s="471"/>
      <c r="U4" s="471"/>
      <c r="V4" s="473" t="s">
        <v>682</v>
      </c>
      <c r="W4" s="470"/>
    </row>
    <row r="5" spans="1:23">
      <c r="A5" s="536" t="s">
        <v>683</v>
      </c>
      <c r="B5" s="536"/>
      <c r="C5" s="537" t="s">
        <v>684</v>
      </c>
      <c r="D5" s="537"/>
      <c r="E5" s="471"/>
      <c r="F5" s="471"/>
      <c r="G5" s="538" t="s">
        <v>685</v>
      </c>
      <c r="H5" s="538"/>
      <c r="I5" s="538"/>
      <c r="J5" s="538"/>
      <c r="K5" s="538"/>
      <c r="L5" s="538"/>
      <c r="M5" s="538"/>
      <c r="N5" s="538"/>
      <c r="O5" s="538"/>
      <c r="P5" s="471"/>
      <c r="Q5" s="471"/>
      <c r="R5" s="471"/>
      <c r="S5" s="471"/>
      <c r="T5" s="471"/>
      <c r="U5" s="471"/>
      <c r="V5" s="471"/>
      <c r="W5" s="470"/>
    </row>
    <row r="6" spans="1:23">
      <c r="A6" s="470"/>
      <c r="B6" s="471"/>
      <c r="C6" s="538"/>
      <c r="D6" s="538"/>
      <c r="E6" s="538"/>
      <c r="F6" s="538"/>
      <c r="G6" s="538"/>
      <c r="H6" s="538"/>
      <c r="I6" s="538"/>
      <c r="J6" s="538"/>
      <c r="K6" s="538"/>
      <c r="L6" s="538"/>
      <c r="M6" s="538"/>
      <c r="N6" s="538"/>
      <c r="O6" s="538"/>
      <c r="P6" s="538"/>
      <c r="Q6" s="538"/>
      <c r="R6" s="538"/>
      <c r="S6" s="538"/>
      <c r="T6" s="471"/>
      <c r="U6" s="471"/>
      <c r="V6" s="471"/>
      <c r="W6" s="470"/>
    </row>
    <row r="7" spans="1:23">
      <c r="A7" s="470"/>
      <c r="B7" s="470"/>
      <c r="C7" s="538" t="s">
        <v>686</v>
      </c>
      <c r="D7" s="538"/>
      <c r="E7" s="538"/>
      <c r="F7" s="538"/>
      <c r="G7" s="538"/>
      <c r="H7" s="538"/>
      <c r="I7" s="538"/>
      <c r="J7" s="538"/>
      <c r="K7" s="538"/>
      <c r="L7" s="538"/>
      <c r="M7" s="538"/>
      <c r="N7" s="538"/>
      <c r="O7" s="538"/>
      <c r="P7" s="538"/>
      <c r="Q7" s="538"/>
      <c r="R7" s="538"/>
      <c r="S7" s="538"/>
      <c r="T7" s="470"/>
      <c r="U7" s="470"/>
      <c r="V7" s="470"/>
      <c r="W7" s="470"/>
    </row>
    <row r="8" spans="1:23">
      <c r="A8" s="536" t="s">
        <v>687</v>
      </c>
      <c r="B8" s="536"/>
      <c r="C8" s="536"/>
      <c r="D8" s="539" t="s">
        <v>688</v>
      </c>
      <c r="E8" s="539"/>
      <c r="F8" s="539"/>
      <c r="G8" s="539"/>
      <c r="H8" s="539"/>
      <c r="I8" s="539"/>
      <c r="J8" s="539"/>
      <c r="K8" s="539"/>
      <c r="L8" s="539"/>
      <c r="M8" s="539"/>
      <c r="N8" s="539"/>
      <c r="O8" s="539"/>
      <c r="P8" s="539"/>
      <c r="Q8" s="539"/>
      <c r="R8" s="539"/>
      <c r="S8" s="539"/>
      <c r="T8" s="539"/>
      <c r="U8" s="539"/>
      <c r="V8" s="539"/>
      <c r="W8" s="539"/>
    </row>
    <row r="9" spans="1:23">
      <c r="A9" s="536" t="s">
        <v>689</v>
      </c>
      <c r="B9" s="536"/>
      <c r="C9" s="536"/>
      <c r="D9" s="539"/>
      <c r="E9" s="539"/>
      <c r="F9" s="539"/>
      <c r="G9" s="539"/>
      <c r="H9" s="539"/>
      <c r="I9" s="539"/>
      <c r="J9" s="536" t="s">
        <v>690</v>
      </c>
      <c r="K9" s="536"/>
      <c r="L9" s="536"/>
      <c r="M9" s="536"/>
      <c r="N9" s="536"/>
      <c r="O9" s="536"/>
      <c r="P9" s="536"/>
      <c r="Q9" s="539"/>
      <c r="R9" s="539"/>
      <c r="S9" s="539"/>
      <c r="T9" s="539"/>
      <c r="U9" s="539"/>
      <c r="V9" s="539"/>
      <c r="W9" s="539"/>
    </row>
    <row r="10" spans="1:23">
      <c r="A10" s="536" t="s">
        <v>691</v>
      </c>
      <c r="B10" s="536"/>
      <c r="C10" s="536"/>
      <c r="D10" s="539" t="s">
        <v>692</v>
      </c>
      <c r="E10" s="539"/>
      <c r="F10" s="539"/>
      <c r="G10" s="539"/>
      <c r="H10" s="539"/>
      <c r="I10" s="539"/>
      <c r="J10" s="536" t="s">
        <v>693</v>
      </c>
      <c r="K10" s="536"/>
      <c r="L10" s="536"/>
      <c r="M10" s="536"/>
      <c r="N10" s="536"/>
      <c r="O10" s="536"/>
      <c r="P10" s="536"/>
      <c r="Q10" s="539" t="s">
        <v>694</v>
      </c>
      <c r="R10" s="539"/>
      <c r="S10" s="539"/>
      <c r="T10" s="539"/>
      <c r="U10" s="539"/>
      <c r="V10" s="539"/>
      <c r="W10" s="539"/>
    </row>
    <row r="11" spans="1:23">
      <c r="A11" s="536" t="s">
        <v>695</v>
      </c>
      <c r="B11" s="536"/>
      <c r="C11" s="536"/>
      <c r="D11" s="539" t="s">
        <v>241</v>
      </c>
      <c r="E11" s="539"/>
      <c r="F11" s="539"/>
      <c r="G11" s="539"/>
      <c r="H11" s="539"/>
      <c r="I11" s="539"/>
      <c r="J11" s="536" t="s">
        <v>696</v>
      </c>
      <c r="K11" s="536"/>
      <c r="L11" s="536"/>
      <c r="M11" s="536"/>
      <c r="N11" s="536"/>
      <c r="O11" s="536"/>
      <c r="P11" s="536"/>
      <c r="Q11" s="539" t="s">
        <v>241</v>
      </c>
      <c r="R11" s="539"/>
      <c r="S11" s="539"/>
      <c r="T11" s="539"/>
      <c r="U11" s="539"/>
      <c r="V11" s="539"/>
      <c r="W11" s="539"/>
    </row>
    <row r="12" spans="1:23">
      <c r="A12" s="536" t="s">
        <v>697</v>
      </c>
      <c r="B12" s="536"/>
      <c r="C12" s="536"/>
      <c r="D12" s="539" t="s">
        <v>698</v>
      </c>
      <c r="E12" s="539"/>
      <c r="F12" s="539"/>
      <c r="G12" s="539"/>
      <c r="H12" s="539"/>
      <c r="I12" s="539"/>
      <c r="J12" s="539"/>
      <c r="K12" s="539"/>
      <c r="L12" s="539"/>
      <c r="M12" s="539"/>
      <c r="N12" s="539"/>
      <c r="O12" s="539"/>
      <c r="P12" s="539"/>
      <c r="Q12" s="539"/>
      <c r="R12" s="539"/>
      <c r="S12" s="539"/>
      <c r="T12" s="539"/>
      <c r="U12" s="539"/>
      <c r="V12" s="539"/>
      <c r="W12" s="539"/>
    </row>
    <row r="13" spans="1:23" ht="13.5" thickBot="1">
      <c r="A13" s="541"/>
      <c r="B13" s="541"/>
      <c r="C13" s="541"/>
      <c r="D13" s="541"/>
      <c r="E13" s="541"/>
      <c r="F13" s="541"/>
      <c r="G13" s="541"/>
      <c r="H13" s="541"/>
      <c r="I13" s="541"/>
      <c r="J13" s="541"/>
      <c r="K13" s="541"/>
      <c r="L13" s="541"/>
      <c r="M13" s="541"/>
      <c r="N13" s="541"/>
      <c r="O13" s="541"/>
      <c r="P13" s="541"/>
      <c r="Q13" s="541"/>
      <c r="R13" s="541"/>
      <c r="S13" s="541"/>
      <c r="T13" s="541"/>
      <c r="U13" s="541"/>
      <c r="V13" s="541"/>
      <c r="W13" s="472"/>
    </row>
    <row r="14" spans="1:23" ht="13.5" thickTop="1">
      <c r="A14" s="539"/>
      <c r="B14" s="539"/>
      <c r="C14" s="539"/>
      <c r="D14" s="539"/>
      <c r="E14" s="539"/>
      <c r="F14" s="539"/>
      <c r="G14" s="539"/>
      <c r="H14" s="539"/>
      <c r="I14" s="539"/>
      <c r="J14" s="539"/>
      <c r="K14" s="539"/>
      <c r="L14" s="539"/>
      <c r="M14" s="539"/>
      <c r="N14" s="539"/>
      <c r="O14" s="539"/>
      <c r="P14" s="539"/>
      <c r="Q14" s="539"/>
      <c r="R14" s="539"/>
      <c r="S14" s="539"/>
      <c r="T14" s="539"/>
      <c r="U14" s="539"/>
      <c r="V14" s="539"/>
      <c r="W14" s="472"/>
    </row>
    <row r="15" spans="1:23" ht="22.5">
      <c r="A15" s="472" t="s">
        <v>699</v>
      </c>
      <c r="B15" s="536" t="s">
        <v>700</v>
      </c>
      <c r="C15" s="536"/>
      <c r="D15" s="536"/>
      <c r="E15" s="536"/>
      <c r="F15" s="536" t="s">
        <v>701</v>
      </c>
      <c r="G15" s="536"/>
      <c r="H15" s="472" t="s">
        <v>702</v>
      </c>
      <c r="I15" s="536" t="s">
        <v>703</v>
      </c>
      <c r="J15" s="536"/>
      <c r="K15" s="536" t="s">
        <v>704</v>
      </c>
      <c r="L15" s="536"/>
      <c r="M15" s="472" t="s">
        <v>705</v>
      </c>
      <c r="N15" s="472" t="s">
        <v>509</v>
      </c>
      <c r="O15" s="536" t="s">
        <v>706</v>
      </c>
      <c r="P15" s="536"/>
      <c r="Q15" s="536"/>
      <c r="R15" s="472" t="s">
        <v>707</v>
      </c>
      <c r="S15" s="540" t="s">
        <v>708</v>
      </c>
      <c r="T15" s="540"/>
      <c r="U15" s="540" t="s">
        <v>709</v>
      </c>
      <c r="V15" s="540"/>
      <c r="W15" s="472"/>
    </row>
    <row r="16" spans="1:23">
      <c r="A16" s="536"/>
      <c r="B16" s="536"/>
      <c r="C16" s="536"/>
      <c r="D16" s="536"/>
      <c r="E16" s="536"/>
      <c r="F16" s="536"/>
      <c r="G16" s="536"/>
      <c r="H16" s="472" t="s">
        <v>710</v>
      </c>
      <c r="I16" s="536" t="s">
        <v>711</v>
      </c>
      <c r="J16" s="536"/>
      <c r="K16" s="536" t="s">
        <v>436</v>
      </c>
      <c r="L16" s="536"/>
      <c r="M16" s="472" t="s">
        <v>712</v>
      </c>
      <c r="N16" s="536"/>
      <c r="O16" s="536"/>
      <c r="P16" s="536"/>
      <c r="Q16" s="536"/>
      <c r="R16" s="536"/>
      <c r="S16" s="536"/>
      <c r="T16" s="536"/>
      <c r="U16" s="536"/>
      <c r="V16" s="536"/>
      <c r="W16" s="472"/>
    </row>
    <row r="17" spans="1:23">
      <c r="A17" s="539" t="s">
        <v>713</v>
      </c>
      <c r="B17" s="539"/>
      <c r="C17" s="539"/>
      <c r="D17" s="539"/>
      <c r="E17" s="539"/>
      <c r="F17" s="539" t="s">
        <v>714</v>
      </c>
      <c r="G17" s="539"/>
      <c r="H17" s="539"/>
      <c r="I17" s="539"/>
      <c r="J17" s="539"/>
      <c r="K17" s="539"/>
      <c r="L17" s="539"/>
      <c r="M17" s="539"/>
      <c r="N17" s="539"/>
      <c r="O17" s="539"/>
      <c r="P17" s="539"/>
      <c r="Q17" s="539"/>
      <c r="R17" s="539"/>
      <c r="S17" s="539"/>
      <c r="T17" s="539"/>
      <c r="U17" s="539"/>
      <c r="V17" s="539"/>
      <c r="W17" s="472"/>
    </row>
    <row r="18" spans="1:23">
      <c r="A18" s="543"/>
      <c r="B18" s="543"/>
      <c r="C18" s="543"/>
      <c r="D18" s="543"/>
      <c r="E18" s="543"/>
      <c r="F18" s="543"/>
      <c r="G18" s="543"/>
      <c r="H18" s="543"/>
      <c r="I18" s="543"/>
      <c r="J18" s="543"/>
      <c r="K18" s="543"/>
      <c r="L18" s="536" t="s">
        <v>715</v>
      </c>
      <c r="M18" s="536"/>
      <c r="N18" s="536"/>
      <c r="O18" s="536"/>
      <c r="P18" s="536"/>
      <c r="Q18" s="536"/>
      <c r="R18" s="536"/>
      <c r="S18" s="544"/>
      <c r="T18" s="544"/>
      <c r="U18" s="544">
        <v>0</v>
      </c>
      <c r="V18" s="544"/>
      <c r="W18" s="472"/>
    </row>
    <row r="19" spans="1:23">
      <c r="A19" s="542"/>
      <c r="B19" s="542"/>
      <c r="C19" s="542"/>
      <c r="D19" s="542"/>
      <c r="E19" s="542"/>
      <c r="F19" s="542"/>
      <c r="G19" s="542"/>
      <c r="H19" s="542"/>
      <c r="I19" s="542"/>
      <c r="J19" s="542"/>
      <c r="K19" s="542"/>
      <c r="L19" s="542"/>
      <c r="M19" s="536" t="s">
        <v>716</v>
      </c>
      <c r="N19" s="536"/>
      <c r="O19" s="536"/>
      <c r="P19" s="536"/>
      <c r="Q19" s="536"/>
      <c r="R19" s="536"/>
      <c r="S19" s="540"/>
      <c r="T19" s="540"/>
      <c r="U19" s="540" t="s">
        <v>717</v>
      </c>
      <c r="V19" s="540"/>
      <c r="W19" s="472"/>
    </row>
    <row r="20" spans="1:23">
      <c r="A20" s="542"/>
      <c r="B20" s="542"/>
      <c r="C20" s="542"/>
      <c r="D20" s="542"/>
      <c r="E20" s="542"/>
      <c r="F20" s="542"/>
      <c r="G20" s="542"/>
      <c r="H20" s="542"/>
      <c r="I20" s="542"/>
      <c r="J20" s="542"/>
      <c r="K20" s="542"/>
      <c r="L20" s="542"/>
      <c r="M20" s="536" t="s">
        <v>718</v>
      </c>
      <c r="N20" s="536"/>
      <c r="O20" s="536"/>
      <c r="P20" s="536"/>
      <c r="Q20" s="536"/>
      <c r="R20" s="536"/>
      <c r="S20" s="540"/>
      <c r="T20" s="540"/>
      <c r="U20" s="540" t="s">
        <v>717</v>
      </c>
      <c r="V20" s="540"/>
      <c r="W20" s="472"/>
    </row>
    <row r="21" spans="1:23">
      <c r="A21" s="542"/>
      <c r="B21" s="542"/>
      <c r="C21" s="542"/>
      <c r="D21" s="542"/>
      <c r="E21" s="542"/>
      <c r="F21" s="542"/>
      <c r="G21" s="542"/>
      <c r="H21" s="542"/>
      <c r="I21" s="542"/>
      <c r="J21" s="542"/>
      <c r="K21" s="542"/>
      <c r="L21" s="542"/>
      <c r="M21" s="536" t="s">
        <v>719</v>
      </c>
      <c r="N21" s="536"/>
      <c r="O21" s="536"/>
      <c r="P21" s="536"/>
      <c r="Q21" s="536"/>
      <c r="R21" s="536"/>
      <c r="S21" s="540"/>
      <c r="T21" s="540"/>
      <c r="U21" s="540" t="s">
        <v>717</v>
      </c>
      <c r="V21" s="540"/>
      <c r="W21" s="472"/>
    </row>
    <row r="22" spans="1:23">
      <c r="A22" s="475"/>
      <c r="B22" s="539" t="s">
        <v>720</v>
      </c>
      <c r="C22" s="539"/>
      <c r="D22" s="539"/>
      <c r="E22" s="539"/>
      <c r="F22" s="539" t="s">
        <v>721</v>
      </c>
      <c r="G22" s="539"/>
      <c r="H22" s="476">
        <v>4911</v>
      </c>
      <c r="I22" s="545">
        <v>4</v>
      </c>
      <c r="J22" s="545"/>
      <c r="K22" s="539" t="s">
        <v>722</v>
      </c>
      <c r="L22" s="539"/>
      <c r="M22" s="474" t="s">
        <v>694</v>
      </c>
      <c r="N22" s="474" t="s">
        <v>624</v>
      </c>
      <c r="O22" s="539" t="s">
        <v>694</v>
      </c>
      <c r="P22" s="539"/>
      <c r="Q22" s="539"/>
      <c r="R22" s="474" t="s">
        <v>694</v>
      </c>
      <c r="S22" s="537"/>
      <c r="T22" s="537"/>
      <c r="U22" s="537" t="s">
        <v>723</v>
      </c>
      <c r="V22" s="537"/>
      <c r="W22" s="472"/>
    </row>
    <row r="23" spans="1:23">
      <c r="A23" s="536"/>
      <c r="B23" s="536"/>
      <c r="C23" s="536"/>
      <c r="D23" s="536"/>
      <c r="E23" s="536"/>
      <c r="F23" s="536"/>
      <c r="G23" s="536"/>
      <c r="H23" s="536"/>
      <c r="I23" s="536"/>
      <c r="J23" s="536"/>
      <c r="K23" s="536"/>
      <c r="L23" s="536"/>
      <c r="M23" s="536" t="s">
        <v>724</v>
      </c>
      <c r="N23" s="536"/>
      <c r="O23" s="536"/>
      <c r="P23" s="536"/>
      <c r="Q23" s="536"/>
      <c r="R23" s="536"/>
      <c r="S23" s="540"/>
      <c r="T23" s="540"/>
      <c r="U23" s="540" t="s">
        <v>723</v>
      </c>
      <c r="V23" s="540"/>
      <c r="W23" s="472"/>
    </row>
    <row r="24" spans="1:23">
      <c r="A24" s="542"/>
      <c r="B24" s="542"/>
      <c r="C24" s="542"/>
      <c r="D24" s="542"/>
      <c r="E24" s="542"/>
      <c r="F24" s="542"/>
      <c r="G24" s="542"/>
      <c r="H24" s="542"/>
      <c r="I24" s="542"/>
      <c r="J24" s="542"/>
      <c r="K24" s="542"/>
      <c r="L24" s="542"/>
      <c r="M24" s="536" t="s">
        <v>725</v>
      </c>
      <c r="N24" s="536"/>
      <c r="O24" s="536"/>
      <c r="P24" s="536"/>
      <c r="Q24" s="536"/>
      <c r="R24" s="536"/>
      <c r="S24" s="540"/>
      <c r="T24" s="540"/>
      <c r="U24" s="540" t="s">
        <v>723</v>
      </c>
      <c r="V24" s="540"/>
      <c r="W24" s="472"/>
    </row>
    <row r="25" spans="1:23">
      <c r="A25" s="475"/>
      <c r="B25" s="539" t="s">
        <v>726</v>
      </c>
      <c r="C25" s="539"/>
      <c r="D25" s="539"/>
      <c r="E25" s="539"/>
      <c r="F25" s="539" t="s">
        <v>727</v>
      </c>
      <c r="G25" s="539"/>
      <c r="H25" s="476">
        <v>5718</v>
      </c>
      <c r="I25" s="545">
        <v>5</v>
      </c>
      <c r="J25" s="545"/>
      <c r="K25" s="539" t="s">
        <v>722</v>
      </c>
      <c r="L25" s="539"/>
      <c r="M25" s="474" t="s">
        <v>694</v>
      </c>
      <c r="N25" s="474" t="s">
        <v>624</v>
      </c>
      <c r="O25" s="539" t="s">
        <v>694</v>
      </c>
      <c r="P25" s="539"/>
      <c r="Q25" s="539"/>
      <c r="R25" s="474" t="s">
        <v>694</v>
      </c>
      <c r="S25" s="537"/>
      <c r="T25" s="537"/>
      <c r="U25" s="537" t="s">
        <v>728</v>
      </c>
      <c r="V25" s="537"/>
      <c r="W25" s="472"/>
    </row>
    <row r="26" spans="1:23">
      <c r="A26" s="536"/>
      <c r="B26" s="536"/>
      <c r="C26" s="536"/>
      <c r="D26" s="536"/>
      <c r="E26" s="536"/>
      <c r="F26" s="536"/>
      <c r="G26" s="536"/>
      <c r="H26" s="536"/>
      <c r="I26" s="536"/>
      <c r="J26" s="536"/>
      <c r="K26" s="536"/>
      <c r="L26" s="536"/>
      <c r="M26" s="536" t="s">
        <v>729</v>
      </c>
      <c r="N26" s="536"/>
      <c r="O26" s="536"/>
      <c r="P26" s="536"/>
      <c r="Q26" s="536"/>
      <c r="R26" s="536"/>
      <c r="S26" s="540"/>
      <c r="T26" s="540"/>
      <c r="U26" s="540" t="s">
        <v>728</v>
      </c>
      <c r="V26" s="540"/>
      <c r="W26" s="472"/>
    </row>
    <row r="27" spans="1:23">
      <c r="A27" s="542"/>
      <c r="B27" s="542"/>
      <c r="C27" s="542"/>
      <c r="D27" s="542"/>
      <c r="E27" s="542"/>
      <c r="F27" s="542"/>
      <c r="G27" s="542"/>
      <c r="H27" s="542"/>
      <c r="I27" s="542"/>
      <c r="J27" s="542"/>
      <c r="K27" s="542"/>
      <c r="L27" s="542"/>
      <c r="M27" s="536" t="s">
        <v>730</v>
      </c>
      <c r="N27" s="536"/>
      <c r="O27" s="536"/>
      <c r="P27" s="536"/>
      <c r="Q27" s="536"/>
      <c r="R27" s="536"/>
      <c r="S27" s="540"/>
      <c r="T27" s="540"/>
      <c r="U27" s="540" t="s">
        <v>731</v>
      </c>
      <c r="V27" s="540"/>
      <c r="W27" s="472"/>
    </row>
    <row r="28" spans="1:23">
      <c r="A28" s="475"/>
      <c r="B28" s="539" t="s">
        <v>732</v>
      </c>
      <c r="C28" s="539"/>
      <c r="D28" s="539"/>
      <c r="E28" s="539"/>
      <c r="F28" s="539" t="s">
        <v>733</v>
      </c>
      <c r="G28" s="539"/>
      <c r="H28" s="476">
        <v>7168</v>
      </c>
      <c r="I28" s="545">
        <v>6</v>
      </c>
      <c r="J28" s="545"/>
      <c r="K28" s="539" t="s">
        <v>722</v>
      </c>
      <c r="L28" s="539"/>
      <c r="M28" s="474" t="s">
        <v>694</v>
      </c>
      <c r="N28" s="474" t="s">
        <v>624</v>
      </c>
      <c r="O28" s="539" t="s">
        <v>694</v>
      </c>
      <c r="P28" s="539"/>
      <c r="Q28" s="539"/>
      <c r="R28" s="474" t="s">
        <v>694</v>
      </c>
      <c r="S28" s="537"/>
      <c r="T28" s="537"/>
      <c r="U28" s="537" t="s">
        <v>734</v>
      </c>
      <c r="V28" s="537"/>
      <c r="W28" s="472"/>
    </row>
    <row r="29" spans="1:23">
      <c r="A29" s="536"/>
      <c r="B29" s="536"/>
      <c r="C29" s="536"/>
      <c r="D29" s="536"/>
      <c r="E29" s="536"/>
      <c r="F29" s="536"/>
      <c r="G29" s="536"/>
      <c r="H29" s="536"/>
      <c r="I29" s="536"/>
      <c r="J29" s="536"/>
      <c r="K29" s="536"/>
      <c r="L29" s="536"/>
      <c r="M29" s="536" t="s">
        <v>735</v>
      </c>
      <c r="N29" s="536"/>
      <c r="O29" s="536"/>
      <c r="P29" s="536"/>
      <c r="Q29" s="536"/>
      <c r="R29" s="536"/>
      <c r="S29" s="540"/>
      <c r="T29" s="540"/>
      <c r="U29" s="540" t="s">
        <v>734</v>
      </c>
      <c r="V29" s="540"/>
      <c r="W29" s="472"/>
    </row>
    <row r="30" spans="1:23">
      <c r="A30" s="542"/>
      <c r="B30" s="542"/>
      <c r="C30" s="542"/>
      <c r="D30" s="542"/>
      <c r="E30" s="542"/>
      <c r="F30" s="542"/>
      <c r="G30" s="542"/>
      <c r="H30" s="542"/>
      <c r="I30" s="542"/>
      <c r="J30" s="542"/>
      <c r="K30" s="542"/>
      <c r="L30" s="542"/>
      <c r="M30" s="536" t="s">
        <v>736</v>
      </c>
      <c r="N30" s="536"/>
      <c r="O30" s="536"/>
      <c r="P30" s="536"/>
      <c r="Q30" s="536"/>
      <c r="R30" s="536"/>
      <c r="S30" s="540"/>
      <c r="T30" s="540"/>
      <c r="U30" s="540" t="s">
        <v>737</v>
      </c>
      <c r="V30" s="540"/>
      <c r="W30" s="472"/>
    </row>
    <row r="31" spans="1:23">
      <c r="A31" s="475"/>
      <c r="B31" s="539" t="s">
        <v>738</v>
      </c>
      <c r="C31" s="539"/>
      <c r="D31" s="539"/>
      <c r="E31" s="539"/>
      <c r="F31" s="539" t="s">
        <v>739</v>
      </c>
      <c r="G31" s="539"/>
      <c r="H31" s="476">
        <v>7968</v>
      </c>
      <c r="I31" s="545">
        <v>7</v>
      </c>
      <c r="J31" s="545"/>
      <c r="K31" s="539" t="s">
        <v>722</v>
      </c>
      <c r="L31" s="539"/>
      <c r="M31" s="474" t="s">
        <v>694</v>
      </c>
      <c r="N31" s="474" t="s">
        <v>624</v>
      </c>
      <c r="O31" s="539" t="s">
        <v>694</v>
      </c>
      <c r="P31" s="539"/>
      <c r="Q31" s="539"/>
      <c r="R31" s="474" t="s">
        <v>694</v>
      </c>
      <c r="S31" s="537"/>
      <c r="T31" s="537"/>
      <c r="U31" s="537" t="s">
        <v>740</v>
      </c>
      <c r="V31" s="537"/>
      <c r="W31" s="472"/>
    </row>
    <row r="32" spans="1:23">
      <c r="A32" s="536"/>
      <c r="B32" s="536"/>
      <c r="C32" s="536"/>
      <c r="D32" s="536"/>
      <c r="E32" s="536"/>
      <c r="F32" s="536"/>
      <c r="G32" s="536"/>
      <c r="H32" s="536"/>
      <c r="I32" s="536"/>
      <c r="J32" s="536"/>
      <c r="K32" s="536"/>
      <c r="L32" s="536"/>
      <c r="M32" s="536" t="s">
        <v>741</v>
      </c>
      <c r="N32" s="536"/>
      <c r="O32" s="536"/>
      <c r="P32" s="536"/>
      <c r="Q32" s="536"/>
      <c r="R32" s="536"/>
      <c r="S32" s="540"/>
      <c r="T32" s="540"/>
      <c r="U32" s="540" t="s">
        <v>740</v>
      </c>
      <c r="V32" s="540"/>
      <c r="W32" s="472"/>
    </row>
    <row r="33" spans="1:23">
      <c r="A33" s="542"/>
      <c r="B33" s="542"/>
      <c r="C33" s="542"/>
      <c r="D33" s="542"/>
      <c r="E33" s="542"/>
      <c r="F33" s="542"/>
      <c r="G33" s="542"/>
      <c r="H33" s="542"/>
      <c r="I33" s="542"/>
      <c r="J33" s="542"/>
      <c r="K33" s="542"/>
      <c r="L33" s="542"/>
      <c r="M33" s="536" t="s">
        <v>742</v>
      </c>
      <c r="N33" s="536"/>
      <c r="O33" s="536"/>
      <c r="P33" s="536"/>
      <c r="Q33" s="536"/>
      <c r="R33" s="536"/>
      <c r="S33" s="540"/>
      <c r="T33" s="540"/>
      <c r="U33" s="540" t="s">
        <v>743</v>
      </c>
      <c r="V33" s="540"/>
      <c r="W33" s="472"/>
    </row>
    <row r="34" spans="1:23">
      <c r="A34" s="475"/>
      <c r="B34" s="539" t="s">
        <v>744</v>
      </c>
      <c r="C34" s="539"/>
      <c r="D34" s="539"/>
      <c r="E34" s="539"/>
      <c r="F34" s="539" t="s">
        <v>745</v>
      </c>
      <c r="G34" s="539"/>
      <c r="H34" s="476">
        <v>9136</v>
      </c>
      <c r="I34" s="545">
        <v>8</v>
      </c>
      <c r="J34" s="545"/>
      <c r="K34" s="539" t="s">
        <v>722</v>
      </c>
      <c r="L34" s="539"/>
      <c r="M34" s="474" t="s">
        <v>694</v>
      </c>
      <c r="N34" s="474" t="s">
        <v>624</v>
      </c>
      <c r="O34" s="539" t="s">
        <v>694</v>
      </c>
      <c r="P34" s="539"/>
      <c r="Q34" s="539"/>
      <c r="R34" s="474" t="s">
        <v>694</v>
      </c>
      <c r="S34" s="537"/>
      <c r="T34" s="537"/>
      <c r="U34" s="537" t="s">
        <v>746</v>
      </c>
      <c r="V34" s="537"/>
      <c r="W34" s="472"/>
    </row>
    <row r="35" spans="1:23">
      <c r="A35" s="536"/>
      <c r="B35" s="536"/>
      <c r="C35" s="536"/>
      <c r="D35" s="536"/>
      <c r="E35" s="536"/>
      <c r="F35" s="536"/>
      <c r="G35" s="536"/>
      <c r="H35" s="536"/>
      <c r="I35" s="536"/>
      <c r="J35" s="536"/>
      <c r="K35" s="536"/>
      <c r="L35" s="536"/>
      <c r="M35" s="536" t="s">
        <v>747</v>
      </c>
      <c r="N35" s="536"/>
      <c r="O35" s="536"/>
      <c r="P35" s="536"/>
      <c r="Q35" s="536"/>
      <c r="R35" s="536"/>
      <c r="S35" s="540"/>
      <c r="T35" s="540"/>
      <c r="U35" s="540" t="s">
        <v>746</v>
      </c>
      <c r="V35" s="540"/>
      <c r="W35" s="472"/>
    </row>
    <row r="36" spans="1:23">
      <c r="A36" s="542"/>
      <c r="B36" s="542"/>
      <c r="C36" s="542"/>
      <c r="D36" s="542"/>
      <c r="E36" s="542"/>
      <c r="F36" s="542"/>
      <c r="G36" s="542"/>
      <c r="H36" s="542"/>
      <c r="I36" s="542"/>
      <c r="J36" s="542"/>
      <c r="K36" s="542"/>
      <c r="L36" s="542"/>
      <c r="M36" s="536" t="s">
        <v>748</v>
      </c>
      <c r="N36" s="536"/>
      <c r="O36" s="536"/>
      <c r="P36" s="536"/>
      <c r="Q36" s="536"/>
      <c r="R36" s="536"/>
      <c r="S36" s="540"/>
      <c r="T36" s="540"/>
      <c r="U36" s="540" t="s">
        <v>749</v>
      </c>
      <c r="V36" s="540"/>
      <c r="W36" s="472"/>
    </row>
    <row r="37" spans="1:23">
      <c r="A37" s="475"/>
      <c r="B37" s="539" t="s">
        <v>750</v>
      </c>
      <c r="C37" s="539"/>
      <c r="D37" s="539"/>
      <c r="E37" s="539"/>
      <c r="F37" s="539" t="s">
        <v>751</v>
      </c>
      <c r="G37" s="539"/>
      <c r="H37" s="476">
        <v>11082</v>
      </c>
      <c r="I37" s="545">
        <v>9</v>
      </c>
      <c r="J37" s="545"/>
      <c r="K37" s="539" t="s">
        <v>722</v>
      </c>
      <c r="L37" s="539"/>
      <c r="M37" s="474" t="s">
        <v>694</v>
      </c>
      <c r="N37" s="474" t="s">
        <v>624</v>
      </c>
      <c r="O37" s="539" t="s">
        <v>694</v>
      </c>
      <c r="P37" s="539"/>
      <c r="Q37" s="539"/>
      <c r="R37" s="474" t="s">
        <v>694</v>
      </c>
      <c r="S37" s="537"/>
      <c r="T37" s="537"/>
      <c r="U37" s="537" t="s">
        <v>752</v>
      </c>
      <c r="V37" s="537"/>
      <c r="W37" s="472"/>
    </row>
    <row r="38" spans="1:23">
      <c r="A38" s="475"/>
      <c r="B38" s="539" t="s">
        <v>753</v>
      </c>
      <c r="C38" s="539"/>
      <c r="D38" s="539"/>
      <c r="E38" s="539"/>
      <c r="F38" s="539" t="s">
        <v>754</v>
      </c>
      <c r="G38" s="539"/>
      <c r="H38" s="476">
        <v>12567</v>
      </c>
      <c r="I38" s="545">
        <v>9</v>
      </c>
      <c r="J38" s="545"/>
      <c r="K38" s="539" t="s">
        <v>722</v>
      </c>
      <c r="L38" s="539"/>
      <c r="M38" s="474" t="s">
        <v>694</v>
      </c>
      <c r="N38" s="474" t="s">
        <v>624</v>
      </c>
      <c r="O38" s="539" t="s">
        <v>694</v>
      </c>
      <c r="P38" s="539"/>
      <c r="Q38" s="539"/>
      <c r="R38" s="474" t="s">
        <v>694</v>
      </c>
      <c r="S38" s="537"/>
      <c r="T38" s="537"/>
      <c r="U38" s="537" t="s">
        <v>755</v>
      </c>
      <c r="V38" s="537"/>
      <c r="W38" s="472"/>
    </row>
    <row r="39" spans="1:23">
      <c r="A39" s="536"/>
      <c r="B39" s="536"/>
      <c r="C39" s="536"/>
      <c r="D39" s="536"/>
      <c r="E39" s="536"/>
      <c r="F39" s="536"/>
      <c r="G39" s="536"/>
      <c r="H39" s="536"/>
      <c r="I39" s="536"/>
      <c r="J39" s="536"/>
      <c r="K39" s="536"/>
      <c r="L39" s="536"/>
      <c r="M39" s="536" t="s">
        <v>756</v>
      </c>
      <c r="N39" s="536"/>
      <c r="O39" s="536"/>
      <c r="P39" s="536"/>
      <c r="Q39" s="536"/>
      <c r="R39" s="536"/>
      <c r="S39" s="540"/>
      <c r="T39" s="540"/>
      <c r="U39" s="540" t="s">
        <v>757</v>
      </c>
      <c r="V39" s="540"/>
      <c r="W39" s="472"/>
    </row>
    <row r="40" spans="1:23">
      <c r="A40" s="542"/>
      <c r="B40" s="542"/>
      <c r="C40" s="542"/>
      <c r="D40" s="542"/>
      <c r="E40" s="542"/>
      <c r="F40" s="542"/>
      <c r="G40" s="542"/>
      <c r="H40" s="542"/>
      <c r="I40" s="542"/>
      <c r="J40" s="542"/>
      <c r="K40" s="542"/>
      <c r="L40" s="542"/>
      <c r="M40" s="536" t="s">
        <v>758</v>
      </c>
      <c r="N40" s="536"/>
      <c r="O40" s="536"/>
      <c r="P40" s="536"/>
      <c r="Q40" s="536"/>
      <c r="R40" s="536"/>
      <c r="S40" s="540"/>
      <c r="T40" s="540"/>
      <c r="U40" s="540" t="s">
        <v>759</v>
      </c>
      <c r="V40" s="540"/>
      <c r="W40" s="472"/>
    </row>
    <row r="41" spans="1:23">
      <c r="A41" s="475"/>
      <c r="B41" s="539" t="s">
        <v>760</v>
      </c>
      <c r="C41" s="539"/>
      <c r="D41" s="539"/>
      <c r="E41" s="539"/>
      <c r="F41" s="539" t="s">
        <v>761</v>
      </c>
      <c r="G41" s="539"/>
      <c r="H41" s="476">
        <v>13897</v>
      </c>
      <c r="I41" s="545">
        <v>10</v>
      </c>
      <c r="J41" s="545"/>
      <c r="K41" s="539" t="s">
        <v>722</v>
      </c>
      <c r="L41" s="539"/>
      <c r="M41" s="474" t="s">
        <v>694</v>
      </c>
      <c r="N41" s="474" t="s">
        <v>624</v>
      </c>
      <c r="O41" s="539" t="s">
        <v>694</v>
      </c>
      <c r="P41" s="539"/>
      <c r="Q41" s="539"/>
      <c r="R41" s="474" t="s">
        <v>694</v>
      </c>
      <c r="S41" s="537"/>
      <c r="T41" s="537"/>
      <c r="U41" s="537" t="s">
        <v>762</v>
      </c>
      <c r="V41" s="537"/>
      <c r="W41" s="472"/>
    </row>
    <row r="42" spans="1:23">
      <c r="A42" s="536"/>
      <c r="B42" s="536"/>
      <c r="C42" s="536"/>
      <c r="D42" s="536"/>
      <c r="E42" s="536"/>
      <c r="F42" s="536"/>
      <c r="G42" s="536"/>
      <c r="H42" s="536"/>
      <c r="I42" s="536"/>
      <c r="J42" s="536"/>
      <c r="K42" s="536"/>
      <c r="L42" s="536"/>
      <c r="M42" s="536" t="s">
        <v>763</v>
      </c>
      <c r="N42" s="536"/>
      <c r="O42" s="536"/>
      <c r="P42" s="536"/>
      <c r="Q42" s="536"/>
      <c r="R42" s="536"/>
      <c r="S42" s="540"/>
      <c r="T42" s="540"/>
      <c r="U42" s="540" t="s">
        <v>762</v>
      </c>
      <c r="V42" s="540"/>
      <c r="W42" s="472"/>
    </row>
    <row r="43" spans="1:23">
      <c r="A43" s="542"/>
      <c r="B43" s="542"/>
      <c r="C43" s="542"/>
      <c r="D43" s="542"/>
      <c r="E43" s="542"/>
      <c r="F43" s="542"/>
      <c r="G43" s="542"/>
      <c r="H43" s="542"/>
      <c r="I43" s="542"/>
      <c r="J43" s="542"/>
      <c r="K43" s="542"/>
      <c r="L43" s="542"/>
      <c r="M43" s="536" t="s">
        <v>764</v>
      </c>
      <c r="N43" s="536"/>
      <c r="O43" s="536"/>
      <c r="P43" s="536"/>
      <c r="Q43" s="536"/>
      <c r="R43" s="536"/>
      <c r="S43" s="540"/>
      <c r="T43" s="540"/>
      <c r="U43" s="546">
        <v>779268.07</v>
      </c>
      <c r="V43" s="540"/>
      <c r="W43" s="472"/>
    </row>
    <row r="44" spans="1:23">
      <c r="A44" s="539" t="s">
        <v>765</v>
      </c>
      <c r="B44" s="539"/>
      <c r="C44" s="539"/>
      <c r="D44" s="539"/>
      <c r="E44" s="539"/>
      <c r="F44" s="539" t="s">
        <v>766</v>
      </c>
      <c r="G44" s="539"/>
      <c r="H44" s="539"/>
      <c r="I44" s="539"/>
      <c r="J44" s="539"/>
      <c r="K44" s="539"/>
      <c r="L44" s="539"/>
      <c r="M44" s="539"/>
      <c r="N44" s="539"/>
      <c r="O44" s="539"/>
      <c r="P44" s="539"/>
      <c r="Q44" s="539"/>
      <c r="R44" s="539"/>
      <c r="S44" s="539"/>
      <c r="T44" s="539"/>
      <c r="U44" s="539"/>
      <c r="V44" s="539"/>
      <c r="W44" s="472"/>
    </row>
    <row r="45" spans="1:23">
      <c r="A45" s="543"/>
      <c r="B45" s="543"/>
      <c r="C45" s="543"/>
      <c r="D45" s="543"/>
      <c r="E45" s="543"/>
      <c r="F45" s="543"/>
      <c r="G45" s="543"/>
      <c r="H45" s="543"/>
      <c r="I45" s="543"/>
      <c r="J45" s="543"/>
      <c r="K45" s="543"/>
      <c r="L45" s="536" t="s">
        <v>715</v>
      </c>
      <c r="M45" s="536"/>
      <c r="N45" s="536"/>
      <c r="O45" s="536"/>
      <c r="P45" s="536"/>
      <c r="Q45" s="536"/>
      <c r="R45" s="536"/>
      <c r="S45" s="544">
        <v>0</v>
      </c>
      <c r="T45" s="544"/>
      <c r="U45" s="544"/>
      <c r="V45" s="544"/>
      <c r="W45" s="472"/>
    </row>
    <row r="46" spans="1:23">
      <c r="A46" s="542"/>
      <c r="B46" s="542"/>
      <c r="C46" s="542"/>
      <c r="D46" s="542"/>
      <c r="E46" s="542"/>
      <c r="F46" s="542"/>
      <c r="G46" s="542"/>
      <c r="H46" s="542"/>
      <c r="I46" s="542"/>
      <c r="J46" s="542"/>
      <c r="K46" s="542"/>
      <c r="L46" s="542"/>
      <c r="M46" s="536" t="s">
        <v>716</v>
      </c>
      <c r="N46" s="536"/>
      <c r="O46" s="536"/>
      <c r="P46" s="536"/>
      <c r="Q46" s="536"/>
      <c r="R46" s="536"/>
      <c r="S46" s="540" t="s">
        <v>717</v>
      </c>
      <c r="T46" s="540"/>
      <c r="U46" s="540"/>
      <c r="V46" s="540"/>
      <c r="W46" s="472"/>
    </row>
    <row r="47" spans="1:23">
      <c r="A47" s="542"/>
      <c r="B47" s="542"/>
      <c r="C47" s="542"/>
      <c r="D47" s="542"/>
      <c r="E47" s="542"/>
      <c r="F47" s="542"/>
      <c r="G47" s="542"/>
      <c r="H47" s="542"/>
      <c r="I47" s="542"/>
      <c r="J47" s="542"/>
      <c r="K47" s="542"/>
      <c r="L47" s="542"/>
      <c r="M47" s="536" t="s">
        <v>718</v>
      </c>
      <c r="N47" s="536"/>
      <c r="O47" s="536"/>
      <c r="P47" s="536"/>
      <c r="Q47" s="536"/>
      <c r="R47" s="536"/>
      <c r="S47" s="540" t="s">
        <v>717</v>
      </c>
      <c r="T47" s="540"/>
      <c r="U47" s="540"/>
      <c r="V47" s="540"/>
      <c r="W47" s="472"/>
    </row>
    <row r="48" spans="1:23">
      <c r="A48" s="542"/>
      <c r="B48" s="542"/>
      <c r="C48" s="542"/>
      <c r="D48" s="542"/>
      <c r="E48" s="542"/>
      <c r="F48" s="542"/>
      <c r="G48" s="542"/>
      <c r="H48" s="542"/>
      <c r="I48" s="542"/>
      <c r="J48" s="542"/>
      <c r="K48" s="542"/>
      <c r="L48" s="542"/>
      <c r="M48" s="536" t="s">
        <v>719</v>
      </c>
      <c r="N48" s="536"/>
      <c r="O48" s="536"/>
      <c r="P48" s="536"/>
      <c r="Q48" s="536"/>
      <c r="R48" s="536"/>
      <c r="S48" s="540" t="s">
        <v>717</v>
      </c>
      <c r="T48" s="540"/>
      <c r="U48" s="540"/>
      <c r="V48" s="540"/>
      <c r="W48" s="472"/>
    </row>
    <row r="49" spans="1:23">
      <c r="A49" s="475"/>
      <c r="B49" s="539" t="s">
        <v>720</v>
      </c>
      <c r="C49" s="539"/>
      <c r="D49" s="539"/>
      <c r="E49" s="539"/>
      <c r="F49" s="539" t="s">
        <v>721</v>
      </c>
      <c r="G49" s="539"/>
      <c r="H49" s="476">
        <v>4913</v>
      </c>
      <c r="I49" s="545">
        <v>4</v>
      </c>
      <c r="J49" s="545"/>
      <c r="K49" s="539" t="s">
        <v>722</v>
      </c>
      <c r="L49" s="539"/>
      <c r="M49" s="474" t="s">
        <v>694</v>
      </c>
      <c r="N49" s="474" t="s">
        <v>624</v>
      </c>
      <c r="O49" s="539" t="s">
        <v>694</v>
      </c>
      <c r="P49" s="539"/>
      <c r="Q49" s="539"/>
      <c r="R49" s="474" t="s">
        <v>694</v>
      </c>
      <c r="S49" s="537" t="s">
        <v>767</v>
      </c>
      <c r="T49" s="537"/>
      <c r="U49" s="537"/>
      <c r="V49" s="537"/>
      <c r="W49" s="472"/>
    </row>
    <row r="50" spans="1:23">
      <c r="A50" s="475"/>
      <c r="B50" s="539" t="s">
        <v>720</v>
      </c>
      <c r="C50" s="539"/>
      <c r="D50" s="539"/>
      <c r="E50" s="539"/>
      <c r="F50" s="539" t="s">
        <v>721</v>
      </c>
      <c r="G50" s="539"/>
      <c r="H50" s="476">
        <v>4916</v>
      </c>
      <c r="I50" s="545">
        <v>4</v>
      </c>
      <c r="J50" s="545"/>
      <c r="K50" s="539" t="s">
        <v>722</v>
      </c>
      <c r="L50" s="539"/>
      <c r="M50" s="474" t="s">
        <v>694</v>
      </c>
      <c r="N50" s="474" t="s">
        <v>624</v>
      </c>
      <c r="O50" s="539" t="s">
        <v>694</v>
      </c>
      <c r="P50" s="539"/>
      <c r="Q50" s="539"/>
      <c r="R50" s="474" t="s">
        <v>694</v>
      </c>
      <c r="S50" s="537" t="s">
        <v>768</v>
      </c>
      <c r="T50" s="537"/>
      <c r="U50" s="537"/>
      <c r="V50" s="537"/>
      <c r="W50" s="472"/>
    </row>
    <row r="51" spans="1:23">
      <c r="A51" s="536"/>
      <c r="B51" s="536"/>
      <c r="C51" s="536"/>
      <c r="D51" s="536"/>
      <c r="E51" s="536"/>
      <c r="F51" s="536"/>
      <c r="G51" s="536"/>
      <c r="H51" s="536"/>
      <c r="I51" s="536"/>
      <c r="J51" s="536"/>
      <c r="K51" s="536"/>
      <c r="L51" s="536"/>
      <c r="M51" s="536" t="s">
        <v>724</v>
      </c>
      <c r="N51" s="536"/>
      <c r="O51" s="536"/>
      <c r="P51" s="536"/>
      <c r="Q51" s="536"/>
      <c r="R51" s="536"/>
      <c r="S51" s="540" t="s">
        <v>769</v>
      </c>
      <c r="T51" s="540"/>
      <c r="U51" s="540"/>
      <c r="V51" s="540"/>
      <c r="W51" s="472"/>
    </row>
    <row r="52" spans="1:23">
      <c r="A52" s="542"/>
      <c r="B52" s="542"/>
      <c r="C52" s="542"/>
      <c r="D52" s="542"/>
      <c r="E52" s="542"/>
      <c r="F52" s="542"/>
      <c r="G52" s="542"/>
      <c r="H52" s="542"/>
      <c r="I52" s="542"/>
      <c r="J52" s="542"/>
      <c r="K52" s="542"/>
      <c r="L52" s="542"/>
      <c r="M52" s="536" t="s">
        <v>725</v>
      </c>
      <c r="N52" s="536"/>
      <c r="O52" s="536"/>
      <c r="P52" s="536"/>
      <c r="Q52" s="536"/>
      <c r="R52" s="536"/>
      <c r="S52" s="540" t="s">
        <v>769</v>
      </c>
      <c r="T52" s="540"/>
      <c r="U52" s="540"/>
      <c r="V52" s="540"/>
      <c r="W52" s="472"/>
    </row>
    <row r="53" spans="1:23">
      <c r="A53" s="475"/>
      <c r="B53" s="539" t="s">
        <v>726</v>
      </c>
      <c r="C53" s="539"/>
      <c r="D53" s="539"/>
      <c r="E53" s="539"/>
      <c r="F53" s="539" t="s">
        <v>727</v>
      </c>
      <c r="G53" s="539"/>
      <c r="H53" s="476">
        <v>5720</v>
      </c>
      <c r="I53" s="545">
        <v>5</v>
      </c>
      <c r="J53" s="545"/>
      <c r="K53" s="539" t="s">
        <v>722</v>
      </c>
      <c r="L53" s="539"/>
      <c r="M53" s="474" t="s">
        <v>694</v>
      </c>
      <c r="N53" s="474" t="s">
        <v>624</v>
      </c>
      <c r="O53" s="539" t="s">
        <v>694</v>
      </c>
      <c r="P53" s="539"/>
      <c r="Q53" s="539"/>
      <c r="R53" s="474" t="s">
        <v>694</v>
      </c>
      <c r="S53" s="537" t="s">
        <v>770</v>
      </c>
      <c r="T53" s="537"/>
      <c r="U53" s="537"/>
      <c r="V53" s="537"/>
      <c r="W53" s="472"/>
    </row>
    <row r="54" spans="1:23">
      <c r="A54" s="536"/>
      <c r="B54" s="536"/>
      <c r="C54" s="536"/>
      <c r="D54" s="536"/>
      <c r="E54" s="536"/>
      <c r="F54" s="536"/>
      <c r="G54" s="536"/>
      <c r="H54" s="536"/>
      <c r="I54" s="536"/>
      <c r="J54" s="536"/>
      <c r="K54" s="536"/>
      <c r="L54" s="536"/>
      <c r="M54" s="536" t="s">
        <v>729</v>
      </c>
      <c r="N54" s="536"/>
      <c r="O54" s="536"/>
      <c r="P54" s="536"/>
      <c r="Q54" s="536"/>
      <c r="R54" s="536"/>
      <c r="S54" s="540" t="s">
        <v>770</v>
      </c>
      <c r="T54" s="540"/>
      <c r="U54" s="540"/>
      <c r="V54" s="540"/>
      <c r="W54" s="472"/>
    </row>
    <row r="55" spans="1:23">
      <c r="A55" s="542"/>
      <c r="B55" s="542"/>
      <c r="C55" s="542"/>
      <c r="D55" s="542"/>
      <c r="E55" s="542"/>
      <c r="F55" s="542"/>
      <c r="G55" s="542"/>
      <c r="H55" s="542"/>
      <c r="I55" s="542"/>
      <c r="J55" s="542"/>
      <c r="K55" s="542"/>
      <c r="L55" s="542"/>
      <c r="M55" s="536" t="s">
        <v>730</v>
      </c>
      <c r="N55" s="536"/>
      <c r="O55" s="536"/>
      <c r="P55" s="536"/>
      <c r="Q55" s="536"/>
      <c r="R55" s="536"/>
      <c r="S55" s="540" t="s">
        <v>771</v>
      </c>
      <c r="T55" s="540"/>
      <c r="U55" s="540"/>
      <c r="V55" s="540"/>
      <c r="W55" s="472"/>
    </row>
    <row r="56" spans="1:23">
      <c r="A56" s="475"/>
      <c r="B56" s="539" t="s">
        <v>732</v>
      </c>
      <c r="C56" s="539"/>
      <c r="D56" s="539"/>
      <c r="E56" s="539"/>
      <c r="F56" s="539" t="s">
        <v>733</v>
      </c>
      <c r="G56" s="539"/>
      <c r="H56" s="476">
        <v>7170</v>
      </c>
      <c r="I56" s="545">
        <v>6</v>
      </c>
      <c r="J56" s="545"/>
      <c r="K56" s="539" t="s">
        <v>722</v>
      </c>
      <c r="L56" s="539"/>
      <c r="M56" s="474" t="s">
        <v>694</v>
      </c>
      <c r="N56" s="474" t="s">
        <v>624</v>
      </c>
      <c r="O56" s="539" t="s">
        <v>694</v>
      </c>
      <c r="P56" s="539"/>
      <c r="Q56" s="539"/>
      <c r="R56" s="474" t="s">
        <v>694</v>
      </c>
      <c r="S56" s="537" t="s">
        <v>772</v>
      </c>
      <c r="T56" s="537"/>
      <c r="U56" s="537"/>
      <c r="V56" s="537"/>
      <c r="W56" s="472"/>
    </row>
    <row r="57" spans="1:23">
      <c r="A57" s="536"/>
      <c r="B57" s="536"/>
      <c r="C57" s="536"/>
      <c r="D57" s="536"/>
      <c r="E57" s="536"/>
      <c r="F57" s="536"/>
      <c r="G57" s="536"/>
      <c r="H57" s="536"/>
      <c r="I57" s="536"/>
      <c r="J57" s="536"/>
      <c r="K57" s="536"/>
      <c r="L57" s="536"/>
      <c r="M57" s="536" t="s">
        <v>735</v>
      </c>
      <c r="N57" s="536"/>
      <c r="O57" s="536"/>
      <c r="P57" s="536"/>
      <c r="Q57" s="536"/>
      <c r="R57" s="536"/>
      <c r="S57" s="540" t="s">
        <v>772</v>
      </c>
      <c r="T57" s="540"/>
      <c r="U57" s="540"/>
      <c r="V57" s="540"/>
      <c r="W57" s="472"/>
    </row>
    <row r="58" spans="1:23">
      <c r="A58" s="542"/>
      <c r="B58" s="542"/>
      <c r="C58" s="542"/>
      <c r="D58" s="542"/>
      <c r="E58" s="542"/>
      <c r="F58" s="542"/>
      <c r="G58" s="542"/>
      <c r="H58" s="542"/>
      <c r="I58" s="542"/>
      <c r="J58" s="542"/>
      <c r="K58" s="542"/>
      <c r="L58" s="542"/>
      <c r="M58" s="536" t="s">
        <v>736</v>
      </c>
      <c r="N58" s="536"/>
      <c r="O58" s="536"/>
      <c r="P58" s="536"/>
      <c r="Q58" s="536"/>
      <c r="R58" s="536"/>
      <c r="S58" s="540" t="s">
        <v>773</v>
      </c>
      <c r="T58" s="540"/>
      <c r="U58" s="540"/>
      <c r="V58" s="540"/>
      <c r="W58" s="472"/>
    </row>
    <row r="59" spans="1:23">
      <c r="A59" s="475"/>
      <c r="B59" s="539" t="s">
        <v>738</v>
      </c>
      <c r="C59" s="539"/>
      <c r="D59" s="539"/>
      <c r="E59" s="539"/>
      <c r="F59" s="539" t="s">
        <v>739</v>
      </c>
      <c r="G59" s="539"/>
      <c r="H59" s="476">
        <v>7970</v>
      </c>
      <c r="I59" s="545">
        <v>7</v>
      </c>
      <c r="J59" s="545"/>
      <c r="K59" s="539" t="s">
        <v>722</v>
      </c>
      <c r="L59" s="539"/>
      <c r="M59" s="474" t="s">
        <v>694</v>
      </c>
      <c r="N59" s="474" t="s">
        <v>624</v>
      </c>
      <c r="O59" s="539" t="s">
        <v>694</v>
      </c>
      <c r="P59" s="539"/>
      <c r="Q59" s="539"/>
      <c r="R59" s="474" t="s">
        <v>694</v>
      </c>
      <c r="S59" s="537" t="s">
        <v>774</v>
      </c>
      <c r="T59" s="537"/>
      <c r="U59" s="537"/>
      <c r="V59" s="537"/>
      <c r="W59" s="472"/>
    </row>
    <row r="60" spans="1:23">
      <c r="A60" s="536"/>
      <c r="B60" s="536"/>
      <c r="C60" s="536"/>
      <c r="D60" s="536"/>
      <c r="E60" s="536"/>
      <c r="F60" s="536"/>
      <c r="G60" s="536"/>
      <c r="H60" s="536"/>
      <c r="I60" s="536"/>
      <c r="J60" s="536"/>
      <c r="K60" s="536"/>
      <c r="L60" s="536"/>
      <c r="M60" s="536" t="s">
        <v>741</v>
      </c>
      <c r="N60" s="536"/>
      <c r="O60" s="536"/>
      <c r="P60" s="536"/>
      <c r="Q60" s="536"/>
      <c r="R60" s="536"/>
      <c r="S60" s="540" t="s">
        <v>774</v>
      </c>
      <c r="T60" s="540"/>
      <c r="U60" s="540"/>
      <c r="V60" s="540"/>
      <c r="W60" s="472"/>
    </row>
    <row r="61" spans="1:23">
      <c r="A61" s="542"/>
      <c r="B61" s="542"/>
      <c r="C61" s="542"/>
      <c r="D61" s="542"/>
      <c r="E61" s="542"/>
      <c r="F61" s="542"/>
      <c r="G61" s="542"/>
      <c r="H61" s="542"/>
      <c r="I61" s="542"/>
      <c r="J61" s="542"/>
      <c r="K61" s="542"/>
      <c r="L61" s="542"/>
      <c r="M61" s="536" t="s">
        <v>742</v>
      </c>
      <c r="N61" s="536"/>
      <c r="O61" s="536"/>
      <c r="P61" s="536"/>
      <c r="Q61" s="536"/>
      <c r="R61" s="536"/>
      <c r="S61" s="540" t="s">
        <v>775</v>
      </c>
      <c r="T61" s="540"/>
      <c r="U61" s="540"/>
      <c r="V61" s="540"/>
      <c r="W61" s="472"/>
    </row>
    <row r="62" spans="1:23">
      <c r="A62" s="475"/>
      <c r="B62" s="539" t="s">
        <v>744</v>
      </c>
      <c r="C62" s="539"/>
      <c r="D62" s="539"/>
      <c r="E62" s="539"/>
      <c r="F62" s="539" t="s">
        <v>745</v>
      </c>
      <c r="G62" s="539"/>
      <c r="H62" s="476">
        <v>9138</v>
      </c>
      <c r="I62" s="545">
        <v>8</v>
      </c>
      <c r="J62" s="545"/>
      <c r="K62" s="539" t="s">
        <v>722</v>
      </c>
      <c r="L62" s="539"/>
      <c r="M62" s="474" t="s">
        <v>694</v>
      </c>
      <c r="N62" s="474" t="s">
        <v>624</v>
      </c>
      <c r="O62" s="539" t="s">
        <v>694</v>
      </c>
      <c r="P62" s="539"/>
      <c r="Q62" s="539"/>
      <c r="R62" s="474" t="s">
        <v>694</v>
      </c>
      <c r="S62" s="537" t="s">
        <v>776</v>
      </c>
      <c r="T62" s="537"/>
      <c r="U62" s="537"/>
      <c r="V62" s="537"/>
      <c r="W62" s="472"/>
    </row>
    <row r="63" spans="1:23">
      <c r="A63" s="536"/>
      <c r="B63" s="536"/>
      <c r="C63" s="536"/>
      <c r="D63" s="536"/>
      <c r="E63" s="536"/>
      <c r="F63" s="536"/>
      <c r="G63" s="536"/>
      <c r="H63" s="536"/>
      <c r="I63" s="536"/>
      <c r="J63" s="536"/>
      <c r="K63" s="536"/>
      <c r="L63" s="536"/>
      <c r="M63" s="536" t="s">
        <v>747</v>
      </c>
      <c r="N63" s="536"/>
      <c r="O63" s="536"/>
      <c r="P63" s="536"/>
      <c r="Q63" s="536"/>
      <c r="R63" s="536"/>
      <c r="S63" s="540" t="s">
        <v>776</v>
      </c>
      <c r="T63" s="540"/>
      <c r="U63" s="540"/>
      <c r="V63" s="540"/>
      <c r="W63" s="472"/>
    </row>
    <row r="64" spans="1:23">
      <c r="A64" s="542"/>
      <c r="B64" s="542"/>
      <c r="C64" s="542"/>
      <c r="D64" s="542"/>
      <c r="E64" s="542"/>
      <c r="F64" s="542"/>
      <c r="G64" s="542"/>
      <c r="H64" s="542"/>
      <c r="I64" s="542"/>
      <c r="J64" s="542"/>
      <c r="K64" s="542"/>
      <c r="L64" s="542"/>
      <c r="M64" s="536" t="s">
        <v>748</v>
      </c>
      <c r="N64" s="536"/>
      <c r="O64" s="536"/>
      <c r="P64" s="536"/>
      <c r="Q64" s="536"/>
      <c r="R64" s="536"/>
      <c r="S64" s="540" t="s">
        <v>777</v>
      </c>
      <c r="T64" s="540"/>
      <c r="U64" s="540"/>
      <c r="V64" s="540"/>
      <c r="W64" s="472"/>
    </row>
    <row r="65" spans="1:23">
      <c r="A65" s="475"/>
      <c r="B65" s="539" t="s">
        <v>750</v>
      </c>
      <c r="C65" s="539"/>
      <c r="D65" s="539"/>
      <c r="E65" s="539"/>
      <c r="F65" s="539" t="s">
        <v>751</v>
      </c>
      <c r="G65" s="539"/>
      <c r="H65" s="476">
        <v>11085</v>
      </c>
      <c r="I65" s="545">
        <v>9</v>
      </c>
      <c r="J65" s="545"/>
      <c r="K65" s="539" t="s">
        <v>722</v>
      </c>
      <c r="L65" s="539"/>
      <c r="M65" s="474" t="s">
        <v>694</v>
      </c>
      <c r="N65" s="474" t="s">
        <v>624</v>
      </c>
      <c r="O65" s="539" t="s">
        <v>694</v>
      </c>
      <c r="P65" s="539"/>
      <c r="Q65" s="539"/>
      <c r="R65" s="474" t="s">
        <v>694</v>
      </c>
      <c r="S65" s="537" t="s">
        <v>778</v>
      </c>
      <c r="T65" s="537"/>
      <c r="U65" s="537"/>
      <c r="V65" s="537"/>
      <c r="W65" s="472"/>
    </row>
    <row r="66" spans="1:23">
      <c r="A66" s="475"/>
      <c r="B66" s="539" t="s">
        <v>753</v>
      </c>
      <c r="C66" s="539"/>
      <c r="D66" s="539"/>
      <c r="E66" s="539"/>
      <c r="F66" s="539" t="s">
        <v>754</v>
      </c>
      <c r="G66" s="539"/>
      <c r="H66" s="476">
        <v>12570</v>
      </c>
      <c r="I66" s="545">
        <v>9</v>
      </c>
      <c r="J66" s="545"/>
      <c r="K66" s="539" t="s">
        <v>722</v>
      </c>
      <c r="L66" s="539"/>
      <c r="M66" s="474" t="s">
        <v>694</v>
      </c>
      <c r="N66" s="474" t="s">
        <v>624</v>
      </c>
      <c r="O66" s="539" t="s">
        <v>694</v>
      </c>
      <c r="P66" s="539"/>
      <c r="Q66" s="539"/>
      <c r="R66" s="474" t="s">
        <v>694</v>
      </c>
      <c r="S66" s="537" t="s">
        <v>779</v>
      </c>
      <c r="T66" s="537"/>
      <c r="U66" s="537"/>
      <c r="V66" s="537"/>
      <c r="W66" s="472"/>
    </row>
    <row r="67" spans="1:23">
      <c r="A67" s="536"/>
      <c r="B67" s="536"/>
      <c r="C67" s="536"/>
      <c r="D67" s="536"/>
      <c r="E67" s="536"/>
      <c r="F67" s="536"/>
      <c r="G67" s="536"/>
      <c r="H67" s="536"/>
      <c r="I67" s="536"/>
      <c r="J67" s="536"/>
      <c r="K67" s="536"/>
      <c r="L67" s="536"/>
      <c r="M67" s="536" t="s">
        <v>756</v>
      </c>
      <c r="N67" s="536"/>
      <c r="O67" s="536"/>
      <c r="P67" s="536"/>
      <c r="Q67" s="536"/>
      <c r="R67" s="536"/>
      <c r="S67" s="540" t="s">
        <v>780</v>
      </c>
      <c r="T67" s="540"/>
      <c r="U67" s="540"/>
      <c r="V67" s="540"/>
      <c r="W67" s="472"/>
    </row>
    <row r="68" spans="1:23">
      <c r="A68" s="542"/>
      <c r="B68" s="542"/>
      <c r="C68" s="542"/>
      <c r="D68" s="542"/>
      <c r="E68" s="542"/>
      <c r="F68" s="542"/>
      <c r="G68" s="542"/>
      <c r="H68" s="542"/>
      <c r="I68" s="542"/>
      <c r="J68" s="542"/>
      <c r="K68" s="542"/>
      <c r="L68" s="542"/>
      <c r="M68" s="536" t="s">
        <v>758</v>
      </c>
      <c r="N68" s="536"/>
      <c r="O68" s="536"/>
      <c r="P68" s="536"/>
      <c r="Q68" s="536"/>
      <c r="R68" s="536"/>
      <c r="S68" s="540" t="s">
        <v>781</v>
      </c>
      <c r="T68" s="540"/>
      <c r="U68" s="540"/>
      <c r="V68" s="540"/>
      <c r="W68" s="472"/>
    </row>
    <row r="69" spans="1:23">
      <c r="A69" s="475"/>
      <c r="B69" s="539" t="s">
        <v>760</v>
      </c>
      <c r="C69" s="539"/>
      <c r="D69" s="539"/>
      <c r="E69" s="539"/>
      <c r="F69" s="539" t="s">
        <v>761</v>
      </c>
      <c r="G69" s="539"/>
      <c r="H69" s="476">
        <v>13900</v>
      </c>
      <c r="I69" s="545">
        <v>10</v>
      </c>
      <c r="J69" s="545"/>
      <c r="K69" s="539" t="s">
        <v>722</v>
      </c>
      <c r="L69" s="539"/>
      <c r="M69" s="474" t="s">
        <v>694</v>
      </c>
      <c r="N69" s="474" t="s">
        <v>624</v>
      </c>
      <c r="O69" s="539" t="s">
        <v>694</v>
      </c>
      <c r="P69" s="539"/>
      <c r="Q69" s="539"/>
      <c r="R69" s="474" t="s">
        <v>694</v>
      </c>
      <c r="S69" s="537" t="s">
        <v>782</v>
      </c>
      <c r="T69" s="537"/>
      <c r="U69" s="537"/>
      <c r="V69" s="537"/>
      <c r="W69" s="472"/>
    </row>
    <row r="70" spans="1:23">
      <c r="A70" s="536"/>
      <c r="B70" s="536"/>
      <c r="C70" s="536"/>
      <c r="D70" s="536"/>
      <c r="E70" s="536"/>
      <c r="F70" s="536"/>
      <c r="G70" s="536"/>
      <c r="H70" s="536"/>
      <c r="I70" s="536"/>
      <c r="J70" s="536"/>
      <c r="K70" s="536"/>
      <c r="L70" s="536"/>
      <c r="M70" s="536" t="s">
        <v>763</v>
      </c>
      <c r="N70" s="536"/>
      <c r="O70" s="536"/>
      <c r="P70" s="536"/>
      <c r="Q70" s="536"/>
      <c r="R70" s="536"/>
      <c r="S70" s="540" t="s">
        <v>782</v>
      </c>
      <c r="T70" s="540"/>
      <c r="U70" s="540"/>
      <c r="V70" s="540"/>
      <c r="W70" s="472"/>
    </row>
    <row r="71" spans="1:23">
      <c r="A71" s="542"/>
      <c r="B71" s="542"/>
      <c r="C71" s="542"/>
      <c r="D71" s="542"/>
      <c r="E71" s="542"/>
      <c r="F71" s="542"/>
      <c r="G71" s="542"/>
      <c r="H71" s="542"/>
      <c r="I71" s="542"/>
      <c r="J71" s="542"/>
      <c r="K71" s="542"/>
      <c r="L71" s="542"/>
      <c r="M71" s="536" t="s">
        <v>764</v>
      </c>
      <c r="N71" s="536"/>
      <c r="O71" s="536"/>
      <c r="P71" s="536"/>
      <c r="Q71" s="536"/>
      <c r="R71" s="536"/>
      <c r="S71" s="546">
        <v>39294.43</v>
      </c>
      <c r="T71" s="540"/>
      <c r="U71" s="540"/>
      <c r="V71" s="540"/>
      <c r="W71" s="472"/>
    </row>
    <row r="72" spans="1:23">
      <c r="A72" s="539" t="s">
        <v>783</v>
      </c>
      <c r="B72" s="539"/>
      <c r="C72" s="539"/>
      <c r="D72" s="539"/>
      <c r="E72" s="539"/>
      <c r="F72" s="539" t="s">
        <v>784</v>
      </c>
      <c r="G72" s="539"/>
      <c r="H72" s="539"/>
      <c r="I72" s="539"/>
      <c r="J72" s="539"/>
      <c r="K72" s="539"/>
      <c r="L72" s="539"/>
      <c r="M72" s="539"/>
      <c r="N72" s="539"/>
      <c r="O72" s="539"/>
      <c r="P72" s="539"/>
      <c r="Q72" s="539"/>
      <c r="R72" s="539"/>
      <c r="S72" s="539"/>
      <c r="T72" s="539"/>
      <c r="U72" s="539"/>
      <c r="V72" s="539"/>
      <c r="W72" s="472"/>
    </row>
    <row r="73" spans="1:23">
      <c r="A73" s="543"/>
      <c r="B73" s="543"/>
      <c r="C73" s="543"/>
      <c r="D73" s="543"/>
      <c r="E73" s="543"/>
      <c r="F73" s="543"/>
      <c r="G73" s="543"/>
      <c r="H73" s="543"/>
      <c r="I73" s="543"/>
      <c r="J73" s="543"/>
      <c r="K73" s="543"/>
      <c r="L73" s="536" t="s">
        <v>715</v>
      </c>
      <c r="M73" s="536"/>
      <c r="N73" s="536"/>
      <c r="O73" s="536"/>
      <c r="P73" s="536"/>
      <c r="Q73" s="536"/>
      <c r="R73" s="536"/>
      <c r="S73" s="544">
        <v>0</v>
      </c>
      <c r="T73" s="544"/>
      <c r="U73" s="544"/>
      <c r="V73" s="544"/>
      <c r="W73" s="472"/>
    </row>
    <row r="74" spans="1:23">
      <c r="A74" s="542"/>
      <c r="B74" s="542"/>
      <c r="C74" s="542"/>
      <c r="D74" s="542"/>
      <c r="E74" s="542"/>
      <c r="F74" s="542"/>
      <c r="G74" s="542"/>
      <c r="H74" s="542"/>
      <c r="I74" s="542"/>
      <c r="J74" s="542"/>
      <c r="K74" s="542"/>
      <c r="L74" s="542"/>
      <c r="M74" s="536" t="s">
        <v>716</v>
      </c>
      <c r="N74" s="536"/>
      <c r="O74" s="536"/>
      <c r="P74" s="536"/>
      <c r="Q74" s="536"/>
      <c r="R74" s="536"/>
      <c r="S74" s="540" t="s">
        <v>717</v>
      </c>
      <c r="T74" s="540"/>
      <c r="U74" s="540"/>
      <c r="V74" s="540"/>
      <c r="W74" s="472"/>
    </row>
    <row r="75" spans="1:23">
      <c r="A75" s="542"/>
      <c r="B75" s="542"/>
      <c r="C75" s="542"/>
      <c r="D75" s="542"/>
      <c r="E75" s="542"/>
      <c r="F75" s="542"/>
      <c r="G75" s="542"/>
      <c r="H75" s="542"/>
      <c r="I75" s="542"/>
      <c r="J75" s="542"/>
      <c r="K75" s="542"/>
      <c r="L75" s="542"/>
      <c r="M75" s="536" t="s">
        <v>718</v>
      </c>
      <c r="N75" s="536"/>
      <c r="O75" s="536"/>
      <c r="P75" s="536"/>
      <c r="Q75" s="536"/>
      <c r="R75" s="536"/>
      <c r="S75" s="540" t="s">
        <v>717</v>
      </c>
      <c r="T75" s="540"/>
      <c r="U75" s="540"/>
      <c r="V75" s="540"/>
      <c r="W75" s="472"/>
    </row>
    <row r="76" spans="1:23">
      <c r="A76" s="542"/>
      <c r="B76" s="542"/>
      <c r="C76" s="542"/>
      <c r="D76" s="542"/>
      <c r="E76" s="542"/>
      <c r="F76" s="542"/>
      <c r="G76" s="542"/>
      <c r="H76" s="542"/>
      <c r="I76" s="542"/>
      <c r="J76" s="542"/>
      <c r="K76" s="542"/>
      <c r="L76" s="542"/>
      <c r="M76" s="536" t="s">
        <v>719</v>
      </c>
      <c r="N76" s="536"/>
      <c r="O76" s="536"/>
      <c r="P76" s="536"/>
      <c r="Q76" s="536"/>
      <c r="R76" s="536"/>
      <c r="S76" s="540" t="s">
        <v>717</v>
      </c>
      <c r="T76" s="540"/>
      <c r="U76" s="540"/>
      <c r="V76" s="540"/>
      <c r="W76" s="472"/>
    </row>
    <row r="77" spans="1:23">
      <c r="A77" s="475"/>
      <c r="B77" s="539" t="s">
        <v>720</v>
      </c>
      <c r="C77" s="539"/>
      <c r="D77" s="539"/>
      <c r="E77" s="539"/>
      <c r="F77" s="539" t="s">
        <v>721</v>
      </c>
      <c r="G77" s="539"/>
      <c r="H77" s="476">
        <v>4914</v>
      </c>
      <c r="I77" s="545">
        <v>4</v>
      </c>
      <c r="J77" s="545"/>
      <c r="K77" s="539" t="s">
        <v>722</v>
      </c>
      <c r="L77" s="539"/>
      <c r="M77" s="474" t="s">
        <v>694</v>
      </c>
      <c r="N77" s="474" t="s">
        <v>624</v>
      </c>
      <c r="O77" s="539" t="s">
        <v>694</v>
      </c>
      <c r="P77" s="539"/>
      <c r="Q77" s="539"/>
      <c r="R77" s="474" t="s">
        <v>694</v>
      </c>
      <c r="S77" s="537" t="s">
        <v>785</v>
      </c>
      <c r="T77" s="537"/>
      <c r="U77" s="537"/>
      <c r="V77" s="537"/>
      <c r="W77" s="472"/>
    </row>
    <row r="78" spans="1:23">
      <c r="A78" s="475"/>
      <c r="B78" s="539" t="s">
        <v>720</v>
      </c>
      <c r="C78" s="539"/>
      <c r="D78" s="539"/>
      <c r="E78" s="539"/>
      <c r="F78" s="539" t="s">
        <v>721</v>
      </c>
      <c r="G78" s="539"/>
      <c r="H78" s="476">
        <v>4917</v>
      </c>
      <c r="I78" s="545">
        <v>4</v>
      </c>
      <c r="J78" s="545"/>
      <c r="K78" s="539" t="s">
        <v>722</v>
      </c>
      <c r="L78" s="539"/>
      <c r="M78" s="474" t="s">
        <v>694</v>
      </c>
      <c r="N78" s="474" t="s">
        <v>624</v>
      </c>
      <c r="O78" s="539" t="s">
        <v>694</v>
      </c>
      <c r="P78" s="539"/>
      <c r="Q78" s="539"/>
      <c r="R78" s="474" t="s">
        <v>694</v>
      </c>
      <c r="S78" s="537" t="s">
        <v>786</v>
      </c>
      <c r="T78" s="537"/>
      <c r="U78" s="537"/>
      <c r="V78" s="537"/>
      <c r="W78" s="472"/>
    </row>
    <row r="79" spans="1:23">
      <c r="A79" s="536"/>
      <c r="B79" s="536"/>
      <c r="C79" s="536"/>
      <c r="D79" s="536"/>
      <c r="E79" s="536"/>
      <c r="F79" s="536"/>
      <c r="G79" s="536"/>
      <c r="H79" s="536"/>
      <c r="I79" s="536"/>
      <c r="J79" s="536"/>
      <c r="K79" s="536"/>
      <c r="L79" s="536"/>
      <c r="M79" s="536" t="s">
        <v>724</v>
      </c>
      <c r="N79" s="536"/>
      <c r="O79" s="536"/>
      <c r="P79" s="536"/>
      <c r="Q79" s="536"/>
      <c r="R79" s="536"/>
      <c r="S79" s="540" t="s">
        <v>787</v>
      </c>
      <c r="T79" s="540"/>
      <c r="U79" s="540"/>
      <c r="V79" s="540"/>
      <c r="W79" s="472"/>
    </row>
    <row r="80" spans="1:23">
      <c r="A80" s="542"/>
      <c r="B80" s="542"/>
      <c r="C80" s="542"/>
      <c r="D80" s="542"/>
      <c r="E80" s="542"/>
      <c r="F80" s="542"/>
      <c r="G80" s="542"/>
      <c r="H80" s="542"/>
      <c r="I80" s="542"/>
      <c r="J80" s="542"/>
      <c r="K80" s="542"/>
      <c r="L80" s="542"/>
      <c r="M80" s="536" t="s">
        <v>725</v>
      </c>
      <c r="N80" s="536"/>
      <c r="O80" s="536"/>
      <c r="P80" s="536"/>
      <c r="Q80" s="536"/>
      <c r="R80" s="536"/>
      <c r="S80" s="540" t="s">
        <v>787</v>
      </c>
      <c r="T80" s="540"/>
      <c r="U80" s="540"/>
      <c r="V80" s="540"/>
      <c r="W80" s="472"/>
    </row>
    <row r="81" spans="1:23">
      <c r="A81" s="475"/>
      <c r="B81" s="539" t="s">
        <v>726</v>
      </c>
      <c r="C81" s="539"/>
      <c r="D81" s="539"/>
      <c r="E81" s="539"/>
      <c r="F81" s="539" t="s">
        <v>727</v>
      </c>
      <c r="G81" s="539"/>
      <c r="H81" s="476">
        <v>5721</v>
      </c>
      <c r="I81" s="545">
        <v>5</v>
      </c>
      <c r="J81" s="545"/>
      <c r="K81" s="539" t="s">
        <v>722</v>
      </c>
      <c r="L81" s="539"/>
      <c r="M81" s="474" t="s">
        <v>694</v>
      </c>
      <c r="N81" s="474" t="s">
        <v>624</v>
      </c>
      <c r="O81" s="539" t="s">
        <v>694</v>
      </c>
      <c r="P81" s="539"/>
      <c r="Q81" s="539"/>
      <c r="R81" s="474" t="s">
        <v>694</v>
      </c>
      <c r="S81" s="537" t="s">
        <v>788</v>
      </c>
      <c r="T81" s="537"/>
      <c r="U81" s="537"/>
      <c r="V81" s="537"/>
      <c r="W81" s="472"/>
    </row>
    <row r="82" spans="1:23">
      <c r="A82" s="536"/>
      <c r="B82" s="536"/>
      <c r="C82" s="536"/>
      <c r="D82" s="536"/>
      <c r="E82" s="536"/>
      <c r="F82" s="536"/>
      <c r="G82" s="536"/>
      <c r="H82" s="536"/>
      <c r="I82" s="536"/>
      <c r="J82" s="536"/>
      <c r="K82" s="536"/>
      <c r="L82" s="536"/>
      <c r="M82" s="536" t="s">
        <v>729</v>
      </c>
      <c r="N82" s="536"/>
      <c r="O82" s="536"/>
      <c r="P82" s="536"/>
      <c r="Q82" s="536"/>
      <c r="R82" s="536"/>
      <c r="S82" s="540" t="s">
        <v>788</v>
      </c>
      <c r="T82" s="540"/>
      <c r="U82" s="540"/>
      <c r="V82" s="540"/>
      <c r="W82" s="472"/>
    </row>
    <row r="83" spans="1:23">
      <c r="A83" s="542"/>
      <c r="B83" s="542"/>
      <c r="C83" s="542"/>
      <c r="D83" s="542"/>
      <c r="E83" s="542"/>
      <c r="F83" s="542"/>
      <c r="G83" s="542"/>
      <c r="H83" s="542"/>
      <c r="I83" s="542"/>
      <c r="J83" s="542"/>
      <c r="K83" s="542"/>
      <c r="L83" s="542"/>
      <c r="M83" s="536" t="s">
        <v>730</v>
      </c>
      <c r="N83" s="536"/>
      <c r="O83" s="536"/>
      <c r="P83" s="536"/>
      <c r="Q83" s="536"/>
      <c r="R83" s="536"/>
      <c r="S83" s="540" t="s">
        <v>789</v>
      </c>
      <c r="T83" s="540"/>
      <c r="U83" s="540"/>
      <c r="V83" s="540"/>
      <c r="W83" s="472"/>
    </row>
    <row r="84" spans="1:23">
      <c r="A84" s="475"/>
      <c r="B84" s="539" t="s">
        <v>732</v>
      </c>
      <c r="C84" s="539"/>
      <c r="D84" s="539"/>
      <c r="E84" s="539"/>
      <c r="F84" s="539" t="s">
        <v>733</v>
      </c>
      <c r="G84" s="539"/>
      <c r="H84" s="476">
        <v>7171</v>
      </c>
      <c r="I84" s="545">
        <v>6</v>
      </c>
      <c r="J84" s="545"/>
      <c r="K84" s="539" t="s">
        <v>722</v>
      </c>
      <c r="L84" s="539"/>
      <c r="M84" s="474" t="s">
        <v>694</v>
      </c>
      <c r="N84" s="474" t="s">
        <v>624</v>
      </c>
      <c r="O84" s="539" t="s">
        <v>694</v>
      </c>
      <c r="P84" s="539"/>
      <c r="Q84" s="539"/>
      <c r="R84" s="474" t="s">
        <v>694</v>
      </c>
      <c r="S84" s="537" t="s">
        <v>790</v>
      </c>
      <c r="T84" s="537"/>
      <c r="U84" s="537"/>
      <c r="V84" s="537"/>
      <c r="W84" s="472"/>
    </row>
    <row r="85" spans="1:23">
      <c r="A85" s="536"/>
      <c r="B85" s="536"/>
      <c r="C85" s="536"/>
      <c r="D85" s="536"/>
      <c r="E85" s="536"/>
      <c r="F85" s="536"/>
      <c r="G85" s="536"/>
      <c r="H85" s="536"/>
      <c r="I85" s="536"/>
      <c r="J85" s="536"/>
      <c r="K85" s="536"/>
      <c r="L85" s="536"/>
      <c r="M85" s="536" t="s">
        <v>735</v>
      </c>
      <c r="N85" s="536"/>
      <c r="O85" s="536"/>
      <c r="P85" s="536"/>
      <c r="Q85" s="536"/>
      <c r="R85" s="536"/>
      <c r="S85" s="540" t="s">
        <v>790</v>
      </c>
      <c r="T85" s="540"/>
      <c r="U85" s="540"/>
      <c r="V85" s="540"/>
      <c r="W85" s="472"/>
    </row>
    <row r="86" spans="1:23">
      <c r="A86" s="542"/>
      <c r="B86" s="542"/>
      <c r="C86" s="542"/>
      <c r="D86" s="542"/>
      <c r="E86" s="542"/>
      <c r="F86" s="542"/>
      <c r="G86" s="542"/>
      <c r="H86" s="542"/>
      <c r="I86" s="542"/>
      <c r="J86" s="542"/>
      <c r="K86" s="542"/>
      <c r="L86" s="542"/>
      <c r="M86" s="536" t="s">
        <v>736</v>
      </c>
      <c r="N86" s="536"/>
      <c r="O86" s="536"/>
      <c r="P86" s="536"/>
      <c r="Q86" s="536"/>
      <c r="R86" s="536"/>
      <c r="S86" s="540" t="s">
        <v>791</v>
      </c>
      <c r="T86" s="540"/>
      <c r="U86" s="540"/>
      <c r="V86" s="540"/>
      <c r="W86" s="472"/>
    </row>
    <row r="87" spans="1:23">
      <c r="A87" s="475"/>
      <c r="B87" s="539" t="s">
        <v>738</v>
      </c>
      <c r="C87" s="539"/>
      <c r="D87" s="539"/>
      <c r="E87" s="539"/>
      <c r="F87" s="539" t="s">
        <v>739</v>
      </c>
      <c r="G87" s="539"/>
      <c r="H87" s="476">
        <v>7971</v>
      </c>
      <c r="I87" s="545">
        <v>7</v>
      </c>
      <c r="J87" s="545"/>
      <c r="K87" s="539" t="s">
        <v>722</v>
      </c>
      <c r="L87" s="539"/>
      <c r="M87" s="474" t="s">
        <v>694</v>
      </c>
      <c r="N87" s="474" t="s">
        <v>624</v>
      </c>
      <c r="O87" s="539" t="s">
        <v>694</v>
      </c>
      <c r="P87" s="539"/>
      <c r="Q87" s="539"/>
      <c r="R87" s="474" t="s">
        <v>694</v>
      </c>
      <c r="S87" s="537" t="s">
        <v>792</v>
      </c>
      <c r="T87" s="537"/>
      <c r="U87" s="537"/>
      <c r="V87" s="537"/>
      <c r="W87" s="472"/>
    </row>
    <row r="88" spans="1:23">
      <c r="A88" s="536"/>
      <c r="B88" s="536"/>
      <c r="C88" s="536"/>
      <c r="D88" s="536"/>
      <c r="E88" s="536"/>
      <c r="F88" s="536"/>
      <c r="G88" s="536"/>
      <c r="H88" s="536"/>
      <c r="I88" s="536"/>
      <c r="J88" s="536"/>
      <c r="K88" s="536"/>
      <c r="L88" s="536"/>
      <c r="M88" s="536" t="s">
        <v>741</v>
      </c>
      <c r="N88" s="536"/>
      <c r="O88" s="536"/>
      <c r="P88" s="536"/>
      <c r="Q88" s="536"/>
      <c r="R88" s="536"/>
      <c r="S88" s="540" t="s">
        <v>792</v>
      </c>
      <c r="T88" s="540"/>
      <c r="U88" s="540"/>
      <c r="V88" s="540"/>
      <c r="W88" s="472"/>
    </row>
    <row r="89" spans="1:23">
      <c r="A89" s="542"/>
      <c r="B89" s="542"/>
      <c r="C89" s="542"/>
      <c r="D89" s="542"/>
      <c r="E89" s="542"/>
      <c r="F89" s="542"/>
      <c r="G89" s="542"/>
      <c r="H89" s="542"/>
      <c r="I89" s="542"/>
      <c r="J89" s="542"/>
      <c r="K89" s="542"/>
      <c r="L89" s="542"/>
      <c r="M89" s="536" t="s">
        <v>742</v>
      </c>
      <c r="N89" s="536"/>
      <c r="O89" s="536"/>
      <c r="P89" s="536"/>
      <c r="Q89" s="536"/>
      <c r="R89" s="536"/>
      <c r="S89" s="540" t="s">
        <v>793</v>
      </c>
      <c r="T89" s="540"/>
      <c r="U89" s="540"/>
      <c r="V89" s="540"/>
      <c r="W89" s="472"/>
    </row>
    <row r="90" spans="1:23">
      <c r="A90" s="475"/>
      <c r="B90" s="539" t="s">
        <v>744</v>
      </c>
      <c r="C90" s="539"/>
      <c r="D90" s="539"/>
      <c r="E90" s="539"/>
      <c r="F90" s="539" t="s">
        <v>745</v>
      </c>
      <c r="G90" s="539"/>
      <c r="H90" s="476">
        <v>9139</v>
      </c>
      <c r="I90" s="545">
        <v>8</v>
      </c>
      <c r="J90" s="545"/>
      <c r="K90" s="539" t="s">
        <v>722</v>
      </c>
      <c r="L90" s="539"/>
      <c r="M90" s="474" t="s">
        <v>694</v>
      </c>
      <c r="N90" s="474" t="s">
        <v>624</v>
      </c>
      <c r="O90" s="539" t="s">
        <v>694</v>
      </c>
      <c r="P90" s="539"/>
      <c r="Q90" s="539"/>
      <c r="R90" s="474" t="s">
        <v>694</v>
      </c>
      <c r="S90" s="537" t="s">
        <v>794</v>
      </c>
      <c r="T90" s="537"/>
      <c r="U90" s="537"/>
      <c r="V90" s="537"/>
      <c r="W90" s="472"/>
    </row>
    <row r="91" spans="1:23">
      <c r="A91" s="536"/>
      <c r="B91" s="536"/>
      <c r="C91" s="536"/>
      <c r="D91" s="536"/>
      <c r="E91" s="536"/>
      <c r="F91" s="536"/>
      <c r="G91" s="536"/>
      <c r="H91" s="536"/>
      <c r="I91" s="536"/>
      <c r="J91" s="536"/>
      <c r="K91" s="536"/>
      <c r="L91" s="536"/>
      <c r="M91" s="536" t="s">
        <v>747</v>
      </c>
      <c r="N91" s="536"/>
      <c r="O91" s="536"/>
      <c r="P91" s="536"/>
      <c r="Q91" s="536"/>
      <c r="R91" s="536"/>
      <c r="S91" s="540" t="s">
        <v>794</v>
      </c>
      <c r="T91" s="540"/>
      <c r="U91" s="540"/>
      <c r="V91" s="540"/>
      <c r="W91" s="472"/>
    </row>
    <row r="92" spans="1:23">
      <c r="A92" s="542"/>
      <c r="B92" s="542"/>
      <c r="C92" s="542"/>
      <c r="D92" s="542"/>
      <c r="E92" s="542"/>
      <c r="F92" s="542"/>
      <c r="G92" s="542"/>
      <c r="H92" s="542"/>
      <c r="I92" s="542"/>
      <c r="J92" s="542"/>
      <c r="K92" s="542"/>
      <c r="L92" s="542"/>
      <c r="M92" s="536" t="s">
        <v>748</v>
      </c>
      <c r="N92" s="536"/>
      <c r="O92" s="536"/>
      <c r="P92" s="536"/>
      <c r="Q92" s="536"/>
      <c r="R92" s="536"/>
      <c r="S92" s="540" t="s">
        <v>795</v>
      </c>
      <c r="T92" s="540"/>
      <c r="U92" s="540"/>
      <c r="V92" s="540"/>
      <c r="W92" s="472"/>
    </row>
    <row r="93" spans="1:23">
      <c r="A93" s="475"/>
      <c r="B93" s="539" t="s">
        <v>750</v>
      </c>
      <c r="C93" s="539"/>
      <c r="D93" s="539"/>
      <c r="E93" s="539"/>
      <c r="F93" s="539" t="s">
        <v>751</v>
      </c>
      <c r="G93" s="539"/>
      <c r="H93" s="476">
        <v>11084</v>
      </c>
      <c r="I93" s="545">
        <v>9</v>
      </c>
      <c r="J93" s="545"/>
      <c r="K93" s="539" t="s">
        <v>722</v>
      </c>
      <c r="L93" s="539"/>
      <c r="M93" s="474" t="s">
        <v>694</v>
      </c>
      <c r="N93" s="474" t="s">
        <v>624</v>
      </c>
      <c r="O93" s="539" t="s">
        <v>694</v>
      </c>
      <c r="P93" s="539"/>
      <c r="Q93" s="539"/>
      <c r="R93" s="474" t="s">
        <v>694</v>
      </c>
      <c r="S93" s="537" t="s">
        <v>796</v>
      </c>
      <c r="T93" s="537"/>
      <c r="U93" s="537"/>
      <c r="V93" s="537"/>
      <c r="W93" s="472"/>
    </row>
    <row r="94" spans="1:23">
      <c r="A94" s="475"/>
      <c r="B94" s="539" t="s">
        <v>753</v>
      </c>
      <c r="C94" s="539"/>
      <c r="D94" s="539"/>
      <c r="E94" s="539"/>
      <c r="F94" s="539" t="s">
        <v>754</v>
      </c>
      <c r="G94" s="539"/>
      <c r="H94" s="476">
        <v>12569</v>
      </c>
      <c r="I94" s="545">
        <v>9</v>
      </c>
      <c r="J94" s="545"/>
      <c r="K94" s="539" t="s">
        <v>722</v>
      </c>
      <c r="L94" s="539"/>
      <c r="M94" s="474" t="s">
        <v>694</v>
      </c>
      <c r="N94" s="474" t="s">
        <v>624</v>
      </c>
      <c r="O94" s="539" t="s">
        <v>694</v>
      </c>
      <c r="P94" s="539"/>
      <c r="Q94" s="539"/>
      <c r="R94" s="474" t="s">
        <v>694</v>
      </c>
      <c r="S94" s="537" t="s">
        <v>797</v>
      </c>
      <c r="T94" s="537"/>
      <c r="U94" s="537"/>
      <c r="V94" s="537"/>
      <c r="W94" s="472"/>
    </row>
    <row r="95" spans="1:23">
      <c r="A95" s="536"/>
      <c r="B95" s="536"/>
      <c r="C95" s="536"/>
      <c r="D95" s="536"/>
      <c r="E95" s="536"/>
      <c r="F95" s="536"/>
      <c r="G95" s="536"/>
      <c r="H95" s="536"/>
      <c r="I95" s="536"/>
      <c r="J95" s="536"/>
      <c r="K95" s="536"/>
      <c r="L95" s="536"/>
      <c r="M95" s="536" t="s">
        <v>756</v>
      </c>
      <c r="N95" s="536"/>
      <c r="O95" s="536"/>
      <c r="P95" s="536"/>
      <c r="Q95" s="536"/>
      <c r="R95" s="536"/>
      <c r="S95" s="540" t="s">
        <v>798</v>
      </c>
      <c r="T95" s="540"/>
      <c r="U95" s="540"/>
      <c r="V95" s="540"/>
      <c r="W95" s="472"/>
    </row>
    <row r="96" spans="1:23">
      <c r="A96" s="542"/>
      <c r="B96" s="542"/>
      <c r="C96" s="542"/>
      <c r="D96" s="542"/>
      <c r="E96" s="542"/>
      <c r="F96" s="542"/>
      <c r="G96" s="542"/>
      <c r="H96" s="542"/>
      <c r="I96" s="542"/>
      <c r="J96" s="542"/>
      <c r="K96" s="542"/>
      <c r="L96" s="542"/>
      <c r="M96" s="536" t="s">
        <v>758</v>
      </c>
      <c r="N96" s="536"/>
      <c r="O96" s="536"/>
      <c r="P96" s="536"/>
      <c r="Q96" s="536"/>
      <c r="R96" s="536"/>
      <c r="S96" s="540" t="s">
        <v>799</v>
      </c>
      <c r="T96" s="540"/>
      <c r="U96" s="540"/>
      <c r="V96" s="540"/>
      <c r="W96" s="472"/>
    </row>
    <row r="97" spans="1:23">
      <c r="A97" s="475"/>
      <c r="B97" s="539" t="s">
        <v>760</v>
      </c>
      <c r="C97" s="539"/>
      <c r="D97" s="539"/>
      <c r="E97" s="539"/>
      <c r="F97" s="539" t="s">
        <v>761</v>
      </c>
      <c r="G97" s="539"/>
      <c r="H97" s="476">
        <v>13899</v>
      </c>
      <c r="I97" s="545">
        <v>10</v>
      </c>
      <c r="J97" s="545"/>
      <c r="K97" s="539" t="s">
        <v>722</v>
      </c>
      <c r="L97" s="539"/>
      <c r="M97" s="474" t="s">
        <v>694</v>
      </c>
      <c r="N97" s="474" t="s">
        <v>624</v>
      </c>
      <c r="O97" s="539" t="s">
        <v>694</v>
      </c>
      <c r="P97" s="539"/>
      <c r="Q97" s="539"/>
      <c r="R97" s="474" t="s">
        <v>694</v>
      </c>
      <c r="S97" s="537" t="s">
        <v>800</v>
      </c>
      <c r="T97" s="537"/>
      <c r="U97" s="537"/>
      <c r="V97" s="537"/>
      <c r="W97" s="472"/>
    </row>
    <row r="98" spans="1:23">
      <c r="A98" s="536"/>
      <c r="B98" s="536"/>
      <c r="C98" s="536"/>
      <c r="D98" s="536"/>
      <c r="E98" s="536"/>
      <c r="F98" s="536"/>
      <c r="G98" s="536"/>
      <c r="H98" s="536"/>
      <c r="I98" s="536"/>
      <c r="J98" s="536"/>
      <c r="K98" s="536"/>
      <c r="L98" s="536"/>
      <c r="M98" s="536" t="s">
        <v>763</v>
      </c>
      <c r="N98" s="536"/>
      <c r="O98" s="536"/>
      <c r="P98" s="536"/>
      <c r="Q98" s="536"/>
      <c r="R98" s="536"/>
      <c r="S98" s="540" t="s">
        <v>800</v>
      </c>
      <c r="T98" s="540"/>
      <c r="U98" s="540"/>
      <c r="V98" s="540"/>
      <c r="W98" s="472"/>
    </row>
    <row r="99" spans="1:23">
      <c r="A99" s="542"/>
      <c r="B99" s="542"/>
      <c r="C99" s="542"/>
      <c r="D99" s="542"/>
      <c r="E99" s="542"/>
      <c r="F99" s="542"/>
      <c r="G99" s="542"/>
      <c r="H99" s="542"/>
      <c r="I99" s="542"/>
      <c r="J99" s="542"/>
      <c r="K99" s="542"/>
      <c r="L99" s="542"/>
      <c r="M99" s="536" t="s">
        <v>764</v>
      </c>
      <c r="N99" s="536"/>
      <c r="O99" s="536"/>
      <c r="P99" s="536"/>
      <c r="Q99" s="536"/>
      <c r="R99" s="536"/>
      <c r="S99" s="546">
        <v>43735.85</v>
      </c>
      <c r="T99" s="540"/>
      <c r="U99" s="540"/>
      <c r="V99" s="540"/>
      <c r="W99" s="472"/>
    </row>
    <row r="100" spans="1:23">
      <c r="A100" s="539" t="s">
        <v>801</v>
      </c>
      <c r="B100" s="539"/>
      <c r="C100" s="539"/>
      <c r="D100" s="539"/>
      <c r="E100" s="539"/>
      <c r="F100" s="539" t="s">
        <v>802</v>
      </c>
      <c r="G100" s="539"/>
      <c r="H100" s="539"/>
      <c r="I100" s="539"/>
      <c r="J100" s="539"/>
      <c r="K100" s="539"/>
      <c r="L100" s="539"/>
      <c r="M100" s="539"/>
      <c r="N100" s="539"/>
      <c r="O100" s="539"/>
      <c r="P100" s="539"/>
      <c r="Q100" s="539"/>
      <c r="R100" s="539"/>
      <c r="S100" s="539"/>
      <c r="T100" s="539"/>
      <c r="U100" s="539"/>
      <c r="V100" s="539"/>
      <c r="W100" s="472"/>
    </row>
    <row r="101" spans="1:23">
      <c r="A101" s="543"/>
      <c r="B101" s="543"/>
      <c r="C101" s="543"/>
      <c r="D101" s="543"/>
      <c r="E101" s="543"/>
      <c r="F101" s="543"/>
      <c r="G101" s="543"/>
      <c r="H101" s="543"/>
      <c r="I101" s="543"/>
      <c r="J101" s="543"/>
      <c r="K101" s="543"/>
      <c r="L101" s="536" t="s">
        <v>715</v>
      </c>
      <c r="M101" s="536"/>
      <c r="N101" s="536"/>
      <c r="O101" s="536"/>
      <c r="P101" s="536"/>
      <c r="Q101" s="536"/>
      <c r="R101" s="536"/>
      <c r="S101" s="544">
        <v>0</v>
      </c>
      <c r="T101" s="544"/>
      <c r="U101" s="544"/>
      <c r="V101" s="544"/>
      <c r="W101" s="472"/>
    </row>
    <row r="102" spans="1:23">
      <c r="A102" s="542"/>
      <c r="B102" s="542"/>
      <c r="C102" s="542"/>
      <c r="D102" s="542"/>
      <c r="E102" s="542"/>
      <c r="F102" s="542"/>
      <c r="G102" s="542"/>
      <c r="H102" s="542"/>
      <c r="I102" s="542"/>
      <c r="J102" s="542"/>
      <c r="K102" s="542"/>
      <c r="L102" s="542"/>
      <c r="M102" s="536" t="s">
        <v>716</v>
      </c>
      <c r="N102" s="536"/>
      <c r="O102" s="536"/>
      <c r="P102" s="536"/>
      <c r="Q102" s="536"/>
      <c r="R102" s="536"/>
      <c r="S102" s="540" t="s">
        <v>717</v>
      </c>
      <c r="T102" s="540"/>
      <c r="U102" s="540"/>
      <c r="V102" s="540"/>
      <c r="W102" s="472"/>
    </row>
    <row r="103" spans="1:23">
      <c r="A103" s="542"/>
      <c r="B103" s="542"/>
      <c r="C103" s="542"/>
      <c r="D103" s="542"/>
      <c r="E103" s="542"/>
      <c r="F103" s="542"/>
      <c r="G103" s="542"/>
      <c r="H103" s="542"/>
      <c r="I103" s="542"/>
      <c r="J103" s="542"/>
      <c r="K103" s="542"/>
      <c r="L103" s="542"/>
      <c r="M103" s="536" t="s">
        <v>718</v>
      </c>
      <c r="N103" s="536"/>
      <c r="O103" s="536"/>
      <c r="P103" s="536"/>
      <c r="Q103" s="536"/>
      <c r="R103" s="536"/>
      <c r="S103" s="540" t="s">
        <v>717</v>
      </c>
      <c r="T103" s="540"/>
      <c r="U103" s="540"/>
      <c r="V103" s="540"/>
      <c r="W103" s="472"/>
    </row>
    <row r="104" spans="1:23">
      <c r="A104" s="542"/>
      <c r="B104" s="542"/>
      <c r="C104" s="542"/>
      <c r="D104" s="542"/>
      <c r="E104" s="542"/>
      <c r="F104" s="542"/>
      <c r="G104" s="542"/>
      <c r="H104" s="542"/>
      <c r="I104" s="542"/>
      <c r="J104" s="542"/>
      <c r="K104" s="542"/>
      <c r="L104" s="542"/>
      <c r="M104" s="536" t="s">
        <v>719</v>
      </c>
      <c r="N104" s="536"/>
      <c r="O104" s="536"/>
      <c r="P104" s="536"/>
      <c r="Q104" s="536"/>
      <c r="R104" s="536"/>
      <c r="S104" s="540" t="s">
        <v>717</v>
      </c>
      <c r="T104" s="540"/>
      <c r="U104" s="540"/>
      <c r="V104" s="540"/>
      <c r="W104" s="472"/>
    </row>
    <row r="105" spans="1:23">
      <c r="A105" s="475"/>
      <c r="B105" s="539" t="s">
        <v>720</v>
      </c>
      <c r="C105" s="539"/>
      <c r="D105" s="539"/>
      <c r="E105" s="539"/>
      <c r="F105" s="539" t="s">
        <v>721</v>
      </c>
      <c r="G105" s="539"/>
      <c r="H105" s="476">
        <v>4912</v>
      </c>
      <c r="I105" s="545">
        <v>4</v>
      </c>
      <c r="J105" s="545"/>
      <c r="K105" s="539" t="s">
        <v>722</v>
      </c>
      <c r="L105" s="539"/>
      <c r="M105" s="474" t="s">
        <v>694</v>
      </c>
      <c r="N105" s="474" t="s">
        <v>624</v>
      </c>
      <c r="O105" s="539" t="s">
        <v>694</v>
      </c>
      <c r="P105" s="539"/>
      <c r="Q105" s="539"/>
      <c r="R105" s="474" t="s">
        <v>694</v>
      </c>
      <c r="S105" s="537" t="s">
        <v>803</v>
      </c>
      <c r="T105" s="537"/>
      <c r="U105" s="537"/>
      <c r="V105" s="537"/>
      <c r="W105" s="472"/>
    </row>
    <row r="106" spans="1:23">
      <c r="A106" s="475"/>
      <c r="B106" s="539" t="s">
        <v>720</v>
      </c>
      <c r="C106" s="539"/>
      <c r="D106" s="539"/>
      <c r="E106" s="539"/>
      <c r="F106" s="539" t="s">
        <v>721</v>
      </c>
      <c r="G106" s="539"/>
      <c r="H106" s="476">
        <v>4915</v>
      </c>
      <c r="I106" s="545">
        <v>4</v>
      </c>
      <c r="J106" s="545"/>
      <c r="K106" s="539" t="s">
        <v>722</v>
      </c>
      <c r="L106" s="539"/>
      <c r="M106" s="474" t="s">
        <v>694</v>
      </c>
      <c r="N106" s="474" t="s">
        <v>624</v>
      </c>
      <c r="O106" s="539" t="s">
        <v>694</v>
      </c>
      <c r="P106" s="539"/>
      <c r="Q106" s="539"/>
      <c r="R106" s="474" t="s">
        <v>694</v>
      </c>
      <c r="S106" s="537" t="s">
        <v>804</v>
      </c>
      <c r="T106" s="537"/>
      <c r="U106" s="537"/>
      <c r="V106" s="537"/>
      <c r="W106" s="472"/>
    </row>
    <row r="107" spans="1:23">
      <c r="A107" s="536"/>
      <c r="B107" s="536"/>
      <c r="C107" s="536"/>
      <c r="D107" s="536"/>
      <c r="E107" s="536"/>
      <c r="F107" s="536"/>
      <c r="G107" s="536"/>
      <c r="H107" s="536"/>
      <c r="I107" s="536"/>
      <c r="J107" s="536"/>
      <c r="K107" s="536"/>
      <c r="L107" s="536"/>
      <c r="M107" s="536" t="s">
        <v>724</v>
      </c>
      <c r="N107" s="536"/>
      <c r="O107" s="536"/>
      <c r="P107" s="536"/>
      <c r="Q107" s="536"/>
      <c r="R107" s="536"/>
      <c r="S107" s="540" t="s">
        <v>805</v>
      </c>
      <c r="T107" s="540"/>
      <c r="U107" s="540"/>
      <c r="V107" s="540"/>
      <c r="W107" s="472"/>
    </row>
    <row r="108" spans="1:23">
      <c r="A108" s="542"/>
      <c r="B108" s="542"/>
      <c r="C108" s="542"/>
      <c r="D108" s="542"/>
      <c r="E108" s="542"/>
      <c r="F108" s="542"/>
      <c r="G108" s="542"/>
      <c r="H108" s="542"/>
      <c r="I108" s="542"/>
      <c r="J108" s="542"/>
      <c r="K108" s="542"/>
      <c r="L108" s="542"/>
      <c r="M108" s="536" t="s">
        <v>725</v>
      </c>
      <c r="N108" s="536"/>
      <c r="O108" s="536"/>
      <c r="P108" s="536"/>
      <c r="Q108" s="536"/>
      <c r="R108" s="536"/>
      <c r="S108" s="540" t="s">
        <v>805</v>
      </c>
      <c r="T108" s="540"/>
      <c r="U108" s="540"/>
      <c r="V108" s="540"/>
      <c r="W108" s="472"/>
    </row>
    <row r="109" spans="1:23">
      <c r="A109" s="475"/>
      <c r="B109" s="539" t="s">
        <v>726</v>
      </c>
      <c r="C109" s="539"/>
      <c r="D109" s="539"/>
      <c r="E109" s="539"/>
      <c r="F109" s="539" t="s">
        <v>727</v>
      </c>
      <c r="G109" s="539"/>
      <c r="H109" s="476">
        <v>5719</v>
      </c>
      <c r="I109" s="545">
        <v>5</v>
      </c>
      <c r="J109" s="545"/>
      <c r="K109" s="539" t="s">
        <v>722</v>
      </c>
      <c r="L109" s="539"/>
      <c r="M109" s="474" t="s">
        <v>694</v>
      </c>
      <c r="N109" s="474" t="s">
        <v>624</v>
      </c>
      <c r="O109" s="539" t="s">
        <v>694</v>
      </c>
      <c r="P109" s="539"/>
      <c r="Q109" s="539"/>
      <c r="R109" s="474" t="s">
        <v>694</v>
      </c>
      <c r="S109" s="537" t="s">
        <v>806</v>
      </c>
      <c r="T109" s="537"/>
      <c r="U109" s="537"/>
      <c r="V109" s="537"/>
      <c r="W109" s="472"/>
    </row>
    <row r="110" spans="1:23">
      <c r="A110" s="536"/>
      <c r="B110" s="536"/>
      <c r="C110" s="536"/>
      <c r="D110" s="536"/>
      <c r="E110" s="536"/>
      <c r="F110" s="536"/>
      <c r="G110" s="536"/>
      <c r="H110" s="536"/>
      <c r="I110" s="536"/>
      <c r="J110" s="536"/>
      <c r="K110" s="536"/>
      <c r="L110" s="536"/>
      <c r="M110" s="536" t="s">
        <v>729</v>
      </c>
      <c r="N110" s="536"/>
      <c r="O110" s="536"/>
      <c r="P110" s="536"/>
      <c r="Q110" s="536"/>
      <c r="R110" s="536"/>
      <c r="S110" s="540" t="s">
        <v>806</v>
      </c>
      <c r="T110" s="540"/>
      <c r="U110" s="540"/>
      <c r="V110" s="540"/>
      <c r="W110" s="472"/>
    </row>
    <row r="111" spans="1:23">
      <c r="A111" s="542"/>
      <c r="B111" s="542"/>
      <c r="C111" s="542"/>
      <c r="D111" s="542"/>
      <c r="E111" s="542"/>
      <c r="F111" s="542"/>
      <c r="G111" s="542"/>
      <c r="H111" s="542"/>
      <c r="I111" s="542"/>
      <c r="J111" s="542"/>
      <c r="K111" s="542"/>
      <c r="L111" s="542"/>
      <c r="M111" s="536" t="s">
        <v>730</v>
      </c>
      <c r="N111" s="536"/>
      <c r="O111" s="536"/>
      <c r="P111" s="536"/>
      <c r="Q111" s="536"/>
      <c r="R111" s="536"/>
      <c r="S111" s="540" t="s">
        <v>807</v>
      </c>
      <c r="T111" s="540"/>
      <c r="U111" s="540"/>
      <c r="V111" s="540"/>
      <c r="W111" s="472"/>
    </row>
    <row r="112" spans="1:23">
      <c r="A112" s="475"/>
      <c r="B112" s="539" t="s">
        <v>732</v>
      </c>
      <c r="C112" s="539"/>
      <c r="D112" s="539"/>
      <c r="E112" s="539"/>
      <c r="F112" s="539" t="s">
        <v>733</v>
      </c>
      <c r="G112" s="539"/>
      <c r="H112" s="476">
        <v>7169</v>
      </c>
      <c r="I112" s="545">
        <v>6</v>
      </c>
      <c r="J112" s="545"/>
      <c r="K112" s="539" t="s">
        <v>722</v>
      </c>
      <c r="L112" s="539"/>
      <c r="M112" s="474" t="s">
        <v>694</v>
      </c>
      <c r="N112" s="474" t="s">
        <v>624</v>
      </c>
      <c r="O112" s="539" t="s">
        <v>694</v>
      </c>
      <c r="P112" s="539"/>
      <c r="Q112" s="539"/>
      <c r="R112" s="474" t="s">
        <v>694</v>
      </c>
      <c r="S112" s="537" t="s">
        <v>808</v>
      </c>
      <c r="T112" s="537"/>
      <c r="U112" s="537"/>
      <c r="V112" s="537"/>
      <c r="W112" s="472"/>
    </row>
    <row r="113" spans="1:23">
      <c r="A113" s="536"/>
      <c r="B113" s="536"/>
      <c r="C113" s="536"/>
      <c r="D113" s="536"/>
      <c r="E113" s="536"/>
      <c r="F113" s="536"/>
      <c r="G113" s="536"/>
      <c r="H113" s="536"/>
      <c r="I113" s="536"/>
      <c r="J113" s="536"/>
      <c r="K113" s="536"/>
      <c r="L113" s="536"/>
      <c r="M113" s="536" t="s">
        <v>735</v>
      </c>
      <c r="N113" s="536"/>
      <c r="O113" s="536"/>
      <c r="P113" s="536"/>
      <c r="Q113" s="536"/>
      <c r="R113" s="536"/>
      <c r="S113" s="540" t="s">
        <v>808</v>
      </c>
      <c r="T113" s="540"/>
      <c r="U113" s="540"/>
      <c r="V113" s="540"/>
      <c r="W113" s="472"/>
    </row>
    <row r="114" spans="1:23">
      <c r="A114" s="542"/>
      <c r="B114" s="542"/>
      <c r="C114" s="542"/>
      <c r="D114" s="542"/>
      <c r="E114" s="542"/>
      <c r="F114" s="542"/>
      <c r="G114" s="542"/>
      <c r="H114" s="542"/>
      <c r="I114" s="542"/>
      <c r="J114" s="542"/>
      <c r="K114" s="542"/>
      <c r="L114" s="542"/>
      <c r="M114" s="536" t="s">
        <v>736</v>
      </c>
      <c r="N114" s="536"/>
      <c r="O114" s="536"/>
      <c r="P114" s="536"/>
      <c r="Q114" s="536"/>
      <c r="R114" s="536"/>
      <c r="S114" s="540" t="s">
        <v>809</v>
      </c>
      <c r="T114" s="540"/>
      <c r="U114" s="540"/>
      <c r="V114" s="540"/>
      <c r="W114" s="472"/>
    </row>
    <row r="115" spans="1:23">
      <c r="A115" s="475"/>
      <c r="B115" s="539" t="s">
        <v>738</v>
      </c>
      <c r="C115" s="539"/>
      <c r="D115" s="539"/>
      <c r="E115" s="539"/>
      <c r="F115" s="539" t="s">
        <v>739</v>
      </c>
      <c r="G115" s="539"/>
      <c r="H115" s="476">
        <v>7969</v>
      </c>
      <c r="I115" s="545">
        <v>7</v>
      </c>
      <c r="J115" s="545"/>
      <c r="K115" s="539" t="s">
        <v>722</v>
      </c>
      <c r="L115" s="539"/>
      <c r="M115" s="474" t="s">
        <v>694</v>
      </c>
      <c r="N115" s="474" t="s">
        <v>624</v>
      </c>
      <c r="O115" s="539" t="s">
        <v>694</v>
      </c>
      <c r="P115" s="539"/>
      <c r="Q115" s="539"/>
      <c r="R115" s="474" t="s">
        <v>694</v>
      </c>
      <c r="S115" s="537" t="s">
        <v>810</v>
      </c>
      <c r="T115" s="537"/>
      <c r="U115" s="537"/>
      <c r="V115" s="537"/>
      <c r="W115" s="472"/>
    </row>
    <row r="116" spans="1:23">
      <c r="A116" s="536"/>
      <c r="B116" s="536"/>
      <c r="C116" s="536"/>
      <c r="D116" s="536"/>
      <c r="E116" s="536"/>
      <c r="F116" s="536"/>
      <c r="G116" s="536"/>
      <c r="H116" s="536"/>
      <c r="I116" s="536"/>
      <c r="J116" s="536"/>
      <c r="K116" s="536"/>
      <c r="L116" s="536"/>
      <c r="M116" s="536" t="s">
        <v>741</v>
      </c>
      <c r="N116" s="536"/>
      <c r="O116" s="536"/>
      <c r="P116" s="536"/>
      <c r="Q116" s="536"/>
      <c r="R116" s="536"/>
      <c r="S116" s="540" t="s">
        <v>810</v>
      </c>
      <c r="T116" s="540"/>
      <c r="U116" s="540"/>
      <c r="V116" s="540"/>
      <c r="W116" s="472"/>
    </row>
    <row r="117" spans="1:23">
      <c r="A117" s="542"/>
      <c r="B117" s="542"/>
      <c r="C117" s="542"/>
      <c r="D117" s="542"/>
      <c r="E117" s="542"/>
      <c r="F117" s="542"/>
      <c r="G117" s="542"/>
      <c r="H117" s="542"/>
      <c r="I117" s="542"/>
      <c r="J117" s="542"/>
      <c r="K117" s="542"/>
      <c r="L117" s="542"/>
      <c r="M117" s="536" t="s">
        <v>742</v>
      </c>
      <c r="N117" s="536"/>
      <c r="O117" s="536"/>
      <c r="P117" s="536"/>
      <c r="Q117" s="536"/>
      <c r="R117" s="536"/>
      <c r="S117" s="540" t="s">
        <v>811</v>
      </c>
      <c r="T117" s="540"/>
      <c r="U117" s="540"/>
      <c r="V117" s="540"/>
      <c r="W117" s="472"/>
    </row>
    <row r="118" spans="1:23">
      <c r="A118" s="475"/>
      <c r="B118" s="539" t="s">
        <v>744</v>
      </c>
      <c r="C118" s="539"/>
      <c r="D118" s="539"/>
      <c r="E118" s="539"/>
      <c r="F118" s="539" t="s">
        <v>745</v>
      </c>
      <c r="G118" s="539"/>
      <c r="H118" s="476">
        <v>9137</v>
      </c>
      <c r="I118" s="545">
        <v>8</v>
      </c>
      <c r="J118" s="545"/>
      <c r="K118" s="539" t="s">
        <v>722</v>
      </c>
      <c r="L118" s="539"/>
      <c r="M118" s="474" t="s">
        <v>694</v>
      </c>
      <c r="N118" s="474" t="s">
        <v>624</v>
      </c>
      <c r="O118" s="539" t="s">
        <v>694</v>
      </c>
      <c r="P118" s="539"/>
      <c r="Q118" s="539"/>
      <c r="R118" s="474" t="s">
        <v>694</v>
      </c>
      <c r="S118" s="537" t="s">
        <v>812</v>
      </c>
      <c r="T118" s="537"/>
      <c r="U118" s="537"/>
      <c r="V118" s="537"/>
      <c r="W118" s="472"/>
    </row>
    <row r="119" spans="1:23">
      <c r="A119" s="536"/>
      <c r="B119" s="536"/>
      <c r="C119" s="536"/>
      <c r="D119" s="536"/>
      <c r="E119" s="536"/>
      <c r="F119" s="536"/>
      <c r="G119" s="536"/>
      <c r="H119" s="536"/>
      <c r="I119" s="536"/>
      <c r="J119" s="536"/>
      <c r="K119" s="536"/>
      <c r="L119" s="536"/>
      <c r="M119" s="536" t="s">
        <v>747</v>
      </c>
      <c r="N119" s="536"/>
      <c r="O119" s="536"/>
      <c r="P119" s="536"/>
      <c r="Q119" s="536"/>
      <c r="R119" s="536"/>
      <c r="S119" s="540" t="s">
        <v>812</v>
      </c>
      <c r="T119" s="540"/>
      <c r="U119" s="540"/>
      <c r="V119" s="540"/>
      <c r="W119" s="472"/>
    </row>
    <row r="120" spans="1:23">
      <c r="A120" s="542"/>
      <c r="B120" s="542"/>
      <c r="C120" s="542"/>
      <c r="D120" s="542"/>
      <c r="E120" s="542"/>
      <c r="F120" s="542"/>
      <c r="G120" s="542"/>
      <c r="H120" s="542"/>
      <c r="I120" s="542"/>
      <c r="J120" s="542"/>
      <c r="K120" s="542"/>
      <c r="L120" s="542"/>
      <c r="M120" s="536" t="s">
        <v>748</v>
      </c>
      <c r="N120" s="536"/>
      <c r="O120" s="536"/>
      <c r="P120" s="536"/>
      <c r="Q120" s="536"/>
      <c r="R120" s="536"/>
      <c r="S120" s="540" t="s">
        <v>813</v>
      </c>
      <c r="T120" s="540"/>
      <c r="U120" s="540"/>
      <c r="V120" s="540"/>
      <c r="W120" s="472"/>
    </row>
    <row r="121" spans="1:23">
      <c r="A121" s="475"/>
      <c r="B121" s="539" t="s">
        <v>750</v>
      </c>
      <c r="C121" s="539"/>
      <c r="D121" s="539"/>
      <c r="E121" s="539"/>
      <c r="F121" s="539" t="s">
        <v>751</v>
      </c>
      <c r="G121" s="539"/>
      <c r="H121" s="476">
        <v>11083</v>
      </c>
      <c r="I121" s="545">
        <v>9</v>
      </c>
      <c r="J121" s="545"/>
      <c r="K121" s="539" t="s">
        <v>722</v>
      </c>
      <c r="L121" s="539"/>
      <c r="M121" s="474" t="s">
        <v>694</v>
      </c>
      <c r="N121" s="474" t="s">
        <v>624</v>
      </c>
      <c r="O121" s="539" t="s">
        <v>694</v>
      </c>
      <c r="P121" s="539"/>
      <c r="Q121" s="539"/>
      <c r="R121" s="474" t="s">
        <v>694</v>
      </c>
      <c r="S121" s="537" t="s">
        <v>814</v>
      </c>
      <c r="T121" s="537"/>
      <c r="U121" s="537"/>
      <c r="V121" s="537"/>
      <c r="W121" s="472"/>
    </row>
    <row r="122" spans="1:23">
      <c r="A122" s="475"/>
      <c r="B122" s="539" t="s">
        <v>753</v>
      </c>
      <c r="C122" s="539"/>
      <c r="D122" s="539"/>
      <c r="E122" s="539"/>
      <c r="F122" s="539" t="s">
        <v>754</v>
      </c>
      <c r="G122" s="539"/>
      <c r="H122" s="476">
        <v>12568</v>
      </c>
      <c r="I122" s="545">
        <v>9</v>
      </c>
      <c r="J122" s="545"/>
      <c r="K122" s="539" t="s">
        <v>722</v>
      </c>
      <c r="L122" s="539"/>
      <c r="M122" s="474" t="s">
        <v>694</v>
      </c>
      <c r="N122" s="474" t="s">
        <v>624</v>
      </c>
      <c r="O122" s="539" t="s">
        <v>694</v>
      </c>
      <c r="P122" s="539"/>
      <c r="Q122" s="539"/>
      <c r="R122" s="474" t="s">
        <v>694</v>
      </c>
      <c r="S122" s="537" t="s">
        <v>815</v>
      </c>
      <c r="T122" s="537"/>
      <c r="U122" s="537"/>
      <c r="V122" s="537"/>
      <c r="W122" s="472"/>
    </row>
    <row r="123" spans="1:23">
      <c r="A123" s="536"/>
      <c r="B123" s="536"/>
      <c r="C123" s="536"/>
      <c r="D123" s="536"/>
      <c r="E123" s="536"/>
      <c r="F123" s="536"/>
      <c r="G123" s="536"/>
      <c r="H123" s="536"/>
      <c r="I123" s="536"/>
      <c r="J123" s="536"/>
      <c r="K123" s="536"/>
      <c r="L123" s="536"/>
      <c r="M123" s="536" t="s">
        <v>756</v>
      </c>
      <c r="N123" s="536"/>
      <c r="O123" s="536"/>
      <c r="P123" s="536"/>
      <c r="Q123" s="536"/>
      <c r="R123" s="536"/>
      <c r="S123" s="540" t="s">
        <v>816</v>
      </c>
      <c r="T123" s="540"/>
      <c r="U123" s="540"/>
      <c r="V123" s="540"/>
      <c r="W123" s="472"/>
    </row>
    <row r="124" spans="1:23">
      <c r="A124" s="542"/>
      <c r="B124" s="542"/>
      <c r="C124" s="542"/>
      <c r="D124" s="542"/>
      <c r="E124" s="542"/>
      <c r="F124" s="542"/>
      <c r="G124" s="542"/>
      <c r="H124" s="542"/>
      <c r="I124" s="542"/>
      <c r="J124" s="542"/>
      <c r="K124" s="542"/>
      <c r="L124" s="542"/>
      <c r="M124" s="536" t="s">
        <v>758</v>
      </c>
      <c r="N124" s="536"/>
      <c r="O124" s="536"/>
      <c r="P124" s="536"/>
      <c r="Q124" s="536"/>
      <c r="R124" s="536"/>
      <c r="S124" s="540" t="s">
        <v>817</v>
      </c>
      <c r="T124" s="540"/>
      <c r="U124" s="540"/>
      <c r="V124" s="540"/>
      <c r="W124" s="472"/>
    </row>
    <row r="125" spans="1:23">
      <c r="A125" s="475"/>
      <c r="B125" s="539" t="s">
        <v>760</v>
      </c>
      <c r="C125" s="539"/>
      <c r="D125" s="539"/>
      <c r="E125" s="539"/>
      <c r="F125" s="539" t="s">
        <v>761</v>
      </c>
      <c r="G125" s="539"/>
      <c r="H125" s="476">
        <v>13898</v>
      </c>
      <c r="I125" s="545">
        <v>10</v>
      </c>
      <c r="J125" s="545"/>
      <c r="K125" s="539" t="s">
        <v>722</v>
      </c>
      <c r="L125" s="539"/>
      <c r="M125" s="474" t="s">
        <v>694</v>
      </c>
      <c r="N125" s="474" t="s">
        <v>624</v>
      </c>
      <c r="O125" s="539" t="s">
        <v>694</v>
      </c>
      <c r="P125" s="539"/>
      <c r="Q125" s="539"/>
      <c r="R125" s="474" t="s">
        <v>694</v>
      </c>
      <c r="S125" s="537" t="s">
        <v>818</v>
      </c>
      <c r="T125" s="537"/>
      <c r="U125" s="537"/>
      <c r="V125" s="537"/>
      <c r="W125" s="472"/>
    </row>
    <row r="126" spans="1:23">
      <c r="A126" s="536"/>
      <c r="B126" s="536"/>
      <c r="C126" s="536"/>
      <c r="D126" s="536"/>
      <c r="E126" s="536"/>
      <c r="F126" s="536"/>
      <c r="G126" s="536"/>
      <c r="H126" s="536"/>
      <c r="I126" s="536"/>
      <c r="J126" s="536"/>
      <c r="K126" s="536"/>
      <c r="L126" s="536"/>
      <c r="M126" s="536" t="s">
        <v>763</v>
      </c>
      <c r="N126" s="536"/>
      <c r="O126" s="536"/>
      <c r="P126" s="536"/>
      <c r="Q126" s="536"/>
      <c r="R126" s="536"/>
      <c r="S126" s="546">
        <v>43148.11</v>
      </c>
      <c r="T126" s="540"/>
      <c r="U126" s="540"/>
      <c r="V126" s="540"/>
      <c r="W126" s="472"/>
    </row>
    <row r="127" spans="1:23">
      <c r="A127" s="542"/>
      <c r="B127" s="542"/>
      <c r="C127" s="542"/>
      <c r="D127" s="542"/>
      <c r="E127" s="542"/>
      <c r="F127" s="542"/>
      <c r="G127" s="542"/>
      <c r="H127" s="542"/>
      <c r="I127" s="542"/>
      <c r="J127" s="542"/>
      <c r="K127" s="542"/>
      <c r="L127" s="542"/>
      <c r="M127" s="536" t="s">
        <v>764</v>
      </c>
      <c r="N127" s="536"/>
      <c r="O127" s="536"/>
      <c r="P127" s="536"/>
      <c r="Q127" s="536"/>
      <c r="R127" s="536"/>
      <c r="S127" s="546">
        <v>696237.79</v>
      </c>
      <c r="T127" s="540"/>
      <c r="U127" s="540"/>
      <c r="V127" s="540"/>
      <c r="W127" s="472"/>
    </row>
    <row r="128" spans="1:23" ht="13.5" thickBot="1">
      <c r="A128" s="536"/>
      <c r="B128" s="536"/>
      <c r="C128" s="536"/>
      <c r="D128" s="536"/>
      <c r="E128" s="536"/>
      <c r="F128" s="536"/>
      <c r="G128" s="536"/>
      <c r="H128" s="536"/>
      <c r="I128" s="536"/>
      <c r="J128" s="536"/>
      <c r="K128" s="536"/>
      <c r="L128" s="536"/>
      <c r="M128" s="536"/>
      <c r="N128" s="536"/>
      <c r="O128" s="536"/>
      <c r="P128" s="536"/>
      <c r="Q128" s="536"/>
      <c r="R128" s="536"/>
      <c r="S128" s="536"/>
      <c r="T128" s="536"/>
      <c r="U128" s="536"/>
      <c r="V128" s="536"/>
      <c r="W128" s="472"/>
    </row>
    <row r="129" spans="1:23" ht="13.5" thickTop="1">
      <c r="A129" s="547"/>
      <c r="B129" s="547"/>
      <c r="C129" s="547"/>
      <c r="D129" s="547"/>
      <c r="E129" s="547"/>
      <c r="F129" s="547"/>
      <c r="G129" s="547"/>
      <c r="H129" s="547"/>
      <c r="I129" s="547"/>
      <c r="J129" s="547"/>
      <c r="K129" s="547"/>
      <c r="L129" s="547"/>
      <c r="M129" s="547"/>
      <c r="N129" s="547"/>
      <c r="O129" s="547"/>
      <c r="P129" s="547"/>
      <c r="Q129" s="547"/>
      <c r="R129" s="547"/>
      <c r="S129" s="547"/>
      <c r="T129" s="547"/>
      <c r="U129" s="547"/>
      <c r="V129" s="547"/>
      <c r="W129" s="472"/>
    </row>
    <row r="130" spans="1:23">
      <c r="A130" s="536" t="s">
        <v>819</v>
      </c>
      <c r="B130" s="536"/>
      <c r="C130" s="536"/>
      <c r="D130" s="536"/>
      <c r="E130" s="536"/>
      <c r="F130" s="536"/>
      <c r="G130" s="536"/>
      <c r="H130" s="536"/>
      <c r="I130" s="536"/>
      <c r="J130" s="536"/>
      <c r="K130" s="536"/>
      <c r="L130" s="536"/>
      <c r="M130" s="536"/>
      <c r="N130" s="536"/>
      <c r="O130" s="536"/>
      <c r="P130" s="536"/>
      <c r="Q130" s="536"/>
      <c r="R130" s="536"/>
      <c r="S130" s="544">
        <v>779268.07</v>
      </c>
      <c r="T130" s="544"/>
      <c r="U130" s="548">
        <v>779268.07</v>
      </c>
      <c r="V130" s="548"/>
      <c r="W130" s="472"/>
    </row>
    <row r="133" spans="1:23" ht="16.5" customHeight="1">
      <c r="A133" s="469"/>
      <c r="B133" s="469"/>
      <c r="C133" s="469"/>
      <c r="D133" s="469"/>
      <c r="E133" s="469"/>
      <c r="F133" s="469"/>
      <c r="G133" s="469" t="s">
        <v>832</v>
      </c>
      <c r="H133" s="469"/>
      <c r="I133" s="469"/>
      <c r="J133" s="469"/>
      <c r="K133" s="469"/>
      <c r="L133" s="469"/>
      <c r="M133" s="469" t="s">
        <v>11</v>
      </c>
      <c r="N133" s="469"/>
      <c r="O133" s="469"/>
      <c r="P133" s="469"/>
      <c r="Q133" s="469"/>
      <c r="R133" s="469"/>
      <c r="S133" s="469"/>
      <c r="T133" s="469"/>
      <c r="U133" s="469"/>
      <c r="V133" s="477">
        <v>208155</v>
      </c>
      <c r="W133" s="469"/>
    </row>
    <row r="135" spans="1:23">
      <c r="A135" s="469"/>
      <c r="B135" s="469"/>
      <c r="C135" s="469"/>
      <c r="D135" s="469"/>
      <c r="E135" s="469"/>
      <c r="F135" s="469"/>
      <c r="G135" s="469" t="s">
        <v>829</v>
      </c>
      <c r="H135" s="469"/>
      <c r="I135" s="469"/>
      <c r="J135" s="469"/>
      <c r="K135" s="469"/>
      <c r="L135" s="469"/>
      <c r="M135" s="469"/>
      <c r="N135" s="469"/>
      <c r="O135" s="469"/>
      <c r="P135" s="469"/>
      <c r="Q135" s="469"/>
      <c r="R135" s="469"/>
      <c r="S135" s="469"/>
      <c r="T135" s="469"/>
      <c r="U135" s="469"/>
      <c r="V135" s="478">
        <f>U130-V133</f>
        <v>571113.06999999995</v>
      </c>
      <c r="W135" s="469"/>
    </row>
    <row r="136" spans="1:23">
      <c r="G136" t="s">
        <v>827</v>
      </c>
    </row>
    <row r="137" spans="1:23">
      <c r="A137" s="469"/>
      <c r="B137" s="469"/>
      <c r="C137" s="469"/>
      <c r="D137" s="469"/>
      <c r="E137" s="469"/>
      <c r="F137" s="469"/>
      <c r="G137" s="469" t="s">
        <v>820</v>
      </c>
      <c r="H137" s="469"/>
      <c r="I137" s="469"/>
      <c r="J137" s="469"/>
      <c r="K137" s="469"/>
      <c r="L137" s="469"/>
      <c r="M137" s="469"/>
      <c r="N137" s="469"/>
      <c r="O137" s="469"/>
      <c r="P137" s="469"/>
      <c r="Q137" s="469"/>
      <c r="R137" s="469"/>
      <c r="S137" s="469"/>
      <c r="T137" s="469"/>
      <c r="U137" s="469"/>
      <c r="V137" s="478">
        <f>S71</f>
        <v>39294.43</v>
      </c>
      <c r="W137" s="469"/>
    </row>
    <row r="138" spans="1:23">
      <c r="A138" s="469"/>
      <c r="B138" s="469"/>
      <c r="C138" s="469"/>
      <c r="D138" s="469"/>
      <c r="E138" s="469"/>
      <c r="F138" s="469"/>
      <c r="G138" s="469" t="s">
        <v>821</v>
      </c>
      <c r="H138" s="469"/>
      <c r="I138" s="469"/>
      <c r="J138" s="469"/>
      <c r="K138" s="469"/>
      <c r="L138" s="469"/>
      <c r="M138" s="469"/>
      <c r="N138" s="469"/>
      <c r="O138" s="469"/>
      <c r="P138" s="469"/>
      <c r="Q138" s="469"/>
      <c r="R138" s="469"/>
      <c r="S138" s="469"/>
      <c r="T138" s="469"/>
      <c r="U138" s="469" t="s">
        <v>11</v>
      </c>
      <c r="V138" s="478">
        <f>S99</f>
        <v>43735.85</v>
      </c>
      <c r="W138" s="469"/>
    </row>
    <row r="139" spans="1:23">
      <c r="A139" s="469"/>
      <c r="B139" s="469"/>
      <c r="C139" s="469"/>
      <c r="D139" s="469"/>
      <c r="E139" s="469"/>
      <c r="F139" s="469"/>
      <c r="G139" s="469" t="s">
        <v>822</v>
      </c>
      <c r="H139" s="469"/>
      <c r="I139" s="469"/>
      <c r="J139" s="469"/>
      <c r="K139" s="469"/>
      <c r="L139" s="469"/>
      <c r="M139" s="469"/>
      <c r="N139" s="469"/>
      <c r="O139" s="469"/>
      <c r="P139" s="469"/>
      <c r="Q139" s="469"/>
      <c r="R139" s="469"/>
      <c r="S139" s="469"/>
      <c r="T139" s="469"/>
      <c r="U139" s="469"/>
      <c r="V139" s="478">
        <f>S127-V133</f>
        <v>488082.79000000004</v>
      </c>
      <c r="W139" s="469"/>
    </row>
    <row r="140" spans="1:23">
      <c r="A140" s="469"/>
      <c r="B140" s="469"/>
      <c r="C140" s="469"/>
      <c r="D140" s="469"/>
      <c r="E140" s="469"/>
      <c r="F140" s="469"/>
      <c r="G140" s="469" t="s">
        <v>828</v>
      </c>
      <c r="H140" s="469"/>
      <c r="I140" s="469"/>
      <c r="J140" s="469"/>
      <c r="K140" s="469"/>
      <c r="L140" s="469"/>
      <c r="M140" s="469"/>
      <c r="N140" s="469"/>
      <c r="O140" s="469"/>
      <c r="P140" s="469"/>
      <c r="Q140" s="469"/>
      <c r="R140" s="469"/>
      <c r="S140" s="469"/>
      <c r="T140" s="469"/>
      <c r="U140" s="469"/>
      <c r="V140" s="478">
        <f>SUM(V137:V139)</f>
        <v>571113.07000000007</v>
      </c>
      <c r="W140" s="469"/>
    </row>
    <row r="142" spans="1:23" ht="25.5">
      <c r="G142" s="479" t="s">
        <v>824</v>
      </c>
      <c r="V142" s="480">
        <f>515049</f>
        <v>515049</v>
      </c>
    </row>
    <row r="144" spans="1:23">
      <c r="G144" t="s">
        <v>825</v>
      </c>
      <c r="V144" s="349">
        <f>V142+V140</f>
        <v>1086162.07</v>
      </c>
    </row>
    <row r="147" spans="7:7">
      <c r="G147" t="s">
        <v>823</v>
      </c>
    </row>
  </sheetData>
  <mergeCells count="584">
    <mergeCell ref="A128:V128"/>
    <mergeCell ref="A129:V129"/>
    <mergeCell ref="A130:R130"/>
    <mergeCell ref="S130:T130"/>
    <mergeCell ref="U130:V130"/>
    <mergeCell ref="U125:V125"/>
    <mergeCell ref="A126:L126"/>
    <mergeCell ref="M126:R126"/>
    <mergeCell ref="S126:T126"/>
    <mergeCell ref="U126:V126"/>
    <mergeCell ref="A127:L127"/>
    <mergeCell ref="M127:R127"/>
    <mergeCell ref="S127:T127"/>
    <mergeCell ref="U127:V127"/>
    <mergeCell ref="B125:E125"/>
    <mergeCell ref="F125:G125"/>
    <mergeCell ref="I125:J125"/>
    <mergeCell ref="K125:L125"/>
    <mergeCell ref="O125:Q125"/>
    <mergeCell ref="S125:T125"/>
    <mergeCell ref="A123:L123"/>
    <mergeCell ref="M123:R123"/>
    <mergeCell ref="S123:T123"/>
    <mergeCell ref="U123:V123"/>
    <mergeCell ref="A124:L124"/>
    <mergeCell ref="M124:R124"/>
    <mergeCell ref="S124:T124"/>
    <mergeCell ref="U124:V124"/>
    <mergeCell ref="U121:V121"/>
    <mergeCell ref="B122:E122"/>
    <mergeCell ref="F122:G122"/>
    <mergeCell ref="I122:J122"/>
    <mergeCell ref="K122:L122"/>
    <mergeCell ref="O122:Q122"/>
    <mergeCell ref="S122:T122"/>
    <mergeCell ref="U122:V122"/>
    <mergeCell ref="B121:E121"/>
    <mergeCell ref="F121:G121"/>
    <mergeCell ref="I121:J121"/>
    <mergeCell ref="K121:L121"/>
    <mergeCell ref="O121:Q121"/>
    <mergeCell ref="S121:T121"/>
    <mergeCell ref="U118:V118"/>
    <mergeCell ref="A119:L119"/>
    <mergeCell ref="M119:R119"/>
    <mergeCell ref="S119:T119"/>
    <mergeCell ref="U119:V119"/>
    <mergeCell ref="A120:L120"/>
    <mergeCell ref="M120:R120"/>
    <mergeCell ref="S120:T120"/>
    <mergeCell ref="U120:V120"/>
    <mergeCell ref="B118:E118"/>
    <mergeCell ref="F118:G118"/>
    <mergeCell ref="I118:J118"/>
    <mergeCell ref="K118:L118"/>
    <mergeCell ref="O118:Q118"/>
    <mergeCell ref="S118:T118"/>
    <mergeCell ref="U115:V115"/>
    <mergeCell ref="A116:L116"/>
    <mergeCell ref="M116:R116"/>
    <mergeCell ref="S116:T116"/>
    <mergeCell ref="U116:V116"/>
    <mergeCell ref="A117:L117"/>
    <mergeCell ref="M117:R117"/>
    <mergeCell ref="S117:T117"/>
    <mergeCell ref="U117:V117"/>
    <mergeCell ref="B115:E115"/>
    <mergeCell ref="F115:G115"/>
    <mergeCell ref="I115:J115"/>
    <mergeCell ref="K115:L115"/>
    <mergeCell ref="O115:Q115"/>
    <mergeCell ref="S115:T115"/>
    <mergeCell ref="U112:V112"/>
    <mergeCell ref="A113:L113"/>
    <mergeCell ref="M113:R113"/>
    <mergeCell ref="S113:T113"/>
    <mergeCell ref="U113:V113"/>
    <mergeCell ref="A114:L114"/>
    <mergeCell ref="M114:R114"/>
    <mergeCell ref="S114:T114"/>
    <mergeCell ref="U114:V114"/>
    <mergeCell ref="B112:E112"/>
    <mergeCell ref="F112:G112"/>
    <mergeCell ref="I112:J112"/>
    <mergeCell ref="K112:L112"/>
    <mergeCell ref="O112:Q112"/>
    <mergeCell ref="S112:T112"/>
    <mergeCell ref="U109:V109"/>
    <mergeCell ref="A110:L110"/>
    <mergeCell ref="M110:R110"/>
    <mergeCell ref="S110:T110"/>
    <mergeCell ref="U110:V110"/>
    <mergeCell ref="A111:L111"/>
    <mergeCell ref="M111:R111"/>
    <mergeCell ref="S111:T111"/>
    <mergeCell ref="U111:V111"/>
    <mergeCell ref="B109:E109"/>
    <mergeCell ref="F109:G109"/>
    <mergeCell ref="I109:J109"/>
    <mergeCell ref="K109:L109"/>
    <mergeCell ref="O109:Q109"/>
    <mergeCell ref="S109:T109"/>
    <mergeCell ref="A107:L107"/>
    <mergeCell ref="M107:R107"/>
    <mergeCell ref="S107:T107"/>
    <mergeCell ref="U107:V107"/>
    <mergeCell ref="A108:L108"/>
    <mergeCell ref="M108:R108"/>
    <mergeCell ref="S108:T108"/>
    <mergeCell ref="U108:V108"/>
    <mergeCell ref="U105:V105"/>
    <mergeCell ref="B106:E106"/>
    <mergeCell ref="F106:G106"/>
    <mergeCell ref="I106:J106"/>
    <mergeCell ref="K106:L106"/>
    <mergeCell ref="O106:Q106"/>
    <mergeCell ref="S106:T106"/>
    <mergeCell ref="U106:V106"/>
    <mergeCell ref="A104:L104"/>
    <mergeCell ref="M104:R104"/>
    <mergeCell ref="S104:T104"/>
    <mergeCell ref="U104:V104"/>
    <mergeCell ref="B105:E105"/>
    <mergeCell ref="F105:G105"/>
    <mergeCell ref="I105:J105"/>
    <mergeCell ref="K105:L105"/>
    <mergeCell ref="O105:Q105"/>
    <mergeCell ref="S105:T105"/>
    <mergeCell ref="A102:L102"/>
    <mergeCell ref="M102:R102"/>
    <mergeCell ref="S102:T102"/>
    <mergeCell ref="U102:V102"/>
    <mergeCell ref="A103:L103"/>
    <mergeCell ref="M103:R103"/>
    <mergeCell ref="S103:T103"/>
    <mergeCell ref="U103:V103"/>
    <mergeCell ref="A100:E100"/>
    <mergeCell ref="F100:V100"/>
    <mergeCell ref="A101:K101"/>
    <mergeCell ref="L101:R101"/>
    <mergeCell ref="S101:T101"/>
    <mergeCell ref="U101:V101"/>
    <mergeCell ref="U97:V97"/>
    <mergeCell ref="A98:L98"/>
    <mergeCell ref="M98:R98"/>
    <mergeCell ref="S98:T98"/>
    <mergeCell ref="U98:V98"/>
    <mergeCell ref="A99:L99"/>
    <mergeCell ref="M99:R99"/>
    <mergeCell ref="S99:T99"/>
    <mergeCell ref="U99:V99"/>
    <mergeCell ref="B97:E97"/>
    <mergeCell ref="F97:G97"/>
    <mergeCell ref="I97:J97"/>
    <mergeCell ref="K97:L97"/>
    <mergeCell ref="O97:Q97"/>
    <mergeCell ref="S97:T97"/>
    <mergeCell ref="A95:L95"/>
    <mergeCell ref="M95:R95"/>
    <mergeCell ref="S95:T95"/>
    <mergeCell ref="U95:V95"/>
    <mergeCell ref="A96:L96"/>
    <mergeCell ref="M96:R96"/>
    <mergeCell ref="S96:T96"/>
    <mergeCell ref="U96:V96"/>
    <mergeCell ref="U93:V93"/>
    <mergeCell ref="B94:E94"/>
    <mergeCell ref="F94:G94"/>
    <mergeCell ref="I94:J94"/>
    <mergeCell ref="K94:L94"/>
    <mergeCell ref="O94:Q94"/>
    <mergeCell ref="S94:T94"/>
    <mergeCell ref="U94:V94"/>
    <mergeCell ref="B93:E93"/>
    <mergeCell ref="F93:G93"/>
    <mergeCell ref="I93:J93"/>
    <mergeCell ref="K93:L93"/>
    <mergeCell ref="O93:Q93"/>
    <mergeCell ref="S93:T93"/>
    <mergeCell ref="U90:V90"/>
    <mergeCell ref="A91:L91"/>
    <mergeCell ref="M91:R91"/>
    <mergeCell ref="S91:T91"/>
    <mergeCell ref="U91:V91"/>
    <mergeCell ref="A92:L92"/>
    <mergeCell ref="M92:R92"/>
    <mergeCell ref="S92:T92"/>
    <mergeCell ref="U92:V92"/>
    <mergeCell ref="B90:E90"/>
    <mergeCell ref="F90:G90"/>
    <mergeCell ref="I90:J90"/>
    <mergeCell ref="K90:L90"/>
    <mergeCell ref="O90:Q90"/>
    <mergeCell ref="S90:T90"/>
    <mergeCell ref="U87:V87"/>
    <mergeCell ref="A88:L88"/>
    <mergeCell ref="M88:R88"/>
    <mergeCell ref="S88:T88"/>
    <mergeCell ref="U88:V88"/>
    <mergeCell ref="A89:L89"/>
    <mergeCell ref="M89:R89"/>
    <mergeCell ref="S89:T89"/>
    <mergeCell ref="U89:V89"/>
    <mergeCell ref="B87:E87"/>
    <mergeCell ref="F87:G87"/>
    <mergeCell ref="I87:J87"/>
    <mergeCell ref="K87:L87"/>
    <mergeCell ref="O87:Q87"/>
    <mergeCell ref="S87:T87"/>
    <mergeCell ref="U84:V84"/>
    <mergeCell ref="A85:L85"/>
    <mergeCell ref="M85:R85"/>
    <mergeCell ref="S85:T85"/>
    <mergeCell ref="U85:V85"/>
    <mergeCell ref="A86:L86"/>
    <mergeCell ref="M86:R86"/>
    <mergeCell ref="S86:T86"/>
    <mergeCell ref="U86:V86"/>
    <mergeCell ref="B84:E84"/>
    <mergeCell ref="F84:G84"/>
    <mergeCell ref="I84:J84"/>
    <mergeCell ref="K84:L84"/>
    <mergeCell ref="O84:Q84"/>
    <mergeCell ref="S84:T84"/>
    <mergeCell ref="U81:V81"/>
    <mergeCell ref="A82:L82"/>
    <mergeCell ref="M82:R82"/>
    <mergeCell ref="S82:T82"/>
    <mergeCell ref="U82:V82"/>
    <mergeCell ref="A83:L83"/>
    <mergeCell ref="M83:R83"/>
    <mergeCell ref="S83:T83"/>
    <mergeCell ref="U83:V83"/>
    <mergeCell ref="B81:E81"/>
    <mergeCell ref="F81:G81"/>
    <mergeCell ref="I81:J81"/>
    <mergeCell ref="K81:L81"/>
    <mergeCell ref="O81:Q81"/>
    <mergeCell ref="S81:T81"/>
    <mergeCell ref="A79:L79"/>
    <mergeCell ref="M79:R79"/>
    <mergeCell ref="S79:T79"/>
    <mergeCell ref="U79:V79"/>
    <mergeCell ref="A80:L80"/>
    <mergeCell ref="M80:R80"/>
    <mergeCell ref="S80:T80"/>
    <mergeCell ref="U80:V80"/>
    <mergeCell ref="U77:V77"/>
    <mergeCell ref="B78:E78"/>
    <mergeCell ref="F78:G78"/>
    <mergeCell ref="I78:J78"/>
    <mergeCell ref="K78:L78"/>
    <mergeCell ref="O78:Q78"/>
    <mergeCell ref="S78:T78"/>
    <mergeCell ref="U78:V78"/>
    <mergeCell ref="A76:L76"/>
    <mergeCell ref="M76:R76"/>
    <mergeCell ref="S76:T76"/>
    <mergeCell ref="U76:V76"/>
    <mergeCell ref="B77:E77"/>
    <mergeCell ref="F77:G77"/>
    <mergeCell ref="I77:J77"/>
    <mergeCell ref="K77:L77"/>
    <mergeCell ref="O77:Q77"/>
    <mergeCell ref="S77:T77"/>
    <mergeCell ref="A74:L74"/>
    <mergeCell ref="M74:R74"/>
    <mergeCell ref="S74:T74"/>
    <mergeCell ref="U74:V74"/>
    <mergeCell ref="A75:L75"/>
    <mergeCell ref="M75:R75"/>
    <mergeCell ref="S75:T75"/>
    <mergeCell ref="U75:V75"/>
    <mergeCell ref="A72:E72"/>
    <mergeCell ref="F72:V72"/>
    <mergeCell ref="A73:K73"/>
    <mergeCell ref="L73:R73"/>
    <mergeCell ref="S73:T73"/>
    <mergeCell ref="U73:V73"/>
    <mergeCell ref="U69:V69"/>
    <mergeCell ref="A70:L70"/>
    <mergeCell ref="M70:R70"/>
    <mergeCell ref="S70:T70"/>
    <mergeCell ref="U70:V70"/>
    <mergeCell ref="A71:L71"/>
    <mergeCell ref="M71:R71"/>
    <mergeCell ref="S71:T71"/>
    <mergeCell ref="U71:V71"/>
    <mergeCell ref="B69:E69"/>
    <mergeCell ref="F69:G69"/>
    <mergeCell ref="I69:J69"/>
    <mergeCell ref="K69:L69"/>
    <mergeCell ref="O69:Q69"/>
    <mergeCell ref="S69:T69"/>
    <mergeCell ref="A67:L67"/>
    <mergeCell ref="M67:R67"/>
    <mergeCell ref="S67:T67"/>
    <mergeCell ref="U67:V67"/>
    <mergeCell ref="A68:L68"/>
    <mergeCell ref="M68:R68"/>
    <mergeCell ref="S68:T68"/>
    <mergeCell ref="U68:V68"/>
    <mergeCell ref="U65:V65"/>
    <mergeCell ref="B66:E66"/>
    <mergeCell ref="F66:G66"/>
    <mergeCell ref="I66:J66"/>
    <mergeCell ref="K66:L66"/>
    <mergeCell ref="O66:Q66"/>
    <mergeCell ref="S66:T66"/>
    <mergeCell ref="U66:V66"/>
    <mergeCell ref="B65:E65"/>
    <mergeCell ref="F65:G65"/>
    <mergeCell ref="I65:J65"/>
    <mergeCell ref="K65:L65"/>
    <mergeCell ref="O65:Q65"/>
    <mergeCell ref="S65:T65"/>
    <mergeCell ref="U62:V62"/>
    <mergeCell ref="A63:L63"/>
    <mergeCell ref="M63:R63"/>
    <mergeCell ref="S63:T63"/>
    <mergeCell ref="U63:V63"/>
    <mergeCell ref="A64:L64"/>
    <mergeCell ref="M64:R64"/>
    <mergeCell ref="S64:T64"/>
    <mergeCell ref="U64:V64"/>
    <mergeCell ref="B62:E62"/>
    <mergeCell ref="F62:G62"/>
    <mergeCell ref="I62:J62"/>
    <mergeCell ref="K62:L62"/>
    <mergeCell ref="O62:Q62"/>
    <mergeCell ref="S62:T62"/>
    <mergeCell ref="U59:V59"/>
    <mergeCell ref="A60:L60"/>
    <mergeCell ref="M60:R60"/>
    <mergeCell ref="S60:T60"/>
    <mergeCell ref="U60:V60"/>
    <mergeCell ref="A61:L61"/>
    <mergeCell ref="M61:R61"/>
    <mergeCell ref="S61:T61"/>
    <mergeCell ref="U61:V61"/>
    <mergeCell ref="B59:E59"/>
    <mergeCell ref="F59:G59"/>
    <mergeCell ref="I59:J59"/>
    <mergeCell ref="K59:L59"/>
    <mergeCell ref="O59:Q59"/>
    <mergeCell ref="S59:T59"/>
    <mergeCell ref="U56:V56"/>
    <mergeCell ref="A57:L57"/>
    <mergeCell ref="M57:R57"/>
    <mergeCell ref="S57:T57"/>
    <mergeCell ref="U57:V57"/>
    <mergeCell ref="A58:L58"/>
    <mergeCell ref="M58:R58"/>
    <mergeCell ref="S58:T58"/>
    <mergeCell ref="U58:V58"/>
    <mergeCell ref="B56:E56"/>
    <mergeCell ref="F56:G56"/>
    <mergeCell ref="I56:J56"/>
    <mergeCell ref="K56:L56"/>
    <mergeCell ref="O56:Q56"/>
    <mergeCell ref="S56:T56"/>
    <mergeCell ref="U53:V53"/>
    <mergeCell ref="A54:L54"/>
    <mergeCell ref="M54:R54"/>
    <mergeCell ref="S54:T54"/>
    <mergeCell ref="U54:V54"/>
    <mergeCell ref="A55:L55"/>
    <mergeCell ref="M55:R55"/>
    <mergeCell ref="S55:T55"/>
    <mergeCell ref="U55:V55"/>
    <mergeCell ref="B53:E53"/>
    <mergeCell ref="F53:G53"/>
    <mergeCell ref="I53:J53"/>
    <mergeCell ref="K53:L53"/>
    <mergeCell ref="O53:Q53"/>
    <mergeCell ref="S53:T53"/>
    <mergeCell ref="A51:L51"/>
    <mergeCell ref="M51:R51"/>
    <mergeCell ref="S51:T51"/>
    <mergeCell ref="U51:V51"/>
    <mergeCell ref="A52:L52"/>
    <mergeCell ref="M52:R52"/>
    <mergeCell ref="S52:T52"/>
    <mergeCell ref="U52:V52"/>
    <mergeCell ref="U49:V49"/>
    <mergeCell ref="B50:E50"/>
    <mergeCell ref="F50:G50"/>
    <mergeCell ref="I50:J50"/>
    <mergeCell ref="K50:L50"/>
    <mergeCell ref="O50:Q50"/>
    <mergeCell ref="S50:T50"/>
    <mergeCell ref="U50:V50"/>
    <mergeCell ref="A48:L48"/>
    <mergeCell ref="M48:R48"/>
    <mergeCell ref="S48:T48"/>
    <mergeCell ref="U48:V48"/>
    <mergeCell ref="B49:E49"/>
    <mergeCell ref="F49:G49"/>
    <mergeCell ref="I49:J49"/>
    <mergeCell ref="K49:L49"/>
    <mergeCell ref="O49:Q49"/>
    <mergeCell ref="S49:T49"/>
    <mergeCell ref="A46:L46"/>
    <mergeCell ref="M46:R46"/>
    <mergeCell ref="S46:T46"/>
    <mergeCell ref="U46:V46"/>
    <mergeCell ref="A47:L47"/>
    <mergeCell ref="M47:R47"/>
    <mergeCell ref="S47:T47"/>
    <mergeCell ref="U47:V47"/>
    <mergeCell ref="A44:E44"/>
    <mergeCell ref="F44:V44"/>
    <mergeCell ref="A45:K45"/>
    <mergeCell ref="L45:R45"/>
    <mergeCell ref="S45:T45"/>
    <mergeCell ref="U45:V45"/>
    <mergeCell ref="U41:V41"/>
    <mergeCell ref="A42:L42"/>
    <mergeCell ref="M42:R42"/>
    <mergeCell ref="S42:T42"/>
    <mergeCell ref="U42:V42"/>
    <mergeCell ref="A43:L43"/>
    <mergeCell ref="M43:R43"/>
    <mergeCell ref="S43:T43"/>
    <mergeCell ref="U43:V43"/>
    <mergeCell ref="B41:E41"/>
    <mergeCell ref="F41:G41"/>
    <mergeCell ref="I41:J41"/>
    <mergeCell ref="K41:L41"/>
    <mergeCell ref="O41:Q41"/>
    <mergeCell ref="S41:T41"/>
    <mergeCell ref="A39:L39"/>
    <mergeCell ref="M39:R39"/>
    <mergeCell ref="S39:T39"/>
    <mergeCell ref="U39:V39"/>
    <mergeCell ref="A40:L40"/>
    <mergeCell ref="M40:R40"/>
    <mergeCell ref="S40:T40"/>
    <mergeCell ref="U40:V40"/>
    <mergeCell ref="U37:V37"/>
    <mergeCell ref="B38:E38"/>
    <mergeCell ref="F38:G38"/>
    <mergeCell ref="I38:J38"/>
    <mergeCell ref="K38:L38"/>
    <mergeCell ref="O38:Q38"/>
    <mergeCell ref="S38:T38"/>
    <mergeCell ref="U38:V38"/>
    <mergeCell ref="B37:E37"/>
    <mergeCell ref="F37:G37"/>
    <mergeCell ref="I37:J37"/>
    <mergeCell ref="K37:L37"/>
    <mergeCell ref="O37:Q37"/>
    <mergeCell ref="S37:T37"/>
    <mergeCell ref="U34:V34"/>
    <mergeCell ref="A35:L35"/>
    <mergeCell ref="M35:R35"/>
    <mergeCell ref="S35:T35"/>
    <mergeCell ref="U35:V35"/>
    <mergeCell ref="A36:L36"/>
    <mergeCell ref="M36:R36"/>
    <mergeCell ref="S36:T36"/>
    <mergeCell ref="U36:V36"/>
    <mergeCell ref="B34:E34"/>
    <mergeCell ref="F34:G34"/>
    <mergeCell ref="I34:J34"/>
    <mergeCell ref="K34:L34"/>
    <mergeCell ref="O34:Q34"/>
    <mergeCell ref="S34:T34"/>
    <mergeCell ref="U31:V31"/>
    <mergeCell ref="A32:L32"/>
    <mergeCell ref="M32:R32"/>
    <mergeCell ref="S32:T32"/>
    <mergeCell ref="U32:V32"/>
    <mergeCell ref="A33:L33"/>
    <mergeCell ref="M33:R33"/>
    <mergeCell ref="S33:T33"/>
    <mergeCell ref="U33:V33"/>
    <mergeCell ref="B31:E31"/>
    <mergeCell ref="F31:G31"/>
    <mergeCell ref="I31:J31"/>
    <mergeCell ref="K31:L31"/>
    <mergeCell ref="O31:Q31"/>
    <mergeCell ref="S31:T31"/>
    <mergeCell ref="U28:V28"/>
    <mergeCell ref="A29:L29"/>
    <mergeCell ref="M29:R29"/>
    <mergeCell ref="S29:T29"/>
    <mergeCell ref="U29:V29"/>
    <mergeCell ref="A30:L30"/>
    <mergeCell ref="M30:R30"/>
    <mergeCell ref="S30:T30"/>
    <mergeCell ref="U30:V30"/>
    <mergeCell ref="B28:E28"/>
    <mergeCell ref="F28:G28"/>
    <mergeCell ref="I28:J28"/>
    <mergeCell ref="K28:L28"/>
    <mergeCell ref="O28:Q28"/>
    <mergeCell ref="S28:T28"/>
    <mergeCell ref="U25:V25"/>
    <mergeCell ref="A26:L26"/>
    <mergeCell ref="M26:R26"/>
    <mergeCell ref="S26:T26"/>
    <mergeCell ref="U26:V26"/>
    <mergeCell ref="A27:L27"/>
    <mergeCell ref="M27:R27"/>
    <mergeCell ref="S27:T27"/>
    <mergeCell ref="U27:V27"/>
    <mergeCell ref="B25:E25"/>
    <mergeCell ref="F25:G25"/>
    <mergeCell ref="I25:J25"/>
    <mergeCell ref="K25:L25"/>
    <mergeCell ref="O25:Q25"/>
    <mergeCell ref="S25:T25"/>
    <mergeCell ref="U22:V22"/>
    <mergeCell ref="A23:L23"/>
    <mergeCell ref="M23:R23"/>
    <mergeCell ref="S23:T23"/>
    <mergeCell ref="U23:V23"/>
    <mergeCell ref="A24:L24"/>
    <mergeCell ref="M24:R24"/>
    <mergeCell ref="S24:T24"/>
    <mergeCell ref="U24:V24"/>
    <mergeCell ref="B22:E22"/>
    <mergeCell ref="F22:G22"/>
    <mergeCell ref="I22:J22"/>
    <mergeCell ref="K22:L22"/>
    <mergeCell ref="O22:Q22"/>
    <mergeCell ref="S22:T22"/>
    <mergeCell ref="A20:L20"/>
    <mergeCell ref="M20:R20"/>
    <mergeCell ref="S20:T20"/>
    <mergeCell ref="U20:V20"/>
    <mergeCell ref="A21:L21"/>
    <mergeCell ref="M21:R21"/>
    <mergeCell ref="S21:T21"/>
    <mergeCell ref="U21:V21"/>
    <mergeCell ref="A18:K18"/>
    <mergeCell ref="L18:R18"/>
    <mergeCell ref="S18:T18"/>
    <mergeCell ref="U18:V18"/>
    <mergeCell ref="A19:L19"/>
    <mergeCell ref="M19:R19"/>
    <mergeCell ref="S19:T19"/>
    <mergeCell ref="U19:V19"/>
    <mergeCell ref="U15:V15"/>
    <mergeCell ref="A16:G16"/>
    <mergeCell ref="I16:J16"/>
    <mergeCell ref="K16:L16"/>
    <mergeCell ref="N16:V16"/>
    <mergeCell ref="A17:E17"/>
    <mergeCell ref="F17:V17"/>
    <mergeCell ref="A12:C12"/>
    <mergeCell ref="D12:W12"/>
    <mergeCell ref="A13:V13"/>
    <mergeCell ref="A14:V14"/>
    <mergeCell ref="B15:E15"/>
    <mergeCell ref="F15:G15"/>
    <mergeCell ref="I15:J15"/>
    <mergeCell ref="K15:L15"/>
    <mergeCell ref="O15:Q15"/>
    <mergeCell ref="S15:T15"/>
    <mergeCell ref="A11:C11"/>
    <mergeCell ref="D11:I11"/>
    <mergeCell ref="J11:P11"/>
    <mergeCell ref="Q11:W11"/>
    <mergeCell ref="C6:S6"/>
    <mergeCell ref="C7:S7"/>
    <mergeCell ref="A8:C8"/>
    <mergeCell ref="D8:W8"/>
    <mergeCell ref="A9:C9"/>
    <mergeCell ref="D9:I9"/>
    <mergeCell ref="J9:P9"/>
    <mergeCell ref="Q9:W9"/>
    <mergeCell ref="A2:W2"/>
    <mergeCell ref="A4:B4"/>
    <mergeCell ref="C4:D4"/>
    <mergeCell ref="G4:O4"/>
    <mergeCell ref="A5:B5"/>
    <mergeCell ref="C5:D5"/>
    <mergeCell ref="G5:O5"/>
    <mergeCell ref="A10:C10"/>
    <mergeCell ref="D10:I10"/>
    <mergeCell ref="J10:P10"/>
    <mergeCell ref="Q10:W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49" workbookViewId="0">
      <selection activeCell="F11" sqref="F11"/>
    </sheetView>
  </sheetViews>
  <sheetFormatPr defaultRowHeight="12.75"/>
  <cols>
    <col min="1" max="1" width="6.7109375" customWidth="1"/>
    <col min="2" max="2" width="40.85546875" customWidth="1"/>
    <col min="3" max="3" width="16.7109375" customWidth="1"/>
    <col min="4" max="4" width="6.7109375" customWidth="1"/>
    <col min="5" max="5" width="42.28515625" customWidth="1"/>
    <col min="6" max="6" width="16.7109375" customWidth="1"/>
  </cols>
  <sheetData>
    <row r="1" spans="1:6" ht="15">
      <c r="A1" s="520" t="s">
        <v>528</v>
      </c>
      <c r="B1" s="520"/>
      <c r="C1" s="520"/>
      <c r="D1" s="520"/>
      <c r="E1" s="520"/>
      <c r="F1" s="520"/>
    </row>
    <row r="2" spans="1:6" ht="15">
      <c r="A2" s="521" t="s">
        <v>236</v>
      </c>
      <c r="B2" s="521"/>
      <c r="C2" s="521"/>
      <c r="D2" s="521"/>
      <c r="E2" s="521"/>
      <c r="F2" s="521"/>
    </row>
    <row r="3" spans="1:6" ht="15">
      <c r="A3" s="522">
        <v>42369</v>
      </c>
      <c r="B3" s="522"/>
      <c r="C3" s="522"/>
      <c r="D3" s="522"/>
      <c r="E3" s="522"/>
      <c r="F3" s="522"/>
    </row>
    <row r="5" spans="1:6" ht="15">
      <c r="A5" s="523" t="s">
        <v>237</v>
      </c>
      <c r="B5" s="523"/>
      <c r="C5" s="523"/>
      <c r="D5" s="523"/>
      <c r="E5" s="523"/>
      <c r="F5" s="523"/>
    </row>
    <row r="6" spans="1:6">
      <c r="A6" s="163" t="s">
        <v>16</v>
      </c>
      <c r="B6" s="164"/>
      <c r="C6" s="163" t="s">
        <v>238</v>
      </c>
      <c r="D6" s="163" t="s">
        <v>16</v>
      </c>
      <c r="E6" s="164"/>
      <c r="F6" s="163" t="s">
        <v>238</v>
      </c>
    </row>
    <row r="7" spans="1:6" ht="13.5" thickBot="1">
      <c r="A7" s="165" t="s">
        <v>18</v>
      </c>
      <c r="B7" s="163" t="s">
        <v>239</v>
      </c>
      <c r="C7" s="165" t="s">
        <v>240</v>
      </c>
      <c r="D7" s="165" t="s">
        <v>241</v>
      </c>
      <c r="E7" s="163" t="s">
        <v>242</v>
      </c>
      <c r="F7" s="165" t="s">
        <v>240</v>
      </c>
    </row>
    <row r="8" spans="1:6" ht="14.25" thickTop="1" thickBot="1">
      <c r="A8" s="27"/>
      <c r="B8" s="166" t="s">
        <v>243</v>
      </c>
      <c r="C8" s="167"/>
      <c r="D8" s="168"/>
      <c r="E8" s="166" t="s">
        <v>244</v>
      </c>
      <c r="F8" s="167"/>
    </row>
    <row r="9" spans="1:6" ht="13.5" thickTop="1">
      <c r="A9" s="27">
        <v>1</v>
      </c>
      <c r="B9" s="169" t="s">
        <v>245</v>
      </c>
      <c r="C9" s="170"/>
      <c r="D9" s="171"/>
      <c r="E9" s="169"/>
      <c r="F9" s="170"/>
    </row>
    <row r="10" spans="1:6">
      <c r="A10" s="172"/>
      <c r="B10" s="173" t="s">
        <v>246</v>
      </c>
      <c r="C10" s="351">
        <f>'EIA412 ELECTRIC PLANT'!G25</f>
        <v>36397791</v>
      </c>
      <c r="D10" s="174">
        <v>29</v>
      </c>
      <c r="E10" s="173" t="s">
        <v>247</v>
      </c>
      <c r="F10" s="175">
        <v>0</v>
      </c>
    </row>
    <row r="11" spans="1:6">
      <c r="A11" s="176">
        <v>2</v>
      </c>
      <c r="B11" s="177" t="s">
        <v>248</v>
      </c>
      <c r="C11" s="352">
        <f>'EIA412 ELECTRIC PLANT'!G27</f>
        <v>19523</v>
      </c>
      <c r="D11" s="178">
        <v>30</v>
      </c>
      <c r="E11" s="179" t="s">
        <v>249</v>
      </c>
      <c r="F11" s="467">
        <f>16792543+4</f>
        <v>16792547</v>
      </c>
    </row>
    <row r="12" spans="1:6">
      <c r="A12" s="27">
        <v>3</v>
      </c>
      <c r="B12" s="169" t="s">
        <v>250</v>
      </c>
      <c r="C12" s="353"/>
      <c r="D12" s="171"/>
      <c r="E12" s="169"/>
      <c r="F12" s="170"/>
    </row>
    <row r="13" spans="1:6">
      <c r="A13" s="27"/>
      <c r="B13" s="169" t="s">
        <v>251</v>
      </c>
      <c r="C13" s="353"/>
      <c r="D13" s="171">
        <v>31</v>
      </c>
      <c r="E13" s="169" t="s">
        <v>252</v>
      </c>
      <c r="F13" s="170"/>
    </row>
    <row r="14" spans="1:6">
      <c r="A14" s="172"/>
      <c r="B14" s="173" t="s">
        <v>253</v>
      </c>
      <c r="C14" s="351">
        <f>-'EIA412 ELECTRIC PLANT'!I20</f>
        <v>-20144017</v>
      </c>
      <c r="D14" s="174"/>
      <c r="E14" s="173" t="s">
        <v>254</v>
      </c>
      <c r="F14" s="175">
        <v>0</v>
      </c>
    </row>
    <row r="15" spans="1:6" ht="26.25" thickBot="1">
      <c r="A15" s="176">
        <v>4</v>
      </c>
      <c r="B15" s="181" t="s">
        <v>255</v>
      </c>
      <c r="C15" s="182">
        <f>+C10+C11+C14</f>
        <v>16273297</v>
      </c>
      <c r="D15" s="183">
        <v>32</v>
      </c>
      <c r="E15" s="184" t="s">
        <v>256</v>
      </c>
      <c r="F15" s="185">
        <f>+F14+F11+F10</f>
        <v>16792547</v>
      </c>
    </row>
    <row r="16" spans="1:6" ht="14.25" thickTop="1" thickBot="1">
      <c r="A16" s="186">
        <v>5</v>
      </c>
      <c r="B16" s="179" t="s">
        <v>257</v>
      </c>
      <c r="C16" s="180"/>
      <c r="D16" s="171"/>
      <c r="E16" s="187" t="s">
        <v>258</v>
      </c>
      <c r="F16" s="170"/>
    </row>
    <row r="17" spans="1:9" ht="13.5" thickTop="1">
      <c r="A17" s="188">
        <v>6</v>
      </c>
      <c r="B17" s="169" t="s">
        <v>250</v>
      </c>
      <c r="C17" s="170"/>
      <c r="D17" s="171"/>
      <c r="E17" s="169"/>
      <c r="F17" s="170"/>
    </row>
    <row r="18" spans="1:9">
      <c r="A18" s="27"/>
      <c r="B18" s="169" t="s">
        <v>259</v>
      </c>
      <c r="C18" s="170"/>
      <c r="D18" s="171"/>
      <c r="E18" s="169" t="s">
        <v>260</v>
      </c>
      <c r="F18" s="170"/>
    </row>
    <row r="19" spans="1:9">
      <c r="A19" s="172"/>
      <c r="B19" s="173" t="s">
        <v>261</v>
      </c>
      <c r="C19" s="175">
        <v>0</v>
      </c>
      <c r="D19" s="174">
        <v>33</v>
      </c>
      <c r="E19" s="173" t="s">
        <v>262</v>
      </c>
      <c r="F19" s="189">
        <f>F20+F21+F22+F23</f>
        <v>5799783</v>
      </c>
    </row>
    <row r="20" spans="1:9">
      <c r="A20" s="27">
        <v>7</v>
      </c>
      <c r="B20" s="190" t="s">
        <v>263</v>
      </c>
      <c r="C20" s="170"/>
      <c r="D20" s="191" t="s">
        <v>264</v>
      </c>
      <c r="E20" s="179" t="s">
        <v>265</v>
      </c>
      <c r="F20" s="175">
        <v>0</v>
      </c>
    </row>
    <row r="21" spans="1:9" ht="13.5" thickBot="1">
      <c r="A21" s="172"/>
      <c r="B21" s="190" t="s">
        <v>266</v>
      </c>
      <c r="C21" s="192">
        <f>+C15+C16+C19</f>
        <v>16273297</v>
      </c>
      <c r="D21" s="178" t="s">
        <v>267</v>
      </c>
      <c r="E21" s="177" t="s">
        <v>268</v>
      </c>
      <c r="F21" s="175">
        <f>'GLS2_Debt P&amp;I&amp;A '!O9</f>
        <v>5799783</v>
      </c>
      <c r="H21" t="s">
        <v>11</v>
      </c>
    </row>
    <row r="22" spans="1:9" ht="14.25" thickTop="1" thickBot="1">
      <c r="A22" s="27"/>
      <c r="B22" s="166" t="s">
        <v>269</v>
      </c>
      <c r="C22" s="170"/>
      <c r="D22" s="178" t="s">
        <v>270</v>
      </c>
      <c r="E22" s="177" t="s">
        <v>271</v>
      </c>
      <c r="F22" s="175">
        <v>0</v>
      </c>
      <c r="I22" t="s">
        <v>11</v>
      </c>
    </row>
    <row r="23" spans="1:9" ht="13.5" thickTop="1">
      <c r="A23" s="172">
        <v>8</v>
      </c>
      <c r="B23" s="173" t="s">
        <v>272</v>
      </c>
      <c r="C23" s="175">
        <v>0</v>
      </c>
      <c r="D23" s="178" t="s">
        <v>273</v>
      </c>
      <c r="E23" s="177" t="s">
        <v>274</v>
      </c>
      <c r="F23" s="175">
        <v>0</v>
      </c>
    </row>
    <row r="24" spans="1:9">
      <c r="A24" s="27">
        <v>9</v>
      </c>
      <c r="B24" s="169" t="s">
        <v>250</v>
      </c>
      <c r="C24" s="170"/>
      <c r="D24" s="178"/>
      <c r="E24" s="177"/>
      <c r="F24" s="177"/>
    </row>
    <row r="25" spans="1:9">
      <c r="A25" s="172"/>
      <c r="B25" s="173" t="s">
        <v>275</v>
      </c>
      <c r="C25" s="175">
        <v>0</v>
      </c>
      <c r="D25" s="178"/>
      <c r="E25" s="177"/>
      <c r="F25" s="177"/>
    </row>
    <row r="26" spans="1:9">
      <c r="A26" s="27">
        <v>10</v>
      </c>
      <c r="B26" s="169" t="s">
        <v>276</v>
      </c>
      <c r="C26" s="170"/>
      <c r="D26" s="168">
        <v>34</v>
      </c>
      <c r="E26" s="193" t="s">
        <v>277</v>
      </c>
      <c r="F26" s="194"/>
    </row>
    <row r="27" spans="1:9">
      <c r="A27" s="172"/>
      <c r="B27" s="173" t="s">
        <v>278</v>
      </c>
      <c r="C27" s="175">
        <v>0</v>
      </c>
      <c r="D27" s="174"/>
      <c r="E27" s="173" t="s">
        <v>279</v>
      </c>
      <c r="F27" s="175">
        <v>0</v>
      </c>
    </row>
    <row r="28" spans="1:9" ht="25.5">
      <c r="A28" s="176">
        <v>11</v>
      </c>
      <c r="B28" s="195" t="s">
        <v>280</v>
      </c>
      <c r="C28" s="196">
        <f>+C29+C30+C31+C32</f>
        <v>6054832</v>
      </c>
      <c r="D28" s="168">
        <v>35</v>
      </c>
      <c r="E28" s="193" t="s">
        <v>281</v>
      </c>
      <c r="F28" s="170"/>
    </row>
    <row r="29" spans="1:9">
      <c r="A29" s="197" t="s">
        <v>282</v>
      </c>
      <c r="B29" s="177" t="s">
        <v>283</v>
      </c>
      <c r="C29" s="180">
        <v>0</v>
      </c>
      <c r="D29" s="174"/>
      <c r="E29" s="198" t="s">
        <v>284</v>
      </c>
      <c r="F29" s="175">
        <v>0</v>
      </c>
    </row>
    <row r="30" spans="1:9">
      <c r="A30" s="176" t="s">
        <v>285</v>
      </c>
      <c r="B30" s="177" t="s">
        <v>286</v>
      </c>
      <c r="C30" s="180">
        <v>0</v>
      </c>
      <c r="D30" s="171">
        <v>36</v>
      </c>
      <c r="E30" s="199" t="s">
        <v>287</v>
      </c>
      <c r="F30" s="170"/>
    </row>
    <row r="31" spans="1:9">
      <c r="A31" s="176" t="s">
        <v>288</v>
      </c>
      <c r="B31" s="177" t="s">
        <v>289</v>
      </c>
      <c r="C31" s="180">
        <v>0</v>
      </c>
      <c r="D31" s="174"/>
      <c r="E31" s="173" t="s">
        <v>290</v>
      </c>
      <c r="F31" s="175">
        <v>0</v>
      </c>
    </row>
    <row r="32" spans="1:9" ht="13.5" thickBot="1">
      <c r="A32" s="176" t="s">
        <v>291</v>
      </c>
      <c r="B32" s="177" t="s">
        <v>292</v>
      </c>
      <c r="C32" s="467">
        <f>6054832</f>
        <v>6054832</v>
      </c>
      <c r="D32" s="174">
        <v>37</v>
      </c>
      <c r="E32" s="200" t="s">
        <v>293</v>
      </c>
      <c r="F32" s="201">
        <f>+F19+F27+F29+F31</f>
        <v>5799783</v>
      </c>
    </row>
    <row r="33" spans="1:6" ht="27" thickTop="1" thickBot="1">
      <c r="A33" s="176">
        <v>12</v>
      </c>
      <c r="B33" s="202" t="s">
        <v>294</v>
      </c>
      <c r="C33" s="185">
        <f>+C23+C25+C27+C28</f>
        <v>6054832</v>
      </c>
      <c r="D33" s="174"/>
      <c r="E33" s="166" t="s">
        <v>295</v>
      </c>
      <c r="F33" s="203"/>
    </row>
    <row r="34" spans="1:6" ht="14.25" thickTop="1" thickBot="1">
      <c r="A34" s="27"/>
      <c r="B34" s="166" t="s">
        <v>296</v>
      </c>
      <c r="C34" s="353"/>
      <c r="D34" s="178">
        <v>38</v>
      </c>
      <c r="E34" s="198" t="s">
        <v>297</v>
      </c>
      <c r="F34" s="180">
        <v>0</v>
      </c>
    </row>
    <row r="35" spans="1:6" ht="13.5" thickTop="1">
      <c r="A35" s="27">
        <v>13</v>
      </c>
      <c r="B35" s="169" t="s">
        <v>298</v>
      </c>
      <c r="C35" s="353"/>
      <c r="D35" s="178">
        <v>39</v>
      </c>
      <c r="E35" s="179" t="s">
        <v>299</v>
      </c>
      <c r="F35" s="180">
        <v>0</v>
      </c>
    </row>
    <row r="36" spans="1:6">
      <c r="A36" s="172"/>
      <c r="B36" s="173" t="s">
        <v>300</v>
      </c>
      <c r="C36" s="351">
        <f>1167644</f>
        <v>1167644</v>
      </c>
      <c r="D36" s="174">
        <v>40</v>
      </c>
      <c r="E36" s="204" t="s">
        <v>301</v>
      </c>
      <c r="F36" s="192">
        <f>+F35+F34</f>
        <v>0</v>
      </c>
    </row>
    <row r="37" spans="1:6" ht="13.5" thickBot="1">
      <c r="A37" s="27">
        <v>14</v>
      </c>
      <c r="B37" s="169" t="s">
        <v>302</v>
      </c>
      <c r="C37" s="353" t="s">
        <v>11</v>
      </c>
      <c r="D37" s="171"/>
      <c r="E37" s="169"/>
      <c r="F37" s="170"/>
    </row>
    <row r="38" spans="1:6" ht="14.25" thickTop="1" thickBot="1">
      <c r="A38" s="172"/>
      <c r="B38" s="173" t="s">
        <v>303</v>
      </c>
      <c r="C38" s="353">
        <f>272229+9754+27077</f>
        <v>309060</v>
      </c>
      <c r="D38" s="174"/>
      <c r="E38" s="166" t="s">
        <v>304</v>
      </c>
      <c r="F38" s="203"/>
    </row>
    <row r="39" spans="1:6" ht="13.5" thickTop="1">
      <c r="A39" s="176">
        <v>15</v>
      </c>
      <c r="B39" s="177" t="s">
        <v>305</v>
      </c>
      <c r="C39" s="467">
        <f>584999</f>
        <v>584999</v>
      </c>
      <c r="D39" s="174">
        <v>41</v>
      </c>
      <c r="E39" s="173" t="s">
        <v>306</v>
      </c>
      <c r="F39" s="203"/>
    </row>
    <row r="40" spans="1:6">
      <c r="A40" s="27">
        <v>16</v>
      </c>
      <c r="B40" s="169" t="s">
        <v>250</v>
      </c>
      <c r="C40" s="353"/>
      <c r="D40" s="171"/>
      <c r="E40" s="169"/>
      <c r="F40" s="170"/>
    </row>
    <row r="41" spans="1:6">
      <c r="A41" s="172"/>
      <c r="B41" s="173" t="s">
        <v>307</v>
      </c>
      <c r="C41" s="351">
        <v>0</v>
      </c>
      <c r="D41" s="174">
        <v>42</v>
      </c>
      <c r="E41" s="173" t="s">
        <v>308</v>
      </c>
      <c r="F41" s="351">
        <f>381566</f>
        <v>381566</v>
      </c>
    </row>
    <row r="42" spans="1:6">
      <c r="A42" s="27">
        <v>17</v>
      </c>
      <c r="B42" s="169" t="s">
        <v>309</v>
      </c>
      <c r="C42" s="353"/>
      <c r="D42" s="171">
        <v>43</v>
      </c>
      <c r="E42" s="199" t="s">
        <v>310</v>
      </c>
      <c r="F42" s="353"/>
    </row>
    <row r="43" spans="1:6">
      <c r="A43" s="172"/>
      <c r="B43" s="173" t="s">
        <v>311</v>
      </c>
      <c r="C43" s="351">
        <v>0</v>
      </c>
      <c r="D43" s="174"/>
      <c r="E43" s="173" t="s">
        <v>312</v>
      </c>
      <c r="F43" s="351">
        <f>246241</f>
        <v>246241</v>
      </c>
    </row>
    <row r="44" spans="1:6">
      <c r="A44" s="176">
        <v>18</v>
      </c>
      <c r="B44" s="177" t="s">
        <v>313</v>
      </c>
      <c r="C44" s="467">
        <f>206970</f>
        <v>206970</v>
      </c>
      <c r="D44" s="174">
        <v>44</v>
      </c>
      <c r="E44" s="173" t="s">
        <v>314</v>
      </c>
      <c r="F44" s="351">
        <f>100850</f>
        <v>100850</v>
      </c>
    </row>
    <row r="45" spans="1:6">
      <c r="A45" s="176">
        <v>19</v>
      </c>
      <c r="B45" s="177" t="s">
        <v>315</v>
      </c>
      <c r="C45" s="467">
        <v>0</v>
      </c>
      <c r="D45" s="174">
        <v>45</v>
      </c>
      <c r="E45" s="173" t="s">
        <v>316</v>
      </c>
      <c r="F45" s="351">
        <v>0</v>
      </c>
    </row>
    <row r="46" spans="1:6">
      <c r="A46" s="176">
        <v>20</v>
      </c>
      <c r="B46" s="177" t="s">
        <v>317</v>
      </c>
      <c r="C46" s="467">
        <f>47211</f>
        <v>47211</v>
      </c>
      <c r="D46" s="174">
        <v>46</v>
      </c>
      <c r="E46" s="173" t="s">
        <v>318</v>
      </c>
      <c r="F46" s="351">
        <v>0</v>
      </c>
    </row>
    <row r="47" spans="1:6">
      <c r="A47" s="186">
        <v>21</v>
      </c>
      <c r="B47" s="177" t="s">
        <v>319</v>
      </c>
      <c r="C47" s="180">
        <v>0</v>
      </c>
      <c r="D47" s="174">
        <v>47</v>
      </c>
      <c r="E47" s="173" t="s">
        <v>320</v>
      </c>
      <c r="F47" s="351">
        <f>134558+11021+164710+187442+4975+844751</f>
        <v>1347457</v>
      </c>
    </row>
    <row r="48" spans="1:6" ht="26.25" thickBot="1">
      <c r="A48" s="186">
        <v>22</v>
      </c>
      <c r="B48" s="177" t="s">
        <v>321</v>
      </c>
      <c r="C48" s="180">
        <v>0</v>
      </c>
      <c r="D48" s="174">
        <v>48</v>
      </c>
      <c r="E48" s="205" t="s">
        <v>322</v>
      </c>
      <c r="F48" s="192">
        <f>+F47+F46+F45+F44+F43+F41+F39</f>
        <v>2076114</v>
      </c>
    </row>
    <row r="49" spans="1:7" ht="27" thickTop="1" thickBot="1">
      <c r="A49" s="186">
        <v>23</v>
      </c>
      <c r="B49" s="202" t="s">
        <v>323</v>
      </c>
      <c r="C49" s="182">
        <f>+C36+C38+C39+C41+C43+C44+C45+C46+C47+C48</f>
        <v>2315884</v>
      </c>
      <c r="D49" s="174"/>
      <c r="E49" s="166" t="s">
        <v>324</v>
      </c>
      <c r="F49" s="203"/>
    </row>
    <row r="50" spans="1:7" ht="14.25" thickTop="1" thickBot="1">
      <c r="B50" s="166" t="s">
        <v>325</v>
      </c>
      <c r="C50" s="170"/>
      <c r="D50" s="206">
        <v>49</v>
      </c>
      <c r="E50" s="199" t="s">
        <v>326</v>
      </c>
      <c r="F50" s="170"/>
    </row>
    <row r="51" spans="1:7" ht="13.5" thickTop="1">
      <c r="A51" s="207">
        <v>24</v>
      </c>
      <c r="B51" s="173" t="s">
        <v>327</v>
      </c>
      <c r="C51" s="175">
        <v>0</v>
      </c>
      <c r="D51" s="174"/>
      <c r="E51" s="208" t="s">
        <v>328</v>
      </c>
      <c r="F51" s="175">
        <v>0</v>
      </c>
    </row>
    <row r="52" spans="1:7">
      <c r="A52" s="188">
        <v>25</v>
      </c>
      <c r="B52" s="169" t="s">
        <v>329</v>
      </c>
      <c r="C52" s="170"/>
      <c r="D52" s="206">
        <v>50</v>
      </c>
      <c r="E52" s="169" t="s">
        <v>330</v>
      </c>
      <c r="F52" s="170"/>
    </row>
    <row r="53" spans="1:7">
      <c r="A53" s="209"/>
      <c r="B53" s="173" t="s">
        <v>331</v>
      </c>
      <c r="C53" s="175">
        <v>0</v>
      </c>
      <c r="D53" s="174"/>
      <c r="E53" s="173" t="s">
        <v>332</v>
      </c>
      <c r="F53" s="175">
        <f>95437</f>
        <v>95437</v>
      </c>
    </row>
    <row r="54" spans="1:7">
      <c r="A54" s="188">
        <v>26</v>
      </c>
      <c r="B54" s="169" t="s">
        <v>333</v>
      </c>
      <c r="C54" s="170"/>
      <c r="D54" s="171"/>
      <c r="E54" s="169"/>
      <c r="F54" s="170"/>
    </row>
    <row r="55" spans="1:7">
      <c r="A55" s="27"/>
      <c r="B55" s="169" t="s">
        <v>334</v>
      </c>
      <c r="C55" s="170"/>
      <c r="D55" s="171">
        <v>51</v>
      </c>
      <c r="E55" s="169" t="s">
        <v>335</v>
      </c>
      <c r="F55" s="170"/>
    </row>
    <row r="56" spans="1:7">
      <c r="A56" s="172"/>
      <c r="B56" s="173" t="s">
        <v>336</v>
      </c>
      <c r="C56" s="175">
        <f>119868</f>
        <v>119868</v>
      </c>
      <c r="D56" s="174"/>
      <c r="E56" s="208" t="s">
        <v>337</v>
      </c>
      <c r="F56" s="203">
        <v>0</v>
      </c>
    </row>
    <row r="57" spans="1:7">
      <c r="A57" s="176">
        <v>27</v>
      </c>
      <c r="B57" s="210" t="s">
        <v>338</v>
      </c>
      <c r="C57" s="182">
        <f>+C51+C53+C56</f>
        <v>119868</v>
      </c>
      <c r="D57" s="174">
        <v>52</v>
      </c>
      <c r="E57" s="204" t="s">
        <v>339</v>
      </c>
      <c r="F57" s="192">
        <f>+F56+F53+F51</f>
        <v>95437</v>
      </c>
    </row>
    <row r="58" spans="1:7" ht="26.25" thickBot="1">
      <c r="A58" s="29">
        <v>28</v>
      </c>
      <c r="B58" s="211" t="s">
        <v>340</v>
      </c>
      <c r="C58" s="212">
        <f>+C57+C49+C21+C33</f>
        <v>24763881</v>
      </c>
      <c r="D58" s="213">
        <v>53</v>
      </c>
      <c r="E58" s="214" t="s">
        <v>341</v>
      </c>
      <c r="F58" s="212">
        <f>+F57+F48+F36+F32+F15</f>
        <v>24763881</v>
      </c>
      <c r="G58" s="358" t="s">
        <v>11</v>
      </c>
    </row>
    <row r="59" spans="1:7">
      <c r="A59" s="14"/>
      <c r="B59" s="14"/>
      <c r="C59" s="215" t="s">
        <v>11</v>
      </c>
      <c r="D59" s="14"/>
      <c r="E59" s="14"/>
      <c r="F59" s="216" t="s">
        <v>11</v>
      </c>
    </row>
    <row r="60" spans="1:7">
      <c r="A60" s="14"/>
      <c r="B60" s="217" t="s">
        <v>342</v>
      </c>
      <c r="C60" s="215"/>
      <c r="D60" s="14"/>
      <c r="E60" s="14"/>
      <c r="F60" s="466">
        <f>C58-F58</f>
        <v>0</v>
      </c>
    </row>
    <row r="61" spans="1:7">
      <c r="A61" s="14"/>
      <c r="B61" s="217" t="s">
        <v>343</v>
      </c>
      <c r="C61" s="218"/>
      <c r="D61" s="14"/>
      <c r="E61" s="14"/>
      <c r="F61" s="216"/>
    </row>
    <row r="62" spans="1:7">
      <c r="A62" s="14"/>
      <c r="B62" s="217" t="s">
        <v>344</v>
      </c>
      <c r="C62" s="218"/>
      <c r="D62" s="14"/>
      <c r="E62" s="14"/>
      <c r="F62" s="216"/>
    </row>
    <row r="63" spans="1:7">
      <c r="A63" s="14"/>
      <c r="B63" s="217" t="s">
        <v>345</v>
      </c>
      <c r="C63" s="218"/>
      <c r="D63" s="14"/>
      <c r="E63" s="14"/>
      <c r="F63" s="216"/>
    </row>
    <row r="64" spans="1:7">
      <c r="A64" s="14"/>
      <c r="B64" s="14"/>
      <c r="C64" s="218"/>
      <c r="D64" s="14"/>
      <c r="E64" s="14"/>
      <c r="F64" s="216"/>
    </row>
    <row r="65" spans="1:6">
      <c r="A65" s="14"/>
      <c r="B65" s="14"/>
      <c r="C65" s="218"/>
      <c r="D65" s="14"/>
      <c r="E65" s="14"/>
      <c r="F65" s="216"/>
    </row>
    <row r="66" spans="1:6">
      <c r="A66" s="14"/>
      <c r="B66" s="14"/>
      <c r="C66" s="218"/>
      <c r="D66" s="14"/>
      <c r="E66" s="14"/>
      <c r="F66" s="386" t="s">
        <v>11</v>
      </c>
    </row>
    <row r="67" spans="1:6">
      <c r="A67" s="14"/>
      <c r="B67" s="14"/>
      <c r="C67" s="218"/>
      <c r="D67" s="14"/>
      <c r="E67" s="14"/>
      <c r="F67" s="14" t="s">
        <v>11</v>
      </c>
    </row>
    <row r="68" spans="1:6">
      <c r="A68" s="14"/>
      <c r="B68" s="14"/>
      <c r="C68" s="218"/>
      <c r="D68" s="14"/>
      <c r="E68" s="14"/>
      <c r="F68" s="386" t="s">
        <v>11</v>
      </c>
    </row>
    <row r="69" spans="1:6">
      <c r="A69" s="14"/>
      <c r="B69" s="14"/>
      <c r="C69" s="218"/>
      <c r="D69" s="14"/>
      <c r="E69" s="14"/>
      <c r="F69" s="387" t="s">
        <v>11</v>
      </c>
    </row>
    <row r="70" spans="1:6">
      <c r="A70" s="14"/>
      <c r="B70" s="14"/>
      <c r="C70" s="218"/>
      <c r="D70" s="14"/>
      <c r="E70" s="14"/>
      <c r="F70" s="387" t="s">
        <v>11</v>
      </c>
    </row>
    <row r="71" spans="1:6">
      <c r="A71" s="14"/>
      <c r="B71" s="14"/>
      <c r="C71" s="14"/>
      <c r="D71" s="14"/>
      <c r="E71" s="14"/>
      <c r="F71" s="14"/>
    </row>
    <row r="72" spans="1:6">
      <c r="A72" s="14"/>
      <c r="B72" s="14"/>
      <c r="C72" s="14"/>
      <c r="D72" s="14"/>
      <c r="E72" s="14"/>
      <c r="F72" s="14"/>
    </row>
    <row r="73" spans="1:6">
      <c r="A73" s="14"/>
      <c r="B73" s="14"/>
      <c r="C73" s="14"/>
      <c r="D73" s="14"/>
      <c r="E73" s="14"/>
      <c r="F73" s="14"/>
    </row>
    <row r="74" spans="1:6">
      <c r="A74" s="14"/>
      <c r="B74" s="14"/>
      <c r="C74" s="14"/>
      <c r="D74" s="14"/>
      <c r="E74" s="14"/>
      <c r="F74" s="14"/>
    </row>
    <row r="75" spans="1:6">
      <c r="A75" s="14"/>
      <c r="B75" s="14"/>
      <c r="C75" s="14"/>
      <c r="D75" s="14"/>
      <c r="E75" s="14"/>
      <c r="F75" s="14"/>
    </row>
    <row r="76" spans="1:6">
      <c r="A76" s="14"/>
      <c r="B76" s="14"/>
      <c r="C76" s="14"/>
      <c r="D76" s="14"/>
      <c r="E76" s="14"/>
      <c r="F76" s="14"/>
    </row>
    <row r="77" spans="1:6">
      <c r="A77" s="14"/>
      <c r="B77" s="14"/>
      <c r="C77" s="14"/>
      <c r="D77" s="14"/>
      <c r="E77" s="14"/>
      <c r="F77" s="14"/>
    </row>
    <row r="78" spans="1:6">
      <c r="A78" s="14"/>
      <c r="B78" s="14"/>
      <c r="C78" s="14"/>
      <c r="D78" s="14"/>
      <c r="E78" s="14"/>
      <c r="F78" s="14"/>
    </row>
  </sheetData>
  <mergeCells count="4">
    <mergeCell ref="A1:F1"/>
    <mergeCell ref="A2:F2"/>
    <mergeCell ref="A3:F3"/>
    <mergeCell ref="A5:F5"/>
  </mergeCells>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opLeftCell="A7" workbookViewId="0">
      <selection activeCell="C23" sqref="C23"/>
    </sheetView>
  </sheetViews>
  <sheetFormatPr defaultRowHeight="12.75"/>
  <cols>
    <col min="1" max="1" width="6.7109375" customWidth="1"/>
    <col min="2" max="2" width="77.140625" customWidth="1"/>
    <col min="3" max="3" width="16.7109375" style="304" customWidth="1"/>
    <col min="5" max="5" width="10.28515625" bestFit="1" customWidth="1"/>
  </cols>
  <sheetData>
    <row r="1" spans="1:6" ht="15">
      <c r="A1" s="524" t="str">
        <f>'EIA412 BALANCE SHEET'!A1:F1</f>
        <v>Glencoe</v>
      </c>
      <c r="B1" s="524"/>
      <c r="C1" s="524"/>
      <c r="D1" s="292"/>
      <c r="E1" s="292"/>
      <c r="F1" s="292"/>
    </row>
    <row r="2" spans="1:6" ht="15">
      <c r="A2" s="521" t="s">
        <v>236</v>
      </c>
      <c r="B2" s="521"/>
      <c r="C2" s="521"/>
      <c r="D2" s="292"/>
      <c r="E2" s="292"/>
      <c r="F2" s="292"/>
    </row>
    <row r="3" spans="1:6" ht="15">
      <c r="A3" s="524">
        <f>'EIA412 BALANCE SHEET'!A3:F3</f>
        <v>42369</v>
      </c>
      <c r="B3" s="524"/>
      <c r="C3" s="524"/>
      <c r="D3" s="293"/>
      <c r="E3" s="293"/>
      <c r="F3" s="293"/>
    </row>
    <row r="4" spans="1:6">
      <c r="A4" s="28"/>
      <c r="B4" s="28"/>
      <c r="C4" s="294"/>
      <c r="D4" s="28"/>
      <c r="E4" s="28"/>
      <c r="F4" s="28"/>
    </row>
    <row r="5" spans="1:6" ht="15">
      <c r="A5" s="523" t="s">
        <v>449</v>
      </c>
      <c r="B5" s="523"/>
      <c r="C5" s="523"/>
      <c r="D5" s="295"/>
      <c r="E5" s="295"/>
      <c r="F5" s="295"/>
    </row>
    <row r="6" spans="1:6">
      <c r="A6" s="237" t="s">
        <v>16</v>
      </c>
      <c r="B6" s="237"/>
      <c r="C6" s="296" t="s">
        <v>10</v>
      </c>
    </row>
    <row r="7" spans="1:6">
      <c r="A7" s="240" t="s">
        <v>18</v>
      </c>
      <c r="B7" s="240"/>
      <c r="C7" s="297" t="s">
        <v>240</v>
      </c>
    </row>
    <row r="8" spans="1:6">
      <c r="A8" s="165">
        <v>1</v>
      </c>
      <c r="B8" s="240" t="s">
        <v>450</v>
      </c>
      <c r="C8" s="298">
        <f>7565982+851528-C36-C16</f>
        <v>8357294</v>
      </c>
      <c r="D8" t="s">
        <v>11</v>
      </c>
      <c r="E8" t="s">
        <v>11</v>
      </c>
    </row>
    <row r="9" spans="1:6">
      <c r="A9" s="165">
        <v>2</v>
      </c>
      <c r="B9" s="240" t="s">
        <v>451</v>
      </c>
      <c r="C9" s="263">
        <f>'EIA412 OP &amp; MAINT'!D31+'EIA412 OP &amp; MAINT'!C31</f>
        <v>6333543</v>
      </c>
    </row>
    <row r="10" spans="1:6">
      <c r="A10" s="165">
        <v>3</v>
      </c>
      <c r="B10" s="240" t="s">
        <v>452</v>
      </c>
      <c r="C10" s="263">
        <f>'EIA412 OP &amp; MAINT'!E31</f>
        <v>170453</v>
      </c>
    </row>
    <row r="11" spans="1:6">
      <c r="A11" s="232">
        <v>4</v>
      </c>
      <c r="B11" s="259" t="s">
        <v>453</v>
      </c>
      <c r="C11" s="484">
        <f>'EIA412 ELECTRIC PLANT'!J20</f>
        <v>1035517</v>
      </c>
      <c r="E11" s="230" t="s">
        <v>11</v>
      </c>
    </row>
    <row r="12" spans="1:6">
      <c r="A12" s="165">
        <v>5</v>
      </c>
      <c r="B12" s="240" t="s">
        <v>454</v>
      </c>
      <c r="C12" s="298">
        <v>0</v>
      </c>
    </row>
    <row r="13" spans="1:6">
      <c r="A13" s="165">
        <v>6</v>
      </c>
      <c r="B13" s="240" t="s">
        <v>455</v>
      </c>
      <c r="C13" s="263">
        <f>'EIA412 TAXES'!C18</f>
        <v>85000</v>
      </c>
      <c r="D13" t="s">
        <v>11</v>
      </c>
    </row>
    <row r="14" spans="1:6">
      <c r="A14" s="165">
        <v>7</v>
      </c>
      <c r="B14" s="240" t="s">
        <v>456</v>
      </c>
      <c r="C14" s="263">
        <f>SUM(C9:C13)</f>
        <v>7624513</v>
      </c>
    </row>
    <row r="15" spans="1:6">
      <c r="A15" s="232">
        <v>8</v>
      </c>
      <c r="B15" s="299" t="s">
        <v>457</v>
      </c>
      <c r="C15" s="264">
        <f>+C8-C14</f>
        <v>732781</v>
      </c>
      <c r="E15" s="230" t="s">
        <v>11</v>
      </c>
      <c r="F15" s="230" t="s">
        <v>11</v>
      </c>
    </row>
    <row r="16" spans="1:6">
      <c r="A16" s="165">
        <v>9</v>
      </c>
      <c r="B16" s="240" t="s">
        <v>458</v>
      </c>
      <c r="C16" s="300">
        <f>4270</f>
        <v>4270</v>
      </c>
      <c r="E16" s="371" t="s">
        <v>11</v>
      </c>
    </row>
    <row r="17" spans="1:7">
      <c r="A17" s="165">
        <v>10</v>
      </c>
      <c r="B17" s="240" t="s">
        <v>459</v>
      </c>
      <c r="C17" s="263">
        <f>+C16+C15</f>
        <v>737051</v>
      </c>
    </row>
    <row r="18" spans="1:7" ht="25.5">
      <c r="A18" s="165">
        <v>11</v>
      </c>
      <c r="B18" s="301" t="s">
        <v>460</v>
      </c>
      <c r="C18" s="298">
        <f>65648+571113+16100</f>
        <v>652861</v>
      </c>
      <c r="D18" t="s">
        <v>11</v>
      </c>
    </row>
    <row r="19" spans="1:7">
      <c r="A19" s="165">
        <v>12</v>
      </c>
      <c r="B19" s="240" t="s">
        <v>461</v>
      </c>
      <c r="C19" s="300">
        <v>0</v>
      </c>
      <c r="D19" t="s">
        <v>11</v>
      </c>
    </row>
    <row r="20" spans="1:7">
      <c r="A20" s="165">
        <v>13</v>
      </c>
      <c r="B20" s="240" t="s">
        <v>462</v>
      </c>
      <c r="C20" s="300">
        <v>0</v>
      </c>
    </row>
    <row r="21" spans="1:7">
      <c r="A21" s="165">
        <v>14</v>
      </c>
      <c r="B21" s="240" t="s">
        <v>463</v>
      </c>
      <c r="C21" s="300">
        <v>0</v>
      </c>
    </row>
    <row r="22" spans="1:7">
      <c r="A22" s="165">
        <v>15</v>
      </c>
      <c r="B22" s="302" t="s">
        <v>464</v>
      </c>
      <c r="C22" s="263">
        <f>+C17+C18-C19+C20-C21</f>
        <v>1389912</v>
      </c>
    </row>
    <row r="23" spans="1:7">
      <c r="A23" s="165">
        <v>16</v>
      </c>
      <c r="B23" s="240" t="s">
        <v>465</v>
      </c>
      <c r="C23" s="298">
        <f>'GLS2_Debt P&amp;I&amp;A '!O11</f>
        <v>130779</v>
      </c>
      <c r="D23" t="s">
        <v>11</v>
      </c>
    </row>
    <row r="24" spans="1:7">
      <c r="A24" s="165">
        <v>17</v>
      </c>
      <c r="B24" s="240" t="s">
        <v>466</v>
      </c>
      <c r="C24" s="298">
        <f>130779-C23</f>
        <v>0</v>
      </c>
    </row>
    <row r="25" spans="1:7">
      <c r="A25" s="165">
        <v>18</v>
      </c>
      <c r="B25" s="240" t="s">
        <v>467</v>
      </c>
      <c r="C25" s="300">
        <v>0</v>
      </c>
    </row>
    <row r="26" spans="1:7">
      <c r="A26" s="165">
        <v>19</v>
      </c>
      <c r="B26" s="302" t="s">
        <v>468</v>
      </c>
      <c r="C26" s="263">
        <f>SUM(C23:C25)</f>
        <v>130779</v>
      </c>
    </row>
    <row r="27" spans="1:7">
      <c r="A27" s="165">
        <v>20</v>
      </c>
      <c r="B27" s="302" t="s">
        <v>469</v>
      </c>
      <c r="C27" s="263">
        <f>+C22-C26</f>
        <v>1259133</v>
      </c>
      <c r="E27" s="230" t="s">
        <v>11</v>
      </c>
      <c r="F27" s="230" t="s">
        <v>11</v>
      </c>
    </row>
    <row r="28" spans="1:7">
      <c r="A28" s="165">
        <v>21</v>
      </c>
      <c r="B28" s="240" t="s">
        <v>470</v>
      </c>
      <c r="C28" s="300">
        <v>0</v>
      </c>
    </row>
    <row r="29" spans="1:7">
      <c r="A29" s="165">
        <v>22</v>
      </c>
      <c r="B29" s="240" t="s">
        <v>471</v>
      </c>
      <c r="C29" s="300">
        <f>799735</f>
        <v>799735</v>
      </c>
    </row>
    <row r="30" spans="1:7">
      <c r="A30" s="165">
        <v>23</v>
      </c>
      <c r="B30" s="302" t="s">
        <v>472</v>
      </c>
      <c r="C30" s="274">
        <f>+C27+C28-C29</f>
        <v>459398</v>
      </c>
      <c r="E30" s="230">
        <f>1259133-799735-C30</f>
        <v>0</v>
      </c>
      <c r="F30" s="230" t="s">
        <v>11</v>
      </c>
      <c r="G30" t="s">
        <v>11</v>
      </c>
    </row>
    <row r="31" spans="1:7">
      <c r="A31" s="165">
        <v>24</v>
      </c>
      <c r="B31" s="240" t="s">
        <v>473</v>
      </c>
      <c r="C31" s="300">
        <v>0</v>
      </c>
      <c r="F31" s="230" t="s">
        <v>11</v>
      </c>
    </row>
    <row r="32" spans="1:7">
      <c r="A32" s="165">
        <v>25</v>
      </c>
      <c r="B32" s="240" t="s">
        <v>474</v>
      </c>
      <c r="C32" s="300">
        <f>C23-'GLS2_Debt P&amp;I&amp;A '!N6</f>
        <v>720779</v>
      </c>
      <c r="E32" s="358" t="s">
        <v>11</v>
      </c>
    </row>
    <row r="33" spans="1:3">
      <c r="A33" s="165">
        <v>26</v>
      </c>
      <c r="B33" s="240" t="s">
        <v>475</v>
      </c>
      <c r="C33" s="300">
        <v>0</v>
      </c>
    </row>
    <row r="34" spans="1:3">
      <c r="A34" s="165">
        <v>27</v>
      </c>
      <c r="B34" s="240" t="s">
        <v>476</v>
      </c>
      <c r="C34" s="300">
        <v>0</v>
      </c>
    </row>
    <row r="35" spans="1:3">
      <c r="A35" s="165">
        <v>28</v>
      </c>
      <c r="B35" s="240" t="s">
        <v>477</v>
      </c>
      <c r="C35" s="354">
        <f>+C31+C32+C33+C34</f>
        <v>720779</v>
      </c>
    </row>
    <row r="36" spans="1:3">
      <c r="A36" s="165">
        <v>29</v>
      </c>
      <c r="B36" s="240" t="s">
        <v>478</v>
      </c>
      <c r="C36" s="300">
        <f>'EIA412 TAXES'!C31</f>
        <v>55946</v>
      </c>
    </row>
    <row r="37" spans="1:3">
      <c r="C37"/>
    </row>
    <row r="38" spans="1:3">
      <c r="A38" t="s">
        <v>479</v>
      </c>
      <c r="C38"/>
    </row>
    <row r="39" spans="1:3">
      <c r="A39" t="s">
        <v>480</v>
      </c>
      <c r="C39"/>
    </row>
    <row r="40" spans="1:3">
      <c r="C40"/>
    </row>
    <row r="41" spans="1:3">
      <c r="A41" t="s">
        <v>678</v>
      </c>
      <c r="C41"/>
    </row>
    <row r="42" spans="1:3">
      <c r="A42" t="s">
        <v>11</v>
      </c>
      <c r="C42"/>
    </row>
    <row r="43" spans="1:3">
      <c r="C43" s="303"/>
    </row>
    <row r="44" spans="1:3">
      <c r="C44" s="303"/>
    </row>
    <row r="45" spans="1:3">
      <c r="C45" s="303"/>
    </row>
    <row r="46" spans="1:3">
      <c r="C46" s="303"/>
    </row>
    <row r="47" spans="1:3">
      <c r="C47" s="303"/>
    </row>
    <row r="48" spans="1:3">
      <c r="C48" s="303"/>
    </row>
    <row r="49" spans="3:3">
      <c r="C49" s="303"/>
    </row>
    <row r="50" spans="3:3">
      <c r="C50" s="303"/>
    </row>
    <row r="51" spans="3:3">
      <c r="C51" s="303"/>
    </row>
    <row r="52" spans="3:3">
      <c r="C52" s="303"/>
    </row>
  </sheetData>
  <mergeCells count="4">
    <mergeCell ref="A1:C1"/>
    <mergeCell ref="A2:C2"/>
    <mergeCell ref="A3:C3"/>
    <mergeCell ref="A5:C5"/>
  </mergeCells>
  <phoneticPr fontId="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opLeftCell="A16" workbookViewId="0">
      <selection activeCell="G30" sqref="G30"/>
    </sheetView>
  </sheetViews>
  <sheetFormatPr defaultRowHeight="12.75"/>
  <cols>
    <col min="1" max="1" width="6.7109375" customWidth="1"/>
    <col min="2" max="2" width="38.5703125" customWidth="1"/>
    <col min="3" max="3" width="18.28515625" customWidth="1"/>
    <col min="4" max="6" width="15.7109375" customWidth="1"/>
    <col min="7" max="7" width="18.28515625" customWidth="1"/>
    <col min="8" max="8" width="14" bestFit="1" customWidth="1"/>
    <col min="9" max="9" width="14.5703125" customWidth="1"/>
    <col min="10" max="10" width="14.7109375" bestFit="1" customWidth="1"/>
    <col min="12" max="12" width="10.7109375" bestFit="1" customWidth="1"/>
  </cols>
  <sheetData>
    <row r="1" spans="1:10" ht="15">
      <c r="A1" s="524" t="str">
        <f>'EIA412 BALANCE SHEET'!A1:F1</f>
        <v>Glencoe</v>
      </c>
      <c r="B1" s="524"/>
      <c r="C1" s="524"/>
      <c r="D1" s="524"/>
      <c r="E1" s="524"/>
      <c r="F1" s="524"/>
      <c r="G1" s="524"/>
    </row>
    <row r="2" spans="1:10" ht="15">
      <c r="A2" s="521" t="s">
        <v>236</v>
      </c>
      <c r="B2" s="521"/>
      <c r="C2" s="521"/>
      <c r="D2" s="521"/>
      <c r="E2" s="521"/>
      <c r="F2" s="521"/>
      <c r="G2" s="521"/>
    </row>
    <row r="3" spans="1:10" s="371" customFormat="1" ht="15">
      <c r="A3" s="521" t="s">
        <v>632</v>
      </c>
      <c r="B3" s="521"/>
      <c r="C3" s="521"/>
      <c r="D3" s="521"/>
      <c r="E3" s="521"/>
      <c r="F3" s="521"/>
      <c r="G3" s="521"/>
    </row>
    <row r="4" spans="1:10" ht="15">
      <c r="A4" s="524">
        <f>'EIA412 BALANCE SHEET'!A3:F3</f>
        <v>42369</v>
      </c>
      <c r="B4" s="524"/>
      <c r="C4" s="524"/>
      <c r="D4" s="524"/>
      <c r="E4" s="524"/>
      <c r="F4" s="524"/>
      <c r="G4" s="524"/>
    </row>
    <row r="5" spans="1:10">
      <c r="A5" s="28"/>
      <c r="B5" s="28"/>
      <c r="C5" s="28"/>
    </row>
    <row r="6" spans="1:10" ht="15">
      <c r="A6" s="523" t="s">
        <v>243</v>
      </c>
      <c r="B6" s="523"/>
      <c r="C6" s="523"/>
      <c r="D6" s="523"/>
      <c r="E6" s="523"/>
      <c r="F6" s="523"/>
      <c r="G6" s="523"/>
    </row>
    <row r="7" spans="1:10">
      <c r="A7" s="220" t="s">
        <v>16</v>
      </c>
      <c r="B7" s="220"/>
      <c r="C7" s="220" t="s">
        <v>346</v>
      </c>
      <c r="D7" s="220"/>
      <c r="E7" s="220"/>
      <c r="F7" s="220"/>
      <c r="G7" s="220" t="s">
        <v>347</v>
      </c>
    </row>
    <row r="8" spans="1:10">
      <c r="A8" s="165" t="s">
        <v>18</v>
      </c>
      <c r="B8" s="165"/>
      <c r="C8" s="165" t="s">
        <v>348</v>
      </c>
      <c r="D8" s="165" t="s">
        <v>349</v>
      </c>
      <c r="E8" s="165" t="s">
        <v>350</v>
      </c>
      <c r="F8" s="165" t="s">
        <v>351</v>
      </c>
      <c r="G8" s="165" t="s">
        <v>348</v>
      </c>
    </row>
    <row r="9" spans="1:10" ht="20.100000000000001" customHeight="1">
      <c r="A9" s="178">
        <v>1</v>
      </c>
      <c r="B9" s="177" t="s">
        <v>352</v>
      </c>
      <c r="C9" s="221">
        <v>0</v>
      </c>
      <c r="D9" s="222">
        <v>0</v>
      </c>
      <c r="E9" s="222">
        <v>0</v>
      </c>
      <c r="F9" s="222">
        <v>0</v>
      </c>
      <c r="G9" s="223">
        <f>+C9+D9+E9+F9</f>
        <v>0</v>
      </c>
    </row>
    <row r="10" spans="1:10" ht="9.75" customHeight="1">
      <c r="A10" s="178"/>
      <c r="B10" s="210"/>
      <c r="C10" s="222"/>
      <c r="D10" s="222"/>
      <c r="E10" s="222"/>
      <c r="F10" s="222"/>
      <c r="G10" s="224"/>
    </row>
    <row r="11" spans="1:10" ht="20.100000000000001" customHeight="1">
      <c r="A11" s="178">
        <v>2</v>
      </c>
      <c r="B11" s="177" t="s">
        <v>353</v>
      </c>
      <c r="C11" s="225">
        <v>0</v>
      </c>
      <c r="D11" s="222">
        <v>0</v>
      </c>
      <c r="E11" s="222">
        <v>0</v>
      </c>
      <c r="F11" s="222">
        <v>0</v>
      </c>
      <c r="G11" s="223">
        <f>+C11+D11+E11+F11</f>
        <v>0</v>
      </c>
    </row>
    <row r="12" spans="1:10" ht="20.100000000000001" customHeight="1">
      <c r="A12" s="178">
        <v>3</v>
      </c>
      <c r="B12" s="177" t="s">
        <v>354</v>
      </c>
      <c r="C12" s="221">
        <v>0</v>
      </c>
      <c r="D12" s="222">
        <v>0</v>
      </c>
      <c r="E12" s="222">
        <v>0</v>
      </c>
      <c r="F12" s="222">
        <v>0</v>
      </c>
      <c r="G12" s="223">
        <f t="shared" ref="G12:G24" si="0">+C12+D12+E12+F12</f>
        <v>0</v>
      </c>
    </row>
    <row r="13" spans="1:10" ht="20.100000000000001" customHeight="1">
      <c r="A13" s="178">
        <v>4</v>
      </c>
      <c r="B13" s="177" t="s">
        <v>355</v>
      </c>
      <c r="C13" s="221">
        <v>0</v>
      </c>
      <c r="D13" s="222">
        <v>0</v>
      </c>
      <c r="E13" s="222">
        <v>0</v>
      </c>
      <c r="F13" s="222">
        <v>0</v>
      </c>
      <c r="G13" s="223">
        <f t="shared" si="0"/>
        <v>0</v>
      </c>
      <c r="I13" s="525">
        <v>2015</v>
      </c>
      <c r="J13" s="525"/>
    </row>
    <row r="14" spans="1:10" ht="15.75" customHeight="1">
      <c r="A14" s="178">
        <v>5</v>
      </c>
      <c r="B14" s="195" t="s">
        <v>633</v>
      </c>
      <c r="C14" s="451">
        <v>14820540</v>
      </c>
      <c r="D14" s="481">
        <f>'GL10_CAPITAL ASSETS'!P13</f>
        <v>0</v>
      </c>
      <c r="E14" s="481">
        <f>'GL10_CAPITAL ASSETS'!Q13</f>
        <v>0</v>
      </c>
      <c r="F14" s="481">
        <f>'GL10_CAPITAL ASSETS'!R13</f>
        <v>0</v>
      </c>
      <c r="G14" s="223">
        <f>C14+D14+E14+F14</f>
        <v>14820540</v>
      </c>
      <c r="I14" s="35" t="s">
        <v>356</v>
      </c>
      <c r="J14" s="36" t="s">
        <v>830</v>
      </c>
    </row>
    <row r="15" spans="1:10" ht="20.100000000000001" customHeight="1">
      <c r="A15" s="178">
        <v>6</v>
      </c>
      <c r="B15" s="210" t="s">
        <v>357</v>
      </c>
      <c r="C15" s="452">
        <v>14820540</v>
      </c>
      <c r="D15" s="482">
        <f>SUM(D11:D14)</f>
        <v>0</v>
      </c>
      <c r="E15" s="482">
        <f>SUM(E11:E14)</f>
        <v>0</v>
      </c>
      <c r="F15" s="482">
        <f>SUM(F11:F14)</f>
        <v>0</v>
      </c>
      <c r="G15" s="228">
        <f>SUM(G11:G14)</f>
        <v>14820540</v>
      </c>
      <c r="H15" s="162"/>
      <c r="I15" s="481">
        <f>'GL10_CAPITAL ASSETS'!T13</f>
        <v>11454387</v>
      </c>
      <c r="J15" s="481">
        <f>'GL10_CAPITAL ASSETS'!V13</f>
        <v>379297</v>
      </c>
    </row>
    <row r="16" spans="1:10" s="371" customFormat="1" ht="11.25" customHeight="1">
      <c r="A16" s="374"/>
      <c r="B16" s="210"/>
      <c r="C16" s="452"/>
      <c r="D16" s="482"/>
      <c r="E16" s="482"/>
      <c r="F16" s="482"/>
      <c r="G16" s="228"/>
      <c r="H16" s="162"/>
      <c r="I16" s="481"/>
      <c r="J16" s="481"/>
    </row>
    <row r="17" spans="1:10" ht="20.100000000000001" customHeight="1">
      <c r="A17" s="178">
        <v>7</v>
      </c>
      <c r="B17" s="177" t="s">
        <v>358</v>
      </c>
      <c r="C17" s="451">
        <v>9702416</v>
      </c>
      <c r="D17" s="481">
        <f>'GL10_CAPITAL ASSETS'!P15</f>
        <v>0</v>
      </c>
      <c r="E17" s="481">
        <f>'GL10_CAPITAL ASSETS'!Q15</f>
        <v>0</v>
      </c>
      <c r="F17" s="481">
        <v>0</v>
      </c>
      <c r="G17" s="223">
        <f>C17+D17-E17+F17</f>
        <v>9702416</v>
      </c>
      <c r="H17" s="162"/>
      <c r="I17" s="481">
        <f>'GL10_CAPITAL ASSETS'!T15</f>
        <v>1910447</v>
      </c>
      <c r="J17" s="481">
        <f>'GL10_CAPITAL ASSETS'!V15</f>
        <v>319865</v>
      </c>
    </row>
    <row r="18" spans="1:10" ht="20.100000000000001" customHeight="1">
      <c r="A18" s="178">
        <v>8</v>
      </c>
      <c r="B18" s="177" t="s">
        <v>359</v>
      </c>
      <c r="C18" s="451">
        <v>9759165</v>
      </c>
      <c r="D18" s="481">
        <f>'GL10_CAPITAL ASSETS'!P19</f>
        <v>429927</v>
      </c>
      <c r="E18" s="481">
        <f>'GL10_CAPITAL ASSETS'!Q19</f>
        <v>0</v>
      </c>
      <c r="F18" s="481">
        <f>-F17</f>
        <v>0</v>
      </c>
      <c r="G18" s="223">
        <f>C18+D18-E18+F18</f>
        <v>10189092</v>
      </c>
      <c r="H18" s="162"/>
      <c r="I18" s="481">
        <f>'GL10_CAPITAL ASSETS'!T19</f>
        <v>5767045</v>
      </c>
      <c r="J18" s="481">
        <f>'GL10_CAPITAL ASSETS'!V19</f>
        <v>260383</v>
      </c>
    </row>
    <row r="19" spans="1:10" ht="20.100000000000001" customHeight="1">
      <c r="A19" s="178">
        <v>9</v>
      </c>
      <c r="B19" s="177" t="s">
        <v>360</v>
      </c>
      <c r="C19" s="451">
        <v>1511860</v>
      </c>
      <c r="D19" s="481">
        <f>'GL10_CAPITAL ASSETS'!P32</f>
        <v>361090</v>
      </c>
      <c r="E19" s="481">
        <f>'GL10_CAPITAL ASSETS'!Q32</f>
        <v>-187207</v>
      </c>
      <c r="F19" s="481">
        <f>'GL10_CAPITAL ASSETS'!R32</f>
        <v>0</v>
      </c>
      <c r="G19" s="223">
        <f>C19+D19+E19+F19</f>
        <v>1685743</v>
      </c>
      <c r="H19" s="162"/>
      <c r="I19" s="481">
        <f>'GL10_CAPITAL ASSETS'!T32</f>
        <v>1012138</v>
      </c>
      <c r="J19" s="481">
        <f>'GL10_CAPITAL ASSETS'!V32</f>
        <v>75972</v>
      </c>
    </row>
    <row r="20" spans="1:10" ht="25.5">
      <c r="A20" s="178">
        <v>10</v>
      </c>
      <c r="B20" s="229" t="s">
        <v>361</v>
      </c>
      <c r="C20" s="453">
        <v>35793981</v>
      </c>
      <c r="D20" s="482">
        <f>SUM(D15:D19)</f>
        <v>791017</v>
      </c>
      <c r="E20" s="482">
        <f>SUM(E15:E19)</f>
        <v>-187207</v>
      </c>
      <c r="F20" s="482">
        <f>SUM(F15:F19)</f>
        <v>0</v>
      </c>
      <c r="G20" s="223">
        <f>SUM(C20:F20)</f>
        <v>36397791</v>
      </c>
      <c r="H20" s="230"/>
      <c r="I20" s="226">
        <f>SUM(I15:I19)</f>
        <v>20144017</v>
      </c>
      <c r="J20" s="226">
        <f>SUM(J15:J19)</f>
        <v>1035517</v>
      </c>
    </row>
    <row r="21" spans="1:10" s="371" customFormat="1" ht="9" customHeight="1">
      <c r="A21" s="374"/>
      <c r="B21" s="229"/>
      <c r="C21" s="227"/>
      <c r="D21" s="482"/>
      <c r="E21" s="482"/>
      <c r="F21" s="482"/>
      <c r="G21" s="223"/>
      <c r="H21" s="230"/>
      <c r="I21" s="226"/>
      <c r="J21" s="226"/>
    </row>
    <row r="22" spans="1:10" ht="20.100000000000001" customHeight="1">
      <c r="A22" s="178">
        <v>11</v>
      </c>
      <c r="B22" s="177" t="s">
        <v>362</v>
      </c>
      <c r="C22" s="221">
        <v>0</v>
      </c>
      <c r="D22" s="271">
        <v>0</v>
      </c>
      <c r="E22" s="271">
        <v>0</v>
      </c>
      <c r="F22" s="271">
        <v>0</v>
      </c>
      <c r="G22" s="223">
        <f t="shared" si="0"/>
        <v>0</v>
      </c>
      <c r="I22" s="230">
        <f>1009600+19134417</f>
        <v>20144017</v>
      </c>
      <c r="J22" t="s">
        <v>11</v>
      </c>
    </row>
    <row r="23" spans="1:10" ht="20.100000000000001" customHeight="1">
      <c r="A23" s="178">
        <v>12</v>
      </c>
      <c r="B23" s="177" t="s">
        <v>363</v>
      </c>
      <c r="C23" s="221">
        <v>0</v>
      </c>
      <c r="D23" s="271">
        <v>0</v>
      </c>
      <c r="E23" s="271">
        <v>0</v>
      </c>
      <c r="F23" s="271">
        <v>0</v>
      </c>
      <c r="G23" s="228">
        <f t="shared" si="0"/>
        <v>0</v>
      </c>
      <c r="I23" s="347" t="s">
        <v>11</v>
      </c>
      <c r="J23" s="347" t="s">
        <v>11</v>
      </c>
    </row>
    <row r="24" spans="1:10" ht="25.5">
      <c r="A24" s="178">
        <v>13</v>
      </c>
      <c r="B24" s="195" t="s">
        <v>364</v>
      </c>
      <c r="C24" s="221">
        <v>0</v>
      </c>
      <c r="D24" s="271">
        <v>0</v>
      </c>
      <c r="E24" s="271">
        <v>0</v>
      </c>
      <c r="F24" s="271">
        <v>0</v>
      </c>
      <c r="G24" s="223">
        <f t="shared" si="0"/>
        <v>0</v>
      </c>
      <c r="I24" t="s">
        <v>11</v>
      </c>
      <c r="J24" s="347" t="s">
        <v>11</v>
      </c>
    </row>
    <row r="25" spans="1:10" ht="25.5">
      <c r="A25" s="178">
        <v>14</v>
      </c>
      <c r="B25" s="229" t="s">
        <v>365</v>
      </c>
      <c r="C25" s="225">
        <v>35793981</v>
      </c>
      <c r="D25" s="483">
        <f>SUM(D20:D24)</f>
        <v>791017</v>
      </c>
      <c r="E25" s="483">
        <f>SUM(E20:E24)</f>
        <v>-187207</v>
      </c>
      <c r="F25" s="483">
        <f>SUM(F20:F24)</f>
        <v>0</v>
      </c>
      <c r="G25" s="223">
        <f>+C25+D25+E25+F25</f>
        <v>36397791</v>
      </c>
      <c r="I25" s="347">
        <f>G25-I20</f>
        <v>16253774</v>
      </c>
    </row>
    <row r="26" spans="1:10" s="371" customFormat="1" ht="9.75" customHeight="1">
      <c r="A26" s="374"/>
      <c r="B26" s="229"/>
      <c r="C26" s="225"/>
      <c r="D26" s="483"/>
      <c r="E26" s="483"/>
      <c r="F26" s="483"/>
      <c r="G26" s="223"/>
      <c r="I26" s="347"/>
    </row>
    <row r="27" spans="1:10" ht="20.100000000000001" customHeight="1">
      <c r="A27" s="178">
        <v>15</v>
      </c>
      <c r="B27" s="177" t="s">
        <v>366</v>
      </c>
      <c r="C27" s="222">
        <v>204352</v>
      </c>
      <c r="D27" s="271">
        <f>'GL10_CAPITAL ASSETS'!G24</f>
        <v>50079</v>
      </c>
      <c r="E27" s="271">
        <f>'GL10_CAPITAL ASSETS'!H24</f>
        <v>-234908</v>
      </c>
      <c r="F27" s="271">
        <v>0</v>
      </c>
      <c r="G27" s="223">
        <f>C27+D27+E27+F27</f>
        <v>19523</v>
      </c>
    </row>
    <row r="28" spans="1:10" ht="25.5">
      <c r="A28" s="178">
        <v>16</v>
      </c>
      <c r="B28" s="229" t="s">
        <v>367</v>
      </c>
      <c r="C28" s="223">
        <v>35998333</v>
      </c>
      <c r="D28" s="228">
        <f>SUM(D25:D27)</f>
        <v>841096</v>
      </c>
      <c r="E28" s="228">
        <f>SUM(E25:E27)</f>
        <v>-422115</v>
      </c>
      <c r="F28" s="228">
        <f>SUM(F25:F27)</f>
        <v>0</v>
      </c>
      <c r="G28" s="223">
        <f>+C28+D28+E28+F28</f>
        <v>36417314</v>
      </c>
      <c r="I28" s="230">
        <f>G28-I22</f>
        <v>16273297</v>
      </c>
    </row>
    <row r="29" spans="1:10" ht="20.100000000000001" customHeight="1">
      <c r="B29" s="371" t="s">
        <v>634</v>
      </c>
      <c r="C29" s="358" t="s">
        <v>11</v>
      </c>
      <c r="G29" s="230" t="s">
        <v>11</v>
      </c>
    </row>
    <row r="30" spans="1:10">
      <c r="G30" s="230">
        <f>34712051+19523+1685736-G28</f>
        <v>-4</v>
      </c>
    </row>
  </sheetData>
  <mergeCells count="6">
    <mergeCell ref="I13:J13"/>
    <mergeCell ref="A1:G1"/>
    <mergeCell ref="A2:G2"/>
    <mergeCell ref="A4:G4"/>
    <mergeCell ref="A6:G6"/>
    <mergeCell ref="A3:G3"/>
  </mergeCells>
  <phoneticPr fontId="3" type="noConversion"/>
  <pageMargins left="0.75" right="0.75" top="1" bottom="1" header="0.5" footer="0.5"/>
  <pageSetup scale="48"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13" workbookViewId="0">
      <selection activeCell="F18" sqref="F18"/>
    </sheetView>
  </sheetViews>
  <sheetFormatPr defaultRowHeight="12.75"/>
  <cols>
    <col min="2" max="2" width="86.140625" customWidth="1"/>
    <col min="3" max="3" width="15.7109375" bestFit="1" customWidth="1"/>
  </cols>
  <sheetData>
    <row r="1" spans="1:7" ht="15">
      <c r="A1" s="524" t="str">
        <f>'EIA412 BALANCE SHEET'!A1:F1</f>
        <v>Glencoe</v>
      </c>
      <c r="B1" s="524"/>
      <c r="C1" s="524"/>
      <c r="D1" s="231"/>
      <c r="E1" s="231"/>
      <c r="F1" s="231"/>
      <c r="G1" s="231"/>
    </row>
    <row r="2" spans="1:7" ht="15">
      <c r="A2" s="521" t="s">
        <v>236</v>
      </c>
      <c r="B2" s="521"/>
      <c r="C2" s="521"/>
      <c r="D2" s="63"/>
      <c r="E2" s="63"/>
      <c r="F2" s="63"/>
      <c r="G2" s="63"/>
    </row>
    <row r="3" spans="1:7" ht="15">
      <c r="A3" s="524">
        <f>'EIA412 BALANCE SHEET'!A3:F3</f>
        <v>42369</v>
      </c>
      <c r="B3" s="524"/>
      <c r="C3" s="524"/>
      <c r="D3" s="231"/>
      <c r="E3" s="231"/>
      <c r="F3" s="231"/>
      <c r="G3" s="231"/>
    </row>
    <row r="4" spans="1:7" ht="15">
      <c r="A4" s="219"/>
      <c r="B4" s="219"/>
      <c r="C4" s="219"/>
      <c r="D4" s="219"/>
      <c r="E4" s="219"/>
      <c r="F4" s="219"/>
      <c r="G4" s="219"/>
    </row>
    <row r="5" spans="1:7" ht="15">
      <c r="A5" s="219"/>
      <c r="B5" s="219"/>
      <c r="C5" s="219"/>
      <c r="D5" s="219"/>
      <c r="E5" s="219"/>
      <c r="F5" s="219"/>
      <c r="G5" s="219"/>
    </row>
    <row r="6" spans="1:7">
      <c r="A6" s="526" t="s">
        <v>368</v>
      </c>
      <c r="B6" s="527"/>
      <c r="C6" s="528"/>
    </row>
    <row r="7" spans="1:7">
      <c r="A7" s="27" t="s">
        <v>369</v>
      </c>
    </row>
    <row r="8" spans="1:7">
      <c r="A8" s="27" t="s">
        <v>241</v>
      </c>
    </row>
    <row r="9" spans="1:7">
      <c r="A9" s="526" t="s">
        <v>370</v>
      </c>
      <c r="B9" s="527"/>
      <c r="C9" s="528"/>
    </row>
    <row r="10" spans="1:7">
      <c r="A10" s="233">
        <v>1</v>
      </c>
      <c r="B10" s="233" t="s">
        <v>371</v>
      </c>
      <c r="C10" s="485">
        <v>85000</v>
      </c>
    </row>
    <row r="11" spans="1:7">
      <c r="A11" s="169">
        <v>2</v>
      </c>
      <c r="B11" s="169" t="s">
        <v>372</v>
      </c>
      <c r="C11" s="169"/>
    </row>
    <row r="12" spans="1:7">
      <c r="A12" s="169">
        <v>3</v>
      </c>
      <c r="B12" s="169" t="s">
        <v>373</v>
      </c>
      <c r="C12" s="234">
        <f>C10+C11</f>
        <v>85000</v>
      </c>
    </row>
    <row r="13" spans="1:7">
      <c r="A13" s="169">
        <v>4</v>
      </c>
      <c r="B13" s="169" t="s">
        <v>374</v>
      </c>
      <c r="C13" s="169"/>
    </row>
    <row r="14" spans="1:7">
      <c r="A14" s="169">
        <v>5</v>
      </c>
      <c r="B14" s="169" t="s">
        <v>375</v>
      </c>
      <c r="C14" s="169"/>
    </row>
    <row r="15" spans="1:7">
      <c r="A15" s="169">
        <v>6</v>
      </c>
      <c r="B15" s="169" t="s">
        <v>376</v>
      </c>
      <c r="C15" s="169">
        <f>C13+C14</f>
        <v>0</v>
      </c>
    </row>
    <row r="16" spans="1:7">
      <c r="A16" s="169">
        <v>7</v>
      </c>
      <c r="B16" s="169" t="s">
        <v>377</v>
      </c>
      <c r="C16" s="169"/>
    </row>
    <row r="17" spans="1:3">
      <c r="A17" s="169">
        <v>8</v>
      </c>
      <c r="B17" s="169" t="s">
        <v>378</v>
      </c>
      <c r="C17" s="169"/>
    </row>
    <row r="18" spans="1:3">
      <c r="A18" s="173">
        <v>9</v>
      </c>
      <c r="B18" s="173" t="s">
        <v>379</v>
      </c>
      <c r="C18" s="235">
        <f>C12+C15+C16+C17</f>
        <v>85000</v>
      </c>
    </row>
    <row r="19" spans="1:3">
      <c r="A19" s="526" t="s">
        <v>380</v>
      </c>
      <c r="B19" s="527"/>
      <c r="C19" s="528"/>
    </row>
    <row r="20" spans="1:3">
      <c r="A20" s="233">
        <v>10</v>
      </c>
      <c r="B20" s="236" t="s">
        <v>381</v>
      </c>
      <c r="C20" s="455">
        <f>55946</f>
        <v>55946</v>
      </c>
    </row>
    <row r="21" spans="1:3">
      <c r="A21" s="169">
        <v>11</v>
      </c>
      <c r="B21" s="238" t="s">
        <v>382</v>
      </c>
      <c r="C21" s="164"/>
    </row>
    <row r="22" spans="1:3">
      <c r="A22" s="169">
        <v>12</v>
      </c>
      <c r="B22" s="238" t="s">
        <v>383</v>
      </c>
      <c r="C22" s="164"/>
    </row>
    <row r="23" spans="1:3">
      <c r="A23" s="169">
        <v>13</v>
      </c>
      <c r="B23" s="238" t="s">
        <v>384</v>
      </c>
      <c r="C23" s="164"/>
    </row>
    <row r="24" spans="1:3">
      <c r="A24" s="173">
        <v>14</v>
      </c>
      <c r="B24" s="239" t="s">
        <v>385</v>
      </c>
      <c r="C24" s="456">
        <f>SUM(C20:C23)</f>
        <v>55946</v>
      </c>
    </row>
    <row r="25" spans="1:3">
      <c r="A25" s="526" t="s">
        <v>386</v>
      </c>
      <c r="B25" s="527"/>
      <c r="C25" s="528"/>
    </row>
    <row r="26" spans="1:3">
      <c r="A26" s="233">
        <v>15</v>
      </c>
      <c r="B26" s="233" t="s">
        <v>387</v>
      </c>
      <c r="C26" s="233"/>
    </row>
    <row r="27" spans="1:3">
      <c r="A27" s="169">
        <v>16</v>
      </c>
      <c r="B27" s="169" t="s">
        <v>388</v>
      </c>
      <c r="C27" s="169"/>
    </row>
    <row r="28" spans="1:3">
      <c r="A28" s="169">
        <v>17</v>
      </c>
      <c r="B28" s="169" t="s">
        <v>389</v>
      </c>
      <c r="C28" s="169"/>
    </row>
    <row r="29" spans="1:3">
      <c r="A29" s="169">
        <v>18</v>
      </c>
      <c r="B29" s="169" t="s">
        <v>384</v>
      </c>
      <c r="C29" s="169"/>
    </row>
    <row r="30" spans="1:3">
      <c r="A30" s="169">
        <v>19</v>
      </c>
      <c r="B30" s="169" t="s">
        <v>390</v>
      </c>
      <c r="C30" s="169">
        <f>SUM(C26:C29)</f>
        <v>0</v>
      </c>
    </row>
    <row r="31" spans="1:3" ht="27" customHeight="1">
      <c r="A31" s="173">
        <v>20</v>
      </c>
      <c r="B31" s="241" t="s">
        <v>391</v>
      </c>
      <c r="C31" s="457">
        <f>C24-C30</f>
        <v>55946</v>
      </c>
    </row>
  </sheetData>
  <mergeCells count="7">
    <mergeCell ref="A9:C9"/>
    <mergeCell ref="A19:C19"/>
    <mergeCell ref="A25:C25"/>
    <mergeCell ref="A1:C1"/>
    <mergeCell ref="A2:C2"/>
    <mergeCell ref="A3:C3"/>
    <mergeCell ref="A6:C6"/>
  </mergeCells>
  <phoneticPr fontId="3"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H24" sqref="H24"/>
    </sheetView>
  </sheetViews>
  <sheetFormatPr defaultRowHeight="12.75"/>
  <cols>
    <col min="1" max="1" width="6.7109375" customWidth="1"/>
    <col min="2" max="2" width="29.5703125" customWidth="1"/>
    <col min="3" max="3" width="18.7109375" customWidth="1"/>
    <col min="4" max="4" width="18.5703125" customWidth="1"/>
    <col min="5" max="6" width="15.7109375" customWidth="1"/>
    <col min="8" max="8" width="61" bestFit="1" customWidth="1"/>
  </cols>
  <sheetData>
    <row r="1" spans="1:7" ht="15">
      <c r="A1" s="524" t="str">
        <f>'EIA412 BALANCE SHEET'!A1:F1</f>
        <v>Glencoe</v>
      </c>
      <c r="B1" s="524"/>
      <c r="C1" s="524"/>
      <c r="D1" s="524"/>
      <c r="E1" s="524"/>
      <c r="F1" s="524"/>
      <c r="G1" s="71"/>
    </row>
    <row r="2" spans="1:7" ht="15">
      <c r="A2" s="521" t="s">
        <v>236</v>
      </c>
      <c r="B2" s="521"/>
      <c r="C2" s="521"/>
      <c r="D2" s="521"/>
      <c r="E2" s="521"/>
      <c r="F2" s="521"/>
      <c r="G2" s="71"/>
    </row>
    <row r="3" spans="1:7" ht="15">
      <c r="A3" s="524">
        <f>'EIA412 BALANCE SHEET'!A3:F3</f>
        <v>42369</v>
      </c>
      <c r="B3" s="524"/>
      <c r="C3" s="524"/>
      <c r="D3" s="524"/>
      <c r="E3" s="524"/>
      <c r="F3" s="524"/>
      <c r="G3" s="219"/>
    </row>
    <row r="5" spans="1:7">
      <c r="A5" s="531" t="s">
        <v>392</v>
      </c>
      <c r="B5" s="531"/>
      <c r="C5" s="531"/>
      <c r="D5" s="531"/>
      <c r="E5" s="531"/>
      <c r="F5" s="531"/>
    </row>
    <row r="6" spans="1:7">
      <c r="A6" s="163" t="s">
        <v>16</v>
      </c>
      <c r="B6" s="163"/>
      <c r="C6" s="163"/>
      <c r="D6" s="163"/>
      <c r="E6" s="163"/>
      <c r="F6" s="163"/>
    </row>
    <row r="7" spans="1:7" ht="13.5" thickBot="1">
      <c r="A7" s="165" t="s">
        <v>241</v>
      </c>
      <c r="B7" s="165"/>
      <c r="C7" s="163" t="s">
        <v>393</v>
      </c>
      <c r="D7" s="165" t="s">
        <v>394</v>
      </c>
      <c r="E7" s="165" t="s">
        <v>395</v>
      </c>
      <c r="F7" s="165" t="s">
        <v>7</v>
      </c>
    </row>
    <row r="8" spans="1:7">
      <c r="A8" s="164">
        <v>1</v>
      </c>
      <c r="B8" s="14" t="s">
        <v>396</v>
      </c>
      <c r="C8" s="242"/>
      <c r="D8" s="243"/>
      <c r="E8" s="243"/>
      <c r="F8" s="243"/>
    </row>
    <row r="9" spans="1:7">
      <c r="A9" s="240"/>
      <c r="B9" s="209" t="s">
        <v>397</v>
      </c>
      <c r="C9" s="244">
        <v>0</v>
      </c>
      <c r="D9" s="245">
        <v>0</v>
      </c>
      <c r="E9" s="245">
        <v>0</v>
      </c>
      <c r="F9" s="246">
        <f>SUM(C9:E9)</f>
        <v>0</v>
      </c>
    </row>
    <row r="10" spans="1:7" ht="25.5">
      <c r="A10" s="240">
        <v>2</v>
      </c>
      <c r="B10" s="247" t="s">
        <v>398</v>
      </c>
      <c r="C10" s="244">
        <v>0</v>
      </c>
      <c r="D10" s="245">
        <v>0</v>
      </c>
      <c r="E10" s="245">
        <v>0</v>
      </c>
      <c r="F10" s="246">
        <f>SUM(C10:E10)</f>
        <v>0</v>
      </c>
    </row>
    <row r="11" spans="1:7">
      <c r="A11" s="164">
        <v>3</v>
      </c>
      <c r="B11" s="14" t="s">
        <v>399</v>
      </c>
      <c r="C11" s="248"/>
      <c r="D11" s="243"/>
      <c r="E11" s="243"/>
      <c r="F11" s="243"/>
    </row>
    <row r="12" spans="1:7">
      <c r="A12" s="240"/>
      <c r="B12" s="209" t="s">
        <v>400</v>
      </c>
      <c r="C12" s="244">
        <v>0</v>
      </c>
      <c r="D12" s="245">
        <v>0</v>
      </c>
      <c r="E12" s="245">
        <v>0</v>
      </c>
      <c r="F12" s="246">
        <f>SUM(C12:E12)</f>
        <v>0</v>
      </c>
    </row>
    <row r="13" spans="1:7">
      <c r="A13" s="249">
        <v>4</v>
      </c>
      <c r="B13" s="250" t="s">
        <v>401</v>
      </c>
      <c r="C13" s="248"/>
      <c r="D13" s="243"/>
      <c r="E13" s="243"/>
      <c r="F13" s="243"/>
    </row>
    <row r="14" spans="1:7">
      <c r="A14" s="249"/>
      <c r="B14" s="251" t="s">
        <v>402</v>
      </c>
      <c r="C14" s="248"/>
      <c r="D14" s="243"/>
      <c r="E14" s="243"/>
      <c r="F14" s="243"/>
    </row>
    <row r="15" spans="1:7">
      <c r="A15" s="240"/>
      <c r="B15" s="252" t="s">
        <v>403</v>
      </c>
      <c r="C15" s="458">
        <f>86068</f>
        <v>86068</v>
      </c>
      <c r="D15" s="300">
        <f>375827</f>
        <v>375827</v>
      </c>
      <c r="E15" s="300">
        <f>11985+76233</f>
        <v>88218</v>
      </c>
      <c r="F15" s="246">
        <f>SUM(C15:E15)</f>
        <v>550113</v>
      </c>
    </row>
    <row r="16" spans="1:7">
      <c r="A16" s="253">
        <v>5</v>
      </c>
      <c r="B16" s="254" t="s">
        <v>404</v>
      </c>
      <c r="C16" s="255">
        <f>'EIA412 PURCHASED POWER'!G44</f>
        <v>4510857</v>
      </c>
      <c r="D16" s="256">
        <v>0</v>
      </c>
      <c r="E16" s="256">
        <v>0</v>
      </c>
      <c r="F16" s="257">
        <f>SUM(C16:E16)</f>
        <v>4510857</v>
      </c>
    </row>
    <row r="17" spans="1:9">
      <c r="A17" s="164">
        <v>6</v>
      </c>
      <c r="B17" s="14" t="s">
        <v>405</v>
      </c>
      <c r="C17" s="248"/>
      <c r="D17" s="243"/>
      <c r="E17" s="243"/>
      <c r="F17" s="243"/>
    </row>
    <row r="18" spans="1:9" ht="13.5" thickBot="1">
      <c r="A18" s="240"/>
      <c r="B18" s="209" t="s">
        <v>406</v>
      </c>
      <c r="C18" s="258">
        <v>0</v>
      </c>
      <c r="D18" s="245">
        <v>0</v>
      </c>
      <c r="E18" s="245">
        <v>0</v>
      </c>
      <c r="F18" s="246">
        <f>SUM(C18:E18)</f>
        <v>0</v>
      </c>
    </row>
    <row r="19" spans="1:9">
      <c r="A19" s="259">
        <v>7</v>
      </c>
      <c r="B19" s="259" t="s">
        <v>407</v>
      </c>
      <c r="C19" s="260">
        <f>C9+C10+C12+C15+C16+C18</f>
        <v>4596925</v>
      </c>
      <c r="D19" s="261">
        <f>SUM(D9:D18)</f>
        <v>375827</v>
      </c>
      <c r="E19" s="261">
        <f>SUM(E9:E18)</f>
        <v>88218</v>
      </c>
      <c r="F19" s="261">
        <f>SUM(C19:E19)</f>
        <v>5060970</v>
      </c>
      <c r="G19" t="s">
        <v>11</v>
      </c>
      <c r="H19" s="230" t="s">
        <v>11</v>
      </c>
      <c r="I19" s="230" t="s">
        <v>11</v>
      </c>
    </row>
    <row r="20" spans="1:9">
      <c r="A20" s="164">
        <v>8</v>
      </c>
      <c r="B20" s="164" t="s">
        <v>408</v>
      </c>
      <c r="C20" s="243"/>
      <c r="D20" s="243"/>
      <c r="E20" s="243"/>
      <c r="F20" s="243"/>
    </row>
    <row r="21" spans="1:9">
      <c r="A21" s="240"/>
      <c r="B21" s="240" t="s">
        <v>409</v>
      </c>
      <c r="C21" s="262" t="s">
        <v>410</v>
      </c>
      <c r="D21" s="300">
        <f>11711+42814+12244+0</f>
        <v>66769</v>
      </c>
      <c r="E21" s="300">
        <f>33967</f>
        <v>33967</v>
      </c>
      <c r="F21" s="263">
        <f>SUM(D21:E21)</f>
        <v>100736</v>
      </c>
      <c r="H21" t="s">
        <v>11</v>
      </c>
    </row>
    <row r="22" spans="1:9">
      <c r="A22" s="164">
        <v>9</v>
      </c>
      <c r="B22" s="164" t="s">
        <v>411</v>
      </c>
      <c r="C22" s="243"/>
      <c r="D22" s="459"/>
      <c r="E22" s="460"/>
      <c r="F22" s="243"/>
    </row>
    <row r="23" spans="1:9">
      <c r="A23" s="240"/>
      <c r="B23" s="240" t="s">
        <v>412</v>
      </c>
      <c r="C23" s="262" t="s">
        <v>410</v>
      </c>
      <c r="D23" s="461">
        <f>249273+17590</f>
        <v>266863</v>
      </c>
      <c r="E23" s="300">
        <f>39745</f>
        <v>39745</v>
      </c>
      <c r="F23" s="246">
        <f>SUM(D23:E23)</f>
        <v>306608</v>
      </c>
      <c r="H23" s="230" t="s">
        <v>11</v>
      </c>
    </row>
    <row r="24" spans="1:9">
      <c r="A24" s="164">
        <v>10</v>
      </c>
      <c r="B24" s="164" t="s">
        <v>413</v>
      </c>
      <c r="C24" s="243"/>
      <c r="D24" s="462"/>
      <c r="E24" s="462"/>
      <c r="F24" s="243"/>
    </row>
    <row r="25" spans="1:9">
      <c r="A25" s="240"/>
      <c r="B25" s="240" t="s">
        <v>414</v>
      </c>
      <c r="C25" s="262" t="s">
        <v>410</v>
      </c>
      <c r="D25" s="300">
        <f>182711</f>
        <v>182711</v>
      </c>
      <c r="E25" s="300">
        <v>0</v>
      </c>
      <c r="F25" s="246">
        <f>SUM(D25:E25)</f>
        <v>182711</v>
      </c>
    </row>
    <row r="26" spans="1:9">
      <c r="A26" s="164">
        <v>11</v>
      </c>
      <c r="B26" s="164" t="s">
        <v>415</v>
      </c>
      <c r="C26" s="243"/>
      <c r="D26" s="462"/>
      <c r="E26" s="462"/>
      <c r="F26" s="243"/>
    </row>
    <row r="27" spans="1:9">
      <c r="A27" s="240"/>
      <c r="B27" s="240" t="s">
        <v>416</v>
      </c>
      <c r="C27" s="262" t="s">
        <v>410</v>
      </c>
      <c r="D27" s="300">
        <f>118604</f>
        <v>118604</v>
      </c>
      <c r="E27" s="300">
        <v>0</v>
      </c>
      <c r="F27" s="246">
        <f>SUM(D27:E27)</f>
        <v>118604</v>
      </c>
    </row>
    <row r="28" spans="1:9">
      <c r="A28" s="259">
        <v>12</v>
      </c>
      <c r="B28" s="259" t="s">
        <v>417</v>
      </c>
      <c r="C28" s="262" t="s">
        <v>410</v>
      </c>
      <c r="D28" s="264"/>
      <c r="E28" s="264"/>
      <c r="F28" s="257"/>
    </row>
    <row r="29" spans="1:9">
      <c r="A29" s="259">
        <v>13</v>
      </c>
      <c r="B29" s="259" t="s">
        <v>418</v>
      </c>
      <c r="C29" s="262" t="s">
        <v>410</v>
      </c>
      <c r="D29" s="463">
        <f>852971-D27-E29</f>
        <v>725844</v>
      </c>
      <c r="E29" s="463">
        <f>8523</f>
        <v>8523</v>
      </c>
      <c r="F29" s="264">
        <f>SUM(D29:E29)</f>
        <v>734367</v>
      </c>
    </row>
    <row r="30" spans="1:9">
      <c r="A30" s="164">
        <v>14</v>
      </c>
      <c r="B30" s="164" t="s">
        <v>419</v>
      </c>
      <c r="C30" s="243"/>
      <c r="D30" s="243"/>
      <c r="E30" s="243"/>
      <c r="F30" s="243"/>
    </row>
    <row r="31" spans="1:9">
      <c r="A31" s="240"/>
      <c r="B31" s="240" t="s">
        <v>420</v>
      </c>
      <c r="C31" s="265">
        <f>C19</f>
        <v>4596925</v>
      </c>
      <c r="D31" s="266">
        <f>SUM(D19:D30)</f>
        <v>1736618</v>
      </c>
      <c r="E31" s="266">
        <f>SUM(E19:E30)</f>
        <v>170453</v>
      </c>
      <c r="F31" s="266">
        <f>SUM(F19:F30)</f>
        <v>6503996</v>
      </c>
      <c r="H31" t="s">
        <v>674</v>
      </c>
    </row>
    <row r="32" spans="1:9">
      <c r="C32" s="230"/>
      <c r="D32" s="230"/>
      <c r="E32" s="230"/>
      <c r="F32" s="230"/>
      <c r="H32" s="230">
        <f>7539513-1035517</f>
        <v>6503996</v>
      </c>
    </row>
    <row r="33" spans="2:8">
      <c r="B33" s="529" t="s">
        <v>421</v>
      </c>
      <c r="C33" s="530"/>
      <c r="D33" s="486">
        <v>14</v>
      </c>
      <c r="E33" s="230"/>
      <c r="H33" s="230" t="s">
        <v>11</v>
      </c>
    </row>
    <row r="34" spans="2:8">
      <c r="B34" s="239" t="s">
        <v>422</v>
      </c>
      <c r="C34" s="267"/>
      <c r="D34" s="300">
        <v>0</v>
      </c>
      <c r="E34" s="230"/>
      <c r="F34" s="230" t="s">
        <v>11</v>
      </c>
    </row>
    <row r="35" spans="2:8">
      <c r="C35" s="230"/>
      <c r="D35" s="230"/>
      <c r="E35" s="230"/>
      <c r="F35" s="230"/>
    </row>
  </sheetData>
  <mergeCells count="5">
    <mergeCell ref="B33:C33"/>
    <mergeCell ref="A1:F1"/>
    <mergeCell ref="A2:F2"/>
    <mergeCell ref="A3:F3"/>
    <mergeCell ref="A5:F5"/>
  </mergeCells>
  <phoneticPr fontId="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sqref="A1:H1"/>
    </sheetView>
  </sheetViews>
  <sheetFormatPr defaultRowHeight="12.75"/>
  <cols>
    <col min="2" max="2" width="21.7109375" customWidth="1"/>
    <col min="3" max="3" width="5.7109375" customWidth="1"/>
    <col min="4" max="8" width="12.7109375" customWidth="1"/>
    <col min="10" max="10" width="13.7109375" customWidth="1"/>
    <col min="12" max="12" width="14.7109375" customWidth="1"/>
  </cols>
  <sheetData>
    <row r="1" spans="1:11" ht="15">
      <c r="A1" s="524" t="str">
        <f>'EIA412 BALANCE SHEET'!A1:F1</f>
        <v>Glencoe</v>
      </c>
      <c r="B1" s="524"/>
      <c r="C1" s="524"/>
      <c r="D1" s="524"/>
      <c r="E1" s="524"/>
      <c r="F1" s="524"/>
      <c r="G1" s="524"/>
      <c r="H1" s="524"/>
    </row>
    <row r="2" spans="1:11" ht="15">
      <c r="A2" s="521" t="s">
        <v>236</v>
      </c>
      <c r="B2" s="521"/>
      <c r="C2" s="521"/>
      <c r="D2" s="521"/>
      <c r="E2" s="521"/>
      <c r="F2" s="521"/>
      <c r="G2" s="521"/>
      <c r="H2" s="521"/>
    </row>
    <row r="3" spans="1:11" ht="15">
      <c r="A3" s="524">
        <f>'EIA412 BALANCE SHEET'!A3:F3</f>
        <v>42369</v>
      </c>
      <c r="B3" s="524"/>
      <c r="C3" s="524"/>
      <c r="D3" s="524"/>
      <c r="E3" s="524"/>
      <c r="F3" s="524"/>
      <c r="G3" s="524"/>
      <c r="H3" s="524"/>
    </row>
    <row r="4" spans="1:11">
      <c r="A4" s="35"/>
    </row>
    <row r="5" spans="1:11">
      <c r="A5" s="531" t="s">
        <v>423</v>
      </c>
      <c r="B5" s="531"/>
      <c r="C5" s="531"/>
      <c r="D5" s="531"/>
      <c r="E5" s="531"/>
      <c r="F5" s="531"/>
      <c r="G5" s="531"/>
      <c r="H5" s="531"/>
    </row>
    <row r="6" spans="1:11">
      <c r="A6" s="220"/>
      <c r="B6" s="220"/>
      <c r="C6" s="220"/>
      <c r="D6" s="220" t="s">
        <v>424</v>
      </c>
      <c r="E6" s="220" t="s">
        <v>425</v>
      </c>
      <c r="F6" s="220" t="s">
        <v>426</v>
      </c>
      <c r="G6" s="220" t="s">
        <v>427</v>
      </c>
      <c r="H6" s="220" t="s">
        <v>428</v>
      </c>
    </row>
    <row r="7" spans="1:11">
      <c r="A7" s="163" t="s">
        <v>16</v>
      </c>
      <c r="B7" s="163"/>
      <c r="C7" s="163" t="s">
        <v>429</v>
      </c>
      <c r="D7" s="163" t="s">
        <v>430</v>
      </c>
      <c r="E7" s="163" t="s">
        <v>431</v>
      </c>
      <c r="F7" s="163" t="s">
        <v>432</v>
      </c>
      <c r="G7" s="163" t="s">
        <v>433</v>
      </c>
      <c r="H7" s="163" t="s">
        <v>434</v>
      </c>
    </row>
    <row r="8" spans="1:11">
      <c r="A8" s="165" t="s">
        <v>18</v>
      </c>
      <c r="B8" s="165" t="s">
        <v>435</v>
      </c>
      <c r="C8" s="165" t="s">
        <v>436</v>
      </c>
      <c r="D8" s="165" t="s">
        <v>437</v>
      </c>
      <c r="E8" s="165" t="s">
        <v>438</v>
      </c>
      <c r="F8" s="165" t="s">
        <v>439</v>
      </c>
      <c r="G8" s="165" t="s">
        <v>440</v>
      </c>
      <c r="H8" s="165" t="s">
        <v>439</v>
      </c>
    </row>
    <row r="9" spans="1:11">
      <c r="A9" s="178">
        <v>1</v>
      </c>
      <c r="B9" s="268"/>
      <c r="C9" s="269"/>
      <c r="D9" s="270">
        <v>0</v>
      </c>
      <c r="E9" s="271">
        <v>0</v>
      </c>
      <c r="F9" s="271">
        <v>0</v>
      </c>
      <c r="G9" s="270">
        <v>0</v>
      </c>
      <c r="H9" s="224">
        <f>SUM(F9:G9)</f>
        <v>0</v>
      </c>
      <c r="K9" s="160"/>
    </row>
    <row r="10" spans="1:11">
      <c r="A10" s="178">
        <v>2</v>
      </c>
      <c r="B10" s="268"/>
      <c r="C10" s="272"/>
      <c r="D10" s="270">
        <v>0</v>
      </c>
      <c r="E10" s="271">
        <v>0</v>
      </c>
      <c r="F10" s="271">
        <v>0</v>
      </c>
      <c r="G10" s="270">
        <v>0</v>
      </c>
      <c r="H10" s="224">
        <f>SUM(F10:G10)</f>
        <v>0</v>
      </c>
      <c r="K10" s="160"/>
    </row>
    <row r="11" spans="1:11">
      <c r="A11" s="178">
        <v>3</v>
      </c>
      <c r="B11" s="268"/>
      <c r="C11" s="269"/>
      <c r="D11" s="270">
        <v>0</v>
      </c>
      <c r="E11" s="271">
        <v>0</v>
      </c>
      <c r="F11" s="271">
        <v>0</v>
      </c>
      <c r="G11" s="270">
        <v>0</v>
      </c>
      <c r="H11" s="224">
        <f t="shared" ref="H11:H43" si="0">SUM(F11:G11)</f>
        <v>0</v>
      </c>
      <c r="K11" s="160"/>
    </row>
    <row r="12" spans="1:11">
      <c r="A12" s="178">
        <v>4</v>
      </c>
      <c r="B12" s="268"/>
      <c r="C12" s="269"/>
      <c r="D12" s="270">
        <v>0</v>
      </c>
      <c r="E12" s="271">
        <v>0</v>
      </c>
      <c r="F12" s="271">
        <v>0</v>
      </c>
      <c r="G12" s="270">
        <v>0</v>
      </c>
      <c r="H12" s="224">
        <f t="shared" si="0"/>
        <v>0</v>
      </c>
      <c r="K12" s="160"/>
    </row>
    <row r="13" spans="1:11">
      <c r="A13" s="178">
        <v>5</v>
      </c>
      <c r="B13" s="268"/>
      <c r="C13" s="269"/>
      <c r="D13" s="270">
        <v>0</v>
      </c>
      <c r="E13" s="271">
        <v>0</v>
      </c>
      <c r="F13" s="271">
        <v>0</v>
      </c>
      <c r="G13" s="270">
        <v>0</v>
      </c>
      <c r="H13" s="224">
        <f t="shared" si="0"/>
        <v>0</v>
      </c>
      <c r="K13" s="160"/>
    </row>
    <row r="14" spans="1:11">
      <c r="A14" s="178">
        <v>6</v>
      </c>
      <c r="B14" s="268"/>
      <c r="C14" s="269"/>
      <c r="D14" s="270">
        <v>0</v>
      </c>
      <c r="E14" s="271">
        <v>0</v>
      </c>
      <c r="F14" s="271">
        <v>0</v>
      </c>
      <c r="G14" s="271">
        <v>0</v>
      </c>
      <c r="H14" s="224">
        <f t="shared" si="0"/>
        <v>0</v>
      </c>
      <c r="K14" s="160"/>
    </row>
    <row r="15" spans="1:11">
      <c r="A15" s="178">
        <v>7</v>
      </c>
      <c r="B15" s="268"/>
      <c r="C15" s="269"/>
      <c r="D15" s="270">
        <v>0</v>
      </c>
      <c r="E15" s="271">
        <v>0</v>
      </c>
      <c r="F15" s="271">
        <v>0</v>
      </c>
      <c r="G15" s="271">
        <v>0</v>
      </c>
      <c r="H15" s="224">
        <f t="shared" si="0"/>
        <v>0</v>
      </c>
      <c r="K15" s="160"/>
    </row>
    <row r="16" spans="1:11">
      <c r="A16" s="178">
        <v>8</v>
      </c>
      <c r="B16" s="268"/>
      <c r="C16" s="269"/>
      <c r="D16" s="270">
        <v>0</v>
      </c>
      <c r="E16" s="271">
        <v>0</v>
      </c>
      <c r="F16" s="271">
        <v>0</v>
      </c>
      <c r="G16" s="271">
        <v>0</v>
      </c>
      <c r="H16" s="224">
        <f t="shared" si="0"/>
        <v>0</v>
      </c>
      <c r="K16" s="160"/>
    </row>
    <row r="17" spans="1:11">
      <c r="A17" s="178">
        <v>9</v>
      </c>
      <c r="B17" s="268"/>
      <c r="C17" s="269"/>
      <c r="D17" s="270">
        <v>0</v>
      </c>
      <c r="E17" s="271">
        <v>0</v>
      </c>
      <c r="F17" s="271">
        <v>0</v>
      </c>
      <c r="G17" s="271">
        <v>0</v>
      </c>
      <c r="H17" s="224">
        <f t="shared" si="0"/>
        <v>0</v>
      </c>
      <c r="K17" s="160"/>
    </row>
    <row r="18" spans="1:11">
      <c r="A18" s="178">
        <v>10</v>
      </c>
      <c r="B18" s="268"/>
      <c r="C18" s="269"/>
      <c r="D18" s="270">
        <v>0</v>
      </c>
      <c r="E18" s="271">
        <v>0</v>
      </c>
      <c r="F18" s="271">
        <v>0</v>
      </c>
      <c r="G18" s="271">
        <v>0</v>
      </c>
      <c r="H18" s="224">
        <f t="shared" si="0"/>
        <v>0</v>
      </c>
      <c r="K18" s="160"/>
    </row>
    <row r="19" spans="1:11">
      <c r="A19" s="178">
        <v>11</v>
      </c>
      <c r="B19" s="268"/>
      <c r="C19" s="269"/>
      <c r="D19" s="270">
        <v>0</v>
      </c>
      <c r="E19" s="271">
        <v>0</v>
      </c>
      <c r="F19" s="271">
        <v>0</v>
      </c>
      <c r="G19" s="271">
        <v>0</v>
      </c>
      <c r="H19" s="224">
        <f t="shared" si="0"/>
        <v>0</v>
      </c>
      <c r="K19" s="160"/>
    </row>
    <row r="20" spans="1:11">
      <c r="A20" s="178">
        <v>12</v>
      </c>
      <c r="B20" s="268"/>
      <c r="C20" s="269"/>
      <c r="D20" s="270">
        <v>0</v>
      </c>
      <c r="E20" s="271">
        <v>0</v>
      </c>
      <c r="F20" s="271">
        <v>0</v>
      </c>
      <c r="G20" s="271">
        <v>0</v>
      </c>
      <c r="H20" s="224">
        <f t="shared" si="0"/>
        <v>0</v>
      </c>
      <c r="K20" s="160"/>
    </row>
    <row r="21" spans="1:11">
      <c r="A21" s="178">
        <v>13</v>
      </c>
      <c r="B21" s="268"/>
      <c r="C21" s="269"/>
      <c r="D21" s="270">
        <v>0</v>
      </c>
      <c r="E21" s="271">
        <v>0</v>
      </c>
      <c r="F21" s="271">
        <v>0</v>
      </c>
      <c r="G21" s="271">
        <v>0</v>
      </c>
      <c r="H21" s="224">
        <f t="shared" si="0"/>
        <v>0</v>
      </c>
      <c r="K21" s="160"/>
    </row>
    <row r="22" spans="1:11">
      <c r="A22" s="178">
        <v>14</v>
      </c>
      <c r="B22" s="268"/>
      <c r="C22" s="269"/>
      <c r="D22" s="270">
        <v>0</v>
      </c>
      <c r="E22" s="271">
        <v>0</v>
      </c>
      <c r="F22" s="271">
        <v>0</v>
      </c>
      <c r="G22" s="271">
        <v>0</v>
      </c>
      <c r="H22" s="224">
        <f t="shared" si="0"/>
        <v>0</v>
      </c>
      <c r="J22" s="273"/>
    </row>
    <row r="23" spans="1:11">
      <c r="A23" s="178">
        <v>15</v>
      </c>
      <c r="B23" s="268"/>
      <c r="C23" s="269"/>
      <c r="D23" s="270">
        <v>0</v>
      </c>
      <c r="E23" s="271">
        <v>0</v>
      </c>
      <c r="F23" s="271">
        <v>0</v>
      </c>
      <c r="G23" s="271">
        <v>0</v>
      </c>
      <c r="H23" s="224">
        <f t="shared" si="0"/>
        <v>0</v>
      </c>
    </row>
    <row r="24" spans="1:11">
      <c r="A24" s="178">
        <v>16</v>
      </c>
      <c r="B24" s="268"/>
      <c r="C24" s="269"/>
      <c r="D24" s="270">
        <v>0</v>
      </c>
      <c r="E24" s="271">
        <v>0</v>
      </c>
      <c r="F24" s="271">
        <v>0</v>
      </c>
      <c r="G24" s="271">
        <v>0</v>
      </c>
      <c r="H24" s="224">
        <f t="shared" si="0"/>
        <v>0</v>
      </c>
    </row>
    <row r="25" spans="1:11">
      <c r="A25" s="178">
        <v>17</v>
      </c>
      <c r="B25" s="268"/>
      <c r="C25" s="269"/>
      <c r="D25" s="270">
        <v>0</v>
      </c>
      <c r="E25" s="271">
        <v>0</v>
      </c>
      <c r="F25" s="271">
        <v>0</v>
      </c>
      <c r="G25" s="271">
        <v>0</v>
      </c>
      <c r="H25" s="224">
        <f t="shared" si="0"/>
        <v>0</v>
      </c>
    </row>
    <row r="26" spans="1:11">
      <c r="A26" s="178">
        <v>18</v>
      </c>
      <c r="B26" s="268"/>
      <c r="C26" s="269"/>
      <c r="D26" s="270">
        <v>0</v>
      </c>
      <c r="E26" s="271">
        <v>0</v>
      </c>
      <c r="F26" s="271">
        <v>0</v>
      </c>
      <c r="G26" s="271">
        <v>0</v>
      </c>
      <c r="H26" s="224">
        <f t="shared" si="0"/>
        <v>0</v>
      </c>
    </row>
    <row r="27" spans="1:11">
      <c r="A27" s="178">
        <v>19</v>
      </c>
      <c r="B27" s="268"/>
      <c r="C27" s="269"/>
      <c r="D27" s="270">
        <v>0</v>
      </c>
      <c r="E27" s="271">
        <v>0</v>
      </c>
      <c r="F27" s="271">
        <v>0</v>
      </c>
      <c r="G27" s="271">
        <v>0</v>
      </c>
      <c r="H27" s="224">
        <f t="shared" si="0"/>
        <v>0</v>
      </c>
    </row>
    <row r="28" spans="1:11">
      <c r="A28" s="178">
        <v>20</v>
      </c>
      <c r="B28" s="268"/>
      <c r="C28" s="269"/>
      <c r="D28" s="270">
        <v>0</v>
      </c>
      <c r="E28" s="271">
        <v>0</v>
      </c>
      <c r="F28" s="271">
        <v>0</v>
      </c>
      <c r="G28" s="271">
        <v>0</v>
      </c>
      <c r="H28" s="224">
        <f t="shared" si="0"/>
        <v>0</v>
      </c>
    </row>
    <row r="29" spans="1:11">
      <c r="A29" s="178">
        <v>21</v>
      </c>
      <c r="B29" s="268"/>
      <c r="C29" s="269"/>
      <c r="D29" s="270">
        <v>0</v>
      </c>
      <c r="E29" s="271">
        <v>0</v>
      </c>
      <c r="F29" s="271">
        <v>0</v>
      </c>
      <c r="G29" s="271">
        <v>0</v>
      </c>
      <c r="H29" s="224">
        <f t="shared" si="0"/>
        <v>0</v>
      </c>
    </row>
    <row r="30" spans="1:11">
      <c r="A30" s="178">
        <v>22</v>
      </c>
      <c r="B30" s="268"/>
      <c r="C30" s="269"/>
      <c r="D30" s="271">
        <v>0</v>
      </c>
      <c r="E30" s="271">
        <v>0</v>
      </c>
      <c r="F30" s="271">
        <v>0</v>
      </c>
      <c r="G30" s="271">
        <v>0</v>
      </c>
      <c r="H30" s="224">
        <f t="shared" si="0"/>
        <v>0</v>
      </c>
    </row>
    <row r="31" spans="1:11">
      <c r="A31" s="178">
        <v>23</v>
      </c>
      <c r="B31" s="268"/>
      <c r="C31" s="269"/>
      <c r="D31" s="271">
        <v>0</v>
      </c>
      <c r="E31" s="271">
        <v>0</v>
      </c>
      <c r="F31" s="271">
        <v>0</v>
      </c>
      <c r="G31" s="271">
        <v>0</v>
      </c>
      <c r="H31" s="224">
        <f t="shared" si="0"/>
        <v>0</v>
      </c>
    </row>
    <row r="32" spans="1:11">
      <c r="A32" s="178">
        <v>24</v>
      </c>
      <c r="B32" s="268"/>
      <c r="C32" s="269"/>
      <c r="D32" s="271">
        <v>0</v>
      </c>
      <c r="E32" s="271">
        <v>0</v>
      </c>
      <c r="F32" s="271">
        <v>0</v>
      </c>
      <c r="G32" s="271">
        <v>0</v>
      </c>
      <c r="H32" s="224">
        <f t="shared" si="0"/>
        <v>0</v>
      </c>
    </row>
    <row r="33" spans="1:8">
      <c r="A33" s="178">
        <v>25</v>
      </c>
      <c r="B33" s="268"/>
      <c r="C33" s="269"/>
      <c r="D33" s="271">
        <v>0</v>
      </c>
      <c r="E33" s="271">
        <v>0</v>
      </c>
      <c r="F33" s="271">
        <v>0</v>
      </c>
      <c r="G33" s="271">
        <v>0</v>
      </c>
      <c r="H33" s="224">
        <f t="shared" si="0"/>
        <v>0</v>
      </c>
    </row>
    <row r="34" spans="1:8">
      <c r="A34" s="178">
        <v>26</v>
      </c>
      <c r="B34" s="268"/>
      <c r="C34" s="269"/>
      <c r="D34" s="271">
        <v>0</v>
      </c>
      <c r="E34" s="271">
        <v>0</v>
      </c>
      <c r="F34" s="271">
        <v>0</v>
      </c>
      <c r="G34" s="271">
        <v>0</v>
      </c>
      <c r="H34" s="224">
        <f t="shared" si="0"/>
        <v>0</v>
      </c>
    </row>
    <row r="35" spans="1:8">
      <c r="A35" s="178">
        <v>27</v>
      </c>
      <c r="B35" s="268"/>
      <c r="C35" s="269"/>
      <c r="D35" s="271">
        <v>0</v>
      </c>
      <c r="E35" s="271">
        <v>0</v>
      </c>
      <c r="F35" s="271">
        <v>0</v>
      </c>
      <c r="G35" s="271">
        <v>0</v>
      </c>
      <c r="H35" s="224">
        <f t="shared" si="0"/>
        <v>0</v>
      </c>
    </row>
    <row r="36" spans="1:8">
      <c r="A36" s="178">
        <v>28</v>
      </c>
      <c r="B36" s="268"/>
      <c r="C36" s="269"/>
      <c r="D36" s="271">
        <v>0</v>
      </c>
      <c r="E36" s="271">
        <v>0</v>
      </c>
      <c r="F36" s="271">
        <v>0</v>
      </c>
      <c r="G36" s="271">
        <v>0</v>
      </c>
      <c r="H36" s="224">
        <f t="shared" si="0"/>
        <v>0</v>
      </c>
    </row>
    <row r="37" spans="1:8">
      <c r="A37" s="178">
        <v>29</v>
      </c>
      <c r="B37" s="268"/>
      <c r="C37" s="269"/>
      <c r="D37" s="271">
        <v>0</v>
      </c>
      <c r="E37" s="271">
        <v>0</v>
      </c>
      <c r="F37" s="271">
        <v>0</v>
      </c>
      <c r="G37" s="271">
        <v>0</v>
      </c>
      <c r="H37" s="224">
        <f t="shared" si="0"/>
        <v>0</v>
      </c>
    </row>
    <row r="38" spans="1:8">
      <c r="A38" s="178">
        <v>30</v>
      </c>
      <c r="B38" s="268"/>
      <c r="C38" s="269"/>
      <c r="D38" s="271">
        <v>0</v>
      </c>
      <c r="E38" s="271">
        <v>0</v>
      </c>
      <c r="F38" s="271">
        <v>0</v>
      </c>
      <c r="G38" s="271">
        <v>0</v>
      </c>
      <c r="H38" s="224">
        <f t="shared" si="0"/>
        <v>0</v>
      </c>
    </row>
    <row r="39" spans="1:8">
      <c r="A39" s="178">
        <v>31</v>
      </c>
      <c r="B39" s="268"/>
      <c r="C39" s="269"/>
      <c r="D39" s="271">
        <v>0</v>
      </c>
      <c r="E39" s="271">
        <v>0</v>
      </c>
      <c r="F39" s="271">
        <v>0</v>
      </c>
      <c r="G39" s="271">
        <v>0</v>
      </c>
      <c r="H39" s="224">
        <f t="shared" si="0"/>
        <v>0</v>
      </c>
    </row>
    <row r="40" spans="1:8">
      <c r="A40" s="178">
        <v>32</v>
      </c>
      <c r="B40" s="268"/>
      <c r="C40" s="269"/>
      <c r="D40" s="271">
        <v>0</v>
      </c>
      <c r="E40" s="271">
        <v>0</v>
      </c>
      <c r="F40" s="271">
        <v>0</v>
      </c>
      <c r="G40" s="271">
        <v>0</v>
      </c>
      <c r="H40" s="224">
        <f t="shared" si="0"/>
        <v>0</v>
      </c>
    </row>
    <row r="41" spans="1:8">
      <c r="A41" s="178">
        <v>33</v>
      </c>
      <c r="B41" s="268"/>
      <c r="C41" s="269"/>
      <c r="D41" s="271">
        <v>0</v>
      </c>
      <c r="E41" s="271">
        <v>0</v>
      </c>
      <c r="F41" s="271">
        <v>0</v>
      </c>
      <c r="G41" s="271">
        <v>0</v>
      </c>
      <c r="H41" s="224">
        <f t="shared" si="0"/>
        <v>0</v>
      </c>
    </row>
    <row r="42" spans="1:8">
      <c r="A42" s="178">
        <v>34</v>
      </c>
      <c r="B42" s="268"/>
      <c r="C42" s="269"/>
      <c r="D42" s="271">
        <v>0</v>
      </c>
      <c r="E42" s="271">
        <v>0</v>
      </c>
      <c r="F42" s="271">
        <v>0</v>
      </c>
      <c r="G42" s="271">
        <v>0</v>
      </c>
      <c r="H42" s="224">
        <f t="shared" si="0"/>
        <v>0</v>
      </c>
    </row>
    <row r="43" spans="1:8">
      <c r="A43" s="178">
        <v>35</v>
      </c>
      <c r="B43" s="268"/>
      <c r="C43" s="269"/>
      <c r="D43" s="270">
        <v>0</v>
      </c>
      <c r="E43" s="270">
        <v>0</v>
      </c>
      <c r="F43" s="270">
        <v>0</v>
      </c>
      <c r="G43" s="270">
        <v>0</v>
      </c>
      <c r="H43" s="224">
        <f t="shared" si="0"/>
        <v>0</v>
      </c>
    </row>
    <row r="44" spans="1:8">
      <c r="A44" s="177"/>
      <c r="B44" s="177"/>
      <c r="C44" s="178"/>
      <c r="D44" s="224">
        <f>SUM(D9:D43)</f>
        <v>0</v>
      </c>
      <c r="E44" s="224">
        <f>SUM(E9:E43)</f>
        <v>0</v>
      </c>
      <c r="F44" s="224">
        <f>SUM(F9:F43)</f>
        <v>0</v>
      </c>
      <c r="G44" s="224">
        <f>SUM(G9:G43)</f>
        <v>0</v>
      </c>
      <c r="H44" s="224">
        <f>SUM(H9:H43)</f>
        <v>0</v>
      </c>
    </row>
    <row r="45" spans="1:8">
      <c r="D45" s="230"/>
      <c r="E45" s="230"/>
      <c r="F45" s="230"/>
      <c r="G45" s="230"/>
      <c r="H45" s="230"/>
    </row>
    <row r="46" spans="1:8">
      <c r="B46" s="14"/>
      <c r="D46" s="230"/>
      <c r="E46" s="230"/>
      <c r="F46" s="230" t="s">
        <v>11</v>
      </c>
      <c r="G46" s="230" t="s">
        <v>11</v>
      </c>
      <c r="H46" s="230"/>
    </row>
    <row r="47" spans="1:8">
      <c r="D47" s="230"/>
      <c r="E47" s="230"/>
      <c r="F47" s="230"/>
      <c r="G47" s="230"/>
      <c r="H47" s="230"/>
    </row>
    <row r="48" spans="1:8">
      <c r="D48" s="230"/>
      <c r="E48" s="230"/>
      <c r="F48" s="230"/>
      <c r="G48" s="230"/>
      <c r="H48" s="230"/>
    </row>
  </sheetData>
  <mergeCells count="4">
    <mergeCell ref="A1:H1"/>
    <mergeCell ref="A2:H2"/>
    <mergeCell ref="A3:H3"/>
    <mergeCell ref="A5:H5"/>
  </mergeCells>
  <phoneticPr fontId="3"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workbookViewId="0">
      <selection activeCell="J11" sqref="J11"/>
    </sheetView>
  </sheetViews>
  <sheetFormatPr defaultRowHeight="12.75"/>
  <cols>
    <col min="2" max="2" width="24.7109375" bestFit="1" customWidth="1"/>
    <col min="3" max="3" width="5.7109375" customWidth="1"/>
    <col min="4" max="7" width="12.7109375" customWidth="1"/>
    <col min="8" max="8" width="14" customWidth="1"/>
    <col min="9" max="9" width="11.28515625" bestFit="1" customWidth="1"/>
  </cols>
  <sheetData>
    <row r="1" spans="1:8" ht="15">
      <c r="A1" s="524" t="str">
        <f>'EIA412 BALANCE SHEET'!A1:F1</f>
        <v>Glencoe</v>
      </c>
      <c r="B1" s="524"/>
      <c r="C1" s="524"/>
      <c r="D1" s="524"/>
      <c r="E1" s="524"/>
      <c r="F1" s="524"/>
      <c r="G1" s="524"/>
      <c r="H1" s="524"/>
    </row>
    <row r="2" spans="1:8" ht="15">
      <c r="A2" s="521" t="s">
        <v>236</v>
      </c>
      <c r="B2" s="521"/>
      <c r="C2" s="521"/>
      <c r="D2" s="521"/>
      <c r="E2" s="521"/>
      <c r="F2" s="521"/>
      <c r="G2" s="521"/>
      <c r="H2" s="521"/>
    </row>
    <row r="3" spans="1:8" ht="15">
      <c r="A3" s="524">
        <f>'EIA412 BALANCE SHEET'!A3:F3</f>
        <v>42369</v>
      </c>
      <c r="B3" s="524"/>
      <c r="C3" s="524"/>
      <c r="D3" s="524"/>
      <c r="E3" s="524"/>
      <c r="F3" s="524"/>
      <c r="G3" s="524"/>
      <c r="H3" s="524"/>
    </row>
    <row r="4" spans="1:8">
      <c r="A4" s="35"/>
    </row>
    <row r="5" spans="1:8">
      <c r="A5" s="531" t="s">
        <v>441</v>
      </c>
      <c r="B5" s="531"/>
      <c r="C5" s="531"/>
      <c r="D5" s="531"/>
      <c r="E5" s="531"/>
      <c r="F5" s="531"/>
      <c r="G5" s="531"/>
      <c r="H5" s="531"/>
    </row>
    <row r="6" spans="1:8">
      <c r="A6" s="220"/>
      <c r="B6" s="220"/>
      <c r="C6" s="220"/>
      <c r="D6" s="220" t="s">
        <v>424</v>
      </c>
      <c r="E6" s="220" t="s">
        <v>425</v>
      </c>
      <c r="F6" s="220" t="s">
        <v>426</v>
      </c>
      <c r="G6" s="220" t="s">
        <v>427</v>
      </c>
      <c r="H6" s="220" t="s">
        <v>428</v>
      </c>
    </row>
    <row r="7" spans="1:8">
      <c r="A7" s="163" t="s">
        <v>16</v>
      </c>
      <c r="B7" s="163"/>
      <c r="C7" s="163" t="s">
        <v>429</v>
      </c>
      <c r="D7" s="163" t="s">
        <v>442</v>
      </c>
      <c r="E7" s="163" t="s">
        <v>431</v>
      </c>
      <c r="F7" s="163" t="s">
        <v>432</v>
      </c>
      <c r="G7" s="163" t="s">
        <v>433</v>
      </c>
      <c r="H7" s="163" t="s">
        <v>434</v>
      </c>
    </row>
    <row r="8" spans="1:8">
      <c r="A8" s="165" t="s">
        <v>18</v>
      </c>
      <c r="B8" s="165" t="s">
        <v>443</v>
      </c>
      <c r="C8" s="165" t="s">
        <v>436</v>
      </c>
      <c r="D8" s="165" t="s">
        <v>437</v>
      </c>
      <c r="E8" s="165" t="s">
        <v>438</v>
      </c>
      <c r="F8" s="165" t="s">
        <v>439</v>
      </c>
      <c r="G8" s="165" t="s">
        <v>440</v>
      </c>
      <c r="H8" s="165" t="s">
        <v>439</v>
      </c>
    </row>
    <row r="9" spans="1:8">
      <c r="A9" s="178">
        <v>1</v>
      </c>
      <c r="B9" s="268" t="s">
        <v>535</v>
      </c>
      <c r="C9" s="269" t="s">
        <v>444</v>
      </c>
      <c r="D9" s="271">
        <v>0</v>
      </c>
      <c r="E9" s="271">
        <v>0</v>
      </c>
      <c r="F9" s="271">
        <v>0</v>
      </c>
      <c r="G9" s="271">
        <f>4510857</f>
        <v>4510857</v>
      </c>
      <c r="H9" s="274">
        <f>SUM(F9:G9)</f>
        <v>4510857</v>
      </c>
    </row>
    <row r="10" spans="1:8">
      <c r="A10" s="178">
        <v>2</v>
      </c>
      <c r="B10" s="268"/>
      <c r="C10" s="269"/>
      <c r="D10" s="271">
        <v>0</v>
      </c>
      <c r="E10" s="271">
        <v>0</v>
      </c>
      <c r="F10" s="271">
        <v>0</v>
      </c>
      <c r="G10" s="271">
        <v>0</v>
      </c>
      <c r="H10" s="274">
        <f>SUM(F10:G10)</f>
        <v>0</v>
      </c>
    </row>
    <row r="11" spans="1:8">
      <c r="A11" s="178">
        <v>3</v>
      </c>
      <c r="B11" s="268"/>
      <c r="C11" s="269"/>
      <c r="D11" s="271">
        <v>0</v>
      </c>
      <c r="E11" s="271">
        <v>0</v>
      </c>
      <c r="F11" s="271">
        <v>0</v>
      </c>
      <c r="G11" s="271">
        <v>0</v>
      </c>
      <c r="H11" s="274">
        <f t="shared" ref="H11:H43" si="0">SUM(F11:G11)</f>
        <v>0</v>
      </c>
    </row>
    <row r="12" spans="1:8">
      <c r="A12" s="178">
        <v>4</v>
      </c>
      <c r="B12" s="268"/>
      <c r="C12" s="269"/>
      <c r="D12" s="271">
        <v>0</v>
      </c>
      <c r="E12" s="271">
        <v>0</v>
      </c>
      <c r="F12" s="271">
        <v>0</v>
      </c>
      <c r="G12" s="271">
        <v>0</v>
      </c>
      <c r="H12" s="274">
        <f t="shared" si="0"/>
        <v>0</v>
      </c>
    </row>
    <row r="13" spans="1:8">
      <c r="A13" s="178">
        <v>5</v>
      </c>
      <c r="B13" s="268"/>
      <c r="C13" s="269"/>
      <c r="D13" s="271">
        <v>0</v>
      </c>
      <c r="E13" s="271">
        <v>0</v>
      </c>
      <c r="F13" s="271">
        <v>0</v>
      </c>
      <c r="G13" s="271">
        <v>0</v>
      </c>
      <c r="H13" s="274">
        <f t="shared" si="0"/>
        <v>0</v>
      </c>
    </row>
    <row r="14" spans="1:8">
      <c r="A14" s="178">
        <v>6</v>
      </c>
      <c r="B14" s="268"/>
      <c r="C14" s="269"/>
      <c r="D14" s="271">
        <v>0</v>
      </c>
      <c r="E14" s="271">
        <v>0</v>
      </c>
      <c r="F14" s="271">
        <v>0</v>
      </c>
      <c r="G14" s="271">
        <v>0</v>
      </c>
      <c r="H14" s="274">
        <f t="shared" si="0"/>
        <v>0</v>
      </c>
    </row>
    <row r="15" spans="1:8">
      <c r="A15" s="178">
        <v>7</v>
      </c>
      <c r="B15" s="268"/>
      <c r="C15" s="269"/>
      <c r="D15" s="271">
        <v>0</v>
      </c>
      <c r="E15" s="271">
        <v>0</v>
      </c>
      <c r="F15" s="271">
        <v>0</v>
      </c>
      <c r="G15" s="271">
        <v>0</v>
      </c>
      <c r="H15" s="274">
        <f t="shared" si="0"/>
        <v>0</v>
      </c>
    </row>
    <row r="16" spans="1:8">
      <c r="A16" s="178">
        <v>8</v>
      </c>
      <c r="B16" s="268"/>
      <c r="C16" s="269"/>
      <c r="D16" s="271">
        <v>0</v>
      </c>
      <c r="E16" s="271">
        <v>0</v>
      </c>
      <c r="F16" s="271">
        <v>0</v>
      </c>
      <c r="G16" s="271">
        <v>0</v>
      </c>
      <c r="H16" s="274">
        <f t="shared" si="0"/>
        <v>0</v>
      </c>
    </row>
    <row r="17" spans="1:8">
      <c r="A17" s="178">
        <v>9</v>
      </c>
      <c r="B17" s="275"/>
      <c r="C17" s="276"/>
      <c r="D17" s="271">
        <v>0</v>
      </c>
      <c r="E17" s="271">
        <v>0</v>
      </c>
      <c r="F17" s="271">
        <v>0</v>
      </c>
      <c r="G17" s="271">
        <v>0</v>
      </c>
      <c r="H17" s="274">
        <f t="shared" si="0"/>
        <v>0</v>
      </c>
    </row>
    <row r="18" spans="1:8">
      <c r="A18" s="178">
        <v>10</v>
      </c>
      <c r="B18" s="268"/>
      <c r="C18" s="269"/>
      <c r="D18" s="271">
        <v>0</v>
      </c>
      <c r="E18" s="271">
        <v>0</v>
      </c>
      <c r="F18" s="271">
        <v>0</v>
      </c>
      <c r="G18" s="271">
        <v>0</v>
      </c>
      <c r="H18" s="274">
        <f t="shared" si="0"/>
        <v>0</v>
      </c>
    </row>
    <row r="19" spans="1:8">
      <c r="A19" s="178">
        <v>11</v>
      </c>
      <c r="B19" s="268"/>
      <c r="C19" s="269"/>
      <c r="D19" s="222">
        <v>0</v>
      </c>
      <c r="E19" s="271">
        <v>0</v>
      </c>
      <c r="F19" s="222">
        <v>0</v>
      </c>
      <c r="G19" s="222">
        <v>0</v>
      </c>
      <c r="H19" s="224">
        <f t="shared" si="0"/>
        <v>0</v>
      </c>
    </row>
    <row r="20" spans="1:8">
      <c r="A20" s="178">
        <v>12</v>
      </c>
      <c r="B20" s="268"/>
      <c r="C20" s="269"/>
      <c r="D20" s="222">
        <v>0</v>
      </c>
      <c r="E20" s="271">
        <v>0</v>
      </c>
      <c r="F20" s="222">
        <v>0</v>
      </c>
      <c r="G20" s="222">
        <v>0</v>
      </c>
      <c r="H20" s="224">
        <f t="shared" si="0"/>
        <v>0</v>
      </c>
    </row>
    <row r="21" spans="1:8">
      <c r="A21" s="178">
        <v>13</v>
      </c>
      <c r="B21" s="268"/>
      <c r="C21" s="269"/>
      <c r="D21" s="222">
        <v>0</v>
      </c>
      <c r="E21" s="271">
        <v>0</v>
      </c>
      <c r="F21" s="222">
        <v>0</v>
      </c>
      <c r="G21" s="222">
        <v>0</v>
      </c>
      <c r="H21" s="224">
        <f t="shared" si="0"/>
        <v>0</v>
      </c>
    </row>
    <row r="22" spans="1:8">
      <c r="A22" s="178">
        <v>14</v>
      </c>
      <c r="B22" s="268"/>
      <c r="C22" s="269"/>
      <c r="D22" s="222">
        <v>0</v>
      </c>
      <c r="E22" s="271">
        <v>0</v>
      </c>
      <c r="F22" s="222">
        <v>0</v>
      </c>
      <c r="G22" s="222">
        <v>0</v>
      </c>
      <c r="H22" s="224">
        <f t="shared" si="0"/>
        <v>0</v>
      </c>
    </row>
    <row r="23" spans="1:8">
      <c r="A23" s="178">
        <v>15</v>
      </c>
      <c r="B23" s="268"/>
      <c r="C23" s="269"/>
      <c r="D23" s="222">
        <v>0</v>
      </c>
      <c r="E23" s="271">
        <v>0</v>
      </c>
      <c r="F23" s="222">
        <v>0</v>
      </c>
      <c r="G23" s="222">
        <v>0</v>
      </c>
      <c r="H23" s="224">
        <f t="shared" si="0"/>
        <v>0</v>
      </c>
    </row>
    <row r="24" spans="1:8">
      <c r="A24" s="178">
        <v>16</v>
      </c>
      <c r="B24" s="268"/>
      <c r="C24" s="269"/>
      <c r="D24" s="222">
        <v>0</v>
      </c>
      <c r="E24" s="271">
        <v>0</v>
      </c>
      <c r="F24" s="222">
        <v>0</v>
      </c>
      <c r="G24" s="222">
        <v>0</v>
      </c>
      <c r="H24" s="224">
        <f t="shared" si="0"/>
        <v>0</v>
      </c>
    </row>
    <row r="25" spans="1:8">
      <c r="A25" s="178">
        <v>17</v>
      </c>
      <c r="B25" s="268"/>
      <c r="C25" s="269"/>
      <c r="D25" s="222">
        <v>0</v>
      </c>
      <c r="E25" s="271">
        <v>0</v>
      </c>
      <c r="F25" s="222">
        <v>0</v>
      </c>
      <c r="G25" s="222">
        <v>0</v>
      </c>
      <c r="H25" s="224">
        <f>SUM(G25:G25)</f>
        <v>0</v>
      </c>
    </row>
    <row r="26" spans="1:8">
      <c r="A26" s="178">
        <v>18</v>
      </c>
      <c r="B26" s="268"/>
      <c r="C26" s="269"/>
      <c r="D26" s="222">
        <v>0</v>
      </c>
      <c r="E26" s="271">
        <v>0</v>
      </c>
      <c r="F26" s="222">
        <v>0</v>
      </c>
      <c r="G26" s="222">
        <v>0</v>
      </c>
      <c r="H26" s="224">
        <f>SUM(G26:G26)</f>
        <v>0</v>
      </c>
    </row>
    <row r="27" spans="1:8">
      <c r="A27" s="178">
        <v>19</v>
      </c>
      <c r="B27" s="268"/>
      <c r="C27" s="269"/>
      <c r="D27" s="222">
        <v>0</v>
      </c>
      <c r="E27" s="222">
        <v>0</v>
      </c>
      <c r="F27" s="222">
        <v>0</v>
      </c>
      <c r="G27" s="222">
        <v>0</v>
      </c>
      <c r="H27" s="224">
        <f t="shared" si="0"/>
        <v>0</v>
      </c>
    </row>
    <row r="28" spans="1:8">
      <c r="A28" s="178">
        <v>20</v>
      </c>
      <c r="B28" s="268"/>
      <c r="C28" s="269"/>
      <c r="D28" s="222">
        <v>0</v>
      </c>
      <c r="E28" s="222">
        <v>0</v>
      </c>
      <c r="F28" s="222">
        <v>0</v>
      </c>
      <c r="G28" s="222">
        <v>0</v>
      </c>
      <c r="H28" s="224">
        <f t="shared" si="0"/>
        <v>0</v>
      </c>
    </row>
    <row r="29" spans="1:8">
      <c r="A29" s="178">
        <v>21</v>
      </c>
      <c r="B29" s="268"/>
      <c r="C29" s="269"/>
      <c r="D29" s="222">
        <v>0</v>
      </c>
      <c r="E29" s="222">
        <v>0</v>
      </c>
      <c r="F29" s="222">
        <v>0</v>
      </c>
      <c r="G29" s="222">
        <v>0</v>
      </c>
      <c r="H29" s="224">
        <f t="shared" si="0"/>
        <v>0</v>
      </c>
    </row>
    <row r="30" spans="1:8">
      <c r="A30" s="178">
        <v>22</v>
      </c>
      <c r="B30" s="268"/>
      <c r="C30" s="269"/>
      <c r="D30" s="222">
        <v>0</v>
      </c>
      <c r="E30" s="222">
        <v>0</v>
      </c>
      <c r="F30" s="222">
        <v>0</v>
      </c>
      <c r="G30" s="222">
        <v>0</v>
      </c>
      <c r="H30" s="224">
        <f t="shared" si="0"/>
        <v>0</v>
      </c>
    </row>
    <row r="31" spans="1:8">
      <c r="A31" s="178">
        <v>23</v>
      </c>
      <c r="B31" s="268"/>
      <c r="C31" s="269"/>
      <c r="D31" s="222">
        <v>0</v>
      </c>
      <c r="E31" s="222">
        <v>0</v>
      </c>
      <c r="F31" s="222">
        <v>0</v>
      </c>
      <c r="G31" s="222">
        <v>0</v>
      </c>
      <c r="H31" s="224">
        <f t="shared" si="0"/>
        <v>0</v>
      </c>
    </row>
    <row r="32" spans="1:8">
      <c r="A32" s="178">
        <v>24</v>
      </c>
      <c r="B32" s="268"/>
      <c r="C32" s="269"/>
      <c r="D32" s="222">
        <v>0</v>
      </c>
      <c r="E32" s="222">
        <v>0</v>
      </c>
      <c r="F32" s="222">
        <v>0</v>
      </c>
      <c r="G32" s="222">
        <v>0</v>
      </c>
      <c r="H32" s="224">
        <f t="shared" si="0"/>
        <v>0</v>
      </c>
    </row>
    <row r="33" spans="1:8">
      <c r="A33" s="178">
        <v>25</v>
      </c>
      <c r="B33" s="268"/>
      <c r="C33" s="269"/>
      <c r="D33" s="222">
        <v>0</v>
      </c>
      <c r="E33" s="222">
        <v>0</v>
      </c>
      <c r="F33" s="222">
        <v>0</v>
      </c>
      <c r="G33" s="222">
        <v>0</v>
      </c>
      <c r="H33" s="224">
        <f t="shared" si="0"/>
        <v>0</v>
      </c>
    </row>
    <row r="34" spans="1:8">
      <c r="A34" s="178">
        <v>26</v>
      </c>
      <c r="B34" s="268"/>
      <c r="C34" s="269"/>
      <c r="D34" s="222">
        <v>0</v>
      </c>
      <c r="E34" s="222">
        <v>0</v>
      </c>
      <c r="F34" s="222">
        <v>0</v>
      </c>
      <c r="G34" s="222">
        <v>0</v>
      </c>
      <c r="H34" s="224">
        <f t="shared" si="0"/>
        <v>0</v>
      </c>
    </row>
    <row r="35" spans="1:8">
      <c r="A35" s="178">
        <v>27</v>
      </c>
      <c r="B35" s="268"/>
      <c r="C35" s="269"/>
      <c r="D35" s="222">
        <v>0</v>
      </c>
      <c r="E35" s="222">
        <v>0</v>
      </c>
      <c r="F35" s="222">
        <v>0</v>
      </c>
      <c r="G35" s="222">
        <v>0</v>
      </c>
      <c r="H35" s="224">
        <f t="shared" si="0"/>
        <v>0</v>
      </c>
    </row>
    <row r="36" spans="1:8">
      <c r="A36" s="178">
        <v>28</v>
      </c>
      <c r="B36" s="268"/>
      <c r="C36" s="269"/>
      <c r="D36" s="222">
        <v>0</v>
      </c>
      <c r="E36" s="222">
        <v>0</v>
      </c>
      <c r="F36" s="222">
        <v>0</v>
      </c>
      <c r="G36" s="222">
        <v>0</v>
      </c>
      <c r="H36" s="224">
        <f t="shared" si="0"/>
        <v>0</v>
      </c>
    </row>
    <row r="37" spans="1:8">
      <c r="A37" s="178">
        <v>29</v>
      </c>
      <c r="B37" s="268"/>
      <c r="C37" s="269"/>
      <c r="D37" s="222">
        <v>0</v>
      </c>
      <c r="E37" s="222">
        <v>0</v>
      </c>
      <c r="F37" s="222">
        <v>0</v>
      </c>
      <c r="G37" s="222">
        <v>0</v>
      </c>
      <c r="H37" s="224">
        <f t="shared" si="0"/>
        <v>0</v>
      </c>
    </row>
    <row r="38" spans="1:8">
      <c r="A38" s="178">
        <v>30</v>
      </c>
      <c r="B38" s="268"/>
      <c r="C38" s="269"/>
      <c r="D38" s="222">
        <v>0</v>
      </c>
      <c r="E38" s="222">
        <v>0</v>
      </c>
      <c r="F38" s="222">
        <v>0</v>
      </c>
      <c r="G38" s="222">
        <v>0</v>
      </c>
      <c r="H38" s="224">
        <f t="shared" si="0"/>
        <v>0</v>
      </c>
    </row>
    <row r="39" spans="1:8">
      <c r="A39" s="178">
        <v>31</v>
      </c>
      <c r="B39" s="268"/>
      <c r="C39" s="269"/>
      <c r="D39" s="222">
        <v>0</v>
      </c>
      <c r="E39" s="222">
        <v>0</v>
      </c>
      <c r="F39" s="222">
        <v>0</v>
      </c>
      <c r="G39" s="222">
        <v>0</v>
      </c>
      <c r="H39" s="224">
        <f t="shared" si="0"/>
        <v>0</v>
      </c>
    </row>
    <row r="40" spans="1:8">
      <c r="A40" s="178">
        <v>32</v>
      </c>
      <c r="B40" s="268"/>
      <c r="C40" s="269"/>
      <c r="D40" s="222">
        <v>0</v>
      </c>
      <c r="E40" s="222">
        <v>0</v>
      </c>
      <c r="F40" s="222">
        <v>0</v>
      </c>
      <c r="G40" s="222">
        <v>0</v>
      </c>
      <c r="H40" s="224">
        <f t="shared" si="0"/>
        <v>0</v>
      </c>
    </row>
    <row r="41" spans="1:8">
      <c r="A41" s="178">
        <v>33</v>
      </c>
      <c r="B41" s="268"/>
      <c r="C41" s="269"/>
      <c r="D41" s="222">
        <v>0</v>
      </c>
      <c r="E41" s="222">
        <v>0</v>
      </c>
      <c r="F41" s="222">
        <v>0</v>
      </c>
      <c r="G41" s="222">
        <v>0</v>
      </c>
      <c r="H41" s="224">
        <f t="shared" si="0"/>
        <v>0</v>
      </c>
    </row>
    <row r="42" spans="1:8">
      <c r="A42" s="178">
        <v>34</v>
      </c>
      <c r="B42" s="268"/>
      <c r="C42" s="269"/>
      <c r="D42" s="222">
        <v>0</v>
      </c>
      <c r="E42" s="222">
        <v>0</v>
      </c>
      <c r="F42" s="222">
        <v>0</v>
      </c>
      <c r="G42" s="222">
        <v>0</v>
      </c>
      <c r="H42" s="224">
        <f t="shared" si="0"/>
        <v>0</v>
      </c>
    </row>
    <row r="43" spans="1:8">
      <c r="A43" s="178">
        <v>35</v>
      </c>
      <c r="B43" s="268"/>
      <c r="C43" s="269"/>
      <c r="D43" s="222">
        <v>0</v>
      </c>
      <c r="E43" s="222">
        <v>0</v>
      </c>
      <c r="F43" s="222">
        <v>0</v>
      </c>
      <c r="G43" s="222">
        <v>0</v>
      </c>
      <c r="H43" s="224">
        <f t="shared" si="0"/>
        <v>0</v>
      </c>
    </row>
    <row r="44" spans="1:8">
      <c r="A44" s="177"/>
      <c r="B44" s="177"/>
      <c r="C44" s="178"/>
      <c r="D44" s="224">
        <f>SUM(D9:D43)</f>
        <v>0</v>
      </c>
      <c r="E44" s="224">
        <f>SUM(E9:E43)</f>
        <v>0</v>
      </c>
      <c r="F44" s="224">
        <f>SUM(F9:F43)</f>
        <v>0</v>
      </c>
      <c r="G44" s="224">
        <f>SUM(G9:G43)</f>
        <v>4510857</v>
      </c>
      <c r="H44" s="224">
        <f>SUM(H9:H43)</f>
        <v>4510857</v>
      </c>
    </row>
    <row r="45" spans="1:8">
      <c r="D45" s="230"/>
      <c r="E45" s="230"/>
      <c r="F45" s="230"/>
      <c r="G45" s="230"/>
      <c r="H45" s="230"/>
    </row>
    <row r="46" spans="1:8">
      <c r="D46" s="230"/>
      <c r="E46" s="230"/>
      <c r="F46" s="230"/>
      <c r="G46" s="230"/>
      <c r="H46" s="230" t="s">
        <v>11</v>
      </c>
    </row>
    <row r="57" spans="8:9">
      <c r="I57" s="277"/>
    </row>
    <row r="64" spans="8:9">
      <c r="H64" s="278"/>
    </row>
    <row r="65" spans="8:8">
      <c r="H65" s="278"/>
    </row>
  </sheetData>
  <mergeCells count="4">
    <mergeCell ref="A1:H1"/>
    <mergeCell ref="A2:H2"/>
    <mergeCell ref="A3:H3"/>
    <mergeCell ref="A5:H5"/>
  </mergeCells>
  <phoneticPr fontId="3"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A27" sqref="A27"/>
    </sheetView>
  </sheetViews>
  <sheetFormatPr defaultRowHeight="12.75"/>
  <sheetData>
    <row r="1" spans="1:8" ht="15">
      <c r="A1" s="524" t="str">
        <f>'EIA412 BALANCE SHEET'!A1:F1</f>
        <v>Glencoe</v>
      </c>
      <c r="B1" s="524"/>
      <c r="C1" s="524"/>
      <c r="D1" s="524"/>
      <c r="E1" s="524"/>
      <c r="F1" s="524"/>
      <c r="G1" s="524"/>
      <c r="H1" s="524"/>
    </row>
    <row r="2" spans="1:8" ht="15">
      <c r="A2" s="521" t="s">
        <v>236</v>
      </c>
      <c r="B2" s="521"/>
      <c r="C2" s="521"/>
      <c r="D2" s="521"/>
      <c r="E2" s="521"/>
      <c r="F2" s="521"/>
      <c r="G2" s="521"/>
      <c r="H2" s="521"/>
    </row>
    <row r="3" spans="1:8" ht="15.75" thickBot="1">
      <c r="A3" s="524">
        <f>'EIA412 BALANCE SHEET'!A3:F3</f>
        <v>42369</v>
      </c>
      <c r="B3" s="524"/>
      <c r="C3" s="524"/>
      <c r="D3" s="524"/>
      <c r="E3" s="524"/>
      <c r="F3" s="524"/>
      <c r="G3" s="524"/>
      <c r="H3" s="524"/>
    </row>
    <row r="4" spans="1:8" ht="13.5" thickTop="1">
      <c r="A4" s="279"/>
      <c r="B4" s="279"/>
      <c r="C4" s="279"/>
      <c r="D4" s="279"/>
      <c r="E4" s="279"/>
      <c r="F4" s="279"/>
      <c r="G4" s="279"/>
      <c r="H4" s="280"/>
    </row>
    <row r="5" spans="1:8">
      <c r="H5" s="281"/>
    </row>
    <row r="6" spans="1:8">
      <c r="A6" s="34" t="s">
        <v>445</v>
      </c>
      <c r="H6" s="281"/>
    </row>
    <row r="8" spans="1:8">
      <c r="A8" s="370" t="s">
        <v>602</v>
      </c>
      <c r="B8" s="370"/>
      <c r="C8" s="370"/>
      <c r="D8" s="370"/>
      <c r="E8" s="370"/>
      <c r="F8" s="370"/>
      <c r="G8" s="370"/>
      <c r="H8" s="370"/>
    </row>
    <row r="9" spans="1:8">
      <c r="A9" s="370" t="s">
        <v>668</v>
      </c>
      <c r="B9" s="370"/>
      <c r="C9" s="370"/>
      <c r="D9" s="370"/>
      <c r="E9" s="370"/>
      <c r="F9" s="370"/>
      <c r="G9" s="370"/>
      <c r="H9" s="370"/>
    </row>
    <row r="10" spans="1:8">
      <c r="A10" s="367"/>
      <c r="B10" s="367"/>
      <c r="C10" s="367"/>
      <c r="D10" s="367"/>
      <c r="E10" s="367"/>
      <c r="F10" s="367"/>
      <c r="G10" s="367"/>
      <c r="H10" s="367"/>
    </row>
    <row r="11" spans="1:8">
      <c r="A11" s="370" t="s">
        <v>603</v>
      </c>
      <c r="B11" s="370"/>
      <c r="C11" s="370"/>
      <c r="D11" s="370"/>
      <c r="E11" s="370"/>
      <c r="F11" s="370"/>
      <c r="G11" s="370"/>
      <c r="H11" s="370"/>
    </row>
    <row r="12" spans="1:8">
      <c r="A12" s="370" t="s">
        <v>604</v>
      </c>
      <c r="B12" s="370"/>
      <c r="C12" s="370"/>
      <c r="D12" s="370"/>
      <c r="E12" s="370"/>
      <c r="F12" s="370"/>
      <c r="G12" s="370"/>
      <c r="H12" s="370"/>
    </row>
    <row r="13" spans="1:8">
      <c r="A13" s="370" t="s">
        <v>605</v>
      </c>
      <c r="B13" s="370"/>
      <c r="C13" s="370"/>
      <c r="D13" s="370"/>
      <c r="E13" s="370"/>
      <c r="F13" s="370"/>
      <c r="G13" s="370"/>
      <c r="H13" s="370"/>
    </row>
    <row r="14" spans="1:8">
      <c r="A14" s="367"/>
      <c r="B14" s="367"/>
      <c r="C14" s="367"/>
      <c r="D14" s="367"/>
      <c r="E14" s="367"/>
      <c r="F14" s="367"/>
      <c r="G14" s="367"/>
      <c r="H14" s="367"/>
    </row>
    <row r="15" spans="1:8">
      <c r="A15" s="370" t="s">
        <v>669</v>
      </c>
      <c r="B15" s="370"/>
      <c r="C15" s="370"/>
      <c r="D15" s="370"/>
      <c r="E15" s="370"/>
      <c r="F15" s="370"/>
      <c r="G15" s="370"/>
      <c r="H15" s="370"/>
    </row>
    <row r="16" spans="1:8">
      <c r="A16" s="367"/>
      <c r="B16" s="367"/>
      <c r="C16" s="367"/>
      <c r="D16" s="367"/>
      <c r="E16" s="367"/>
      <c r="F16" s="367"/>
      <c r="G16" s="367"/>
      <c r="H16" s="367"/>
    </row>
    <row r="17" spans="1:8">
      <c r="A17" s="370" t="s">
        <v>606</v>
      </c>
      <c r="B17" s="367"/>
      <c r="C17" s="367"/>
      <c r="D17" s="367"/>
      <c r="E17" s="367"/>
      <c r="F17" s="367"/>
      <c r="G17" s="367"/>
      <c r="H17" s="367"/>
    </row>
    <row r="18" spans="1:8">
      <c r="A18" s="367"/>
      <c r="B18" s="367"/>
      <c r="C18" s="367"/>
      <c r="D18" s="367"/>
      <c r="E18" s="367"/>
      <c r="F18" s="367"/>
      <c r="G18" s="367"/>
      <c r="H18" s="367"/>
    </row>
    <row r="19" spans="1:8">
      <c r="A19" s="370" t="s">
        <v>607</v>
      </c>
      <c r="B19" s="367"/>
      <c r="C19" s="367"/>
      <c r="D19" s="367"/>
      <c r="E19" s="367"/>
      <c r="F19" s="367"/>
      <c r="G19" s="367"/>
      <c r="H19" s="367"/>
    </row>
    <row r="20" spans="1:8">
      <c r="A20" s="370" t="s">
        <v>608</v>
      </c>
      <c r="B20" s="367"/>
      <c r="C20" s="367"/>
      <c r="D20" s="367"/>
      <c r="E20" s="367"/>
      <c r="F20" s="367"/>
      <c r="G20" s="367"/>
      <c r="H20" s="367"/>
    </row>
    <row r="21" spans="1:8">
      <c r="A21" s="370" t="s">
        <v>609</v>
      </c>
      <c r="B21" s="367"/>
      <c r="C21" s="367"/>
      <c r="D21" s="367"/>
      <c r="E21" s="367"/>
      <c r="F21" s="367"/>
      <c r="G21" s="367"/>
      <c r="H21" s="367"/>
    </row>
    <row r="22" spans="1:8">
      <c r="A22" s="370" t="s">
        <v>601</v>
      </c>
      <c r="B22" s="367"/>
      <c r="C22" s="367"/>
      <c r="D22" s="367"/>
      <c r="E22" s="367"/>
      <c r="F22" s="367"/>
      <c r="G22" s="367"/>
      <c r="H22" s="367"/>
    </row>
  </sheetData>
  <mergeCells count="3">
    <mergeCell ref="A1:H1"/>
    <mergeCell ref="A2:H2"/>
    <mergeCell ref="A3:H3"/>
  </mergeCells>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Attachment O</vt:lpstr>
      <vt:lpstr>EIA412 BALANCE SHEET</vt:lpstr>
      <vt:lpstr>EIA412 INCOME STATEMENT</vt:lpstr>
      <vt:lpstr>EIA412 ELECTRIC PLANT</vt:lpstr>
      <vt:lpstr>EIA412 TAXES</vt:lpstr>
      <vt:lpstr>EIA412 OP &amp; MAINT</vt:lpstr>
      <vt:lpstr>EIA412 SALES FOR RESALE</vt:lpstr>
      <vt:lpstr>EIA412 PURCHASED POWER</vt:lpstr>
      <vt:lpstr>EIA412 NOTES</vt:lpstr>
      <vt:lpstr>GLS1_Salary and Wages Allocator</vt:lpstr>
      <vt:lpstr>GLS2_Debt P&amp;I&amp;A </vt:lpstr>
      <vt:lpstr>GL8_15 CP Load Data</vt:lpstr>
      <vt:lpstr>GL9_Payment in Lieu of Taxes</vt:lpstr>
      <vt:lpstr>GL10_CAPITAL ASSETS</vt:lpstr>
      <vt:lpstr>TARIFF RECEIPTS</vt:lpstr>
      <vt:lpstr>Sheet2</vt:lpstr>
      <vt:lpstr>'Attachment O'!Print_Area</vt:lpstr>
      <vt:lpstr>'GL8_15 CP Load Data'!Print_Area</vt:lpstr>
      <vt:lpstr>'GLS1_Salary and Wages Allocator'!Print_Area</vt:lpstr>
      <vt:lpstr>'GLS2_Debt P&amp;I&amp;A '!Print_Area</vt:lpstr>
    </vt:vector>
  </TitlesOfParts>
  <Company>MCR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Kennedy</dc:creator>
  <cp:lastModifiedBy>Larry Blaine</cp:lastModifiedBy>
  <cp:lastPrinted>2016-03-24T19:37:11Z</cp:lastPrinted>
  <dcterms:created xsi:type="dcterms:W3CDTF">2006-06-21T16:23:08Z</dcterms:created>
  <dcterms:modified xsi:type="dcterms:W3CDTF">2016-04-06T20:17:43Z</dcterms:modified>
</cp:coreProperties>
</file>