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K:\CPK Attachment O posting files\2019 Posting\Elk River\Data to MISO\"/>
    </mc:Choice>
  </mc:AlternateContent>
  <xr:revisionPtr revIDLastSave="0" documentId="8_{4CEFB3DF-4137-46F9-ACBB-6F4E2701F8BD}" xr6:coauthVersionLast="36" xr6:coauthVersionMax="36" xr10:uidLastSave="{00000000-0000-0000-0000-000000000000}"/>
  <bookViews>
    <workbookView xWindow="0" yWindow="0" windowWidth="21570" windowHeight="7980" tabRatio="723" xr2:uid="{00000000-000D-0000-FFFF-FFFF00000000}"/>
  </bookViews>
  <sheets>
    <sheet name="Nonlevelized_EIA412" sheetId="1" r:id="rId1"/>
    <sheet name="412BS" sheetId="4" r:id="rId2"/>
    <sheet name="412IS" sheetId="5" r:id="rId3"/>
    <sheet name="412Plant" sheetId="6" r:id="rId4"/>
    <sheet name="412OM" sheetId="8" r:id="rId5"/>
    <sheet name="412Notes" sheetId="9" r:id="rId6"/>
    <sheet name="S1_Plant" sheetId="16" r:id="rId7"/>
    <sheet name="S2_Debt" sheetId="11" r:id="rId8"/>
    <sheet name="S3_Labor" sheetId="13" r:id="rId9"/>
    <sheet name="S4_TransOM" sheetId="12" r:id="rId10"/>
    <sheet name="S5_A&amp;G" sheetId="17" r:id="rId11"/>
    <sheet name="S6_Other" sheetId="18" r:id="rId12"/>
    <sheet name="Rev_7&amp;8" sheetId="19" r:id="rId13"/>
    <sheet name="Rev_9" sheetId="20" r:id="rId14"/>
    <sheet name="PeakLoad" sheetId="21" r:id="rId15"/>
  </sheets>
  <definedNames>
    <definedName name="AdminGeneralTotal">'S5_A&amp;G'!$B$5</definedName>
    <definedName name="AdminLabor">S3_Labor!$C$10</definedName>
    <definedName name="AttachO_Fees">S6_Other!$B$16</definedName>
    <definedName name="AveragePeak">PeakLoad!$B$5</definedName>
    <definedName name="CapitalizedLabor">S3_Labor!#REF!</definedName>
    <definedName name="CustomerAccountExpenses">'S5_A&amp;G'!$C$29</definedName>
    <definedName name="CWIP">S1_Plant!$G$12</definedName>
    <definedName name="Debt">S2_Debt!$B$6</definedName>
    <definedName name="DistributionLabor">S3_Labor!$C$8</definedName>
    <definedName name="DistributionPlant">S1_Plant!$G$9</definedName>
    <definedName name="DistributionPlantAD">S1_Plant!$L$9</definedName>
    <definedName name="ElectricRent">'412IS'!$C$17</definedName>
    <definedName name="EntityName">'412BS'!$A$1</definedName>
    <definedName name="Equity">'412BS'!$F$12</definedName>
    <definedName name="FilingDate">'412BS'!$A$4</definedName>
    <definedName name="GeneralDepreciation">S1_Plant!$I$10</definedName>
    <definedName name="GeneralPlant">S1_Plant!$G$10</definedName>
    <definedName name="GeneralPlantAD">S1_Plant!$L$10</definedName>
    <definedName name="InterestExpense">S2_Debt!$B$5</definedName>
    <definedName name="LaborTotal">S3_Labor!$C$11</definedName>
    <definedName name="LaborTotalNoAdmin">S3_Labor!$D$11</definedName>
    <definedName name="NetworkRevenue">Rev_9!$E$18</definedName>
    <definedName name="NonNetworkRevenue">'Rev_7&amp;8'!$E$32</definedName>
    <definedName name="OtherLabor">S3_Labor!$C$9</definedName>
    <definedName name="PayrollTaxes">S6_Other!$B$10</definedName>
    <definedName name="PILOT">S6_Other!$B$5</definedName>
    <definedName name="Prepayments">'412BS'!$C$43</definedName>
    <definedName name="_xlnm.Print_Area" localSheetId="0">Nonlevelized_EIA412!$A$1:$K$316</definedName>
    <definedName name="ProductionLabor">S3_Labor!$C$6</definedName>
    <definedName name="ProductionPlant">S1_Plant!$G$7</definedName>
    <definedName name="ProductionPlantAD">S1_Plant!$L$7</definedName>
    <definedName name="QB_COLUMN_1" localSheetId="12" hidden="1">'Rev_7&amp;8'!#REF!</definedName>
    <definedName name="QB_COLUMN_14" localSheetId="12" hidden="1">'Rev_7&amp;8'!#REF!</definedName>
    <definedName name="QB_COLUMN_140" localSheetId="12" hidden="1">'Rev_7&amp;8'!#REF!</definedName>
    <definedName name="QB_COLUMN_26" localSheetId="12" hidden="1">'Rev_7&amp;8'!#REF!</definedName>
    <definedName name="QB_COLUMN_27" localSheetId="12" hidden="1">'Rev_7&amp;8'!#REF!</definedName>
    <definedName name="QB_COLUMN_3" localSheetId="12" hidden="1">'Rev_7&amp;8'!#REF!</definedName>
    <definedName name="QB_COLUMN_30" localSheetId="12" hidden="1">'Rev_7&amp;8'!#REF!</definedName>
    <definedName name="QB_COLUMN_31" localSheetId="12" hidden="1">'Rev_7&amp;8'!#REF!</definedName>
    <definedName name="QB_COLUMN_4" localSheetId="12" hidden="1">'Rev_7&amp;8'!#REF!</definedName>
    <definedName name="QB_COLUMN_5" localSheetId="12" hidden="1">'Rev_7&amp;8'!#REF!</definedName>
    <definedName name="QB_COLUMN_7" localSheetId="12" hidden="1">'Rev_7&amp;8'!#REF!</definedName>
    <definedName name="QB_COLUMN_8" localSheetId="12" hidden="1">'Rev_7&amp;8'!#REF!</definedName>
    <definedName name="QB_DATA_0" localSheetId="12" hidden="1">'Rev_7&amp;8'!$5:$5,'Rev_7&amp;8'!$6:$6,'Rev_7&amp;8'!$7:$7,'Rev_7&amp;8'!$8:$8,'Rev_7&amp;8'!$9:$9,'Rev_7&amp;8'!$10:$10,'Rev_7&amp;8'!$11:$11,'Rev_7&amp;8'!$12:$12,'Rev_7&amp;8'!$13:$13,'Rev_7&amp;8'!$14:$14,'Rev_7&amp;8'!$15:$15,'Rev_7&amp;8'!$16:$16,'Rev_7&amp;8'!#REF!,'Rev_7&amp;8'!#REF!,'Rev_7&amp;8'!#REF!,'Rev_7&amp;8'!#REF!</definedName>
    <definedName name="QB_DATA_1" localSheetId="12" hidden="1">'Rev_7&amp;8'!#REF!,'Rev_7&amp;8'!#REF!,'Rev_7&amp;8'!#REF!,'Rev_7&amp;8'!#REF!,'Rev_7&amp;8'!#REF!,'Rev_7&amp;8'!#REF!,'Rev_7&amp;8'!#REF!,'Rev_7&amp;8'!#REF!,'Rev_7&amp;8'!$19:$19,'Rev_7&amp;8'!$20:$20,'Rev_7&amp;8'!$21:$21,'Rev_7&amp;8'!$22:$22,'Rev_7&amp;8'!$23:$23,'Rev_7&amp;8'!$24:$24,'Rev_7&amp;8'!$25:$25,'Rev_7&amp;8'!$26:$26</definedName>
    <definedName name="QB_DATA_2" localSheetId="12" hidden="1">'Rev_7&amp;8'!$27:$27,'Rev_7&amp;8'!$28:$28,'Rev_7&amp;8'!$29:$29,'Rev_7&amp;8'!$30:$30,'Rev_7&amp;8'!#REF!,'Rev_7&amp;8'!#REF!,'Rev_7&amp;8'!#REF!,'Rev_7&amp;8'!#REF!,'Rev_7&amp;8'!#REF!,'Rev_7&amp;8'!#REF!,'Rev_7&amp;8'!#REF!,'Rev_7&amp;8'!#REF!,'Rev_7&amp;8'!#REF!,'Rev_7&amp;8'!#REF!,'Rev_7&amp;8'!#REF!,'Rev_7&amp;8'!#REF!</definedName>
    <definedName name="QB_DATA_3" localSheetId="12" hidden="1">'Rev_7&amp;8'!$32:$32</definedName>
    <definedName name="QB_FORMULA_0" localSheetId="12" hidden="1">'Rev_7&amp;8'!#REF!,'Rev_7&amp;8'!#REF!,'Rev_7&amp;8'!#REF!,'Rev_7&amp;8'!#REF!,'Rev_7&amp;8'!#REF!,'Rev_7&amp;8'!#REF!,'Rev_7&amp;8'!#REF!,'Rev_7&amp;8'!#REF!,'Rev_7&amp;8'!#REF!,'Rev_7&amp;8'!#REF!,'Rev_7&amp;8'!#REF!,'Rev_7&amp;8'!#REF!,'Rev_7&amp;8'!#REF!,'Rev_7&amp;8'!#REF!,'Rev_7&amp;8'!#REF!,'Rev_7&amp;8'!#REF!</definedName>
    <definedName name="QB_FORMULA_1" localSheetId="12" hidden="1">'Rev_7&amp;8'!#REF!,'Rev_7&amp;8'!#REF!,'Rev_7&amp;8'!#REF!,'Rev_7&amp;8'!#REF!,'Rev_7&amp;8'!#REF!,'Rev_7&amp;8'!#REF!,'Rev_7&amp;8'!#REF!,'Rev_7&amp;8'!#REF!,'Rev_7&amp;8'!#REF!,'Rev_7&amp;8'!#REF!,'Rev_7&amp;8'!#REF!,'Rev_7&amp;8'!#REF!,'Rev_7&amp;8'!#REF!,'Rev_7&amp;8'!#REF!,'Rev_7&amp;8'!#REF!,'Rev_7&amp;8'!#REF!</definedName>
    <definedName name="QB_FORMULA_2" localSheetId="12" hidden="1">'Rev_7&amp;8'!#REF!,'Rev_7&amp;8'!#REF!,'Rev_7&amp;8'!#REF!,'Rev_7&amp;8'!#REF!,'Rev_7&amp;8'!#REF!,'Rev_7&amp;8'!#REF!,'Rev_7&amp;8'!#REF!,'Rev_7&amp;8'!#REF!,'Rev_7&amp;8'!#REF!,'Rev_7&amp;8'!#REF!,'Rev_7&amp;8'!#REF!,'Rev_7&amp;8'!#REF!,'Rev_7&amp;8'!#REF!,'Rev_7&amp;8'!#REF!,'Rev_7&amp;8'!#REF!,'Rev_7&amp;8'!#REF!</definedName>
    <definedName name="QB_FORMULA_3" localSheetId="12" hidden="1">'Rev_7&amp;8'!#REF!,'Rev_7&amp;8'!#REF!,'Rev_7&amp;8'!#REF!,'Rev_7&amp;8'!#REF!,'Rev_7&amp;8'!#REF!,'Rev_7&amp;8'!#REF!,'Rev_7&amp;8'!#REF!,'Rev_7&amp;8'!#REF!,'Rev_7&amp;8'!#REF!,'Rev_7&amp;8'!#REF!,'Rev_7&amp;8'!#REF!,'Rev_7&amp;8'!#REF!,'Rev_7&amp;8'!#REF!,'Rev_7&amp;8'!#REF!,'Rev_7&amp;8'!#REF!,'Rev_7&amp;8'!#REF!</definedName>
    <definedName name="QB_FORMULA_4" localSheetId="12" hidden="1">'Rev_7&amp;8'!#REF!,'Rev_7&amp;8'!#REF!,'Rev_7&amp;8'!#REF!,'Rev_7&amp;8'!#REF!,'Rev_7&amp;8'!#REF!,'Rev_7&amp;8'!#REF!,'Rev_7&amp;8'!#REF!,'Rev_7&amp;8'!#REF!,'Rev_7&amp;8'!#REF!,'Rev_7&amp;8'!#REF!,'Rev_7&amp;8'!#REF!,'Rev_7&amp;8'!#REF!,'Rev_7&amp;8'!#REF!,'Rev_7&amp;8'!#REF!,'Rev_7&amp;8'!#REF!,'Rev_7&amp;8'!#REF!</definedName>
    <definedName name="QB_FORMULA_5" localSheetId="12" hidden="1">'Rev_7&amp;8'!#REF!,'Rev_7&amp;8'!#REF!,'Rev_7&amp;8'!#REF!,'Rev_7&amp;8'!#REF!,'Rev_7&amp;8'!#REF!,'Rev_7&amp;8'!#REF!,'Rev_7&amp;8'!#REF!,'Rev_7&amp;8'!#REF!,'Rev_7&amp;8'!#REF!,'Rev_7&amp;8'!#REF!,'Rev_7&amp;8'!#REF!,'Rev_7&amp;8'!#REF!,'Rev_7&amp;8'!#REF!,'Rev_7&amp;8'!#REF!,'Rev_7&amp;8'!#REF!,'Rev_7&amp;8'!#REF!</definedName>
    <definedName name="QB_FORMULA_6" localSheetId="12" hidden="1">'Rev_7&amp;8'!#REF!,'Rev_7&amp;8'!#REF!,'Rev_7&amp;8'!#REF!,'Rev_7&amp;8'!#REF!,'Rev_7&amp;8'!#REF!,'Rev_7&amp;8'!#REF!,'Rev_7&amp;8'!#REF!,'Rev_7&amp;8'!#REF!,'Rev_7&amp;8'!#REF!,'Rev_7&amp;8'!#REF!,'Rev_7&amp;8'!#REF!,'Rev_7&amp;8'!#REF!,'Rev_7&amp;8'!#REF!,'Rev_7&amp;8'!#REF!,'Rev_7&amp;8'!#REF!,'Rev_7&amp;8'!#REF!</definedName>
    <definedName name="QB_FORMULA_7" localSheetId="12" hidden="1">'Rev_7&amp;8'!#REF!,'Rev_7&amp;8'!#REF!,'Rev_7&amp;8'!#REF!,'Rev_7&amp;8'!#REF!,'Rev_7&amp;8'!#REF!,'Rev_7&amp;8'!#REF!,'Rev_7&amp;8'!#REF!</definedName>
    <definedName name="QB_ROW_1207020" localSheetId="12" hidden="1">'Rev_7&amp;8'!#REF!</definedName>
    <definedName name="QB_ROW_1207320" localSheetId="12" hidden="1">'Rev_7&amp;8'!#REF!</definedName>
    <definedName name="QB_ROW_1235030" localSheetId="12" hidden="1">'Rev_7&amp;8'!#REF!</definedName>
    <definedName name="QB_ROW_1235330" localSheetId="12" hidden="1">'Rev_7&amp;8'!#REF!</definedName>
    <definedName name="QB_ROW_1237030" localSheetId="12" hidden="1">'Rev_7&amp;8'!#REF!</definedName>
    <definedName name="QB_ROW_1237330" localSheetId="12" hidden="1">'Rev_7&amp;8'!#REF!</definedName>
    <definedName name="QB_ROW_1239030" localSheetId="12" hidden="1">'Rev_7&amp;8'!#REF!</definedName>
    <definedName name="QB_ROW_1239330" localSheetId="12" hidden="1">'Rev_7&amp;8'!#REF!</definedName>
    <definedName name="QB_ROW_1241030" localSheetId="12" hidden="1">'Rev_7&amp;8'!#REF!</definedName>
    <definedName name="QB_ROW_1241330" localSheetId="12" hidden="1">'Rev_7&amp;8'!#REF!</definedName>
    <definedName name="QB_ROW_46301" localSheetId="12" hidden="1">'Rev_7&amp;8'!#REF!</definedName>
    <definedName name="QB_ROW_49011" localSheetId="12" hidden="1">'Rev_7&amp;8'!#REF!</definedName>
    <definedName name="QB_ROW_49311" localSheetId="12" hidden="1">'Rev_7&amp;8'!#REF!</definedName>
    <definedName name="SalesExpenses">'S5_A&amp;G'!$C$28:$C$28</definedName>
    <definedName name="TransmissionDepreciation">S1_Plant!$I$8</definedName>
    <definedName name="TransmissionLabor">S3_Labor!$C$7</definedName>
    <definedName name="TransmissionOM">S4_TransOM!$B$5</definedName>
    <definedName name="TransmissionPlant">S1_Plant!$G$8</definedName>
    <definedName name="TransmissionPlantAD">S1_Plant!$L$8</definedName>
    <definedName name="TransmissionRent">S6_Other!$B$13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54" i="1" l="1"/>
  <c r="E18" i="8" l="1"/>
  <c r="E23" i="8"/>
  <c r="F19" i="12" l="1"/>
  <c r="F17" i="12"/>
  <c r="F16" i="12"/>
  <c r="F10" i="12"/>
  <c r="F12" i="12"/>
  <c r="F11" i="12"/>
  <c r="C19" i="5" l="1"/>
  <c r="D25" i="8" l="1"/>
  <c r="D23" i="8"/>
  <c r="D18" i="8"/>
  <c r="F18" i="8" s="1"/>
  <c r="F50" i="4"/>
  <c r="F44" i="4"/>
  <c r="F36" i="4"/>
  <c r="F22" i="4"/>
  <c r="C35" i="4"/>
  <c r="C33" i="4"/>
  <c r="F30" i="11" l="1"/>
  <c r="H30" i="11"/>
  <c r="D25" i="11"/>
  <c r="D26" i="11"/>
  <c r="D27" i="11"/>
  <c r="D28" i="11"/>
  <c r="D29" i="11"/>
  <c r="G23" i="11"/>
  <c r="E23" i="11"/>
  <c r="D23" i="11"/>
  <c r="F29" i="11"/>
  <c r="J13" i="11"/>
  <c r="H17" i="11"/>
  <c r="J17" i="11" s="1"/>
  <c r="H16" i="11"/>
  <c r="J16" i="11" s="1"/>
  <c r="H15" i="11"/>
  <c r="J15" i="11" s="1"/>
  <c r="H14" i="11"/>
  <c r="J14" i="11" s="1"/>
  <c r="H13" i="11"/>
  <c r="H29" i="11" l="1"/>
  <c r="H23" i="11"/>
  <c r="E15" i="20"/>
  <c r="E11" i="19"/>
  <c r="E11" i="20"/>
  <c r="E7" i="19"/>
  <c r="D31" i="18" l="1"/>
  <c r="H11" i="13" l="1"/>
  <c r="G11" i="13"/>
  <c r="G28" i="11" l="1"/>
  <c r="G27" i="11"/>
  <c r="G26" i="11"/>
  <c r="G25" i="11"/>
  <c r="G24" i="11"/>
  <c r="F28" i="11"/>
  <c r="H28" i="11" s="1"/>
  <c r="F27" i="11"/>
  <c r="H27" i="11" s="1"/>
  <c r="F26" i="11"/>
  <c r="H26" i="11" s="1"/>
  <c r="F25" i="11"/>
  <c r="E24" i="11"/>
  <c r="E31" i="11" s="1"/>
  <c r="D24" i="11"/>
  <c r="H24" i="11" l="1"/>
  <c r="D31" i="11"/>
  <c r="F31" i="11"/>
  <c r="H25" i="11"/>
  <c r="H31" i="11" s="1"/>
  <c r="G31" i="11"/>
  <c r="H11" i="11"/>
  <c r="J11" i="11" s="1"/>
  <c r="B5" i="11" s="1"/>
  <c r="H12" i="11"/>
  <c r="J12" i="11" s="1"/>
  <c r="H18" i="11"/>
  <c r="L8" i="16" l="1"/>
  <c r="L9" i="16"/>
  <c r="G9" i="16"/>
  <c r="G8" i="16"/>
  <c r="C28" i="17" l="1"/>
  <c r="D28" i="8" l="1"/>
  <c r="D9" i="13" l="1"/>
  <c r="D8" i="13"/>
  <c r="D6" i="13"/>
  <c r="D7" i="13"/>
  <c r="I261" i="1" l="1"/>
  <c r="C31" i="11" l="1"/>
  <c r="L10" i="16" l="1"/>
  <c r="L7" i="16"/>
  <c r="G12" i="16"/>
  <c r="G10" i="16"/>
  <c r="G7" i="16"/>
  <c r="J18" i="11" l="1"/>
  <c r="B1" i="21" l="1"/>
  <c r="F19" i="21"/>
  <c r="F18" i="21"/>
  <c r="F17" i="21"/>
  <c r="F16" i="21"/>
  <c r="F15" i="21"/>
  <c r="F14" i="21"/>
  <c r="F13" i="21"/>
  <c r="F12" i="21"/>
  <c r="F11" i="21"/>
  <c r="F10" i="21"/>
  <c r="F9" i="21"/>
  <c r="F8" i="21"/>
  <c r="B3" i="21"/>
  <c r="F20" i="21" l="1"/>
  <c r="B5" i="21" s="1"/>
  <c r="I27" i="1" s="1"/>
  <c r="E18" i="20" l="1"/>
  <c r="I265" i="1" s="1"/>
  <c r="B3" i="20"/>
  <c r="B1" i="20"/>
  <c r="E32" i="19"/>
  <c r="F31" i="19"/>
  <c r="F18" i="19"/>
  <c r="I264" i="1" l="1"/>
  <c r="F32" i="19"/>
  <c r="G6" i="9" l="1"/>
  <c r="A1" i="9"/>
  <c r="C22" i="17" l="1"/>
  <c r="B16" i="18"/>
  <c r="C30" i="17" s="1"/>
  <c r="C31" i="17" l="1"/>
  <c r="G25" i="12"/>
  <c r="C14" i="5"/>
  <c r="D168" i="1"/>
  <c r="D174" i="1"/>
  <c r="D249" i="1"/>
  <c r="D162" i="1"/>
  <c r="D161" i="1"/>
  <c r="D119" i="1"/>
  <c r="D94" i="1"/>
  <c r="D93" i="1"/>
  <c r="D92" i="1"/>
  <c r="D91" i="1"/>
  <c r="D86" i="1"/>
  <c r="D85" i="1"/>
  <c r="D84" i="1"/>
  <c r="D83" i="1"/>
  <c r="C11" i="13"/>
  <c r="G24" i="6" l="1"/>
  <c r="G23" i="6"/>
  <c r="G22" i="6"/>
  <c r="G13" i="6"/>
  <c r="G12" i="6"/>
  <c r="G11" i="6"/>
  <c r="L11" i="16" l="1"/>
  <c r="C15" i="4" s="1"/>
  <c r="J11" i="16"/>
  <c r="I11" i="16"/>
  <c r="C12" i="5" s="1"/>
  <c r="H11" i="16"/>
  <c r="G11" i="16"/>
  <c r="E11" i="16"/>
  <c r="D11" i="16"/>
  <c r="C11" i="16"/>
  <c r="E17" i="6"/>
  <c r="D17" i="6"/>
  <c r="E27" i="6"/>
  <c r="D27" i="6"/>
  <c r="C27" i="6"/>
  <c r="G9" i="6"/>
  <c r="E19" i="6"/>
  <c r="D19" i="6"/>
  <c r="E18" i="6"/>
  <c r="D18" i="6"/>
  <c r="E14" i="6"/>
  <c r="G27" i="6" l="1"/>
  <c r="C12" i="4" s="1"/>
  <c r="M8" i="16"/>
  <c r="J13" i="16" l="1"/>
  <c r="I13" i="16"/>
  <c r="C17" i="6"/>
  <c r="G17" i="6" s="1"/>
  <c r="C14" i="6"/>
  <c r="C18" i="6"/>
  <c r="G18" i="6" s="1"/>
  <c r="C19" i="6"/>
  <c r="G19" i="6" s="1"/>
  <c r="E13" i="16" l="1"/>
  <c r="M9" i="16" l="1"/>
  <c r="M10" i="16"/>
  <c r="D13" i="16"/>
  <c r="D14" i="6"/>
  <c r="G14" i="6" s="1"/>
  <c r="G13" i="16" l="1"/>
  <c r="M7" i="16"/>
  <c r="M11" i="16" s="1"/>
  <c r="D245" i="1" l="1"/>
  <c r="B3" i="19"/>
  <c r="B1" i="19"/>
  <c r="B3" i="18" l="1"/>
  <c r="B1" i="18"/>
  <c r="B3" i="17"/>
  <c r="B1" i="17"/>
  <c r="B3" i="16"/>
  <c r="B1" i="16"/>
  <c r="B3" i="13"/>
  <c r="B1" i="13"/>
  <c r="B3" i="12"/>
  <c r="B1" i="12"/>
  <c r="B3" i="11"/>
  <c r="B1" i="11"/>
  <c r="G8" i="12"/>
  <c r="G9" i="12"/>
  <c r="G10" i="12"/>
  <c r="G11" i="12"/>
  <c r="G12" i="12"/>
  <c r="G13" i="12"/>
  <c r="G14" i="12"/>
  <c r="G15" i="12"/>
  <c r="G16" i="12"/>
  <c r="G17" i="12"/>
  <c r="G18" i="12"/>
  <c r="G19" i="12"/>
  <c r="G20" i="12"/>
  <c r="G21" i="12"/>
  <c r="G22" i="12"/>
  <c r="G23" i="12"/>
  <c r="G24" i="12" l="1"/>
  <c r="B5" i="17"/>
  <c r="B6" i="11"/>
  <c r="D248" i="1" s="1"/>
  <c r="C13" i="16"/>
  <c r="L13" i="16"/>
  <c r="M13" i="16" s="1"/>
  <c r="H13" i="16"/>
  <c r="D152" i="1" l="1"/>
  <c r="D29" i="8"/>
  <c r="A1" i="8" l="1"/>
  <c r="A4" i="8"/>
  <c r="F10" i="8"/>
  <c r="F11" i="8"/>
  <c r="F13" i="8"/>
  <c r="F15" i="8"/>
  <c r="F16" i="8"/>
  <c r="C19" i="8"/>
  <c r="E19" i="8"/>
  <c r="F27" i="8"/>
  <c r="F28" i="8"/>
  <c r="F29" i="8"/>
  <c r="A1" i="6"/>
  <c r="A4" i="6"/>
  <c r="C15" i="6"/>
  <c r="D15" i="6"/>
  <c r="D20" i="6" s="1"/>
  <c r="D25" i="6" s="1"/>
  <c r="D28" i="6" s="1"/>
  <c r="E15" i="6"/>
  <c r="E20" i="6" s="1"/>
  <c r="E25" i="6" s="1"/>
  <c r="E28" i="6" s="1"/>
  <c r="F15" i="6"/>
  <c r="F20" i="6" s="1"/>
  <c r="F25" i="6" s="1"/>
  <c r="F28" i="6" s="1"/>
  <c r="A1" i="5"/>
  <c r="A4" i="5"/>
  <c r="C27" i="5"/>
  <c r="F16" i="4"/>
  <c r="F28" i="4"/>
  <c r="C30" i="4"/>
  <c r="F33" i="4"/>
  <c r="F45" i="4"/>
  <c r="C46" i="4"/>
  <c r="C54" i="4"/>
  <c r="F54" i="4"/>
  <c r="G15" i="6" l="1"/>
  <c r="G20" i="6" s="1"/>
  <c r="F56" i="4"/>
  <c r="C20" i="6"/>
  <c r="C25" i="6" s="1"/>
  <c r="I252" i="1"/>
  <c r="G25" i="6" l="1"/>
  <c r="C11" i="4" s="1"/>
  <c r="C16" i="4" s="1"/>
  <c r="C22" i="4" s="1"/>
  <c r="C28" i="6"/>
  <c r="G28" i="6" s="1"/>
  <c r="I22" i="1"/>
  <c r="C56" i="4" l="1"/>
  <c r="F57" i="4" s="1"/>
  <c r="G31" i="6"/>
  <c r="I268" i="1"/>
  <c r="D88" i="1" l="1"/>
  <c r="D239" i="1" s="1"/>
  <c r="D242" i="1" s="1"/>
  <c r="G240" i="1" s="1"/>
  <c r="I215" i="1"/>
  <c r="D99" i="1"/>
  <c r="D100" i="1"/>
  <c r="D101" i="1"/>
  <c r="D102" i="1"/>
  <c r="G248" i="1"/>
  <c r="D250" i="1"/>
  <c r="E248" i="1" s="1"/>
  <c r="G249" i="1"/>
  <c r="I34" i="1"/>
  <c r="D15"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I248" i="1"/>
  <c r="E250" i="1" l="1"/>
  <c r="G84" i="1"/>
  <c r="G14" i="1"/>
  <c r="G16" i="1" s="1"/>
  <c r="I16" i="1" s="1"/>
  <c r="E233" i="1"/>
  <c r="I228" i="1"/>
  <c r="I250" i="1"/>
  <c r="G17" i="1"/>
  <c r="I17" i="1" s="1"/>
  <c r="I14" i="1" l="1"/>
  <c r="D179" i="1"/>
  <c r="I253" i="1"/>
  <c r="G15" i="1"/>
  <c r="I15" i="1" s="1"/>
  <c r="G92" i="1"/>
  <c r="I84" i="1"/>
  <c r="I18" i="1" l="1"/>
  <c r="I92" i="1"/>
  <c r="I100" i="1" s="1"/>
  <c r="G114" i="1"/>
  <c r="I114" i="1" l="1"/>
  <c r="G161" i="1"/>
  <c r="I161" i="1" s="1"/>
  <c r="D232" i="1"/>
  <c r="D19" i="8" l="1"/>
  <c r="F19" i="8" s="1"/>
  <c r="G232" i="1"/>
  <c r="G26" i="12" l="1"/>
  <c r="D233" i="1"/>
  <c r="G233" i="1" s="1"/>
  <c r="G27" i="12" l="1"/>
  <c r="B5" i="12" s="1"/>
  <c r="D149" i="1" l="1"/>
  <c r="E21" i="8"/>
  <c r="F21" i="8"/>
  <c r="E31" i="8"/>
  <c r="C11" i="5" s="1"/>
  <c r="D158" i="1"/>
  <c r="D117" i="1" s="1"/>
  <c r="D120" i="1" s="1"/>
  <c r="D122" i="1" s="1"/>
  <c r="D189" i="1" s="1"/>
  <c r="I223" i="1"/>
  <c r="I225" i="1" l="1"/>
  <c r="I227" i="1" s="1"/>
  <c r="I229" i="1" s="1"/>
  <c r="D185" i="1"/>
  <c r="D187" i="1" s="1"/>
  <c r="D192" i="1" s="1"/>
  <c r="D201" i="1" s="1"/>
  <c r="G118" i="1" l="1"/>
  <c r="I118" i="1" s="1"/>
  <c r="G149" i="1"/>
  <c r="G151" i="1" l="1"/>
  <c r="I151" i="1" s="1"/>
  <c r="G155" i="1"/>
  <c r="I155" i="1" s="1"/>
  <c r="I149" i="1"/>
  <c r="F23" i="8"/>
  <c r="D234" i="1"/>
  <c r="G234" i="1" s="1"/>
  <c r="D11" i="13"/>
  <c r="E7" i="13" s="1"/>
  <c r="F25" i="8"/>
  <c r="D235" i="1"/>
  <c r="G235" i="1" s="1"/>
  <c r="F31" i="8" l="1"/>
  <c r="G236" i="1"/>
  <c r="E9" i="13"/>
  <c r="E8" i="13"/>
  <c r="E6" i="13"/>
  <c r="D236" i="1"/>
  <c r="D31" i="8"/>
  <c r="C10" i="5" s="1"/>
  <c r="C15" i="5" s="1"/>
  <c r="C16" i="5" s="1"/>
  <c r="C18" i="5" s="1"/>
  <c r="C23" i="5" s="1"/>
  <c r="C28" i="5" s="1"/>
  <c r="C31" i="5" s="1"/>
  <c r="I236" i="1" l="1"/>
  <c r="G86" i="1" s="1"/>
  <c r="E11" i="13"/>
  <c r="I240" i="1" l="1"/>
  <c r="K240" i="1" s="1"/>
  <c r="G156" i="1" s="1"/>
  <c r="G154" i="1"/>
  <c r="I154" i="1" s="1"/>
  <c r="G152" i="1"/>
  <c r="I152" i="1" s="1"/>
  <c r="G153" i="1"/>
  <c r="I153" i="1" s="1"/>
  <c r="G94" i="1"/>
  <c r="I94" i="1" s="1"/>
  <c r="I86" i="1"/>
  <c r="G162" i="1" l="1"/>
  <c r="G168" i="1" s="1"/>
  <c r="G87" i="1"/>
  <c r="G95" i="1" s="1"/>
  <c r="I95" i="1" s="1"/>
  <c r="I96" i="1" s="1"/>
  <c r="G163" i="1"/>
  <c r="I163" i="1" s="1"/>
  <c r="I156" i="1"/>
  <c r="I158" i="1" s="1"/>
  <c r="I117" i="1" s="1"/>
  <c r="I102" i="1"/>
  <c r="I162" i="1"/>
  <c r="I87" i="1" l="1"/>
  <c r="I88" i="1" s="1"/>
  <c r="G88" i="1" s="1"/>
  <c r="G119" i="1" s="1"/>
  <c r="I119" i="1" s="1"/>
  <c r="I120" i="1" s="1"/>
  <c r="I164" i="1"/>
  <c r="G169" i="1"/>
  <c r="I169" i="1" s="1"/>
  <c r="I168" i="1"/>
  <c r="I103" i="1" l="1"/>
  <c r="I104" i="1" s="1"/>
  <c r="G104" i="1" s="1"/>
  <c r="G186" i="1" s="1"/>
  <c r="I186" i="1" s="1"/>
  <c r="G171" i="1"/>
  <c r="I171" i="1" s="1"/>
  <c r="G173" i="1" l="1"/>
  <c r="G174" i="1" s="1"/>
  <c r="I174" i="1" s="1"/>
  <c r="G108" i="1"/>
  <c r="I108" i="1" s="1"/>
  <c r="I173" i="1" l="1"/>
  <c r="I175" i="1" s="1"/>
  <c r="G109" i="1"/>
  <c r="I109" i="1" s="1"/>
  <c r="G111" i="1" l="1"/>
  <c r="I111" i="1" s="1"/>
  <c r="G110" i="1"/>
  <c r="I110" i="1" s="1"/>
  <c r="I112" i="1" l="1"/>
  <c r="I122" i="1" s="1"/>
  <c r="I189" i="1" s="1"/>
  <c r="I185" i="1" s="1"/>
  <c r="I187" i="1" s="1"/>
  <c r="I192" i="1" s="1"/>
  <c r="I201" i="1" s="1"/>
  <c r="I11" i="1" s="1"/>
  <c r="I24" i="1" s="1"/>
  <c r="D36" i="1" s="1"/>
  <c r="I42" i="1" s="1"/>
  <c r="D40" i="1" l="1"/>
  <c r="I41" i="1"/>
  <c r="D37" i="1"/>
  <c r="D42" i="1"/>
  <c r="D41" i="1"/>
  <c r="I40" i="1"/>
</calcChain>
</file>

<file path=xl/sharedStrings.xml><?xml version="1.0" encoding="utf-8"?>
<sst xmlns="http://schemas.openxmlformats.org/spreadsheetml/2006/main" count="888" uniqueCount="646">
  <si>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</si>
  <si>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</si>
  <si>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</si>
  <si>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</si>
  <si>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</si>
  <si>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</si>
  <si>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</si>
  <si>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</si>
  <si>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</si>
  <si>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</si>
  <si>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</si>
  <si>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</si>
  <si>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</si>
  <si>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</si>
  <si>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</si>
  <si>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</si>
  <si>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</si>
  <si>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</si>
  <si>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</si>
  <si>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</si>
  <si>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</si>
  <si>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</si>
  <si>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</si>
  <si>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</si>
  <si>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</si>
  <si>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</si>
  <si>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</si>
  <si>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</si>
  <si>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</si>
  <si>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</si>
  <si>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</si>
  <si>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</si>
  <si>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</si>
  <si>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</si>
  <si>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</si>
  <si>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</si>
  <si>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</si>
  <si>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</si>
  <si>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</si>
  <si>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</si>
  <si>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</si>
  <si>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</si>
  <si>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</si>
  <si>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</si>
  <si>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</si>
  <si>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</si>
  <si>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</si>
  <si>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</si>
  <si>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</si>
  <si>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</si>
  <si>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</si>
  <si>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</si>
  <si>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</si>
  <si>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</si>
  <si>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</si>
  <si>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</si>
  <si>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</si>
  <si>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</si>
  <si>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</si>
  <si>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</si>
  <si>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</si>
  <si>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</si>
  <si>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</si>
  <si>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</si>
  <si>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</si>
  <si>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</si>
  <si>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</si>
  <si>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</si>
  <si>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</si>
  <si>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</si>
  <si>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</si>
  <si>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</si>
  <si>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</si>
  <si>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</si>
  <si>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</si>
  <si>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</si>
  <si>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</si>
  <si>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</si>
  <si>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</si>
  <si>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</si>
  <si>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</si>
  <si>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</si>
  <si>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</si>
  <si>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</si>
  <si>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</si>
  <si>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</si>
  <si>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</si>
  <si>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</si>
  <si>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</si>
  <si>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</si>
  <si>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</si>
  <si>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</si>
  <si>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</si>
  <si>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</si>
  <si>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</si>
  <si>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</si>
  <si>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</si>
  <si>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</si>
  <si>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</si>
  <si>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</si>
  <si>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</si>
  <si>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</si>
  <si>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</si>
  <si>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</si>
  <si>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</si>
  <si>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</si>
  <si>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</si>
  <si>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</si>
  <si>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</si>
  <si>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</si>
  <si>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</si>
  <si>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</si>
  <si>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</si>
  <si>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</si>
  <si>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</si>
  <si>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</si>
  <si>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</si>
  <si>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</si>
  <si>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</si>
  <si>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</si>
  <si>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</si>
  <si>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</si>
  <si>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</si>
  <si>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</si>
  <si>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</si>
  <si>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</si>
  <si>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</si>
  <si>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</si>
  <si>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</si>
  <si>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</si>
  <si>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</si>
  <si>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</si>
  <si>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</si>
  <si>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</si>
  <si>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</si>
  <si>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</si>
  <si>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</si>
  <si>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</si>
  <si>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</si>
  <si>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</si>
  <si>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</si>
  <si>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</si>
  <si>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</si>
  <si>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</si>
  <si>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</si>
  <si>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</si>
  <si>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</si>
  <si>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</si>
  <si>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</si>
  <si>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</si>
  <si>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</si>
  <si>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</si>
  <si>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</si>
  <si>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</si>
  <si>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</si>
  <si>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</si>
  <si>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</si>
  <si>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</si>
  <si>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</si>
  <si>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</si>
  <si>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</si>
  <si>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</si>
  <si>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</si>
  <si>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</si>
  <si>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</si>
  <si>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</si>
  <si>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</si>
  <si>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</si>
  <si>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</si>
  <si>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</si>
  <si>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</si>
  <si>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</si>
  <si>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</si>
  <si>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</si>
  <si>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</si>
  <si>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</si>
  <si>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</si>
  <si>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</si>
  <si>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</si>
  <si>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</si>
  <si>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</si>
  <si>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</si>
  <si>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</si>
  <si>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</si>
  <si>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</si>
  <si>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</si>
  <si>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</si>
  <si>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</si>
  <si>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</si>
  <si>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</si>
  <si>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</si>
  <si>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</si>
  <si>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</si>
  <si>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</si>
  <si>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</si>
  <si>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</si>
  <si>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</si>
  <si>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</si>
  <si>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</si>
  <si>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</si>
  <si>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</si>
  <si>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</si>
  <si>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</si>
  <si>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</si>
  <si>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</si>
  <si>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</si>
  <si>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</si>
  <si>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</si>
  <si>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</si>
  <si>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</si>
  <si>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</si>
  <si>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</si>
  <si>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</si>
  <si>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</si>
  <si>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</si>
  <si>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</si>
  <si>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</si>
  <si>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</si>
  <si>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</si>
  <si>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</si>
  <si>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</si>
  <si>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</si>
  <si>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</si>
  <si>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</si>
  <si>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</si>
  <si>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</si>
  <si>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</si>
  <si>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</si>
  <si>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</si>
  <si>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</si>
  <si>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</si>
  <si>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</si>
  <si>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</si>
  <si>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</si>
  <si>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</si>
  <si>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</si>
  <si>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</si>
  <si>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</si>
  <si>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</si>
  <si>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</si>
  <si>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</si>
  <si>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</si>
  <si>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</si>
  <si>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</si>
  <si>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</si>
  <si>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</si>
  <si>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</si>
  <si>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</si>
  <si>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</si>
  <si>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</si>
  <si>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</si>
  <si>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</si>
  <si>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</si>
  <si>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</si>
  <si>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</si>
  <si>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</si>
  <si>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</si>
  <si>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</si>
  <si>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</si>
  <si>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</si>
  <si>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</si>
  <si>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</si>
  <si>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</si>
  <si>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</si>
  <si>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</si>
  <si>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</si>
  <si>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</si>
  <si>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</si>
  <si>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</si>
  <si>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</si>
  <si>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</si>
  <si>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</si>
  <si>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</si>
  <si>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</si>
  <si>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</si>
  <si>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</si>
  <si>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</si>
  <si>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</si>
  <si>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</si>
  <si>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</si>
  <si>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</si>
  <si>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</si>
  <si>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</si>
  <si>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</si>
  <si>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</si>
  <si>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</si>
  <si>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</si>
  <si>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</si>
  <si>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</si>
  <si>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</si>
  <si>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</si>
  <si>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</si>
  <si>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</si>
  <si>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</si>
  <si>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</si>
  <si>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</si>
  <si>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</si>
  <si>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</si>
  <si>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</si>
  <si>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</si>
  <si>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</si>
  <si>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</si>
  <si>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</si>
  <si>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</si>
  <si>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</si>
  <si>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</si>
  <si>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</si>
  <si>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</si>
  <si>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</si>
  <si>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</si>
  <si>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</si>
  <si>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</si>
  <si>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</si>
  <si>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</si>
  <si>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</si>
  <si>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</si>
  <si>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</si>
  <si>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</si>
  <si>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</si>
  <si>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TOTAL LIABILITIES &amp; OTHER CREDITS</t>
  </si>
  <si>
    <t>TOTAL ASSETS &amp; OTHER DEBITS</t>
  </si>
  <si>
    <t>Total Deferred Credits</t>
  </si>
  <si>
    <t xml:space="preserve">Total Deferred Debits </t>
  </si>
  <si>
    <t>(257)</t>
  </si>
  <si>
    <t>Losses (184-191)</t>
  </si>
  <si>
    <t xml:space="preserve">Unamortized gain on Reacquired Debt </t>
  </si>
  <si>
    <t>Development Expenses &amp; Unamortized</t>
  </si>
  <si>
    <t xml:space="preserve">Miscellaneous Debt, Research and </t>
  </si>
  <si>
    <t>(253, 256, 281-283)</t>
  </si>
  <si>
    <t>and Charges (182.1, 182.2, 182.3, 183)</t>
  </si>
  <si>
    <t xml:space="preserve">Other Deferred Credits </t>
  </si>
  <si>
    <t>Extraordinary Property Losses, Study Costs,</t>
  </si>
  <si>
    <t>(252)</t>
  </si>
  <si>
    <t>Unamortized Debt Expense (181)</t>
  </si>
  <si>
    <t>Customer Advances for Construction</t>
  </si>
  <si>
    <t>DEFERRED DEBITS</t>
  </si>
  <si>
    <t>DEFERRED CREDITS</t>
  </si>
  <si>
    <t>Total Current &amp; Accrued Assets</t>
  </si>
  <si>
    <t>Total Current &amp; Accrued Liabilities</t>
  </si>
  <si>
    <t>Misc Current &amp; Accrued Assets (171, 174)</t>
  </si>
  <si>
    <t>Misc Curr &amp; Accr Liabilities (239-245)</t>
  </si>
  <si>
    <t xml:space="preserve">Accrued revenues (173) </t>
  </si>
  <si>
    <t>Accrued Interest payable (237)</t>
  </si>
  <si>
    <t>Prepayments (165)</t>
  </si>
  <si>
    <t>Accrued taxes (236)</t>
  </si>
  <si>
    <t>Other Supplies &amp; Misc (153, 155-163)</t>
  </si>
  <si>
    <t>Customer Deposits (235)</t>
  </si>
  <si>
    <t>Plant Materials &amp; Operating Supplies (154)</t>
  </si>
  <si>
    <t>Associated Enterprises (233, 234)</t>
  </si>
  <si>
    <t>(151-152)</t>
  </si>
  <si>
    <t>Notes and Accounts Payable to</t>
  </si>
  <si>
    <t>Fuel Stock &amp; Expenses Undistributed</t>
  </si>
  <si>
    <t>Accounts Payable (232)</t>
  </si>
  <si>
    <t>Uncollectible Accounts (144)</t>
  </si>
  <si>
    <t>(Less) Accumulated Provision for</t>
  </si>
  <si>
    <t>Notes Payable (231)</t>
  </si>
  <si>
    <t>Customer Accounts Recevable (142)</t>
  </si>
  <si>
    <t>CURRENT AND ACCRUED LIABILITIES</t>
  </si>
  <si>
    <t>(141, 143, 145, 146, 172)</t>
  </si>
  <si>
    <t>Notes &amp; Other Receivables</t>
  </si>
  <si>
    <t>Total Other Non Current Liabilities</t>
  </si>
  <si>
    <t>(131-136)</t>
  </si>
  <si>
    <t>Accumulated Provisions for Rate Refunds</t>
  </si>
  <si>
    <t>Cash, Working Funds &amp; Investments</t>
  </si>
  <si>
    <t>Accumulated Operating Provisions (228.1-.4)</t>
  </si>
  <si>
    <t>CURRENT &amp; ACCRUED ASSETS</t>
  </si>
  <si>
    <t>OTHER NONCURRENT LIABILITIES</t>
  </si>
  <si>
    <t>Total Other Property and Investments</t>
  </si>
  <si>
    <t>Investments &amp; Special Funds (124-129)</t>
  </si>
  <si>
    <t>Total Long Term Debt</t>
  </si>
  <si>
    <t>(123-123.1)</t>
  </si>
  <si>
    <t>Investment in Associated Enterprises</t>
  </si>
  <si>
    <t>Term Debt (226)</t>
  </si>
  <si>
    <t>Depreciation and Amortization (122)</t>
  </si>
  <si>
    <t>(Less) Unamortized Discount on Long</t>
  </si>
  <si>
    <t>Debt (225)</t>
  </si>
  <si>
    <t>Non-Electric Plant Property (121)</t>
  </si>
  <si>
    <t xml:space="preserve">Unamortized Premium on Long Term </t>
  </si>
  <si>
    <t>OTHER PROPERTY &amp; INVESTMENTS</t>
  </si>
  <si>
    <t>Long Term Debt (223, 224)</t>
  </si>
  <si>
    <t xml:space="preserve">Fuel </t>
  </si>
  <si>
    <t>Advances from Municipality and Other</t>
  </si>
  <si>
    <t>Net Electric Plant including Nuclear</t>
  </si>
  <si>
    <t>Bonds (221, 222)</t>
  </si>
  <si>
    <t>Assemblies (120.5)</t>
  </si>
  <si>
    <t>Amortization of Nuclear Fuel</t>
  </si>
  <si>
    <t>LONG TERM DEBT</t>
  </si>
  <si>
    <t>Nuclear Fuel (120.1-120.4, 120.6)</t>
  </si>
  <si>
    <t>TOTAL PROPRIETARY CAPITAL</t>
  </si>
  <si>
    <t xml:space="preserve">Net Electric Plant </t>
  </si>
  <si>
    <t>(215, 215.1, 216)</t>
  </si>
  <si>
    <t>Depletion (108,111,115)</t>
  </si>
  <si>
    <t>Retained Earnings</t>
  </si>
  <si>
    <t xml:space="preserve">Depreciation, Amortization and </t>
  </si>
  <si>
    <t>Miscellaneous Capital (211, 219, 219.1)</t>
  </si>
  <si>
    <t xml:space="preserve">Construction Work In Progress (107) </t>
  </si>
  <si>
    <t>Investment of Municipality (208)</t>
  </si>
  <si>
    <t>(101-106,114,116)</t>
  </si>
  <si>
    <t>Electric Plant &amp; Adjustments</t>
  </si>
  <si>
    <t>PROPIETARY CAPITAL</t>
  </si>
  <si>
    <t>ELECTRIC PLANT</t>
  </si>
  <si>
    <t>(Dollars)</t>
  </si>
  <si>
    <t>LIABILITIES and OTHER CREDITS</t>
  </si>
  <si>
    <t>No</t>
  </si>
  <si>
    <t>ASSETS and OTHER DEBITS</t>
  </si>
  <si>
    <t>AMOUNT</t>
  </si>
  <si>
    <t>ELECTRIC BALANCE SHEET</t>
  </si>
  <si>
    <t>Schedule 2</t>
  </si>
  <si>
    <t>EIA-412</t>
  </si>
  <si>
    <t xml:space="preserve">        NET INCOME</t>
  </si>
  <si>
    <t>Extraordinary Deductions (435)</t>
  </si>
  <si>
    <t>Extraordinary Items (434)</t>
  </si>
  <si>
    <t xml:space="preserve">        Income Before Extraordinary Items</t>
  </si>
  <si>
    <t xml:space="preserve">    Total Income Deductions</t>
  </si>
  <si>
    <t>Allowance for Borrowed Funds Used During Constructions (432)</t>
  </si>
  <si>
    <t>Other Income Deductions (428-431)</t>
  </si>
  <si>
    <t>Income Deductions from Interest on Long Term Debt (427)</t>
  </si>
  <si>
    <t xml:space="preserve">    Electric Income</t>
  </si>
  <si>
    <t>Taxes Applicable to Other Income and Deductions (408.2, 409.2)</t>
  </si>
  <si>
    <t>Allowance for Other Funds Used During Construction (419.1)</t>
  </si>
  <si>
    <t>Other Electric Deductions (416, 417, 421.2)</t>
  </si>
  <si>
    <t>Other Electric Income (415, 417, 418, 419, 421, 421.1)</t>
  </si>
  <si>
    <t xml:space="preserve">    Electric Operating Income</t>
  </si>
  <si>
    <t>Income from Electric Plant Leased to Others (412, 413)</t>
  </si>
  <si>
    <t xml:space="preserve">        NET ELECTRIC OPERATING INCOME</t>
  </si>
  <si>
    <t xml:space="preserve">    TOTAL ELECTRIC OPERATING EXPENSES</t>
  </si>
  <si>
    <t>Taxes and Tax Equivalents (408.1, 409.1)</t>
  </si>
  <si>
    <t>Amortization of Electric Plant, Property Losses, and Regulatory Study Costs (404-407)</t>
  </si>
  <si>
    <t>Depreciation Expenses (403)</t>
  </si>
  <si>
    <t>Maintenance Expenses (402)</t>
  </si>
  <si>
    <t>Operation Expenses (401)</t>
  </si>
  <si>
    <t>Electric Operating Revenues (400)</t>
  </si>
  <si>
    <t>ELECTRIC INCOME STATEMENT</t>
  </si>
  <si>
    <t>Schedule 3</t>
  </si>
  <si>
    <t>NOTE FOR LINE 5:  Combustion Turbine</t>
  </si>
  <si>
    <t>Total Electric Plant &amp; Adj's</t>
  </si>
  <si>
    <t>Construction Work in Progress</t>
  </si>
  <si>
    <t>Electric Plant Miscellaneous</t>
  </si>
  <si>
    <t>Electric Plant Held for Future Use</t>
  </si>
  <si>
    <t>Electric Plant Leased to Others</t>
  </si>
  <si>
    <t>Total Electric Plant In Service</t>
  </si>
  <si>
    <t>General Plant (389-399)</t>
  </si>
  <si>
    <t>Distribution Plant (360-373)</t>
  </si>
  <si>
    <t>Transmission Plant (350-359)</t>
  </si>
  <si>
    <t>Total Production Plant</t>
  </si>
  <si>
    <t>Other Production (340-346)</t>
  </si>
  <si>
    <t>Hydraulic Production (330-336)</t>
  </si>
  <si>
    <t>Nuclear Production (320-325)</t>
  </si>
  <si>
    <t>Steam Production (310-316)</t>
  </si>
  <si>
    <t>Intangible Plant (301-303)</t>
  </si>
  <si>
    <t>Balance</t>
  </si>
  <si>
    <t>Transfers</t>
  </si>
  <si>
    <t>Retirements</t>
  </si>
  <si>
    <t>Additions</t>
  </si>
  <si>
    <t>Ending</t>
  </si>
  <si>
    <t xml:space="preserve">Beginning </t>
  </si>
  <si>
    <t>Schedule 4</t>
  </si>
  <si>
    <t>Total Number of Part Time Employees</t>
  </si>
  <si>
    <t>Total Number of Full Time Employees</t>
  </si>
  <si>
    <t>XXXXXXXXXXX</t>
  </si>
  <si>
    <t>Maintenance Expenses</t>
  </si>
  <si>
    <t>Total Electric Operation and</t>
  </si>
  <si>
    <t>XXXXXXXXXXXXX</t>
  </si>
  <si>
    <t>Admin &amp; General exp (920-935)</t>
  </si>
  <si>
    <t>Sales Expenses (911-916)</t>
  </si>
  <si>
    <t>Expenses (907-910)</t>
  </si>
  <si>
    <t>Customer Service &amp; Information</t>
  </si>
  <si>
    <t>(901-905)</t>
  </si>
  <si>
    <t>Customer Account Expenses</t>
  </si>
  <si>
    <t>(580-589, 590-598)</t>
  </si>
  <si>
    <t>Distribution Expenses</t>
  </si>
  <si>
    <t>(560-567, 568-573)</t>
  </si>
  <si>
    <t>Transmission Expenses</t>
  </si>
  <si>
    <t xml:space="preserve">   Total Production Expenses</t>
  </si>
  <si>
    <t>(556-557)</t>
  </si>
  <si>
    <t>Other Production Expenses</t>
  </si>
  <si>
    <t>Purchased Power (555)</t>
  </si>
  <si>
    <t>(546-550, 551-554) Fuel cost (547)</t>
  </si>
  <si>
    <t>Other Power Generation</t>
  </si>
  <si>
    <t>(535-540, 541-545)</t>
  </si>
  <si>
    <t>Hydraulic Power Generation</t>
  </si>
  <si>
    <t>Nuclear Power Generation</t>
  </si>
  <si>
    <t>(500-507, 510-514) Fuel Cost (501)</t>
  </si>
  <si>
    <t>Steam Power Generation</t>
  </si>
  <si>
    <t>Maintenance</t>
  </si>
  <si>
    <t>Operation</t>
  </si>
  <si>
    <t>Fuel Cost</t>
  </si>
  <si>
    <t>(d)</t>
  </si>
  <si>
    <t>(c)</t>
  </si>
  <si>
    <t>(b)</t>
  </si>
  <si>
    <t>(a)</t>
  </si>
  <si>
    <t>ELECTRIC OPERATION AND MAINTENANCE EXPENSES (Dollars)</t>
  </si>
  <si>
    <t>Schedule 7</t>
  </si>
  <si>
    <t>Notes:</t>
  </si>
  <si>
    <t/>
  </si>
  <si>
    <t>expenses to be deducted on page 3 line 4 of the attachment O.</t>
  </si>
  <si>
    <t>Additional Notes</t>
  </si>
  <si>
    <t>other</t>
  </si>
  <si>
    <t>transmission</t>
  </si>
  <si>
    <t>total electric</t>
  </si>
  <si>
    <t>Year</t>
  </si>
  <si>
    <t>Principal</t>
  </si>
  <si>
    <t>Total Interest</t>
  </si>
  <si>
    <t>Interest Expense</t>
  </si>
  <si>
    <t>Transmission Labor</t>
  </si>
  <si>
    <t>Transmission Prof Fees</t>
  </si>
  <si>
    <t>Tools - Warehouse</t>
  </si>
  <si>
    <t>Tools - Power Plant</t>
  </si>
  <si>
    <t>Power Plant Utilities</t>
  </si>
  <si>
    <t>Transportation Expense - Fuel</t>
  </si>
  <si>
    <t>Truck/Vehicle Maintenance</t>
  </si>
  <si>
    <t>Gasoline - Equipment</t>
  </si>
  <si>
    <t>Misc Power Plant Maintenance</t>
  </si>
  <si>
    <t>Power Plant Structures Maint</t>
  </si>
  <si>
    <t>Transmission/Substation Expense</t>
  </si>
  <si>
    <t>Electric Dept Equipment Repair</t>
  </si>
  <si>
    <t>Warehouse Maintenance</t>
  </si>
  <si>
    <t>Transformer Maintenance</t>
  </si>
  <si>
    <t>Substation/Switchgear Maint</t>
  </si>
  <si>
    <t>Overhead Line Maintenance</t>
  </si>
  <si>
    <t>SCADA Material/Maintenance</t>
  </si>
  <si>
    <t>Communications Equip Maint</t>
  </si>
  <si>
    <t>CostAlloc</t>
  </si>
  <si>
    <t>factor</t>
  </si>
  <si>
    <t>Description</t>
  </si>
  <si>
    <t>Account</t>
  </si>
  <si>
    <t>HE</t>
  </si>
  <si>
    <t>Date</t>
  </si>
  <si>
    <t>cwip</t>
  </si>
  <si>
    <t>NBV</t>
  </si>
  <si>
    <t>Transmission Professional Fees</t>
  </si>
  <si>
    <t>to Sales Expenses</t>
  </si>
  <si>
    <t>to Customer Account Expenses</t>
  </si>
  <si>
    <t>Lease/Rental Expenses reported separately</t>
  </si>
  <si>
    <t>Insurance</t>
  </si>
  <si>
    <t>Conservation/Rebate program</t>
  </si>
  <si>
    <t>Dues and subscriptions</t>
  </si>
  <si>
    <t>Advertising and promotional</t>
  </si>
  <si>
    <t>Meetings, travel and mileage</t>
  </si>
  <si>
    <t>Legal and Professional</t>
  </si>
  <si>
    <t>Telephone</t>
  </si>
  <si>
    <t>Debt Detail Schedule</t>
  </si>
  <si>
    <t>Transmission O&amp;M Expense</t>
  </si>
  <si>
    <t>Wage and Salary Allocations</t>
  </si>
  <si>
    <t>Fixed Asset Summary</t>
  </si>
  <si>
    <t>A&amp;G Detail</t>
  </si>
  <si>
    <t>GL Period</t>
  </si>
  <si>
    <t>Transmission Tariff Revenue</t>
  </si>
  <si>
    <t>Asset Cost</t>
  </si>
  <si>
    <t>BOY Total</t>
  </si>
  <si>
    <t>Disposals</t>
  </si>
  <si>
    <t>EOY Total</t>
  </si>
  <si>
    <t>Accumulated Depreciation</t>
  </si>
  <si>
    <t xml:space="preserve">   total</t>
  </si>
  <si>
    <t>production</t>
  </si>
  <si>
    <t>distribution</t>
  </si>
  <si>
    <t>general</t>
  </si>
  <si>
    <t>Asset Category</t>
  </si>
  <si>
    <t>admin</t>
  </si>
  <si>
    <t>Function</t>
  </si>
  <si>
    <t>Labor Cost</t>
  </si>
  <si>
    <t>&lt;-- Transmission O&amp;M Total</t>
  </si>
  <si>
    <t>&lt;-- Admin &amp; General Total</t>
  </si>
  <si>
    <t xml:space="preserve"> &lt;-- Taxes in Lieu of Property Taxes:</t>
  </si>
  <si>
    <t xml:space="preserve"> &lt;-- Payroll taxes</t>
  </si>
  <si>
    <t>&lt;-- current year electric interest expense</t>
  </si>
  <si>
    <t>Remaining Principal</t>
  </si>
  <si>
    <t>AccountingPeriod</t>
  </si>
  <si>
    <t>TranDescription</t>
  </si>
  <si>
    <t>Schedule Total</t>
  </si>
  <si>
    <t>&lt;-- remaining debt at year end</t>
  </si>
  <si>
    <t>reclass</t>
  </si>
  <si>
    <t xml:space="preserve"> &lt;-- recorded on O&amp;M schedule as professional fees</t>
  </si>
  <si>
    <t xml:space="preserve">  Total Plant</t>
  </si>
  <si>
    <t xml:space="preserve">  Sub Total</t>
  </si>
  <si>
    <t>&lt;-- Total attachment O filing fees</t>
  </si>
  <si>
    <t>Expense Item</t>
  </si>
  <si>
    <r>
      <t>Misc Interest</t>
    </r>
    <r>
      <rPr>
        <vertAlign val="superscript"/>
        <sz val="12"/>
        <rFont val="Tahoma"/>
        <family val="2"/>
      </rPr>
      <t>1</t>
    </r>
  </si>
  <si>
    <t>Land Breakout</t>
  </si>
  <si>
    <t xml:space="preserve">   A&amp;G Subtotal</t>
  </si>
  <si>
    <t xml:space="preserve">   A&amp;G less selling expenses</t>
  </si>
  <si>
    <t>Notes:  all references to "city" or "the city" refer to</t>
  </si>
  <si>
    <t>hence no CMMPA assets are represented in the accompanying attachment O using current year audited information.</t>
  </si>
  <si>
    <t>Adjustments to A&amp;G Expenses</t>
  </si>
  <si>
    <t>Schedule</t>
  </si>
  <si>
    <t>Peak Loads</t>
  </si>
  <si>
    <t>&lt;-- average of 12 coincident system peaks, MW</t>
  </si>
  <si>
    <t>Load MW</t>
  </si>
  <si>
    <t>Generation MW</t>
  </si>
  <si>
    <t xml:space="preserve">  average</t>
  </si>
  <si>
    <t>Elk River, MN</t>
  </si>
  <si>
    <t>Rev 2007</t>
  </si>
  <si>
    <t>GO 2010</t>
  </si>
  <si>
    <t>Rev 2014</t>
  </si>
  <si>
    <t>to S4_TransOM (agency TO preparation fees)</t>
  </si>
  <si>
    <t>1 - Defeased interest amortization and discount amortization 2010 Bond</t>
  </si>
  <si>
    <t>Allocation Basis</t>
  </si>
  <si>
    <t>Office utilites and maintenance</t>
  </si>
  <si>
    <t>Salaries</t>
  </si>
  <si>
    <t>Consulting fees</t>
  </si>
  <si>
    <t>Environmental compliance</t>
  </si>
  <si>
    <t>Miscellaneous</t>
  </si>
  <si>
    <t>&lt;-- rent from transmission related electric property</t>
  </si>
  <si>
    <t>Taxes, Rents and Other</t>
  </si>
  <si>
    <t>**</t>
  </si>
  <si>
    <t xml:space="preserve"> **</t>
  </si>
  <si>
    <t xml:space="preserve"> ***</t>
  </si>
  <si>
    <t>IC MW</t>
  </si>
  <si>
    <t>W/S Allocator</t>
  </si>
  <si>
    <t>Elk River makes an annual payment to the city general fund in lieu of property taxes</t>
  </si>
  <si>
    <t>Benefits and payroll taxes</t>
  </si>
  <si>
    <t>CIP Expenses</t>
  </si>
  <si>
    <t xml:space="preserve">                               </t>
  </si>
  <si>
    <t>Rev 2016A</t>
  </si>
  <si>
    <t>Rev 2016B</t>
  </si>
  <si>
    <t xml:space="preserve">financials, Fixed Expenses page </t>
  </si>
  <si>
    <t>Admin Fees</t>
  </si>
  <si>
    <t>Revenue</t>
  </si>
  <si>
    <t>Interzonal Revenue</t>
  </si>
  <si>
    <t>Intrazonal Revenue</t>
  </si>
  <si>
    <t>For the 12 months ended 12/31/17</t>
  </si>
  <si>
    <t>Source:  financial statements, page 25</t>
  </si>
  <si>
    <t>There are no CMMPA assets represented in the books and records of the utility,</t>
  </si>
  <si>
    <t>There are no CMMPA expenses reflected anywhere in the books and records of the utility.</t>
  </si>
  <si>
    <t>CMMPA does invoice the utility for a preparation fee for their attachment O.  That fee is booked as a</t>
  </si>
  <si>
    <t>transmission expense by the utility and a negative transmission expense by CMMPA.</t>
  </si>
  <si>
    <t>The utility has no current year GA load or revenue included in their attachment O for current year data.</t>
  </si>
  <si>
    <t>The utility has no RecB or other "cost shared" projects' costs reflected in its attachment O.</t>
  </si>
  <si>
    <t>The utility is charged its appropriate share of schedule 10 transmission admin charges by CMMPA as a</t>
  </si>
  <si>
    <t>component of their transmission costs.  It is included in the utility's purchased power costs on their financial</t>
  </si>
  <si>
    <t>statements.  Since this cost is not included in A&amp;G on the utility's books, it would be inappropriate for schedule 10</t>
  </si>
  <si>
    <t xml:space="preserve"> ** ties to financial statements, page 22</t>
  </si>
  <si>
    <t xml:space="preserve"> ** ties to financial statements, page 25</t>
  </si>
  <si>
    <t>2024-2036</t>
  </si>
  <si>
    <t xml:space="preserve"> *** ties to financial statements, page 23</t>
  </si>
  <si>
    <t xml:space="preserve">  &lt;-- ties to financial statements, page 22</t>
  </si>
  <si>
    <t xml:space="preserve">  &lt;-- ties to financial statements, page 25</t>
  </si>
  <si>
    <t xml:space="preserve">  &lt;-- ties fo financial statements, page 22 and 23</t>
  </si>
  <si>
    <t xml:space="preserve"> &lt;-- ties to financial statements, page 55</t>
  </si>
  <si>
    <t>Office supplies and billing expense</t>
  </si>
  <si>
    <t>Line 11 includes revenue from:  Landfill Gas Project - $1,084,589; Interest Income - $79,543; Gain on Sale of Capital Assets - $15,152</t>
  </si>
  <si>
    <t xml:space="preserve">Line 17 includes deductions from:  </t>
  </si>
  <si>
    <t xml:space="preserve">Connection Charges - $234,365; Customer Penalties - $242,739;  Misc Revenue - $344,558; Connection Fees - $40,000; Grants - $169,051 </t>
  </si>
  <si>
    <t xml:space="preserve">Line 21 includes: </t>
  </si>
  <si>
    <t>5831, 5951</t>
  </si>
  <si>
    <t>5921, 5922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</si>
</sst>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quot;$&quot;#,##0.00;\(&quot;$&quot;#,##0.00\)"/>
    <numFmt numFmtId="176" formatCode="0.0%"/>
    <numFmt numFmtId="177" formatCode="_(* #,##0.000_);_(* \(#,##0.000\);_(* &quot;-&quot;??_);_(@_)"/>
    <numFmt numFmtId="178" formatCode="mm/dd/yy;@"/>
  </numFmts>
  <fonts count="40">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0"/>
      <name val="Arial"/>
      <family val="2"/>
    </font>
    <font>
      <b/>
      <sz val="10"/>
      <name val="Arial"/>
      <family val="2"/>
    </font>
    <font>
      <sz val="10"/>
      <color indexed="12"/>
      <name val="Arial"/>
      <family val="2"/>
    </font>
    <font>
      <b/>
      <sz val="11"/>
      <name val="Arial"/>
      <family val="2"/>
    </font>
    <font>
      <b/>
      <sz val="12"/>
      <color indexed="12"/>
      <name val="Arial"/>
      <family val="2"/>
    </font>
    <font>
      <sz val="12"/>
      <name val="Arial"/>
      <family val="2"/>
    </font>
    <font>
      <sz val="10"/>
      <name val="Arial"/>
      <family val="2"/>
    </font>
    <font>
      <sz val="10"/>
      <color indexed="12"/>
      <name val="Arial"/>
      <family val="2"/>
    </font>
    <font>
      <sz val="10"/>
      <color indexed="10"/>
      <name val="Arial"/>
      <family val="2"/>
    </font>
    <font>
      <sz val="10"/>
      <color indexed="8"/>
      <name val="Arial"/>
      <family val="2"/>
    </font>
    <font>
      <b/>
      <sz val="12"/>
      <name val="Arial"/>
      <family val="2"/>
    </font>
    <font>
      <b/>
      <sz val="18"/>
      <name val="Arial"/>
      <family val="2"/>
    </font>
    <font>
      <b/>
      <sz val="8"/>
      <color rgb="FF000000"/>
      <name val="Arial"/>
      <family val="2"/>
    </font>
    <font>
      <b/>
      <sz val="12"/>
      <color indexed="12"/>
      <name val="Tahoma"/>
      <family val="2"/>
    </font>
    <font>
      <sz val="12"/>
      <name val="Tahoma"/>
      <family val="2"/>
    </font>
    <font>
      <sz val="10"/>
      <name val="Tahoma"/>
      <family val="2"/>
    </font>
    <font>
      <b/>
      <sz val="12"/>
      <name val="Tahoma"/>
      <family val="2"/>
    </font>
    <font>
      <b/>
      <u/>
      <sz val="12"/>
      <name val="Tahoma"/>
      <family val="2"/>
    </font>
    <font>
      <sz val="12"/>
      <color indexed="8"/>
      <name val="Tahoma"/>
      <family val="2"/>
    </font>
    <font>
      <vertAlign val="superscript"/>
      <sz val="12"/>
      <name val="Tahoma"/>
      <family val="2"/>
    </font>
    <font>
      <sz val="12"/>
      <color theme="1"/>
      <name val="Tahoma"/>
      <family val="2"/>
    </font>
    <font>
      <b/>
      <sz val="12"/>
      <color indexed="8"/>
      <name val="Tahoma"/>
      <family val="2"/>
    </font>
    <font>
      <sz val="12"/>
      <color rgb="FFFF0000"/>
      <name val="Tahoma"/>
      <family val="2"/>
    </font>
    <font>
      <b/>
      <sz val="12"/>
      <color theme="1"/>
      <name val="Tahoma"/>
      <family val="2"/>
    </font>
    <font>
      <u/>
      <sz val="12"/>
      <name val="Arial MT"/>
    </font>
    <font>
      <b/>
      <u/>
      <sz val="12"/>
      <name val="Arial MT"/>
    </font>
    <font>
      <sz val="12"/>
      <color rgb="FFFF0000"/>
      <name val="Arial"/>
      <family val="2"/>
    </font>
    <font>
      <sz val="8"/>
      <name val="Tahoma"/>
      <family val="2"/>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tint="-4.9989318521683403E-2"/>
        <bgColor indexed="64"/>
      </patternFill>
    </fill>
  </fills>
  <borders count="38">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22"/>
      </top>
      <bottom style="thin">
        <color indexed="22"/>
      </bottom>
      <diagonal/>
    </border>
  </borders>
  <cellStyleXfs count="17">
    <xf numFmtId="172" fontId="0" fillId="0" borderId="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8" fillId="0" borderId="0"/>
    <xf numFmtId="44" fontId="18" fillId="0" borderId="0" applyFont="0" applyFill="0" applyBorder="0" applyAlignment="0" applyProtection="0"/>
    <xf numFmtId="0" fontId="21" fillId="0" borderId="0"/>
    <xf numFmtId="0" fontId="21"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21" fillId="0" borderId="0"/>
    <xf numFmtId="0" fontId="12" fillId="0" borderId="0"/>
  </cellStyleXfs>
  <cellXfs count="419">
    <xf numFmtId="172" fontId="0" fillId="0" borderId="0" xfId="0" applyAlignment="1"/>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170" fontId="1" fillId="0" borderId="0" xfId="0" applyNumberFormat="1" applyFont="1" applyFill="1" applyBorder="1" applyAlignment="1" applyProtection="1"/>
    <xf numFmtId="3" fontId="1" fillId="0" borderId="0" xfId="0" applyNumberFormat="1" applyFont="1" applyFill="1" applyAlignment="1" applyProtection="1"/>
    <xf numFmtId="172" fontId="1" fillId="0" borderId="0" xfId="0" applyFont="1" applyAlignment="1" applyProtection="1"/>
    <xf numFmtId="172" fontId="1" fillId="0" borderId="0" xfId="0" applyFont="1" applyAlignment="1" applyProtection="1">
      <alignment horizontal="right"/>
    </xf>
    <xf numFmtId="172" fontId="9" fillId="0" borderId="0" xfId="0" applyFont="1" applyBorder="1" applyAlignment="1" applyProtection="1">
      <alignment wrapText="1"/>
    </xf>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0" borderId="0" xfId="0" applyNumberFormat="1" applyFont="1" applyAlignment="1" applyProtection="1">
      <alignment horizontal="right"/>
    </xf>
    <xf numFmtId="0" fontId="1" fillId="0" borderId="0" xfId="0" applyNumberFormat="1" applyFont="1" applyAlignment="1" applyProtection="1">
      <alignment horizontal="center"/>
    </xf>
    <xf numFmtId="0" fontId="1" fillId="2" borderId="0" xfId="0" applyNumberFormat="1" applyFont="1" applyFill="1" applyProtection="1"/>
    <xf numFmtId="172" fontId="1" fillId="2" borderId="0" xfId="0" applyFont="1" applyFill="1" applyAlignment="1" applyProtection="1"/>
    <xf numFmtId="0" fontId="1" fillId="2" borderId="0" xfId="0" applyNumberFormat="1" applyFont="1" applyFill="1" applyAlignment="1" applyProtection="1">
      <alignment horizontal="right"/>
    </xf>
    <xf numFmtId="3" fontId="1" fillId="0" borderId="0" xfId="0" applyNumberFormat="1" applyFont="1" applyAlignment="1" applyProtection="1"/>
    <xf numFmtId="0" fontId="1" fillId="0" borderId="0" xfId="0" applyNumberFormat="1" applyFont="1" applyBorder="1" applyProtection="1"/>
    <xf numFmtId="172" fontId="1" fillId="0" borderId="0" xfId="0" applyFont="1" applyBorder="1" applyAlignment="1" applyProtection="1"/>
    <xf numFmtId="172" fontId="10" fillId="0" borderId="0" xfId="0" applyFont="1" applyBorder="1" applyAlignment="1" applyProtection="1">
      <alignment wrapText="1"/>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2" borderId="0" xfId="0" applyNumberFormat="1" applyFont="1" applyFill="1" applyProtection="1"/>
    <xf numFmtId="0" fontId="3" fillId="0" borderId="0" xfId="0" applyNumberFormat="1" applyFont="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172" fontId="3" fillId="0" borderId="0" xfId="0" applyFont="1" applyAlignment="1" applyProtection="1"/>
    <xf numFmtId="3" fontId="1" fillId="0" borderId="0" xfId="0" applyNumberFormat="1" applyFont="1" applyFill="1" applyBorder="1" applyProtection="1"/>
    <xf numFmtId="3" fontId="1" fillId="2" borderId="0" xfId="0" applyNumberFormat="1" applyFont="1" applyFill="1" applyBorder="1" applyProtection="1"/>
    <xf numFmtId="3" fontId="1" fillId="2" borderId="1" xfId="0" applyNumberFormat="1" applyFont="1" applyFill="1" applyBorder="1" applyProtection="1"/>
    <xf numFmtId="168" fontId="1" fillId="0" borderId="0" xfId="0" applyNumberFormat="1" applyFont="1" applyProtection="1"/>
    <xf numFmtId="168" fontId="1" fillId="0" borderId="0" xfId="0" applyNumberFormat="1" applyFont="1" applyAlignment="1" applyProtection="1">
      <alignment horizontal="center"/>
    </xf>
    <xf numFmtId="172" fontId="1" fillId="0" borderId="0" xfId="0" applyFont="1" applyAlignment="1" applyProtection="1">
      <alignment horizontal="center"/>
    </xf>
    <xf numFmtId="171" fontId="1" fillId="0" borderId="0" xfId="0" applyNumberFormat="1" applyFont="1" applyAlignment="1" applyProtection="1"/>
    <xf numFmtId="171" fontId="1" fillId="2" borderId="0" xfId="0" applyNumberFormat="1" applyFont="1" applyFill="1" applyProtection="1"/>
    <xf numFmtId="171" fontId="1" fillId="0" borderId="0" xfId="0" applyNumberFormat="1" applyFont="1" applyProtection="1"/>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4" fillId="0" borderId="0" xfId="0" applyNumberFormat="1" applyFont="1" applyAlignment="1" applyProtection="1">
      <alignment horizontal="center"/>
    </xf>
    <xf numFmtId="0" fontId="4" fillId="0" borderId="0" xfId="0" applyNumberFormat="1" applyFont="1" applyAlignment="1" applyProtection="1">
      <alignment horizontal="center"/>
    </xf>
    <xf numFmtId="0" fontId="4" fillId="0" borderId="0" xfId="0" applyNumberFormat="1" applyFont="1" applyAlignment="1" applyProtection="1"/>
    <xf numFmtId="172" fontId="4" fillId="0" borderId="0" xfId="0" applyFont="1" applyAlignment="1" applyProtection="1">
      <alignment horizontal="center"/>
    </xf>
    <xf numFmtId="3" fontId="4" fillId="0" borderId="0" xfId="0" applyNumberFormat="1" applyFont="1" applyAlignment="1" applyProtection="1"/>
    <xf numFmtId="3" fontId="1" fillId="2" borderId="0" xfId="0" applyNumberFormat="1" applyFont="1" applyFill="1" applyBorder="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3" fontId="1" fillId="2" borderId="0" xfId="0" applyNumberFormat="1" applyFont="1" applyFill="1" applyAlignment="1" applyProtection="1"/>
    <xf numFmtId="0" fontId="1" fillId="0" borderId="0" xfId="0" applyNumberFormat="1" applyFont="1" applyAlignment="1" applyProtection="1">
      <alignment horizontal="fill"/>
    </xf>
    <xf numFmtId="165" fontId="1" fillId="0" borderId="0" xfId="0" applyNumberFormat="1" applyFont="1" applyAlignment="1" applyProtection="1">
      <alignment horizontal="right"/>
    </xf>
    <xf numFmtId="3" fontId="1" fillId="0" borderId="0" xfId="0" applyNumberFormat="1" applyFont="1" applyAlignment="1" applyProtection="1">
      <alignment horizontal="center"/>
    </xf>
    <xf numFmtId="172"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Alignment="1" applyProtection="1">
      <alignment horizontal="right"/>
    </xf>
    <xf numFmtId="0" fontId="1" fillId="0" borderId="0" xfId="0" applyNumberFormat="1" applyFont="1" applyFill="1" applyAlignment="1" applyProtection="1">
      <alignment horizontal="center"/>
    </xf>
    <xf numFmtId="0" fontId="1" fillId="0" borderId="0" xfId="0" applyNumberFormat="1" applyFont="1" applyFill="1" applyAlignment="1" applyProtection="1"/>
    <xf numFmtId="3" fontId="8" fillId="0" borderId="0" xfId="0" applyNumberFormat="1" applyFont="1" applyAlignment="1" applyProtection="1"/>
    <xf numFmtId="0" fontId="1" fillId="0" borderId="0" xfId="0" applyNumberFormat="1" applyFont="1" applyFill="1" applyAlignment="1" applyProtection="1">
      <alignment horizontal="fill"/>
    </xf>
    <xf numFmtId="3" fontId="1" fillId="0" borderId="0" xfId="0" applyNumberFormat="1" applyFont="1" applyAlignment="1" applyProtection="1">
      <alignment horizontal="left"/>
    </xf>
    <xf numFmtId="166" fontId="1" fillId="0" borderId="0" xfId="0" applyNumberFormat="1" applyFont="1" applyAlignment="1" applyProtection="1">
      <alignment horizontal="right"/>
    </xf>
    <xf numFmtId="10" fontId="1" fillId="0" borderId="0" xfId="0" applyNumberFormat="1" applyFont="1" applyAlignment="1" applyProtection="1">
      <alignment horizontal="lef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167" fontId="1" fillId="0" borderId="0" xfId="0" applyNumberFormat="1" applyFont="1" applyAlignment="1" applyProtection="1"/>
    <xf numFmtId="3" fontId="1" fillId="0" borderId="0" xfId="0" applyNumberFormat="1" applyFont="1" applyBorder="1" applyAlignment="1" applyProtection="1"/>
    <xf numFmtId="0" fontId="1" fillId="2" borderId="0" xfId="0" applyNumberFormat="1" applyFont="1" applyFill="1" applyBorder="1" applyAlignment="1" applyProtection="1"/>
    <xf numFmtId="0" fontId="1" fillId="2" borderId="1" xfId="0" applyNumberFormat="1" applyFont="1" applyFill="1" applyBorder="1" applyAlignment="1" applyProtection="1"/>
    <xf numFmtId="3" fontId="1" fillId="0" borderId="2" xfId="0" applyNumberFormat="1" applyFont="1" applyFill="1" applyBorder="1" applyAlignment="1" applyProtection="1"/>
    <xf numFmtId="0" fontId="1" fillId="0" borderId="0" xfId="0" applyNumberFormat="1" applyFont="1" applyFill="1" applyProtection="1"/>
    <xf numFmtId="0" fontId="2" fillId="0" borderId="0" xfId="0" applyNumberFormat="1" applyFont="1" applyAlignment="1" applyProtection="1">
      <alignment horizontal="center"/>
    </xf>
    <xf numFmtId="172" fontId="2" fillId="0" borderId="0" xfId="0" applyFont="1" applyAlignment="1" applyProtection="1"/>
    <xf numFmtId="3" fontId="2" fillId="0" borderId="0" xfId="0" applyNumberFormat="1" applyFont="1" applyAlignment="1" applyProtection="1"/>
    <xf numFmtId="0" fontId="2" fillId="0" borderId="0" xfId="0" applyNumberFormat="1" applyFont="1" applyProtection="1"/>
    <xf numFmtId="0" fontId="5" fillId="0" borderId="0" xfId="0" applyNumberFormat="1" applyFont="1" applyProtection="1"/>
    <xf numFmtId="0" fontId="1" fillId="0" borderId="1" xfId="0" applyNumberFormat="1" applyFont="1" applyBorder="1" applyProtection="1"/>
    <xf numFmtId="49" fontId="1" fillId="0" borderId="0" xfId="0" applyNumberFormat="1" applyFont="1" applyAlignment="1" applyProtection="1"/>
    <xf numFmtId="172" fontId="1" fillId="0" borderId="0" xfId="0" applyFont="1" applyFill="1" applyBorder="1" applyAlignment="1" applyProtection="1"/>
    <xf numFmtId="172" fontId="7" fillId="0" borderId="0" xfId="0" applyFont="1" applyFill="1" applyBorder="1" applyAlignment="1" applyProtection="1"/>
    <xf numFmtId="3" fontId="3" fillId="0" borderId="0" xfId="0" applyNumberFormat="1" applyFont="1" applyFill="1" applyBorder="1" applyAlignment="1" applyProtection="1"/>
    <xf numFmtId="0" fontId="1" fillId="0" borderId="0" xfId="0" applyNumberFormat="1" applyFont="1" applyFill="1" applyBorder="1" applyProtection="1"/>
    <xf numFmtId="3" fontId="1" fillId="0" borderId="0" xfId="0" applyNumberFormat="1" applyFont="1" applyFill="1" applyBorder="1" applyAlignment="1" applyProtection="1"/>
    <xf numFmtId="0" fontId="1" fillId="0" borderId="0" xfId="0" applyNumberFormat="1" applyFont="1" applyFill="1" applyBorder="1" applyAlignment="1" applyProtection="1"/>
    <xf numFmtId="172" fontId="3" fillId="0" borderId="0" xfId="0" applyFont="1" applyFill="1" applyBorder="1" applyAlignment="1" applyProtection="1"/>
    <xf numFmtId="0" fontId="1" fillId="0" borderId="0" xfId="0" applyNumberFormat="1" applyFont="1" applyFill="1" applyBorder="1" applyAlignment="1" applyProtection="1">
      <alignment horizontal="center"/>
    </xf>
    <xf numFmtId="172" fontId="6" fillId="0" borderId="0" xfId="0" applyFont="1" applyFill="1" applyBorder="1" applyProtection="1"/>
    <xf numFmtId="165" fontId="1" fillId="0" borderId="0" xfId="0" applyNumberFormat="1" applyFont="1" applyProtection="1"/>
    <xf numFmtId="172" fontId="3" fillId="0" borderId="0" xfId="0" applyFont="1" applyFill="1" applyBorder="1" applyProtection="1"/>
    <xf numFmtId="166" fontId="1" fillId="0" borderId="0" xfId="0" applyNumberFormat="1" applyFont="1" applyProtection="1"/>
    <xf numFmtId="3" fontId="1" fillId="0" borderId="1" xfId="0" applyNumberFormat="1" applyFont="1" applyBorder="1" applyAlignment="1" applyProtection="1">
      <alignment horizontal="center"/>
    </xf>
    <xf numFmtId="4" fontId="1" fillId="0" borderId="0" xfId="0" applyNumberFormat="1" applyFont="1" applyAlignment="1" applyProtection="1"/>
    <xf numFmtId="3" fontId="1" fillId="0" borderId="0" xfId="0" applyNumberFormat="1" applyFont="1" applyBorder="1" applyAlignment="1" applyProtection="1">
      <alignment horizontal="center"/>
    </xf>
    <xf numFmtId="0" fontId="1" fillId="0" borderId="1" xfId="0" applyNumberFormat="1" applyFont="1" applyBorder="1" applyAlignment="1" applyProtection="1"/>
    <xf numFmtId="170" fontId="1" fillId="2" borderId="0" xfId="0" applyNumberFormat="1" applyFont="1" applyFill="1" applyAlignment="1" applyProtection="1"/>
    <xf numFmtId="9" fontId="1" fillId="0" borderId="0" xfId="0" applyNumberFormat="1" applyFont="1" applyAlignment="1" applyProtection="1"/>
    <xf numFmtId="169" fontId="1" fillId="0" borderId="0" xfId="0" applyNumberFormat="1" applyFont="1" applyAlignment="1" applyProtection="1"/>
    <xf numFmtId="10" fontId="1" fillId="0" borderId="0" xfId="0" applyNumberFormat="1" applyFont="1" applyAlignment="1" applyProtection="1"/>
    <xf numFmtId="3" fontId="1" fillId="0" borderId="0" xfId="0" quotePrefix="1" applyNumberFormat="1" applyFont="1" applyAlignment="1" applyProtection="1"/>
    <xf numFmtId="9" fontId="1" fillId="0" borderId="1" xfId="0" applyNumberFormat="1" applyFont="1" applyBorder="1" applyAlignment="1" applyProtection="1"/>
    <xf numFmtId="169" fontId="1" fillId="0" borderId="1" xfId="0" applyNumberFormat="1" applyFont="1" applyBorder="1" applyAlignment="1" applyProtection="1"/>
    <xf numFmtId="9" fontId="1" fillId="0" borderId="0" xfId="0" applyNumberFormat="1" applyFont="1" applyFill="1" applyAlignment="1" applyProtection="1"/>
    <xf numFmtId="172" fontId="1" fillId="0" borderId="4" xfId="0" applyFont="1" applyBorder="1" applyAlignment="1" applyProtection="1"/>
    <xf numFmtId="172" fontId="1" fillId="0" borderId="5" xfId="0" applyFont="1" applyBorder="1" applyAlignment="1" applyProtection="1"/>
    <xf numFmtId="172" fontId="1" fillId="0" borderId="6" xfId="0" applyFont="1" applyBorder="1" applyAlignment="1" applyProtection="1"/>
    <xf numFmtId="10" fontId="1" fillId="2" borderId="0" xfId="0" applyNumberFormat="1" applyFont="1" applyFill="1" applyAlignment="1" applyProtection="1"/>
    <xf numFmtId="172" fontId="1" fillId="0" borderId="7" xfId="0" applyFont="1" applyBorder="1" applyAlignment="1" applyProtection="1"/>
    <xf numFmtId="172" fontId="1" fillId="0" borderId="8" xfId="0" applyFont="1" applyBorder="1" applyAlignment="1" applyProtection="1"/>
    <xf numFmtId="10" fontId="10" fillId="4" borderId="8" xfId="1" applyNumberFormat="1" applyFont="1" applyFill="1" applyBorder="1" applyAlignment="1" applyProtection="1"/>
    <xf numFmtId="172" fontId="1" fillId="0" borderId="9" xfId="0" applyFont="1" applyBorder="1" applyAlignment="1" applyProtection="1"/>
    <xf numFmtId="172" fontId="1" fillId="0" borderId="10" xfId="0" applyFont="1" applyBorder="1" applyAlignment="1" applyProtection="1"/>
    <xf numFmtId="172" fontId="1" fillId="0" borderId="11" xfId="0" applyFont="1" applyBorder="1" applyAlignment="1" applyProtection="1"/>
    <xf numFmtId="171" fontId="1" fillId="0" borderId="0" xfId="0" applyNumberFormat="1" applyFont="1" applyBorder="1" applyProtection="1"/>
    <xf numFmtId="170" fontId="1" fillId="2" borderId="0" xfId="0" applyNumberFormat="1" applyFont="1" applyFill="1" applyBorder="1" applyAlignment="1" applyProtection="1"/>
    <xf numFmtId="3" fontId="3" fillId="0" borderId="0" xfId="0" applyNumberFormat="1" applyFont="1" applyAlignment="1" applyProtection="1">
      <alignment horizontal="left"/>
    </xf>
    <xf numFmtId="0" fontId="1" fillId="0" borderId="0" xfId="0" applyNumberFormat="1" applyFont="1" applyBorder="1" applyAlignment="1" applyProtection="1"/>
    <xf numFmtId="0" fontId="1" fillId="0" borderId="1" xfId="0" applyNumberFormat="1" applyFont="1" applyFill="1" applyBorder="1" applyAlignment="1" applyProtection="1"/>
    <xf numFmtId="0" fontId="1" fillId="0" borderId="1" xfId="0" applyNumberFormat="1" applyFont="1" applyFill="1" applyBorder="1" applyProtection="1"/>
    <xf numFmtId="170" fontId="1" fillId="2" borderId="1" xfId="0" applyNumberFormat="1" applyFont="1" applyFill="1" applyBorder="1" applyAlignment="1" applyProtection="1"/>
    <xf numFmtId="172" fontId="1" fillId="0" borderId="0" xfId="0" applyNumberFormat="1" applyFont="1" applyAlignment="1" applyProtection="1"/>
    <xf numFmtId="0" fontId="2" fillId="0" borderId="0" xfId="0" applyNumberFormat="1" applyFont="1" applyAlignment="1" applyProtection="1"/>
    <xf numFmtId="170" fontId="1" fillId="0" borderId="0" xfId="0" applyNumberFormat="1" applyFont="1" applyAlignment="1" applyProtection="1">
      <alignment horizontal="right"/>
    </xf>
    <xf numFmtId="170"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indent="8"/>
    </xf>
    <xf numFmtId="0" fontId="1" fillId="0" borderId="0" xfId="0" applyNumberFormat="1" applyFont="1" applyFill="1" applyAlignment="1" applyProtection="1">
      <alignment vertical="top" wrapText="1"/>
    </xf>
    <xf numFmtId="10" fontId="1" fillId="2" borderId="0" xfId="0" applyNumberFormat="1" applyFont="1" applyFill="1" applyAlignment="1" applyProtection="1">
      <alignment vertical="top" wrapText="1"/>
    </xf>
    <xf numFmtId="3" fontId="1" fillId="0" borderId="0" xfId="0" applyNumberFormat="1" applyFont="1" applyAlignment="1" applyProtection="1">
      <alignment vertical="top" wrapText="1"/>
    </xf>
    <xf numFmtId="0" fontId="1" fillId="0" borderId="0" xfId="0" applyNumberFormat="1" applyFont="1" applyAlignment="1" applyProtection="1">
      <alignment vertical="top" wrapText="1"/>
    </xf>
    <xf numFmtId="0" fontId="3" fillId="0" borderId="0" xfId="0" applyNumberFormat="1" applyFont="1" applyFill="1" applyAlignment="1" applyProtection="1">
      <alignment horizontal="left"/>
    </xf>
    <xf numFmtId="172" fontId="1" fillId="0" borderId="0" xfId="0" applyFont="1" applyAlignment="1" applyProtection="1">
      <alignment horizontal="center" vertical="top" wrapText="1"/>
    </xf>
    <xf numFmtId="172" fontId="1" fillId="0" borderId="0" xfId="0" applyFont="1" applyFill="1" applyAlignment="1" applyProtection="1">
      <alignment horizontal="center" vertical="top" wrapText="1"/>
    </xf>
    <xf numFmtId="0" fontId="1" fillId="0" borderId="0" xfId="0" applyNumberFormat="1" applyFont="1" applyFill="1" applyAlignment="1" applyProtection="1">
      <alignment horizontal="left" vertical="top"/>
    </xf>
    <xf numFmtId="0" fontId="2" fillId="0" borderId="0" xfId="0" applyNumberFormat="1" applyFont="1" applyAlignment="1" applyProtection="1">
      <alignment vertical="top" wrapText="1"/>
    </xf>
    <xf numFmtId="0" fontId="1" fillId="0" borderId="0" xfId="0" applyNumberFormat="1" applyFont="1" applyFill="1" applyAlignment="1" applyProtection="1">
      <alignment vertical="top"/>
    </xf>
    <xf numFmtId="172" fontId="0" fillId="0" borderId="0" xfId="0" applyFont="1" applyAlignment="1" applyProtection="1">
      <alignment horizontal="center"/>
    </xf>
    <xf numFmtId="0" fontId="1" fillId="0" borderId="0" xfId="0" applyNumberFormat="1" applyFont="1" applyAlignment="1" applyProtection="1">
      <alignment horizontal="center" wrapText="1"/>
    </xf>
    <xf numFmtId="0" fontId="12" fillId="0" borderId="0" xfId="4"/>
    <xf numFmtId="0" fontId="12" fillId="0" borderId="0" xfId="4" applyBorder="1"/>
    <xf numFmtId="37" fontId="12" fillId="0" borderId="0" xfId="4" applyNumberFormat="1" applyBorder="1"/>
    <xf numFmtId="43" fontId="0" fillId="0" borderId="0" xfId="5" applyFont="1" applyBorder="1"/>
    <xf numFmtId="37" fontId="0" fillId="0" borderId="0" xfId="5" applyNumberFormat="1" applyFont="1" applyBorder="1"/>
    <xf numFmtId="173" fontId="13" fillId="0" borderId="12" xfId="6" applyNumberFormat="1" applyFont="1" applyBorder="1"/>
    <xf numFmtId="0" fontId="13" fillId="0" borderId="13" xfId="4" applyFont="1" applyBorder="1"/>
    <xf numFmtId="0" fontId="12" fillId="0" borderId="14" xfId="4" applyBorder="1" applyAlignment="1">
      <alignment horizontal="center"/>
    </xf>
    <xf numFmtId="0" fontId="12" fillId="0" borderId="15" xfId="4" applyBorder="1" applyAlignment="1">
      <alignment horizontal="center"/>
    </xf>
    <xf numFmtId="174" fontId="0" fillId="0" borderId="16" xfId="5" applyNumberFormat="1" applyFont="1" applyBorder="1"/>
    <xf numFmtId="0" fontId="12" fillId="0" borderId="16" xfId="4" applyBorder="1"/>
    <xf numFmtId="0" fontId="12" fillId="0" borderId="16" xfId="4" applyBorder="1" applyAlignment="1">
      <alignment horizontal="center"/>
    </xf>
    <xf numFmtId="174" fontId="13" fillId="0" borderId="16" xfId="5" applyNumberFormat="1" applyFont="1" applyBorder="1"/>
    <xf numFmtId="0" fontId="13" fillId="0" borderId="16" xfId="4" applyFont="1" applyBorder="1"/>
    <xf numFmtId="174" fontId="13" fillId="0" borderId="12" xfId="5" applyNumberFormat="1" applyFont="1" applyBorder="1"/>
    <xf numFmtId="0" fontId="13" fillId="0" borderId="9" xfId="4" applyFont="1" applyBorder="1"/>
    <xf numFmtId="0" fontId="12" fillId="0" borderId="11" xfId="4" applyBorder="1" applyAlignment="1">
      <alignment horizontal="center"/>
    </xf>
    <xf numFmtId="0" fontId="13" fillId="0" borderId="17" xfId="4" applyFont="1" applyBorder="1"/>
    <xf numFmtId="0" fontId="12" fillId="0" borderId="18" xfId="4" applyBorder="1" applyAlignment="1">
      <alignment horizontal="center"/>
    </xf>
    <xf numFmtId="174" fontId="14" fillId="0" borderId="16" xfId="5" applyNumberFormat="1" applyFont="1" applyBorder="1"/>
    <xf numFmtId="0" fontId="12" fillId="0" borderId="19" xfId="4" quotePrefix="1" applyBorder="1" applyAlignment="1">
      <alignment horizontal="left" indent="1"/>
    </xf>
    <xf numFmtId="0" fontId="12" fillId="0" borderId="19" xfId="4" applyBorder="1" applyAlignment="1">
      <alignment horizontal="center"/>
    </xf>
    <xf numFmtId="0" fontId="12" fillId="0" borderId="19" xfId="4" applyBorder="1" applyAlignment="1">
      <alignment horizontal="left" indent="1"/>
    </xf>
    <xf numFmtId="0" fontId="12" fillId="0" borderId="16" xfId="4" applyBorder="1" applyAlignment="1">
      <alignment horizontal="left" indent="1"/>
    </xf>
    <xf numFmtId="0" fontId="12" fillId="0" borderId="16" xfId="4" applyFill="1" applyBorder="1" applyAlignment="1">
      <alignment horizontal="center"/>
    </xf>
    <xf numFmtId="174" fontId="14" fillId="0" borderId="19" xfId="5" applyNumberFormat="1" applyFont="1" applyBorder="1"/>
    <xf numFmtId="0" fontId="12" fillId="0" borderId="19" xfId="4" applyBorder="1"/>
    <xf numFmtId="0" fontId="12" fillId="0" borderId="19" xfId="4" applyFill="1" applyBorder="1" applyAlignment="1">
      <alignment horizontal="center"/>
    </xf>
    <xf numFmtId="0" fontId="12" fillId="0" borderId="16" xfId="4" applyFill="1" applyBorder="1"/>
    <xf numFmtId="0" fontId="13" fillId="0" borderId="16" xfId="4" applyFont="1" applyBorder="1" applyAlignment="1">
      <alignment horizontal="center"/>
    </xf>
    <xf numFmtId="174" fontId="0" fillId="0" borderId="19" xfId="5" applyNumberFormat="1" applyFont="1" applyBorder="1"/>
    <xf numFmtId="0" fontId="13" fillId="0" borderId="19" xfId="4" applyFont="1" applyBorder="1" applyAlignment="1">
      <alignment horizontal="center"/>
    </xf>
    <xf numFmtId="0" fontId="12" fillId="0" borderId="18" xfId="4" applyFill="1" applyBorder="1" applyAlignment="1">
      <alignment horizontal="center"/>
    </xf>
    <xf numFmtId="174" fontId="14" fillId="0" borderId="20" xfId="5" applyNumberFormat="1" applyFont="1" applyBorder="1"/>
    <xf numFmtId="0" fontId="12" fillId="0" borderId="18" xfId="4" applyBorder="1"/>
    <xf numFmtId="174" fontId="14" fillId="0" borderId="18" xfId="5" applyNumberFormat="1" applyFont="1" applyBorder="1"/>
    <xf numFmtId="0" fontId="12" fillId="0" borderId="18" xfId="4" applyFill="1" applyBorder="1"/>
    <xf numFmtId="0" fontId="13" fillId="0" borderId="9" xfId="4" applyFont="1" applyFill="1" applyBorder="1"/>
    <xf numFmtId="0" fontId="12" fillId="0" borderId="19" xfId="4" applyFill="1" applyBorder="1" applyAlignment="1">
      <alignment horizontal="left" indent="1"/>
    </xf>
    <xf numFmtId="37" fontId="0" fillId="0" borderId="16" xfId="5" applyNumberFormat="1" applyFont="1" applyBorder="1"/>
    <xf numFmtId="37" fontId="13" fillId="0" borderId="12" xfId="5" applyNumberFormat="1" applyFont="1" applyBorder="1"/>
    <xf numFmtId="0" fontId="13" fillId="0" borderId="21" xfId="4" applyFont="1" applyBorder="1"/>
    <xf numFmtId="0" fontId="12" fillId="0" borderId="8" xfId="4" applyBorder="1" applyAlignment="1">
      <alignment horizontal="center"/>
    </xf>
    <xf numFmtId="37" fontId="13" fillId="0" borderId="20" xfId="5" applyNumberFormat="1" applyFont="1" applyBorder="1"/>
    <xf numFmtId="0" fontId="13" fillId="0" borderId="20" xfId="4" applyFont="1" applyBorder="1"/>
    <xf numFmtId="0" fontId="12" fillId="0" borderId="5" xfId="4" applyBorder="1" applyAlignment="1">
      <alignment horizontal="center"/>
    </xf>
    <xf numFmtId="37" fontId="14" fillId="0" borderId="19" xfId="5" applyNumberFormat="1" applyFont="1" applyBorder="1"/>
    <xf numFmtId="37" fontId="14" fillId="0" borderId="16" xfId="5" applyNumberFormat="1" applyFont="1" applyBorder="1"/>
    <xf numFmtId="0" fontId="12" fillId="0" borderId="7" xfId="4" applyBorder="1"/>
    <xf numFmtId="0" fontId="13" fillId="0" borderId="16" xfId="4" applyFont="1" applyFill="1" applyBorder="1" applyAlignment="1">
      <alignment horizontal="center"/>
    </xf>
    <xf numFmtId="37" fontId="14" fillId="0" borderId="8" xfId="5" applyNumberFormat="1" applyFont="1" applyBorder="1"/>
    <xf numFmtId="0" fontId="12" fillId="0" borderId="20" xfId="4" applyFill="1" applyBorder="1" applyAlignment="1">
      <alignment horizontal="center"/>
    </xf>
    <xf numFmtId="0" fontId="13" fillId="0" borderId="17" xfId="4" applyFont="1" applyFill="1" applyBorder="1"/>
    <xf numFmtId="0" fontId="12" fillId="0" borderId="22" xfId="4" applyFill="1" applyBorder="1" applyAlignment="1">
      <alignment horizontal="center"/>
    </xf>
    <xf numFmtId="0" fontId="13" fillId="0" borderId="23" xfId="4" applyFont="1" applyFill="1" applyBorder="1"/>
    <xf numFmtId="37" fontId="0" fillId="0" borderId="18" xfId="5" applyNumberFormat="1" applyFont="1" applyBorder="1"/>
    <xf numFmtId="37" fontId="14" fillId="0" borderId="18" xfId="5" applyNumberFormat="1" applyFont="1" applyBorder="1"/>
    <xf numFmtId="173" fontId="14" fillId="0" borderId="19" xfId="6" applyNumberFormat="1" applyFont="1" applyBorder="1"/>
    <xf numFmtId="43" fontId="0" fillId="0" borderId="20" xfId="5" applyFont="1" applyBorder="1"/>
    <xf numFmtId="0" fontId="13" fillId="0" borderId="20" xfId="4" applyFont="1" applyBorder="1" applyAlignment="1">
      <alignment horizontal="center"/>
    </xf>
    <xf numFmtId="0" fontId="12" fillId="0" borderId="20" xfId="4" applyBorder="1" applyAlignment="1">
      <alignment horizontal="center"/>
    </xf>
    <xf numFmtId="0" fontId="12" fillId="0" borderId="8" xfId="4" applyBorder="1"/>
    <xf numFmtId="37" fontId="12" fillId="0" borderId="0" xfId="4" applyNumberFormat="1"/>
    <xf numFmtId="173" fontId="13" fillId="0" borderId="24" xfId="6" applyNumberFormat="1" applyFont="1" applyBorder="1"/>
    <xf numFmtId="0" fontId="13" fillId="0" borderId="25" xfId="4" applyFont="1" applyBorder="1"/>
    <xf numFmtId="0" fontId="12" fillId="0" borderId="26" xfId="4" applyBorder="1" applyAlignment="1">
      <alignment horizontal="center"/>
    </xf>
    <xf numFmtId="174" fontId="14" fillId="0" borderId="8" xfId="5" applyNumberFormat="1" applyFont="1" applyBorder="1"/>
    <xf numFmtId="174" fontId="14" fillId="0" borderId="11" xfId="5" applyNumberFormat="1" applyFont="1" applyBorder="1"/>
    <xf numFmtId="0" fontId="12" fillId="0" borderId="11" xfId="4" applyBorder="1"/>
    <xf numFmtId="174" fontId="13" fillId="0" borderId="27" xfId="5" applyNumberFormat="1" applyFont="1" applyBorder="1"/>
    <xf numFmtId="0" fontId="12" fillId="0" borderId="25" xfId="4" applyBorder="1"/>
    <xf numFmtId="0" fontId="18" fillId="0" borderId="25" xfId="4" applyFont="1" applyBorder="1"/>
    <xf numFmtId="0" fontId="18" fillId="0" borderId="26" xfId="4" applyFont="1" applyBorder="1" applyAlignment="1">
      <alignment horizontal="center"/>
    </xf>
    <xf numFmtId="174" fontId="19" fillId="0" borderId="8" xfId="5" applyNumberFormat="1" applyFont="1" applyBorder="1"/>
    <xf numFmtId="174" fontId="19" fillId="0" borderId="11" xfId="5" applyNumberFormat="1" applyFont="1" applyBorder="1"/>
    <xf numFmtId="174" fontId="19" fillId="0" borderId="22" xfId="5" applyNumberFormat="1" applyFont="1" applyBorder="1"/>
    <xf numFmtId="0" fontId="12" fillId="0" borderId="22" xfId="4" applyBorder="1"/>
    <xf numFmtId="173" fontId="19" fillId="0" borderId="11" xfId="6" applyNumberFormat="1" applyFont="1" applyBorder="1"/>
    <xf numFmtId="0" fontId="12" fillId="0" borderId="6" xfId="4" applyBorder="1" applyAlignment="1">
      <alignment horizontal="center"/>
    </xf>
    <xf numFmtId="0" fontId="12" fillId="0" borderId="6" xfId="4" applyBorder="1"/>
    <xf numFmtId="0" fontId="12" fillId="0" borderId="20" xfId="4" applyBorder="1"/>
    <xf numFmtId="0" fontId="15" fillId="0" borderId="0" xfId="4" applyFont="1" applyBorder="1" applyAlignment="1">
      <alignment horizontal="left"/>
    </xf>
    <xf numFmtId="0" fontId="12" fillId="0" borderId="0" xfId="4" applyAlignment="1">
      <alignment horizontal="left"/>
    </xf>
    <xf numFmtId="14" fontId="17" fillId="0" borderId="0" xfId="4" applyNumberFormat="1" applyFont="1" applyAlignment="1">
      <alignment horizontal="left"/>
    </xf>
    <xf numFmtId="0" fontId="17" fillId="0" borderId="0" xfId="4" applyFont="1" applyAlignment="1">
      <alignment horizontal="left"/>
    </xf>
    <xf numFmtId="173" fontId="13" fillId="0" borderId="26" xfId="6" applyNumberFormat="1" applyFont="1" applyBorder="1"/>
    <xf numFmtId="173" fontId="13" fillId="0" borderId="28" xfId="6" applyNumberFormat="1" applyFont="1" applyBorder="1"/>
    <xf numFmtId="174" fontId="13" fillId="0" borderId="20" xfId="5" applyNumberFormat="1" applyFont="1" applyBorder="1"/>
    <xf numFmtId="174" fontId="19" fillId="0" borderId="20" xfId="5" applyNumberFormat="1" applyFont="1" applyBorder="1"/>
    <xf numFmtId="37" fontId="13" fillId="0" borderId="19" xfId="4" applyNumberFormat="1" applyFont="1" applyBorder="1"/>
    <xf numFmtId="0" fontId="13" fillId="0" borderId="18" xfId="4" applyFont="1" applyBorder="1"/>
    <xf numFmtId="174" fontId="13" fillId="0" borderId="18" xfId="5" applyNumberFormat="1" applyFont="1" applyBorder="1"/>
    <xf numFmtId="174" fontId="19" fillId="0" borderId="18" xfId="5" applyNumberFormat="1" applyFont="1" applyBorder="1"/>
    <xf numFmtId="173" fontId="13" fillId="0" borderId="19" xfId="6" applyNumberFormat="1" applyFont="1" applyBorder="1"/>
    <xf numFmtId="173" fontId="13" fillId="0" borderId="18" xfId="6" applyNumberFormat="1" applyFont="1" applyBorder="1"/>
    <xf numFmtId="173" fontId="0" fillId="0" borderId="18" xfId="6" applyNumberFormat="1" applyFont="1" applyBorder="1"/>
    <xf numFmtId="173" fontId="14" fillId="0" borderId="18" xfId="6" applyNumberFormat="1" applyFont="1" applyBorder="1"/>
    <xf numFmtId="37" fontId="14" fillId="0" borderId="11" xfId="4" applyNumberFormat="1" applyFont="1" applyBorder="1"/>
    <xf numFmtId="37" fontId="12" fillId="0" borderId="10" xfId="4" applyNumberFormat="1" applyBorder="1"/>
    <xf numFmtId="0" fontId="12" fillId="0" borderId="9" xfId="4" applyBorder="1"/>
    <xf numFmtId="37" fontId="14" fillId="0" borderId="6" xfId="4" applyNumberFormat="1" applyFont="1" applyBorder="1"/>
    <xf numFmtId="173" fontId="13" fillId="0" borderId="27" xfId="6" applyNumberFormat="1" applyFont="1" applyBorder="1"/>
    <xf numFmtId="173" fontId="13" fillId="0" borderId="25" xfId="6" applyNumberFormat="1" applyFont="1" applyBorder="1"/>
    <xf numFmtId="0" fontId="12" fillId="0" borderId="10" xfId="4" applyBorder="1" applyAlignment="1">
      <alignment horizontal="left" indent="1"/>
    </xf>
    <xf numFmtId="37" fontId="12" fillId="0" borderId="8" xfId="4" applyNumberFormat="1" applyBorder="1"/>
    <xf numFmtId="37" fontId="14" fillId="0" borderId="8" xfId="4" applyNumberFormat="1" applyFont="1" applyBorder="1"/>
    <xf numFmtId="37" fontId="14" fillId="0" borderId="8" xfId="4" applyNumberFormat="1" applyFont="1" applyBorder="1" applyAlignment="1">
      <alignment horizontal="right"/>
    </xf>
    <xf numFmtId="174" fontId="0" fillId="0" borderId="11" xfId="5" applyNumberFormat="1" applyFont="1" applyBorder="1"/>
    <xf numFmtId="174" fontId="14" fillId="0" borderId="22" xfId="5" applyNumberFormat="1" applyFont="1" applyBorder="1"/>
    <xf numFmtId="174" fontId="14" fillId="0" borderId="22" xfId="5" applyNumberFormat="1" applyFont="1" applyBorder="1" applyAlignment="1">
      <alignment horizontal="right"/>
    </xf>
    <xf numFmtId="174" fontId="14" fillId="0" borderId="11" xfId="5" applyNumberFormat="1" applyFont="1" applyBorder="1" applyAlignment="1">
      <alignment horizontal="right"/>
    </xf>
    <xf numFmtId="0" fontId="12" fillId="0" borderId="11" xfId="4" applyBorder="1" applyAlignment="1">
      <alignment horizontal="left" indent="1"/>
    </xf>
    <xf numFmtId="174" fontId="0" fillId="0" borderId="8" xfId="5" applyNumberFormat="1" applyFont="1" applyBorder="1"/>
    <xf numFmtId="174" fontId="14" fillId="0" borderId="8" xfId="5" applyNumberFormat="1" applyFont="1" applyBorder="1" applyAlignment="1">
      <alignment horizontal="right"/>
    </xf>
    <xf numFmtId="0" fontId="12" fillId="0" borderId="29" xfId="4" applyBorder="1"/>
    <xf numFmtId="174" fontId="12" fillId="0" borderId="8" xfId="5" applyNumberFormat="1" applyFont="1" applyBorder="1"/>
    <xf numFmtId="174" fontId="12" fillId="0" borderId="22" xfId="5" applyNumberFormat="1" applyFont="1" applyBorder="1"/>
    <xf numFmtId="0" fontId="12" fillId="0" borderId="29" xfId="4" applyFill="1" applyBorder="1"/>
    <xf numFmtId="174" fontId="12" fillId="0" borderId="11" xfId="5" applyNumberFormat="1" applyFont="1" applyBorder="1"/>
    <xf numFmtId="0" fontId="12" fillId="0" borderId="10" xfId="4" applyFill="1" applyBorder="1" applyAlignment="1">
      <alignment horizontal="left" indent="1"/>
    </xf>
    <xf numFmtId="0" fontId="12" fillId="0" borderId="0" xfId="4" applyFill="1" applyBorder="1"/>
    <xf numFmtId="0" fontId="12" fillId="0" borderId="10" xfId="4" applyBorder="1"/>
    <xf numFmtId="173" fontId="12" fillId="0" borderId="11" xfId="6" applyNumberFormat="1" applyFont="1" applyBorder="1"/>
    <xf numFmtId="173" fontId="14" fillId="0" borderId="11" xfId="6" applyNumberFormat="1" applyFont="1" applyBorder="1"/>
    <xf numFmtId="37" fontId="12" fillId="0" borderId="20" xfId="4" applyNumberFormat="1" applyBorder="1"/>
    <xf numFmtId="14" fontId="17" fillId="0" borderId="0" xfId="4" applyNumberFormat="1" applyFont="1" applyAlignment="1">
      <alignment horizontal="center"/>
    </xf>
    <xf numFmtId="0" fontId="17" fillId="0" borderId="0" xfId="4" applyFont="1" applyAlignment="1">
      <alignment horizontal="center"/>
    </xf>
    <xf numFmtId="172" fontId="0" fillId="0" borderId="0" xfId="0"/>
    <xf numFmtId="14" fontId="16" fillId="0" borderId="0" xfId="4" applyNumberFormat="1" applyFont="1" applyAlignment="1">
      <alignment horizontal="center"/>
    </xf>
    <xf numFmtId="0" fontId="18" fillId="0" borderId="0" xfId="7"/>
    <xf numFmtId="0" fontId="18" fillId="0" borderId="0" xfId="7" applyAlignment="1">
      <alignment horizontal="center"/>
    </xf>
    <xf numFmtId="0" fontId="18" fillId="0" borderId="0" xfId="7" applyAlignment="1"/>
    <xf numFmtId="0" fontId="20" fillId="0" borderId="0" xfId="7" applyFont="1"/>
    <xf numFmtId="0" fontId="23" fillId="0" borderId="0" xfId="7" applyFont="1"/>
    <xf numFmtId="0" fontId="13" fillId="0" borderId="0" xfId="7" applyFont="1"/>
    <xf numFmtId="0" fontId="18" fillId="0" borderId="0" xfId="7" applyAlignment="1">
      <alignment horizontal="left" indent="1"/>
    </xf>
    <xf numFmtId="173" fontId="0" fillId="0" borderId="0" xfId="8" applyNumberFormat="1" applyFont="1"/>
    <xf numFmtId="0" fontId="18" fillId="0" borderId="0" xfId="7" applyFill="1"/>
    <xf numFmtId="0" fontId="24" fillId="0" borderId="0" xfId="7" applyFont="1" applyFill="1"/>
    <xf numFmtId="0" fontId="18" fillId="0" borderId="0" xfId="7" applyFill="1" applyAlignment="1">
      <alignment horizontal="center"/>
    </xf>
    <xf numFmtId="0" fontId="18" fillId="0" borderId="0" xfId="4" applyFont="1"/>
    <xf numFmtId="172" fontId="0" fillId="0" borderId="0" xfId="0" applyFill="1"/>
    <xf numFmtId="0" fontId="17" fillId="0" borderId="0" xfId="7" applyFont="1" applyAlignment="1">
      <alignment horizontal="left" indent="1"/>
    </xf>
    <xf numFmtId="173" fontId="11" fillId="0" borderId="0" xfId="8" applyNumberFormat="1" applyFont="1"/>
    <xf numFmtId="174" fontId="12" fillId="0" borderId="0" xfId="2" applyNumberFormat="1" applyFont="1"/>
    <xf numFmtId="174" fontId="13" fillId="0" borderId="0" xfId="2" applyNumberFormat="1" applyFont="1"/>
    <xf numFmtId="174" fontId="12" fillId="0" borderId="0" xfId="4" applyNumberFormat="1"/>
    <xf numFmtId="37" fontId="0" fillId="8" borderId="19" xfId="5" applyNumberFormat="1" applyFont="1" applyFill="1" applyBorder="1"/>
    <xf numFmtId="0" fontId="17" fillId="0" borderId="0" xfId="4" applyFont="1" applyAlignment="1"/>
    <xf numFmtId="0" fontId="18" fillId="0" borderId="0" xfId="7" applyAlignment="1">
      <alignment horizontal="left" vertical="center"/>
    </xf>
    <xf numFmtId="0" fontId="17" fillId="0" borderId="0" xfId="4" applyFont="1" applyAlignment="1">
      <alignment horizontal="left" vertical="center"/>
    </xf>
    <xf numFmtId="0" fontId="25" fillId="0" borderId="0" xfId="4" applyFont="1" applyAlignment="1">
      <alignment horizontal="left" vertical="center"/>
    </xf>
    <xf numFmtId="0" fontId="26" fillId="0" borderId="0" xfId="4" applyFont="1" applyAlignment="1">
      <alignment horizontal="left" vertical="center"/>
    </xf>
    <xf numFmtId="14" fontId="25" fillId="0" borderId="0" xfId="4" applyNumberFormat="1" applyFont="1" applyAlignment="1">
      <alignment horizontal="left" vertical="center"/>
    </xf>
    <xf numFmtId="0" fontId="25" fillId="0" borderId="0" xfId="4" applyFont="1" applyAlignment="1">
      <alignment horizontal="left"/>
    </xf>
    <xf numFmtId="0" fontId="27" fillId="0" borderId="0" xfId="7" applyFont="1"/>
    <xf numFmtId="14" fontId="25" fillId="0" borderId="0" xfId="4" applyNumberFormat="1" applyFont="1" applyAlignment="1">
      <alignment horizontal="left"/>
    </xf>
    <xf numFmtId="0" fontId="26" fillId="0" borderId="0" xfId="4" applyFont="1" applyAlignment="1"/>
    <xf numFmtId="175" fontId="28" fillId="10" borderId="0" xfId="4" applyNumberFormat="1" applyFont="1" applyFill="1" applyAlignment="1">
      <alignment horizontal="right"/>
    </xf>
    <xf numFmtId="44" fontId="28" fillId="10" borderId="0" xfId="4" applyNumberFormat="1" applyFont="1" applyFill="1" applyAlignment="1">
      <alignment horizontal="left"/>
    </xf>
    <xf numFmtId="0" fontId="27" fillId="0" borderId="0" xfId="7" applyFont="1" applyAlignment="1">
      <alignment horizontal="left" indent="1"/>
    </xf>
    <xf numFmtId="0" fontId="26" fillId="0" borderId="0" xfId="7" applyFont="1" applyBorder="1" applyAlignment="1">
      <alignment horizontal="left" indent="1"/>
    </xf>
    <xf numFmtId="0" fontId="26" fillId="0" borderId="0" xfId="7" applyFont="1" applyAlignment="1">
      <alignment horizontal="left" indent="1"/>
    </xf>
    <xf numFmtId="0" fontId="26" fillId="0" borderId="0" xfId="7" applyFont="1" applyFill="1" applyAlignment="1">
      <alignment horizontal="left" indent="1"/>
    </xf>
    <xf numFmtId="0" fontId="28" fillId="0" borderId="0" xfId="7" applyFont="1"/>
    <xf numFmtId="172" fontId="26" fillId="0" borderId="0" xfId="0" applyFont="1" applyAlignment="1"/>
    <xf numFmtId="43" fontId="26" fillId="0" borderId="0" xfId="2" applyFont="1"/>
    <xf numFmtId="172" fontId="26" fillId="0" borderId="0" xfId="0" applyFont="1"/>
    <xf numFmtId="0" fontId="27" fillId="0" borderId="0" xfId="4" applyFont="1"/>
    <xf numFmtId="0" fontId="26" fillId="0" borderId="0" xfId="4" applyFont="1"/>
    <xf numFmtId="172" fontId="29" fillId="0" borderId="0" xfId="0" applyFont="1"/>
    <xf numFmtId="0" fontId="26" fillId="0" borderId="0" xfId="7" applyFont="1"/>
    <xf numFmtId="0" fontId="30" fillId="5" borderId="32" xfId="15" applyFont="1" applyFill="1" applyBorder="1" applyAlignment="1">
      <alignment horizontal="center"/>
    </xf>
    <xf numFmtId="0" fontId="30" fillId="5" borderId="32" xfId="15" applyFont="1" applyFill="1" applyBorder="1" applyAlignment="1">
      <alignment horizontal="right"/>
    </xf>
    <xf numFmtId="0" fontId="32" fillId="0" borderId="31" xfId="9" applyFont="1" applyFill="1" applyBorder="1" applyAlignment="1">
      <alignment horizontal="center" wrapText="1"/>
    </xf>
    <xf numFmtId="0" fontId="17" fillId="0" borderId="0" xfId="7" applyFont="1"/>
    <xf numFmtId="0" fontId="17" fillId="9" borderId="32" xfId="7" applyFont="1" applyFill="1" applyBorder="1"/>
    <xf numFmtId="0" fontId="30" fillId="5" borderId="32" xfId="15" applyFont="1" applyFill="1" applyBorder="1" applyAlignment="1">
      <alignment horizontal="left"/>
    </xf>
    <xf numFmtId="0" fontId="30" fillId="0" borderId="31" xfId="15" applyFont="1" applyFill="1" applyBorder="1" applyAlignment="1">
      <alignment horizontal="left" wrapText="1"/>
    </xf>
    <xf numFmtId="174" fontId="30" fillId="0" borderId="31" xfId="12" applyNumberFormat="1" applyFont="1" applyFill="1" applyBorder="1" applyAlignment="1">
      <alignment horizontal="right" wrapText="1"/>
    </xf>
    <xf numFmtId="0" fontId="33" fillId="0" borderId="31" xfId="15" applyFont="1" applyFill="1" applyBorder="1" applyAlignment="1">
      <alignment horizontal="left" wrapText="1"/>
    </xf>
    <xf numFmtId="175" fontId="30" fillId="0" borderId="0" xfId="9" applyNumberFormat="1" applyFont="1" applyFill="1" applyBorder="1" applyAlignment="1">
      <alignment horizontal="left"/>
    </xf>
    <xf numFmtId="175" fontId="34" fillId="0" borderId="0" xfId="9" applyNumberFormat="1" applyFont="1" applyFill="1" applyBorder="1" applyAlignment="1">
      <alignment horizontal="right" wrapText="1"/>
    </xf>
    <xf numFmtId="0" fontId="22" fillId="0" borderId="0" xfId="7" applyFont="1" applyBorder="1" applyAlignment="1">
      <alignment horizontal="center"/>
    </xf>
    <xf numFmtId="175" fontId="22" fillId="0" borderId="0" xfId="7" applyNumberFormat="1" applyFont="1" applyBorder="1"/>
    <xf numFmtId="0" fontId="30" fillId="0" borderId="0" xfId="9" applyFont="1" applyFill="1" applyBorder="1" applyAlignment="1">
      <alignment horizontal="center"/>
    </xf>
    <xf numFmtId="0" fontId="30" fillId="0" borderId="31" xfId="9" applyFont="1" applyFill="1" applyBorder="1" applyAlignment="1">
      <alignment horizontal="center" wrapText="1"/>
    </xf>
    <xf numFmtId="175" fontId="30" fillId="0" borderId="0" xfId="9" applyNumberFormat="1" applyFont="1" applyFill="1" applyBorder="1" applyAlignment="1">
      <alignment horizontal="right" wrapText="1"/>
    </xf>
    <xf numFmtId="0" fontId="30" fillId="0" borderId="0" xfId="9" applyFont="1" applyFill="1" applyBorder="1" applyAlignment="1">
      <alignment horizontal="center" wrapText="1"/>
    </xf>
    <xf numFmtId="0" fontId="17" fillId="0" borderId="0" xfId="7" applyFont="1" applyAlignment="1">
      <alignment horizontal="center"/>
    </xf>
    <xf numFmtId="0" fontId="30" fillId="5" borderId="32" xfId="10" applyFont="1" applyFill="1" applyBorder="1" applyAlignment="1">
      <alignment horizontal="center"/>
    </xf>
    <xf numFmtId="0" fontId="30" fillId="0" borderId="31" xfId="10" applyFont="1" applyFill="1" applyBorder="1" applyAlignment="1">
      <alignment horizontal="left" wrapText="1"/>
    </xf>
    <xf numFmtId="10" fontId="30" fillId="0" borderId="31" xfId="10" applyNumberFormat="1" applyFont="1" applyFill="1" applyBorder="1" applyAlignment="1">
      <alignment horizontal="right" wrapText="1"/>
    </xf>
    <xf numFmtId="43" fontId="30" fillId="0" borderId="31" xfId="12" applyFont="1" applyFill="1" applyBorder="1" applyAlignment="1">
      <alignment horizontal="right" wrapText="1"/>
    </xf>
    <xf numFmtId="43" fontId="30" fillId="0" borderId="31" xfId="13" applyFont="1" applyFill="1" applyBorder="1" applyAlignment="1">
      <alignment horizontal="right" wrapText="1"/>
    </xf>
    <xf numFmtId="43" fontId="33" fillId="0" borderId="31" xfId="12" applyFont="1" applyFill="1" applyBorder="1" applyAlignment="1">
      <alignment horizontal="right" wrapText="1"/>
    </xf>
    <xf numFmtId="44" fontId="33" fillId="0" borderId="31" xfId="11" applyFont="1" applyFill="1" applyBorder="1" applyAlignment="1">
      <alignment horizontal="right" wrapText="1"/>
    </xf>
    <xf numFmtId="0" fontId="30" fillId="0" borderId="0" xfId="10" applyFont="1" applyFill="1" applyBorder="1" applyAlignment="1">
      <alignment horizontal="right" wrapText="1"/>
    </xf>
    <xf numFmtId="0" fontId="28" fillId="0" borderId="0" xfId="7" applyFont="1" applyAlignment="1">
      <alignment horizontal="center"/>
    </xf>
    <xf numFmtId="0" fontId="30" fillId="0" borderId="34" xfId="10" applyFont="1" applyFill="1" applyBorder="1" applyAlignment="1">
      <alignment horizontal="left" wrapText="1"/>
    </xf>
    <xf numFmtId="0" fontId="30" fillId="0" borderId="0" xfId="10" applyFont="1" applyFill="1" applyBorder="1" applyAlignment="1">
      <alignment horizontal="left" wrapText="1"/>
    </xf>
    <xf numFmtId="44" fontId="28" fillId="0" borderId="0" xfId="7" applyNumberFormat="1" applyFont="1"/>
    <xf numFmtId="176" fontId="30" fillId="0" borderId="31" xfId="1" applyNumberFormat="1" applyFont="1" applyFill="1" applyBorder="1" applyAlignment="1">
      <alignment horizontal="right" wrapText="1"/>
    </xf>
    <xf numFmtId="174" fontId="30" fillId="0" borderId="31" xfId="2" applyNumberFormat="1" applyFont="1" applyFill="1" applyBorder="1" applyAlignment="1">
      <alignment horizontal="left" wrapText="1"/>
    </xf>
    <xf numFmtId="43" fontId="32" fillId="0" borderId="31" xfId="2" applyFont="1" applyFill="1" applyBorder="1" applyAlignment="1">
      <alignment horizontal="right" wrapText="1"/>
    </xf>
    <xf numFmtId="43" fontId="30" fillId="0" borderId="30" xfId="2" applyFont="1" applyFill="1" applyBorder="1" applyAlignment="1">
      <alignment horizontal="right" wrapText="1"/>
    </xf>
    <xf numFmtId="172" fontId="11" fillId="0" borderId="0" xfId="0" applyFont="1" applyAlignment="1"/>
    <xf numFmtId="0" fontId="32" fillId="0" borderId="31" xfId="9" applyFont="1" applyFill="1" applyBorder="1" applyAlignment="1">
      <alignment horizontal="left" wrapText="1"/>
    </xf>
    <xf numFmtId="43" fontId="32" fillId="0" borderId="31" xfId="2" applyFont="1" applyFill="1" applyBorder="1" applyAlignment="1">
      <alignment horizontal="center" wrapText="1"/>
    </xf>
    <xf numFmtId="0" fontId="26" fillId="0" borderId="0" xfId="7" applyFont="1" applyFill="1"/>
    <xf numFmtId="43" fontId="30" fillId="5" borderId="32" xfId="2" applyFont="1" applyFill="1" applyBorder="1" applyAlignment="1">
      <alignment horizontal="center"/>
    </xf>
    <xf numFmtId="174" fontId="26" fillId="0" borderId="0" xfId="7" applyNumberFormat="1" applyFont="1"/>
    <xf numFmtId="174" fontId="18" fillId="0" borderId="0" xfId="7" applyNumberFormat="1"/>
    <xf numFmtId="174" fontId="33" fillId="11" borderId="31" xfId="12" applyNumberFormat="1" applyFont="1" applyFill="1" applyBorder="1" applyAlignment="1">
      <alignment horizontal="right" wrapText="1"/>
    </xf>
    <xf numFmtId="0" fontId="33" fillId="11" borderId="31" xfId="9" applyFont="1" applyFill="1" applyBorder="1" applyAlignment="1">
      <alignment horizontal="center" wrapText="1"/>
    </xf>
    <xf numFmtId="43" fontId="33" fillId="11" borderId="30" xfId="2" applyFont="1" applyFill="1" applyBorder="1" applyAlignment="1">
      <alignment horizontal="right" wrapText="1"/>
    </xf>
    <xf numFmtId="0" fontId="33" fillId="11" borderId="31" xfId="15" applyFont="1" applyFill="1" applyBorder="1" applyAlignment="1">
      <alignment horizontal="left" wrapText="1"/>
    </xf>
    <xf numFmtId="176" fontId="33" fillId="11" borderId="31" xfId="1" applyNumberFormat="1" applyFont="1" applyFill="1" applyBorder="1" applyAlignment="1">
      <alignment horizontal="right" wrapText="1"/>
    </xf>
    <xf numFmtId="174" fontId="33" fillId="11" borderId="31" xfId="2" applyNumberFormat="1" applyFont="1" applyFill="1" applyBorder="1" applyAlignment="1">
      <alignment horizontal="left" wrapText="1"/>
    </xf>
    <xf numFmtId="0" fontId="32" fillId="11" borderId="31" xfId="9" applyFont="1" applyFill="1" applyBorder="1" applyAlignment="1">
      <alignment horizontal="center" wrapText="1"/>
    </xf>
    <xf numFmtId="0" fontId="32" fillId="11" borderId="31" xfId="9" applyFont="1" applyFill="1" applyBorder="1" applyAlignment="1">
      <alignment wrapText="1"/>
    </xf>
    <xf numFmtId="43" fontId="35" fillId="11" borderId="31" xfId="2" applyFont="1" applyFill="1" applyBorder="1" applyAlignment="1">
      <alignment horizontal="center" wrapText="1"/>
    </xf>
    <xf numFmtId="172" fontId="36" fillId="0" borderId="0" xfId="0" applyFont="1"/>
    <xf numFmtId="172" fontId="37" fillId="0" borderId="0" xfId="0" applyFont="1"/>
    <xf numFmtId="173" fontId="36" fillId="0" borderId="0" xfId="3" applyNumberFormat="1" applyFont="1"/>
    <xf numFmtId="0" fontId="17" fillId="0" borderId="0" xfId="7" applyFont="1" applyFill="1"/>
    <xf numFmtId="0" fontId="30" fillId="0" borderId="31" xfId="15" applyFont="1" applyFill="1" applyBorder="1" applyAlignment="1">
      <alignment horizontal="center" wrapText="1"/>
    </xf>
    <xf numFmtId="43" fontId="30" fillId="0" borderId="31" xfId="2" applyFont="1" applyFill="1" applyBorder="1" applyAlignment="1">
      <alignment horizontal="right" wrapText="1"/>
    </xf>
    <xf numFmtId="0" fontId="38" fillId="0" borderId="0" xfId="7" applyFont="1" applyFill="1"/>
    <xf numFmtId="43" fontId="33" fillId="11" borderId="31" xfId="2" applyFont="1" applyFill="1" applyBorder="1" applyAlignment="1">
      <alignment horizontal="right" wrapText="1"/>
    </xf>
    <xf numFmtId="177" fontId="28" fillId="10" borderId="0" xfId="2" applyNumberFormat="1" applyFont="1" applyFill="1" applyAlignment="1">
      <alignment horizontal="right"/>
    </xf>
    <xf numFmtId="0" fontId="28" fillId="0" borderId="0" xfId="16" applyFont="1"/>
    <xf numFmtId="178" fontId="30" fillId="0" borderId="31" xfId="15" applyNumberFormat="1" applyFont="1" applyFill="1" applyBorder="1" applyAlignment="1">
      <alignment horizontal="left" wrapText="1"/>
    </xf>
    <xf numFmtId="177" fontId="30" fillId="0" borderId="31" xfId="2" applyNumberFormat="1" applyFont="1" applyFill="1" applyBorder="1" applyAlignment="1">
      <alignment horizontal="right" wrapText="1"/>
    </xf>
    <xf numFmtId="0" fontId="12" fillId="0" borderId="0" xfId="4" applyFont="1"/>
    <xf numFmtId="43" fontId="20" fillId="0" borderId="0" xfId="2" applyFont="1"/>
    <xf numFmtId="43" fontId="18" fillId="0" borderId="0" xfId="2" applyFont="1"/>
    <xf numFmtId="0" fontId="39" fillId="0" borderId="0" xfId="9" applyFont="1" applyFill="1" applyBorder="1" applyAlignment="1">
      <alignment horizontal="left"/>
    </xf>
    <xf numFmtId="0" fontId="26" fillId="0" borderId="0" xfId="4" applyFont="1" applyAlignment="1">
      <alignment horizontal="left" vertical="center"/>
    </xf>
    <xf numFmtId="177" fontId="33" fillId="11" borderId="31" xfId="2" applyNumberFormat="1" applyFont="1" applyFill="1" applyBorder="1" applyAlignment="1">
      <alignment horizontal="right" wrapText="1"/>
    </xf>
    <xf numFmtId="10" fontId="12" fillId="0" borderId="0" xfId="1" applyNumberFormat="1" applyFont="1"/>
    <xf numFmtId="172" fontId="12" fillId="0" borderId="0" xfId="0" applyFont="1"/>
    <xf numFmtId="0" fontId="13" fillId="0" borderId="0" xfId="4" applyFont="1" applyBorder="1"/>
    <xf numFmtId="174" fontId="14" fillId="0" borderId="22" xfId="5" applyNumberFormat="1" applyFont="1" applyFill="1" applyBorder="1"/>
    <xf numFmtId="43" fontId="17" fillId="0" borderId="0" xfId="7" applyNumberFormat="1" applyFont="1"/>
    <xf numFmtId="174" fontId="14" fillId="0" borderId="11" xfId="5" applyNumberFormat="1" applyFont="1" applyFill="1" applyBorder="1"/>
    <xf numFmtId="43" fontId="1" fillId="0" borderId="0" xfId="2" applyFont="1" applyAlignment="1" applyProtection="1">
      <alignment horizontal="center"/>
    </xf>
    <xf numFmtId="44" fontId="30" fillId="0" borderId="31" xfId="3" applyFont="1" applyFill="1" applyBorder="1" applyAlignment="1">
      <alignment horizontal="left" wrapText="1"/>
    </xf>
    <xf numFmtId="0" fontId="26" fillId="0" borderId="30" xfId="7" applyFont="1" applyBorder="1" applyAlignment="1">
      <alignment horizontal="center"/>
    </xf>
    <xf numFmtId="0" fontId="18" fillId="0" borderId="31" xfId="7" applyBorder="1"/>
    <xf numFmtId="43" fontId="26" fillId="0" borderId="37" xfId="2" applyFont="1" applyBorder="1" applyAlignment="1">
      <alignment horizontal="right" wrapText="1"/>
    </xf>
    <xf numFmtId="43" fontId="26" fillId="0" borderId="31" xfId="2" applyFont="1" applyBorder="1" applyAlignment="1">
      <alignment horizontal="right" wrapText="1"/>
    </xf>
    <xf numFmtId="0" fontId="1" fillId="0" borderId="0" xfId="0" applyNumberFormat="1" applyFont="1" applyFill="1" applyAlignment="1" applyProtection="1">
      <alignment vertical="top" wrapText="1"/>
    </xf>
    <xf numFmtId="0" fontId="1" fillId="0" borderId="0" xfId="0" applyNumberFormat="1" applyFont="1" applyAlignment="1" applyProtection="1">
      <alignment vertical="top" wrapText="1"/>
    </xf>
    <xf numFmtId="0" fontId="1" fillId="0" borderId="0" xfId="0" applyNumberFormat="1" applyFont="1" applyFill="1" applyBorder="1" applyAlignment="1" applyProtection="1">
      <alignment horizontal="center"/>
    </xf>
    <xf numFmtId="3" fontId="1" fillId="0" borderId="0" xfId="0" applyNumberFormat="1" applyFont="1" applyAlignment="1" applyProtection="1">
      <alignment horizontal="right"/>
    </xf>
    <xf numFmtId="0" fontId="16" fillId="0" borderId="0" xfId="4" applyFont="1" applyAlignment="1">
      <alignment horizontal="center"/>
    </xf>
    <xf numFmtId="0" fontId="17" fillId="0" borderId="0" xfId="4" applyFont="1" applyAlignment="1">
      <alignment horizontal="center"/>
    </xf>
    <xf numFmtId="14" fontId="16" fillId="0" borderId="0" xfId="4" applyNumberFormat="1" applyFont="1" applyAlignment="1">
      <alignment horizontal="center"/>
    </xf>
    <xf numFmtId="0" fontId="15" fillId="0" borderId="10" xfId="4" applyFont="1" applyBorder="1" applyAlignment="1">
      <alignment horizontal="center"/>
    </xf>
    <xf numFmtId="0" fontId="13" fillId="0" borderId="10" xfId="4" applyFont="1" applyBorder="1" applyAlignment="1">
      <alignment horizontal="center"/>
    </xf>
    <xf numFmtId="0" fontId="12" fillId="0" borderId="4" xfId="4" applyBorder="1" applyAlignment="1">
      <alignment horizontal="left"/>
    </xf>
    <xf numFmtId="0" fontId="12" fillId="0" borderId="5" xfId="4" applyBorder="1" applyAlignment="1">
      <alignment horizontal="left"/>
    </xf>
    <xf numFmtId="0" fontId="17" fillId="6" borderId="33" xfId="7" applyFont="1" applyFill="1" applyBorder="1" applyAlignment="1">
      <alignment horizontal="center"/>
    </xf>
    <xf numFmtId="0" fontId="17" fillId="6" borderId="35" xfId="7" applyFont="1" applyFill="1" applyBorder="1" applyAlignment="1">
      <alignment horizontal="center"/>
    </xf>
    <xf numFmtId="0" fontId="17" fillId="6" borderId="36" xfId="7" applyFont="1" applyFill="1" applyBorder="1" applyAlignment="1">
      <alignment horizontal="center"/>
    </xf>
    <xf numFmtId="0" fontId="17" fillId="7" borderId="33" xfId="7" applyFont="1" applyFill="1" applyBorder="1" applyAlignment="1">
      <alignment horizontal="center"/>
    </xf>
    <xf numFmtId="0" fontId="17" fillId="7" borderId="35" xfId="7" applyFont="1" applyFill="1" applyBorder="1" applyAlignment="1">
      <alignment horizontal="center"/>
    </xf>
    <xf numFmtId="0" fontId="17" fillId="7" borderId="36" xfId="7" applyFont="1" applyFill="1" applyBorder="1" applyAlignment="1">
      <alignment horizontal="center"/>
    </xf>
    <xf numFmtId="0" fontId="22" fillId="0" borderId="0" xfId="7" applyFont="1" applyBorder="1" applyAlignment="1">
      <alignment horizontal="center"/>
    </xf>
    <xf numFmtId="0" fontId="26" fillId="0" borderId="0" xfId="4" applyFont="1" applyAlignment="1">
      <alignment horizontal="left" vertical="center"/>
    </xf>
  </cellXfs>
  <cellStyles count="17">
    <cellStyle name="Comma" xfId="2" builtinId="3"/>
    <cellStyle name="Comma 2" xfId="5" xr:uid="{00000000-0005-0000-0000-000001000000}"/>
    <cellStyle name="Comma 2 2" xfId="12" xr:uid="{00000000-0005-0000-0000-000002000000}"/>
    <cellStyle name="Comma 2 3" xfId="13" xr:uid="{00000000-0005-0000-0000-000003000000}"/>
    <cellStyle name="Currency" xfId="3" builtinId="4"/>
    <cellStyle name="Currency 2" xfId="6" xr:uid="{00000000-0005-0000-0000-000005000000}"/>
    <cellStyle name="Currency 2 2" xfId="8" xr:uid="{00000000-0005-0000-0000-000006000000}"/>
    <cellStyle name="Currency 3" xfId="11" xr:uid="{00000000-0005-0000-0000-000007000000}"/>
    <cellStyle name="Normal" xfId="0" builtinId="0"/>
    <cellStyle name="Normal 2" xfId="4" xr:uid="{00000000-0005-0000-0000-000009000000}"/>
    <cellStyle name="Normal 3" xfId="7" xr:uid="{00000000-0005-0000-0000-00000A000000}"/>
    <cellStyle name="Normal 3 2" xfId="16" xr:uid="{00000000-0005-0000-0000-00000B000000}"/>
    <cellStyle name="Normal_Sheet1" xfId="15" xr:uid="{00000000-0005-0000-0000-00000C000000}"/>
    <cellStyle name="Normal_Sheet2" xfId="9" xr:uid="{00000000-0005-0000-0000-00000D000000}"/>
    <cellStyle name="Normal_Sheet2 2" xfId="10" xr:uid="{00000000-0005-0000-0000-00000E000000}"/>
    <cellStyle name="Percent" xfId="1" builtinId="5"/>
    <cellStyle name="Percent 2" xfId="14" xr:uid="{00000000-0005-0000-0000-00001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5" name="FILTER"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6" name="HEADER" hidden="1">
              <a:extLst>
                <a:ext uri="{63B3BB69-23CF-44E3-9099-C40C66FF867C}">
                  <a14:compatExt spid="_x0000_s11266"/>
                </a:ext>
                <a:ext uri="{FF2B5EF4-FFF2-40B4-BE49-F238E27FC236}">
                  <a16:creationId xmlns:a16="http://schemas.microsoft.com/office/drawing/2014/main" id="{00000000-0008-0000-0C00-000002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1"/>
  <sheetViews>
    <sheetView tabSelected="1" zoomScale="90" zoomScaleNormal="90" zoomScaleSheetLayoutView="85" workbookViewId="0">
      <selection activeCell="D155" sqref="D155"/>
    </sheetView>
  </sheetViews>
  <sheetFormatPr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2" width="8.88671875" style="6"/>
    <col min="13" max="13" width="10.33203125" style="6" bestFit="1" customWidth="1"/>
    <col min="14" max="14" width="16.77734375" style="6" customWidth="1"/>
    <col min="15" max="15" width="12.21875" style="6" bestFit="1" customWidth="1"/>
    <col min="16"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620</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590</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417889.11132536264</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10244</v>
      </c>
      <c r="E14" s="17"/>
      <c r="F14" s="17" t="s">
        <v>12</v>
      </c>
      <c r="G14" s="27">
        <f>I220</f>
        <v>1</v>
      </c>
      <c r="H14" s="17"/>
      <c r="I14" s="17">
        <f>+G14*D14</f>
        <v>10244</v>
      </c>
      <c r="J14" s="11"/>
      <c r="K14" s="11"/>
      <c r="L14" s="11"/>
      <c r="N14" s="11"/>
      <c r="O14" s="11"/>
      <c r="P14" s="11"/>
    </row>
    <row r="15" spans="1:18">
      <c r="A15" s="13">
        <v>3</v>
      </c>
      <c r="B15" s="9" t="s">
        <v>192</v>
      </c>
      <c r="C15" s="17" t="s">
        <v>169</v>
      </c>
      <c r="D15" s="17">
        <f>I268</f>
        <v>1315.3299999999872</v>
      </c>
      <c r="E15" s="17"/>
      <c r="F15" s="17" t="str">
        <f>+F14</f>
        <v>TP</v>
      </c>
      <c r="G15" s="27">
        <f>+G14</f>
        <v>1</v>
      </c>
      <c r="H15" s="17"/>
      <c r="I15" s="17">
        <f>+G15*D15</f>
        <v>1315.3299999999872</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11559.329999999987</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406329.78132536262</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11"/>
      <c r="O26" s="11"/>
      <c r="P26" s="11"/>
    </row>
    <row r="27" spans="1:16">
      <c r="A27" s="13">
        <v>8</v>
      </c>
      <c r="B27" s="9" t="s">
        <v>18</v>
      </c>
      <c r="D27" s="24"/>
      <c r="E27" s="11"/>
      <c r="F27" s="11"/>
      <c r="G27" s="11" t="s">
        <v>19</v>
      </c>
      <c r="H27" s="11"/>
      <c r="I27" s="28">
        <f>AveragePeak*1000</f>
        <v>47627</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47627</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8.5315006472245294</v>
      </c>
      <c r="E36" s="11"/>
      <c r="F36" s="11"/>
      <c r="G36" s="11"/>
      <c r="H36" s="11"/>
      <c r="J36" s="11"/>
      <c r="K36" s="11"/>
      <c r="L36" s="11"/>
      <c r="N36" s="11"/>
      <c r="O36" s="11"/>
      <c r="P36" s="11"/>
    </row>
    <row r="37" spans="1:16">
      <c r="A37" s="13">
        <v>17</v>
      </c>
      <c r="B37" s="9" t="s">
        <v>301</v>
      </c>
      <c r="C37" s="11"/>
      <c r="D37" s="39">
        <f>+D36/12</f>
        <v>0.71095838726871075</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0.16406732013893327</v>
      </c>
      <c r="E40" s="11"/>
      <c r="F40" s="11"/>
      <c r="G40" s="11"/>
      <c r="H40" s="11"/>
      <c r="I40" s="42">
        <f>+D36/52</f>
        <v>0.16406732013893327</v>
      </c>
      <c r="J40" s="11"/>
      <c r="K40" s="11"/>
      <c r="L40" s="11"/>
      <c r="N40" s="11"/>
      <c r="O40" s="11"/>
      <c r="P40" s="11"/>
    </row>
    <row r="41" spans="1:16">
      <c r="A41" s="13">
        <v>19</v>
      </c>
      <c r="B41" s="9" t="s">
        <v>31</v>
      </c>
      <c r="C41" s="11" t="s">
        <v>249</v>
      </c>
      <c r="D41" s="39">
        <f>+D36/260</f>
        <v>3.2813464027786649E-2</v>
      </c>
      <c r="E41" s="11" t="s">
        <v>32</v>
      </c>
      <c r="G41" s="11"/>
      <c r="H41" s="11"/>
      <c r="I41" s="42">
        <f>+D36/365</f>
        <v>2.3373974375957614E-2</v>
      </c>
      <c r="J41" s="11"/>
      <c r="K41" s="11"/>
      <c r="L41" s="11"/>
      <c r="N41" s="11"/>
      <c r="O41" s="11"/>
      <c r="P41" s="11"/>
    </row>
    <row r="42" spans="1:16">
      <c r="A42" s="13">
        <v>20</v>
      </c>
      <c r="B42" s="9" t="s">
        <v>33</v>
      </c>
      <c r="C42" s="11" t="s">
        <v>250</v>
      </c>
      <c r="D42" s="39">
        <f>+D36/4160*1000</f>
        <v>2.0508415017366657</v>
      </c>
      <c r="E42" s="11" t="s">
        <v>34</v>
      </c>
      <c r="G42" s="11"/>
      <c r="H42" s="11"/>
      <c r="I42" s="42">
        <f>+D36/8760*1000</f>
        <v>0.97391559899823399</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12/31/17</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Elk River, MN</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f>ProductionPlant</f>
        <v>3829519</v>
      </c>
      <c r="E83" s="17"/>
      <c r="F83" s="17" t="s">
        <v>52</v>
      </c>
      <c r="G83" s="53" t="s">
        <v>2</v>
      </c>
      <c r="H83" s="17"/>
      <c r="I83" s="17" t="s">
        <v>2</v>
      </c>
      <c r="J83" s="17"/>
      <c r="K83" s="17"/>
      <c r="L83" s="9"/>
      <c r="O83" s="17"/>
      <c r="P83" s="9"/>
    </row>
    <row r="84" spans="1:16">
      <c r="A84" s="13">
        <v>2</v>
      </c>
      <c r="B84" s="9" t="s">
        <v>53</v>
      </c>
      <c r="C84" s="17" t="s">
        <v>252</v>
      </c>
      <c r="D84" s="52">
        <f>TransmissionPlant</f>
        <v>2301867</v>
      </c>
      <c r="E84" s="17"/>
      <c r="F84" s="17" t="s">
        <v>12</v>
      </c>
      <c r="G84" s="53">
        <f>I220</f>
        <v>1</v>
      </c>
      <c r="H84" s="17"/>
      <c r="I84" s="17">
        <f>+G84*D84</f>
        <v>2301867</v>
      </c>
      <c r="J84" s="17"/>
      <c r="K84" s="17"/>
      <c r="L84" s="9"/>
      <c r="O84" s="17"/>
      <c r="P84" s="9"/>
    </row>
    <row r="85" spans="1:16">
      <c r="A85" s="13">
        <v>3</v>
      </c>
      <c r="B85" s="9" t="s">
        <v>54</v>
      </c>
      <c r="C85" s="17" t="s">
        <v>253</v>
      </c>
      <c r="D85" s="52">
        <f>DistributionPlant</f>
        <v>41355703</v>
      </c>
      <c r="E85" s="17"/>
      <c r="F85" s="17" t="s">
        <v>52</v>
      </c>
      <c r="G85" s="53" t="s">
        <v>2</v>
      </c>
      <c r="H85" s="17"/>
      <c r="I85" s="17" t="s">
        <v>2</v>
      </c>
      <c r="J85" s="17"/>
      <c r="K85" s="17"/>
      <c r="L85" s="9"/>
      <c r="O85" s="17"/>
      <c r="P85" s="9"/>
    </row>
    <row r="86" spans="1:16">
      <c r="A86" s="13">
        <v>4</v>
      </c>
      <c r="B86" s="9" t="s">
        <v>55</v>
      </c>
      <c r="C86" s="17" t="s">
        <v>282</v>
      </c>
      <c r="D86" s="52">
        <f>GeneralPlant</f>
        <v>17183279</v>
      </c>
      <c r="E86" s="17"/>
      <c r="F86" s="17" t="s">
        <v>56</v>
      </c>
      <c r="G86" s="53">
        <f>I236</f>
        <v>2.54894685786663E-2</v>
      </c>
      <c r="H86" s="17"/>
      <c r="I86" s="17">
        <f>+G86*D86</f>
        <v>437992.65014895645</v>
      </c>
      <c r="J86" s="17"/>
      <c r="K86" s="17"/>
      <c r="L86" s="9"/>
      <c r="O86" s="13"/>
      <c r="P86" s="9"/>
    </row>
    <row r="87" spans="1:16" ht="16.5" thickBot="1">
      <c r="A87" s="13">
        <v>5</v>
      </c>
      <c r="B87" s="9" t="s">
        <v>57</v>
      </c>
      <c r="C87" s="17"/>
      <c r="D87" s="54">
        <v>0</v>
      </c>
      <c r="E87" s="17"/>
      <c r="F87" s="17" t="s">
        <v>58</v>
      </c>
      <c r="G87" s="53">
        <f>K240</f>
        <v>2.54894685786663E-2</v>
      </c>
      <c r="H87" s="17"/>
      <c r="I87" s="30">
        <f>+G87*D87</f>
        <v>0</v>
      </c>
      <c r="J87" s="17"/>
      <c r="K87" s="17"/>
      <c r="L87" s="9"/>
      <c r="O87" s="13"/>
      <c r="P87" s="9"/>
    </row>
    <row r="88" spans="1:16">
      <c r="A88" s="13">
        <v>6</v>
      </c>
      <c r="B88" s="9" t="s">
        <v>212</v>
      </c>
      <c r="C88" s="17"/>
      <c r="D88" s="17">
        <f>SUM(D83:D87)</f>
        <v>64670368</v>
      </c>
      <c r="E88" s="17"/>
      <c r="F88" s="17" t="s">
        <v>59</v>
      </c>
      <c r="G88" s="55">
        <f>IF(I88&gt;0,I88/D88,0)</f>
        <v>4.2366538723715881E-2</v>
      </c>
      <c r="H88" s="17"/>
      <c r="I88" s="17">
        <f>SUM(I83:I87)</f>
        <v>2739859.6501489566</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f>ProductionPlantAD</f>
        <v>2850200</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f>TransmissionPlantAD</f>
        <v>618816</v>
      </c>
      <c r="E92" s="17"/>
      <c r="F92" s="17" t="str">
        <f t="shared" si="0"/>
        <v>TP</v>
      </c>
      <c r="G92" s="53">
        <f t="shared" si="0"/>
        <v>1</v>
      </c>
      <c r="H92" s="17"/>
      <c r="I92" s="17">
        <f>+G92*D92</f>
        <v>618816</v>
      </c>
      <c r="J92" s="17"/>
      <c r="K92" s="17"/>
      <c r="L92" s="9"/>
      <c r="N92" s="17"/>
      <c r="O92" s="17"/>
      <c r="P92" s="9"/>
    </row>
    <row r="93" spans="1:16">
      <c r="A93" s="13">
        <v>9</v>
      </c>
      <c r="B93" s="9" t="str">
        <f>+B85</f>
        <v xml:space="preserve">  Distribution</v>
      </c>
      <c r="D93" s="56">
        <f>DistributionPlantAD</f>
        <v>18728036</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f>GeneralPlantAD</f>
        <v>3443808</v>
      </c>
      <c r="E94" s="17"/>
      <c r="F94" s="17" t="str">
        <f t="shared" si="0"/>
        <v>W/S</v>
      </c>
      <c r="G94" s="53">
        <f t="shared" si="0"/>
        <v>2.54894685786663E-2</v>
      </c>
      <c r="H94" s="17"/>
      <c r="I94" s="17">
        <f>+G94*D94</f>
        <v>87780.835806959629</v>
      </c>
      <c r="J94" s="17"/>
      <c r="K94" s="17"/>
      <c r="L94" s="9"/>
      <c r="N94" s="17"/>
      <c r="O94" s="13"/>
      <c r="P94" s="9"/>
    </row>
    <row r="95" spans="1:16" ht="16.5" thickBot="1">
      <c r="A95" s="13">
        <v>11</v>
      </c>
      <c r="B95" s="9" t="str">
        <f>+B87</f>
        <v xml:space="preserve">  Common</v>
      </c>
      <c r="C95" s="17"/>
      <c r="D95" s="54">
        <v>0</v>
      </c>
      <c r="E95" s="17"/>
      <c r="F95" s="17" t="str">
        <f t="shared" si="0"/>
        <v>CE</v>
      </c>
      <c r="G95" s="53">
        <f t="shared" si="0"/>
        <v>2.54894685786663E-2</v>
      </c>
      <c r="H95" s="17"/>
      <c r="I95" s="30">
        <f>+G95*D95</f>
        <v>0</v>
      </c>
      <c r="J95" s="17"/>
      <c r="K95" s="17"/>
      <c r="L95" s="9"/>
      <c r="N95" s="17"/>
      <c r="O95" s="13"/>
      <c r="P95" s="9"/>
    </row>
    <row r="96" spans="1:16">
      <c r="A96" s="13">
        <v>12</v>
      </c>
      <c r="B96" s="9" t="s">
        <v>213</v>
      </c>
      <c r="C96" s="17"/>
      <c r="D96" s="17">
        <f>SUM(D91:D95)</f>
        <v>25640860</v>
      </c>
      <c r="E96" s="17"/>
      <c r="F96" s="17"/>
      <c r="G96" s="17"/>
      <c r="H96" s="17"/>
      <c r="I96" s="17">
        <f>SUM(I91:I95)</f>
        <v>706596.83580695966</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979319</v>
      </c>
      <c r="E99" s="17"/>
      <c r="F99" s="17"/>
      <c r="G99" s="55"/>
      <c r="H99" s="17"/>
      <c r="I99" s="17" t="s">
        <v>2</v>
      </c>
      <c r="J99" s="17"/>
      <c r="K99" s="55"/>
      <c r="L99" s="9"/>
      <c r="N99" s="17"/>
      <c r="O99" s="17"/>
      <c r="P99" s="9"/>
    </row>
    <row r="100" spans="1:16">
      <c r="A100" s="13">
        <v>14</v>
      </c>
      <c r="B100" s="9" t="str">
        <f>+B92</f>
        <v xml:space="preserve">  Transmission</v>
      </c>
      <c r="C100" s="17" t="s">
        <v>215</v>
      </c>
      <c r="D100" s="17">
        <f>D84-D92</f>
        <v>1683051</v>
      </c>
      <c r="E100" s="17"/>
      <c r="F100" s="17"/>
      <c r="G100" s="53"/>
      <c r="H100" s="17"/>
      <c r="I100" s="17">
        <f>I84-I92</f>
        <v>1683051</v>
      </c>
      <c r="J100" s="17"/>
      <c r="K100" s="55"/>
      <c r="L100" s="9"/>
      <c r="N100" s="17"/>
      <c r="O100" s="17"/>
      <c r="P100" s="9"/>
    </row>
    <row r="101" spans="1:16">
      <c r="A101" s="13">
        <v>15</v>
      </c>
      <c r="B101" s="9" t="str">
        <f>+B93</f>
        <v xml:space="preserve">  Distribution</v>
      </c>
      <c r="C101" s="17" t="s">
        <v>216</v>
      </c>
      <c r="D101" s="17">
        <f>D85-D93</f>
        <v>22627667</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13739471</v>
      </c>
      <c r="E102" s="17"/>
      <c r="F102" s="17"/>
      <c r="G102" s="55"/>
      <c r="H102" s="17"/>
      <c r="I102" s="17">
        <f>I86-I94</f>
        <v>350211.8143419968</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39029508</v>
      </c>
      <c r="E104" s="17"/>
      <c r="F104" s="17" t="s">
        <v>61</v>
      </c>
      <c r="G104" s="55">
        <f>IF(I104&gt;0,I104/D104,0)</f>
        <v>5.2095527679774926E-2</v>
      </c>
      <c r="H104" s="17"/>
      <c r="I104" s="17">
        <f>SUM(I99:I103)</f>
        <v>2033262.8143419968</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5.2095527679774926E-2</v>
      </c>
      <c r="H108" s="17"/>
      <c r="I108" s="17">
        <f>D108*G108</f>
        <v>0</v>
      </c>
      <c r="J108" s="17"/>
      <c r="K108" s="55"/>
      <c r="L108" s="9"/>
      <c r="N108" s="55"/>
      <c r="O108" s="13"/>
      <c r="P108" s="9"/>
    </row>
    <row r="109" spans="1:16">
      <c r="A109" s="13">
        <v>21</v>
      </c>
      <c r="B109" s="9" t="s">
        <v>65</v>
      </c>
      <c r="C109" s="17"/>
      <c r="D109" s="52">
        <v>0</v>
      </c>
      <c r="E109" s="17"/>
      <c r="F109" s="17" t="s">
        <v>63</v>
      </c>
      <c r="G109" s="53">
        <f>+G108</f>
        <v>5.2095527679774926E-2</v>
      </c>
      <c r="H109" s="17"/>
      <c r="I109" s="17">
        <f>D109*G109</f>
        <v>0</v>
      </c>
      <c r="J109" s="17"/>
      <c r="K109" s="55"/>
      <c r="L109" s="9"/>
      <c r="N109" s="55"/>
      <c r="O109" s="13"/>
      <c r="P109" s="9"/>
    </row>
    <row r="110" spans="1:16">
      <c r="A110" s="13">
        <v>22</v>
      </c>
      <c r="B110" s="9" t="s">
        <v>66</v>
      </c>
      <c r="C110" s="17"/>
      <c r="D110" s="52">
        <v>0</v>
      </c>
      <c r="E110" s="17"/>
      <c r="F110" s="17" t="str">
        <f>+F109</f>
        <v>NP</v>
      </c>
      <c r="G110" s="53">
        <f>+G109</f>
        <v>5.2095527679774926E-2</v>
      </c>
      <c r="H110" s="17"/>
      <c r="I110" s="17">
        <f>D110*G110</f>
        <v>0</v>
      </c>
      <c r="J110" s="17"/>
      <c r="K110" s="55"/>
      <c r="L110" s="9"/>
      <c r="N110" s="55"/>
      <c r="O110" s="13"/>
      <c r="P110" s="9"/>
    </row>
    <row r="111" spans="1:16" ht="16.5" thickBot="1">
      <c r="A111" s="13">
        <v>23</v>
      </c>
      <c r="B111" s="6" t="s">
        <v>67</v>
      </c>
      <c r="D111" s="54">
        <v>0</v>
      </c>
      <c r="E111" s="17"/>
      <c r="F111" s="17" t="s">
        <v>63</v>
      </c>
      <c r="G111" s="53">
        <f>+G109</f>
        <v>5.2095527679774926E-2</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v>0</v>
      </c>
      <c r="E114" s="17"/>
      <c r="F114" s="17" t="str">
        <f>+F92</f>
        <v>TP</v>
      </c>
      <c r="G114" s="53">
        <f>+G92</f>
        <v>1</v>
      </c>
      <c r="H114" s="17"/>
      <c r="I114" s="17">
        <f>+G114*D114</f>
        <v>0</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374575.73300000001</v>
      </c>
      <c r="E117" s="17"/>
      <c r="F117" s="17"/>
      <c r="G117" s="55"/>
      <c r="H117" s="17"/>
      <c r="I117" s="17">
        <f>I158/8</f>
        <v>15177.692505536799</v>
      </c>
      <c r="J117" s="11"/>
      <c r="K117" s="55"/>
      <c r="L117" s="9"/>
      <c r="N117" s="59"/>
      <c r="O117" s="10"/>
      <c r="P117" s="9"/>
    </row>
    <row r="118" spans="1:16">
      <c r="A118" s="13">
        <v>27</v>
      </c>
      <c r="B118" s="9" t="s">
        <v>73</v>
      </c>
      <c r="C118" s="6" t="s">
        <v>221</v>
      </c>
      <c r="D118" s="56">
        <v>0</v>
      </c>
      <c r="E118" s="17"/>
      <c r="F118" s="17" t="s">
        <v>74</v>
      </c>
      <c r="G118" s="53">
        <f>I229</f>
        <v>1</v>
      </c>
      <c r="H118" s="17"/>
      <c r="I118" s="17">
        <f>G118*D118</f>
        <v>0</v>
      </c>
      <c r="J118" s="17" t="s">
        <v>2</v>
      </c>
      <c r="K118" s="55"/>
      <c r="L118" s="9"/>
      <c r="N118" s="59"/>
      <c r="O118" s="13"/>
      <c r="P118" s="9"/>
    </row>
    <row r="119" spans="1:16" ht="16.5" thickBot="1">
      <c r="A119" s="13">
        <v>28</v>
      </c>
      <c r="B119" s="9" t="s">
        <v>75</v>
      </c>
      <c r="C119" s="6" t="s">
        <v>255</v>
      </c>
      <c r="D119" s="54">
        <f>Prepayments</f>
        <v>192083</v>
      </c>
      <c r="E119" s="17"/>
      <c r="F119" s="17" t="s">
        <v>76</v>
      </c>
      <c r="G119" s="53">
        <f>+G88</f>
        <v>4.2366538723715881E-2</v>
      </c>
      <c r="H119" s="17"/>
      <c r="I119" s="30">
        <f>+G119*D119</f>
        <v>8137.8918576675178</v>
      </c>
      <c r="J119" s="17"/>
      <c r="K119" s="55"/>
      <c r="L119" s="9"/>
      <c r="N119" s="59"/>
      <c r="O119" s="13"/>
      <c r="P119" s="9"/>
    </row>
    <row r="120" spans="1:16">
      <c r="A120" s="13">
        <v>29</v>
      </c>
      <c r="B120" s="9" t="s">
        <v>222</v>
      </c>
      <c r="C120" s="11"/>
      <c r="D120" s="17">
        <f>D117+D118+D119</f>
        <v>566658.73300000001</v>
      </c>
      <c r="E120" s="11"/>
      <c r="F120" s="11"/>
      <c r="G120" s="11"/>
      <c r="H120" s="11"/>
      <c r="I120" s="17">
        <f>I117+I118+I119</f>
        <v>23315.584363204318</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39596166.733000003</v>
      </c>
      <c r="E122" s="17"/>
      <c r="F122" s="17"/>
      <c r="G122" s="55"/>
      <c r="H122" s="17"/>
      <c r="I122" s="61">
        <f>+I120+I114+I112+I104</f>
        <v>2056578.3987052012</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12/31/17</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Elk River, MN</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f>TransmissionOM</f>
        <v>46217.714</v>
      </c>
      <c r="E149" s="17"/>
      <c r="F149" s="17" t="s">
        <v>74</v>
      </c>
      <c r="G149" s="53">
        <f>I229</f>
        <v>1</v>
      </c>
      <c r="H149" s="17"/>
      <c r="I149" s="17">
        <f t="shared" ref="I149:I157" si="1">+G149*D149</f>
        <v>46217.714</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v>0</v>
      </c>
      <c r="E151" s="17"/>
      <c r="F151" s="17" t="s">
        <v>74</v>
      </c>
      <c r="G151" s="53">
        <f>+G149</f>
        <v>1</v>
      </c>
      <c r="H151" s="17"/>
      <c r="I151" s="17">
        <f t="shared" si="1"/>
        <v>0</v>
      </c>
      <c r="J151" s="11"/>
      <c r="K151" s="17"/>
      <c r="L151" s="9"/>
      <c r="N151" s="17"/>
      <c r="O151" s="13"/>
      <c r="P151" s="17"/>
    </row>
    <row r="152" spans="1:16">
      <c r="A152" s="13">
        <v>3</v>
      </c>
      <c r="B152" s="9" t="s">
        <v>80</v>
      </c>
      <c r="C152" s="6" t="s">
        <v>257</v>
      </c>
      <c r="D152" s="56">
        <f>AdminGeneralTotal</f>
        <v>2974499.15</v>
      </c>
      <c r="E152" s="17"/>
      <c r="F152" s="17" t="s">
        <v>56</v>
      </c>
      <c r="G152" s="53">
        <f>I236</f>
        <v>2.54894685786663E-2</v>
      </c>
      <c r="H152" s="17"/>
      <c r="I152" s="17">
        <f t="shared" si="1"/>
        <v>75818.402621194618</v>
      </c>
      <c r="J152" s="17"/>
      <c r="K152" s="17" t="s">
        <v>2</v>
      </c>
      <c r="L152" s="9"/>
      <c r="N152" s="17"/>
      <c r="O152" s="13"/>
      <c r="P152" s="9"/>
    </row>
    <row r="153" spans="1:16">
      <c r="A153" s="13">
        <v>4</v>
      </c>
      <c r="B153" s="9" t="s">
        <v>81</v>
      </c>
      <c r="C153" s="17"/>
      <c r="D153" s="56">
        <v>0</v>
      </c>
      <c r="E153" s="17"/>
      <c r="F153" s="17" t="str">
        <f>+F152</f>
        <v>W/S</v>
      </c>
      <c r="G153" s="53">
        <f>I236</f>
        <v>2.54894685786663E-2</v>
      </c>
      <c r="H153" s="17"/>
      <c r="I153" s="17">
        <f t="shared" si="1"/>
        <v>0</v>
      </c>
      <c r="J153" s="17"/>
      <c r="K153" s="17"/>
      <c r="L153" s="9"/>
      <c r="N153" s="17"/>
      <c r="O153" s="13"/>
      <c r="P153" s="9"/>
    </row>
    <row r="154" spans="1:16">
      <c r="A154" s="13">
        <v>5</v>
      </c>
      <c r="B154" s="9" t="s">
        <v>224</v>
      </c>
      <c r="C154" s="17"/>
      <c r="D154" s="56">
        <f>'S5_A&amp;G'!C16</f>
        <v>24111</v>
      </c>
      <c r="E154" s="17"/>
      <c r="F154" s="17" t="str">
        <f>+F153</f>
        <v>W/S</v>
      </c>
      <c r="G154" s="53">
        <f>I236</f>
        <v>2.54894685786663E-2</v>
      </c>
      <c r="H154" s="17"/>
      <c r="I154" s="17">
        <f t="shared" si="1"/>
        <v>614.57657690022313</v>
      </c>
      <c r="J154" s="17"/>
      <c r="K154" s="17"/>
      <c r="L154" s="9"/>
      <c r="N154" s="17"/>
      <c r="O154" s="13"/>
      <c r="P154" s="9"/>
    </row>
    <row r="155" spans="1:16">
      <c r="A155" s="13" t="s">
        <v>178</v>
      </c>
      <c r="B155" s="9" t="s">
        <v>225</v>
      </c>
      <c r="C155" s="17"/>
      <c r="D155" s="56">
        <v>0</v>
      </c>
      <c r="E155" s="17"/>
      <c r="F155" s="17" t="str">
        <f>+F149</f>
        <v>TE</v>
      </c>
      <c r="G155" s="53">
        <f>+G149</f>
        <v>1</v>
      </c>
      <c r="H155" s="17"/>
      <c r="I155" s="17">
        <f t="shared" si="1"/>
        <v>0</v>
      </c>
      <c r="J155" s="17"/>
      <c r="K155" s="17"/>
      <c r="L155" s="9"/>
      <c r="N155" s="17"/>
      <c r="O155" s="13"/>
      <c r="P155" s="9"/>
    </row>
    <row r="156" spans="1:16">
      <c r="A156" s="13">
        <v>6</v>
      </c>
      <c r="B156" s="9" t="s">
        <v>57</v>
      </c>
      <c r="C156" s="17"/>
      <c r="D156" s="56">
        <v>0</v>
      </c>
      <c r="E156" s="17"/>
      <c r="F156" s="17" t="s">
        <v>58</v>
      </c>
      <c r="G156" s="53">
        <f>K240</f>
        <v>2.54894685786663E-2</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2996605.8640000001</v>
      </c>
      <c r="E158" s="5"/>
      <c r="F158" s="5"/>
      <c r="G158" s="5"/>
      <c r="H158" s="5"/>
      <c r="I158" s="5">
        <f>+I149-I151+I152-I153-I154+I155+I156+I157-I150</f>
        <v>121421.54004429439</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f>TransmissionDepreciation</f>
        <v>62072</v>
      </c>
      <c r="E161" s="17"/>
      <c r="F161" s="17" t="s">
        <v>12</v>
      </c>
      <c r="G161" s="53">
        <f>+G114</f>
        <v>1</v>
      </c>
      <c r="H161" s="17"/>
      <c r="I161" s="17">
        <f>+G161*D161</f>
        <v>62072</v>
      </c>
      <c r="J161" s="17"/>
      <c r="K161" s="55"/>
      <c r="L161" s="9"/>
      <c r="N161" s="17"/>
      <c r="O161" s="13"/>
      <c r="P161" s="17" t="s">
        <v>2</v>
      </c>
    </row>
    <row r="162" spans="1:16">
      <c r="A162" s="13">
        <v>10</v>
      </c>
      <c r="B162" s="9" t="s">
        <v>286</v>
      </c>
      <c r="C162" s="6" t="s">
        <v>2</v>
      </c>
      <c r="D162" s="56">
        <f>GeneralDepreciation</f>
        <v>333918</v>
      </c>
      <c r="E162" s="17"/>
      <c r="F162" s="17" t="s">
        <v>56</v>
      </c>
      <c r="G162" s="53">
        <f>+G152</f>
        <v>2.54894685786663E-2</v>
      </c>
      <c r="H162" s="17"/>
      <c r="I162" s="17">
        <f>+G162*D162</f>
        <v>8511.3923688510931</v>
      </c>
      <c r="J162" s="17"/>
      <c r="K162" s="55"/>
      <c r="L162" s="9"/>
      <c r="N162" s="17"/>
      <c r="O162" s="13"/>
      <c r="P162" s="17" t="s">
        <v>2</v>
      </c>
    </row>
    <row r="163" spans="1:16" ht="16.5" thickBot="1">
      <c r="A163" s="13">
        <v>11</v>
      </c>
      <c r="B163" s="9" t="str">
        <f>+B156</f>
        <v xml:space="preserve">  Common</v>
      </c>
      <c r="C163" s="17"/>
      <c r="D163" s="54">
        <v>0</v>
      </c>
      <c r="E163" s="17"/>
      <c r="F163" s="17" t="s">
        <v>58</v>
      </c>
      <c r="G163" s="53">
        <f>+G156</f>
        <v>2.54894685786663E-2</v>
      </c>
      <c r="H163" s="17"/>
      <c r="I163" s="30">
        <f>+G163*D163</f>
        <v>0</v>
      </c>
      <c r="J163" s="17"/>
      <c r="K163" s="55"/>
      <c r="L163" s="9"/>
      <c r="N163" s="17"/>
      <c r="O163" s="13"/>
      <c r="P163" s="17" t="s">
        <v>2</v>
      </c>
    </row>
    <row r="164" spans="1:16">
      <c r="A164" s="13">
        <v>12</v>
      </c>
      <c r="B164" s="9" t="s">
        <v>226</v>
      </c>
      <c r="C164" s="17"/>
      <c r="D164" s="17">
        <f>SUM(D161:D163)</f>
        <v>395990</v>
      </c>
      <c r="E164" s="17"/>
      <c r="F164" s="17"/>
      <c r="G164" s="17"/>
      <c r="H164" s="17"/>
      <c r="I164" s="17">
        <f>SUM(I161:I163)</f>
        <v>70583.392368851099</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f>PayrollTaxes</f>
        <v>0</v>
      </c>
      <c r="E168" s="17"/>
      <c r="F168" s="17" t="s">
        <v>56</v>
      </c>
      <c r="G168" s="27">
        <f>+G162</f>
        <v>2.54894685786663E-2</v>
      </c>
      <c r="H168" s="17"/>
      <c r="I168" s="17">
        <f>+G168*D168</f>
        <v>0</v>
      </c>
      <c r="J168" s="17"/>
      <c r="K168" s="55"/>
      <c r="L168" s="9"/>
      <c r="N168" s="59"/>
      <c r="O168" s="13"/>
      <c r="P168" s="9"/>
    </row>
    <row r="169" spans="1:16">
      <c r="A169" s="13">
        <v>14</v>
      </c>
      <c r="B169" s="9" t="s">
        <v>85</v>
      </c>
      <c r="C169" s="17"/>
      <c r="D169" s="56">
        <v>0</v>
      </c>
      <c r="E169" s="17"/>
      <c r="F169" s="17" t="str">
        <f>+F168</f>
        <v>W/S</v>
      </c>
      <c r="G169" s="27">
        <f>+G168</f>
        <v>2.54894685786663E-2</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0</v>
      </c>
      <c r="E171" s="17"/>
      <c r="F171" s="17" t="s">
        <v>76</v>
      </c>
      <c r="G171" s="27">
        <f>+G88</f>
        <v>4.2366538723715881E-2</v>
      </c>
      <c r="H171" s="17"/>
      <c r="I171" s="17">
        <f>+G171*D171</f>
        <v>0</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4.2366538723715881E-2</v>
      </c>
      <c r="H173" s="17"/>
      <c r="I173" s="17">
        <f>+G173*D173</f>
        <v>0</v>
      </c>
      <c r="J173" s="17"/>
      <c r="K173" s="55"/>
      <c r="L173" s="9"/>
      <c r="N173" s="59"/>
      <c r="O173" s="13"/>
      <c r="P173" s="9"/>
    </row>
    <row r="174" spans="1:16" ht="16.5" thickBot="1">
      <c r="A174" s="13">
        <v>19</v>
      </c>
      <c r="B174" s="9" t="s">
        <v>90</v>
      </c>
      <c r="C174" s="17"/>
      <c r="D174" s="54">
        <f>PILOT</f>
        <v>1113264</v>
      </c>
      <c r="E174" s="17"/>
      <c r="F174" s="17" t="s">
        <v>76</v>
      </c>
      <c r="G174" s="27">
        <f>+G173</f>
        <v>4.2366538723715881E-2</v>
      </c>
      <c r="H174" s="17"/>
      <c r="I174" s="30">
        <f>+G174*D174</f>
        <v>47165.142365718835</v>
      </c>
      <c r="J174" s="17"/>
      <c r="K174" s="55"/>
      <c r="L174" s="9"/>
      <c r="N174" s="59"/>
      <c r="O174" s="13"/>
      <c r="P174" s="9"/>
    </row>
    <row r="175" spans="1:16">
      <c r="A175" s="13">
        <v>20</v>
      </c>
      <c r="B175" s="9" t="s">
        <v>91</v>
      </c>
      <c r="C175" s="17"/>
      <c r="D175" s="17">
        <f>SUM(D168:D174)</f>
        <v>1113264</v>
      </c>
      <c r="E175" s="17"/>
      <c r="F175" s="17"/>
      <c r="G175" s="27"/>
      <c r="H175" s="17"/>
      <c r="I175" s="17">
        <f>SUM(I168:I174)</f>
        <v>47165.142365718835</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5.2095527679774926E-2</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3440952.59092073</v>
      </c>
      <c r="E189" s="17"/>
      <c r="F189" s="17" t="s">
        <v>52</v>
      </c>
      <c r="G189" s="70"/>
      <c r="H189" s="17"/>
      <c r="I189" s="17">
        <f>+$I250*I122</f>
        <v>178719.0365464983</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7946812.4549207296</v>
      </c>
      <c r="E192" s="17"/>
      <c r="F192" s="17"/>
      <c r="G192" s="17"/>
      <c r="H192" s="17"/>
      <c r="I192" s="76">
        <f>+I189+I187+I175+I164+I158</f>
        <v>417889.11132536264</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394"/>
      <c r="P200" s="17"/>
    </row>
    <row r="201" spans="1:16" ht="16.5" thickBot="1">
      <c r="A201" s="63">
        <v>31</v>
      </c>
      <c r="B201" s="1" t="s">
        <v>198</v>
      </c>
      <c r="C201" s="1"/>
      <c r="D201" s="79">
        <f>+D192-D196-D200</f>
        <v>7946812.4549207296</v>
      </c>
      <c r="E201" s="1"/>
      <c r="F201" s="1"/>
      <c r="G201" s="1"/>
      <c r="H201" s="1"/>
      <c r="I201" s="79">
        <f>+I192-I196-I200</f>
        <v>417889.11132536264</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12/31/17</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Elk River, MN</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2301867</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2301867</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46217.714</v>
      </c>
      <c r="J223" s="17"/>
      <c r="K223" s="17"/>
      <c r="L223" s="402"/>
      <c r="M223" s="402"/>
      <c r="N223" s="402"/>
      <c r="O223" s="402"/>
      <c r="P223" s="402"/>
      <c r="Q223" s="402"/>
    </row>
    <row r="224" spans="1:17" ht="16.5" thickBot="1">
      <c r="A224" s="13">
        <v>7</v>
      </c>
      <c r="B224" s="86" t="s">
        <v>234</v>
      </c>
      <c r="C224" s="86"/>
      <c r="D224" s="76"/>
      <c r="E224" s="76"/>
      <c r="F224" s="17"/>
      <c r="G224" s="17"/>
      <c r="H224" s="17"/>
      <c r="I224" s="54">
        <v>0</v>
      </c>
      <c r="J224" s="17"/>
      <c r="K224" s="17"/>
      <c r="L224" s="4"/>
      <c r="M224" s="90"/>
      <c r="N224" s="91"/>
      <c r="O224" s="92"/>
      <c r="P224" s="93"/>
      <c r="Q224" s="88"/>
    </row>
    <row r="225" spans="1:17">
      <c r="A225" s="13">
        <v>8</v>
      </c>
      <c r="B225" s="11" t="s">
        <v>259</v>
      </c>
      <c r="C225" s="22"/>
      <c r="D225" s="87"/>
      <c r="E225" s="87"/>
      <c r="F225" s="87"/>
      <c r="G225" s="46"/>
      <c r="H225" s="87"/>
      <c r="I225" s="17">
        <f>+I223-I224</f>
        <v>46217.714</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1</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1</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f>ProductionLabor</f>
        <v>114619.7</v>
      </c>
      <c r="E232" s="101">
        <v>0</v>
      </c>
      <c r="F232" s="101"/>
      <c r="G232" s="17">
        <f>D232*E232</f>
        <v>0</v>
      </c>
      <c r="H232" s="17"/>
      <c r="I232" s="17"/>
      <c r="J232" s="17"/>
      <c r="K232" s="17"/>
      <c r="L232" s="4"/>
      <c r="M232" s="94"/>
      <c r="N232" s="88"/>
      <c r="O232" s="88"/>
      <c r="P232" s="88"/>
      <c r="Q232" s="88"/>
    </row>
    <row r="233" spans="1:17">
      <c r="A233" s="13">
        <v>13</v>
      </c>
      <c r="B233" s="9" t="s">
        <v>53</v>
      </c>
      <c r="C233" s="17"/>
      <c r="D233" s="56">
        <f>TransmissionLabor</f>
        <v>27075.42</v>
      </c>
      <c r="E233" s="101">
        <f>+I220</f>
        <v>1</v>
      </c>
      <c r="F233" s="101"/>
      <c r="G233" s="17">
        <f>D233*E233</f>
        <v>27075.42</v>
      </c>
      <c r="H233" s="17"/>
      <c r="I233" s="17"/>
      <c r="J233" s="17"/>
      <c r="K233" s="17"/>
      <c r="L233" s="4"/>
      <c r="M233" s="94"/>
      <c r="N233" s="92"/>
      <c r="O233" s="93"/>
      <c r="P233" s="88"/>
      <c r="Q233" s="88"/>
    </row>
    <row r="234" spans="1:17">
      <c r="A234" s="13">
        <v>14</v>
      </c>
      <c r="B234" s="9" t="s">
        <v>54</v>
      </c>
      <c r="C234" s="17"/>
      <c r="D234" s="56">
        <f>DistributionLabor</f>
        <v>878434.19</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f>OtherLabor</f>
        <v>42090.559999999998</v>
      </c>
      <c r="E235" s="101">
        <v>0</v>
      </c>
      <c r="F235" s="101"/>
      <c r="G235" s="30">
        <f>D235*E235</f>
        <v>0</v>
      </c>
      <c r="H235" s="17"/>
      <c r="I235" s="23" t="s">
        <v>114</v>
      </c>
      <c r="J235" s="17"/>
      <c r="K235" s="17"/>
      <c r="L235" s="9"/>
      <c r="N235" s="17"/>
      <c r="O235" s="17"/>
      <c r="P235" s="9"/>
    </row>
    <row r="236" spans="1:17">
      <c r="A236" s="13">
        <v>16</v>
      </c>
      <c r="B236" s="9" t="s">
        <v>239</v>
      </c>
      <c r="C236" s="17"/>
      <c r="D236" s="17">
        <f>SUM(D232:D235)</f>
        <v>1062219.8699999999</v>
      </c>
      <c r="E236" s="17"/>
      <c r="F236" s="17"/>
      <c r="G236" s="17">
        <f>SUM(G232:G235)</f>
        <v>27075.42</v>
      </c>
      <c r="H236" s="13" t="s">
        <v>115</v>
      </c>
      <c r="I236" s="53">
        <f>IF(G236&gt;0,G233/D236,0)</f>
        <v>2.54894685786663E-2</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f>D88</f>
        <v>64670368</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1</v>
      </c>
      <c r="H240" s="59" t="s">
        <v>122</v>
      </c>
      <c r="I240" s="27">
        <f>I236</f>
        <v>2.54894685786663E-2</v>
      </c>
      <c r="J240" s="70" t="s">
        <v>115</v>
      </c>
      <c r="K240" s="27">
        <f>I240*G240</f>
        <v>2.54894685786663E-2</v>
      </c>
      <c r="L240" s="9"/>
      <c r="N240" s="17"/>
      <c r="O240" s="17"/>
      <c r="P240" s="9"/>
    </row>
    <row r="241" spans="1:18" ht="16.5" thickBot="1">
      <c r="A241" s="13">
        <v>19</v>
      </c>
      <c r="B241" s="103" t="s">
        <v>123</v>
      </c>
      <c r="C241" s="30"/>
      <c r="D241" s="54">
        <v>0</v>
      </c>
      <c r="E241" s="17"/>
      <c r="F241" s="17"/>
      <c r="G241" s="17" t="s">
        <v>2</v>
      </c>
      <c r="H241" s="17"/>
      <c r="I241" s="17"/>
      <c r="L241" s="9"/>
      <c r="N241" s="17"/>
      <c r="O241" s="17"/>
      <c r="P241" s="9"/>
    </row>
    <row r="242" spans="1:18">
      <c r="A242" s="13">
        <v>20</v>
      </c>
      <c r="B242" s="9" t="s">
        <v>171</v>
      </c>
      <c r="C242" s="17"/>
      <c r="D242" s="17">
        <f>D239+D240+D241</f>
        <v>64670368</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f>InterestExpense</f>
        <v>294219</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f>Debt</f>
        <v>12329422.18</v>
      </c>
      <c r="E248" s="105">
        <f>IF($D$250&gt;0,D248/$D$250,0)</f>
        <v>0.25254498900511174</v>
      </c>
      <c r="F248" s="106"/>
      <c r="G248" s="107">
        <f>IF(D248&gt;0,D245/D248,0)</f>
        <v>2.386316209345668E-2</v>
      </c>
      <c r="I248" s="106">
        <f>G248*E248</f>
        <v>6.0265220085192169E-3</v>
      </c>
      <c r="J248" s="108" t="s">
        <v>131</v>
      </c>
      <c r="K248" s="17"/>
      <c r="L248" s="9"/>
      <c r="N248" s="17"/>
      <c r="O248" s="17"/>
      <c r="P248" s="9"/>
    </row>
    <row r="249" spans="1:18" ht="16.5" thickBot="1">
      <c r="A249" s="13">
        <v>23</v>
      </c>
      <c r="B249" s="9" t="s">
        <v>132</v>
      </c>
      <c r="C249" s="11" t="s">
        <v>260</v>
      </c>
      <c r="D249" s="54">
        <f>Equity</f>
        <v>36491274</v>
      </c>
      <c r="E249" s="109">
        <f>IF($D$250&gt;0,D249/$D$250,0)</f>
        <v>0.74745501099488831</v>
      </c>
      <c r="F249" s="106"/>
      <c r="G249" s="106">
        <f>I252</f>
        <v>0.1082</v>
      </c>
      <c r="I249" s="110">
        <f>G249*E249</f>
        <v>8.0874632189646925E-2</v>
      </c>
      <c r="L249" s="9"/>
      <c r="N249" s="17"/>
      <c r="O249" s="17"/>
      <c r="P249" s="9"/>
    </row>
    <row r="250" spans="1:18">
      <c r="A250" s="13">
        <v>24</v>
      </c>
      <c r="B250" s="9" t="s">
        <v>172</v>
      </c>
      <c r="C250" s="11"/>
      <c r="D250" s="17">
        <f>SUM(D248:D249)</f>
        <v>48820696.18</v>
      </c>
      <c r="E250" s="111">
        <f>SUM(E248+E249)</f>
        <v>1</v>
      </c>
      <c r="F250" s="106"/>
      <c r="G250" s="106"/>
      <c r="I250" s="106">
        <f>SUM(I248:I249)</f>
        <v>8.6901154198166145E-2</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0.1082</v>
      </c>
      <c r="L252" s="9"/>
      <c r="N252" s="116" t="s">
        <v>316</v>
      </c>
      <c r="O252" s="19"/>
      <c r="P252" s="19"/>
      <c r="Q252" s="19"/>
      <c r="R252" s="117"/>
    </row>
    <row r="253" spans="1:18">
      <c r="A253" s="13">
        <v>26</v>
      </c>
      <c r="H253" s="7" t="s">
        <v>202</v>
      </c>
      <c r="I253" s="101">
        <f>IF(G248&gt;0,I250/G248,0)</f>
        <v>3.6416445506186537</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5.0000000000000001E-3</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f>TransmissionRent</f>
        <v>10244</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f>NetworkRevenue+NonNetworkRevenue</f>
        <v>141793.17999999996</v>
      </c>
      <c r="J264" s="9"/>
      <c r="K264" s="9"/>
      <c r="L264" s="124"/>
      <c r="N264" s="9"/>
      <c r="O264" s="17"/>
      <c r="P264" s="9"/>
    </row>
    <row r="265" spans="1:17">
      <c r="A265" s="13">
        <v>32</v>
      </c>
      <c r="B265" s="125" t="s">
        <v>174</v>
      </c>
      <c r="C265" s="18"/>
      <c r="D265" s="18"/>
      <c r="E265" s="18"/>
      <c r="F265" s="18"/>
      <c r="G265" s="18"/>
      <c r="H265" s="11"/>
      <c r="I265" s="123">
        <f>NetworkRevenue</f>
        <v>140477.84999999998</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1315.3299999999872</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403" t="str">
        <f>D4</f>
        <v xml:space="preserve">   Rate Formula Template</v>
      </c>
      <c r="D274" s="403"/>
      <c r="E274" s="17"/>
      <c r="F274" s="17"/>
      <c r="G274" s="17"/>
      <c r="H274" s="24"/>
      <c r="J274" s="11"/>
      <c r="K274" s="131" t="str">
        <f>K4</f>
        <v>For the 12 months ended 12/31/17</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Elk River, MN</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401" t="s">
        <v>265</v>
      </c>
      <c r="C282" s="401"/>
      <c r="D282" s="401"/>
      <c r="E282" s="401"/>
      <c r="F282" s="401"/>
      <c r="G282" s="401"/>
      <c r="H282" s="401"/>
      <c r="I282" s="401"/>
      <c r="J282" s="401"/>
      <c r="K282" s="401"/>
      <c r="L282" s="11"/>
      <c r="N282" s="13"/>
      <c r="O282" s="11"/>
      <c r="P282" s="11"/>
    </row>
    <row r="283" spans="1:16" ht="63" customHeight="1">
      <c r="A283" s="134" t="s">
        <v>145</v>
      </c>
      <c r="B283" s="401" t="s">
        <v>266</v>
      </c>
      <c r="C283" s="401"/>
      <c r="D283" s="401"/>
      <c r="E283" s="401"/>
      <c r="F283" s="401"/>
      <c r="G283" s="401"/>
      <c r="H283" s="401"/>
      <c r="I283" s="401"/>
      <c r="J283" s="401"/>
      <c r="K283" s="401"/>
      <c r="L283" s="11"/>
      <c r="N283" s="13"/>
      <c r="O283" s="11"/>
      <c r="P283" s="11"/>
    </row>
    <row r="284" spans="1:16">
      <c r="A284" s="134" t="s">
        <v>146</v>
      </c>
      <c r="B284" s="401" t="s">
        <v>267</v>
      </c>
      <c r="C284" s="401"/>
      <c r="D284" s="401"/>
      <c r="E284" s="401"/>
      <c r="F284" s="401"/>
      <c r="G284" s="401"/>
      <c r="H284" s="401"/>
      <c r="I284" s="401"/>
      <c r="J284" s="401"/>
      <c r="K284" s="401"/>
      <c r="L284" s="11"/>
      <c r="N284" s="13"/>
      <c r="O284" s="11"/>
      <c r="P284" s="11"/>
    </row>
    <row r="285" spans="1:16">
      <c r="A285" s="134" t="s">
        <v>147</v>
      </c>
      <c r="B285" s="401" t="s">
        <v>267</v>
      </c>
      <c r="C285" s="401"/>
      <c r="D285" s="401"/>
      <c r="E285" s="401"/>
      <c r="F285" s="401"/>
      <c r="G285" s="401"/>
      <c r="H285" s="401"/>
      <c r="I285" s="401"/>
      <c r="J285" s="401"/>
      <c r="K285" s="401"/>
      <c r="L285" s="11"/>
      <c r="N285" s="13"/>
      <c r="O285" s="11"/>
      <c r="P285" s="11"/>
    </row>
    <row r="286" spans="1:16">
      <c r="A286" s="134" t="s">
        <v>148</v>
      </c>
      <c r="B286" s="401" t="s">
        <v>280</v>
      </c>
      <c r="C286" s="401"/>
      <c r="D286" s="401"/>
      <c r="E286" s="401"/>
      <c r="F286" s="401"/>
      <c r="G286" s="401"/>
      <c r="H286" s="401"/>
      <c r="I286" s="401"/>
      <c r="J286" s="401"/>
      <c r="K286" s="401"/>
      <c r="L286" s="11"/>
      <c r="N286" s="13"/>
      <c r="O286" s="11"/>
      <c r="P286" s="11"/>
    </row>
    <row r="287" spans="1:16" ht="48" customHeight="1">
      <c r="A287" s="134" t="s">
        <v>149</v>
      </c>
      <c r="B287" s="400" t="s">
        <v>242</v>
      </c>
      <c r="C287" s="400"/>
      <c r="D287" s="400"/>
      <c r="E287" s="400"/>
      <c r="F287" s="400"/>
      <c r="G287" s="400"/>
      <c r="H287" s="400"/>
      <c r="I287" s="400"/>
      <c r="J287" s="400"/>
      <c r="K287" s="400"/>
      <c r="L287" s="11"/>
      <c r="N287" s="13"/>
      <c r="O287" s="11"/>
      <c r="P287" s="11"/>
    </row>
    <row r="288" spans="1:16">
      <c r="A288" s="134" t="s">
        <v>150</v>
      </c>
      <c r="B288" s="400" t="s">
        <v>180</v>
      </c>
      <c r="C288" s="400"/>
      <c r="D288" s="400"/>
      <c r="E288" s="400"/>
      <c r="F288" s="400"/>
      <c r="G288" s="400"/>
      <c r="H288" s="400"/>
      <c r="I288" s="400"/>
      <c r="J288" s="400"/>
      <c r="K288" s="400"/>
      <c r="L288" s="11"/>
      <c r="N288" s="13"/>
      <c r="O288" s="11"/>
      <c r="P288" s="11"/>
    </row>
    <row r="289" spans="1:16" ht="32.25" customHeight="1">
      <c r="A289" s="134" t="s">
        <v>151</v>
      </c>
      <c r="B289" s="400" t="s">
        <v>243</v>
      </c>
      <c r="C289" s="400"/>
      <c r="D289" s="400"/>
      <c r="E289" s="400"/>
      <c r="F289" s="400"/>
      <c r="G289" s="400"/>
      <c r="H289" s="400"/>
      <c r="I289" s="400"/>
      <c r="J289" s="400"/>
      <c r="K289" s="400"/>
      <c r="L289" s="11"/>
      <c r="N289" s="13"/>
      <c r="O289" s="11"/>
      <c r="P289" s="11"/>
    </row>
    <row r="290" spans="1:16" ht="32.25" customHeight="1">
      <c r="A290" s="134" t="s">
        <v>152</v>
      </c>
      <c r="B290" s="401" t="s">
        <v>244</v>
      </c>
      <c r="C290" s="401"/>
      <c r="D290" s="401"/>
      <c r="E290" s="401"/>
      <c r="F290" s="401"/>
      <c r="G290" s="401"/>
      <c r="H290" s="401"/>
      <c r="I290" s="401"/>
      <c r="J290" s="401"/>
      <c r="K290" s="401"/>
      <c r="L290" s="11"/>
      <c r="N290" s="13"/>
      <c r="O290" s="11"/>
      <c r="P290" s="11"/>
    </row>
    <row r="291" spans="1:16" ht="32.25" customHeight="1">
      <c r="A291" s="134" t="s">
        <v>153</v>
      </c>
      <c r="B291" s="400" t="s">
        <v>245</v>
      </c>
      <c r="C291" s="400"/>
      <c r="D291" s="400"/>
      <c r="E291" s="400"/>
      <c r="F291" s="400"/>
      <c r="G291" s="400"/>
      <c r="H291" s="400"/>
      <c r="I291" s="400"/>
      <c r="J291" s="400"/>
      <c r="K291" s="400"/>
      <c r="L291" s="11"/>
      <c r="N291" s="13"/>
      <c r="O291" s="10"/>
      <c r="P291" s="11"/>
    </row>
    <row r="292" spans="1:16" ht="79.5" customHeight="1">
      <c r="A292" s="134" t="s">
        <v>154</v>
      </c>
      <c r="B292" s="400" t="s">
        <v>246</v>
      </c>
      <c r="C292" s="400"/>
      <c r="D292" s="400"/>
      <c r="E292" s="400"/>
      <c r="F292" s="400"/>
      <c r="G292" s="400"/>
      <c r="H292" s="400"/>
      <c r="I292" s="400"/>
      <c r="J292" s="400"/>
      <c r="K292" s="400"/>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400" t="s">
        <v>157</v>
      </c>
      <c r="F294" s="400"/>
      <c r="G294" s="400"/>
      <c r="H294" s="400"/>
      <c r="I294" s="400"/>
      <c r="J294" s="400"/>
      <c r="K294" s="400"/>
      <c r="N294" s="13"/>
      <c r="O294" s="11"/>
      <c r="P294" s="11"/>
    </row>
    <row r="295" spans="1:16">
      <c r="A295" s="134"/>
      <c r="B295" s="136"/>
      <c r="C295" s="136" t="s">
        <v>158</v>
      </c>
      <c r="D295" s="137">
        <v>0</v>
      </c>
      <c r="E295" s="400" t="s">
        <v>159</v>
      </c>
      <c r="F295" s="400"/>
      <c r="G295" s="400"/>
      <c r="H295" s="400"/>
      <c r="I295" s="400"/>
      <c r="J295" s="400"/>
      <c r="K295" s="400"/>
      <c r="L295" s="11"/>
      <c r="N295" s="13"/>
      <c r="O295" s="11"/>
      <c r="P295" s="11"/>
    </row>
    <row r="296" spans="1:16">
      <c r="A296" s="134" t="s">
        <v>160</v>
      </c>
      <c r="B296" s="400" t="s">
        <v>194</v>
      </c>
      <c r="C296" s="400"/>
      <c r="D296" s="400"/>
      <c r="E296" s="400"/>
      <c r="F296" s="400"/>
      <c r="G296" s="400"/>
      <c r="H296" s="400"/>
      <c r="I296" s="400"/>
      <c r="J296" s="400"/>
      <c r="K296" s="400"/>
      <c r="L296" s="11"/>
      <c r="N296" s="13"/>
      <c r="O296" s="11"/>
      <c r="P296" s="11"/>
    </row>
    <row r="297" spans="1:16" ht="32.25" customHeight="1">
      <c r="A297" s="134" t="s">
        <v>161</v>
      </c>
      <c r="B297" s="400" t="s">
        <v>298</v>
      </c>
      <c r="C297" s="400"/>
      <c r="D297" s="400"/>
      <c r="E297" s="400"/>
      <c r="F297" s="400"/>
      <c r="G297" s="400"/>
      <c r="H297" s="400"/>
      <c r="I297" s="400"/>
      <c r="J297" s="400"/>
      <c r="K297" s="400"/>
      <c r="L297" s="140"/>
      <c r="N297" s="13"/>
      <c r="O297" s="11"/>
      <c r="P297" s="11"/>
    </row>
    <row r="298" spans="1:16" ht="48" customHeight="1">
      <c r="A298" s="134" t="s">
        <v>162</v>
      </c>
      <c r="B298" s="400" t="s">
        <v>263</v>
      </c>
      <c r="C298" s="400"/>
      <c r="D298" s="400"/>
      <c r="E298" s="400"/>
      <c r="F298" s="400"/>
      <c r="G298" s="400"/>
      <c r="H298" s="400"/>
      <c r="I298" s="400"/>
      <c r="J298" s="400"/>
      <c r="K298" s="400"/>
      <c r="L298" s="11"/>
      <c r="N298" s="13"/>
      <c r="O298" s="11"/>
      <c r="P298" s="11"/>
    </row>
    <row r="299" spans="1:16">
      <c r="A299" s="134" t="s">
        <v>163</v>
      </c>
      <c r="B299" s="400" t="s">
        <v>181</v>
      </c>
      <c r="C299" s="400"/>
      <c r="D299" s="400"/>
      <c r="E299" s="400"/>
      <c r="F299" s="400"/>
      <c r="G299" s="400"/>
      <c r="H299" s="400"/>
      <c r="I299" s="400"/>
      <c r="J299" s="400"/>
      <c r="K299" s="400"/>
      <c r="L299" s="11"/>
      <c r="N299" s="13"/>
      <c r="O299" s="10"/>
      <c r="P299" s="11"/>
    </row>
    <row r="300" spans="1:16" ht="176.25" customHeight="1">
      <c r="A300" s="134" t="s">
        <v>164</v>
      </c>
      <c r="B300" s="401" t="s">
        <v>315</v>
      </c>
      <c r="C300" s="401"/>
      <c r="D300" s="401"/>
      <c r="E300" s="401"/>
      <c r="F300" s="401"/>
      <c r="G300" s="401"/>
      <c r="H300" s="401"/>
      <c r="I300" s="401"/>
      <c r="J300" s="401"/>
      <c r="K300" s="401"/>
      <c r="L300" s="11"/>
      <c r="N300" s="13"/>
      <c r="O300" s="10"/>
      <c r="P300" s="11"/>
    </row>
    <row r="301" spans="1:16" ht="32.25" customHeight="1">
      <c r="A301" s="134" t="s">
        <v>165</v>
      </c>
      <c r="B301" s="400" t="s">
        <v>247</v>
      </c>
      <c r="C301" s="400"/>
      <c r="D301" s="400"/>
      <c r="E301" s="400"/>
      <c r="F301" s="400"/>
      <c r="G301" s="400"/>
      <c r="H301" s="400"/>
      <c r="I301" s="400"/>
      <c r="J301" s="400"/>
      <c r="K301" s="400"/>
      <c r="L301" s="11"/>
      <c r="N301" s="13"/>
      <c r="O301" s="11"/>
      <c r="P301" s="11"/>
    </row>
    <row r="302" spans="1:16">
      <c r="A302" s="134" t="s">
        <v>166</v>
      </c>
      <c r="B302" s="400" t="s">
        <v>167</v>
      </c>
      <c r="C302" s="400"/>
      <c r="D302" s="400"/>
      <c r="E302" s="400"/>
      <c r="F302" s="400"/>
      <c r="G302" s="400"/>
      <c r="H302" s="400"/>
      <c r="I302" s="400"/>
      <c r="J302" s="400"/>
      <c r="K302" s="400"/>
      <c r="L302" s="11"/>
      <c r="N302" s="13"/>
      <c r="O302" s="11"/>
      <c r="P302" s="11"/>
    </row>
    <row r="303" spans="1:16" ht="48" customHeight="1">
      <c r="A303" s="134" t="s">
        <v>182</v>
      </c>
      <c r="B303" s="400" t="s">
        <v>299</v>
      </c>
      <c r="C303" s="400"/>
      <c r="D303" s="400"/>
      <c r="E303" s="400"/>
      <c r="F303" s="400"/>
      <c r="G303" s="400"/>
      <c r="H303" s="400"/>
      <c r="I303" s="400"/>
      <c r="J303" s="400"/>
      <c r="K303" s="400"/>
      <c r="L303" s="11"/>
      <c r="N303" s="13"/>
      <c r="O303" s="11"/>
      <c r="P303" s="11"/>
    </row>
    <row r="304" spans="1:16" ht="65.25" customHeight="1">
      <c r="A304" s="141" t="s">
        <v>183</v>
      </c>
      <c r="B304" s="400" t="s">
        <v>262</v>
      </c>
      <c r="C304" s="400"/>
      <c r="D304" s="400"/>
      <c r="E304" s="400"/>
      <c r="F304" s="400"/>
      <c r="G304" s="400"/>
      <c r="H304" s="400"/>
      <c r="I304" s="400"/>
      <c r="J304" s="400"/>
      <c r="K304" s="400"/>
      <c r="L304" s="11"/>
      <c r="N304" s="13"/>
      <c r="O304" s="11"/>
      <c r="P304" s="11"/>
    </row>
    <row r="305" spans="1:16">
      <c r="A305" s="141" t="s">
        <v>189</v>
      </c>
      <c r="B305" s="400" t="s">
        <v>288</v>
      </c>
      <c r="C305" s="400"/>
      <c r="D305" s="400"/>
      <c r="E305" s="400"/>
      <c r="F305" s="400"/>
      <c r="G305" s="400"/>
      <c r="H305" s="400"/>
      <c r="I305" s="400"/>
      <c r="J305" s="400"/>
      <c r="K305" s="400"/>
      <c r="L305" s="11"/>
      <c r="N305" s="13"/>
      <c r="O305" s="11"/>
      <c r="P305" s="11"/>
    </row>
    <row r="306" spans="1:16">
      <c r="A306" s="142" t="s">
        <v>191</v>
      </c>
      <c r="B306" s="400" t="s">
        <v>289</v>
      </c>
      <c r="C306" s="400"/>
      <c r="D306" s="400"/>
      <c r="E306" s="400"/>
      <c r="F306" s="400"/>
      <c r="G306" s="400"/>
      <c r="H306" s="400"/>
      <c r="I306" s="400"/>
      <c r="J306" s="400"/>
      <c r="K306" s="400"/>
      <c r="L306" s="11"/>
      <c r="N306" s="59"/>
      <c r="O306" s="11"/>
      <c r="P306" s="11"/>
    </row>
    <row r="307" spans="1:16">
      <c r="A307" s="142" t="s">
        <v>196</v>
      </c>
      <c r="B307" s="400" t="s">
        <v>294</v>
      </c>
      <c r="C307" s="400"/>
      <c r="D307" s="400"/>
      <c r="E307" s="400"/>
      <c r="F307" s="400"/>
      <c r="G307" s="400"/>
      <c r="H307" s="400"/>
      <c r="I307" s="400"/>
      <c r="J307" s="400"/>
      <c r="K307" s="400"/>
      <c r="L307" s="11"/>
      <c r="N307" s="59"/>
      <c r="O307" s="11"/>
      <c r="P307" s="11"/>
    </row>
    <row r="308" spans="1:16" s="1" customFormat="1" ht="32.25" customHeight="1">
      <c r="A308" s="141" t="s">
        <v>197</v>
      </c>
      <c r="B308" s="400" t="s">
        <v>295</v>
      </c>
      <c r="C308" s="400"/>
      <c r="D308" s="400"/>
      <c r="E308" s="400"/>
      <c r="F308" s="400"/>
      <c r="G308" s="400"/>
      <c r="H308" s="400"/>
      <c r="I308" s="400"/>
      <c r="J308" s="400"/>
      <c r="K308" s="400"/>
      <c r="L308" s="80"/>
      <c r="N308" s="63"/>
      <c r="O308" s="80"/>
      <c r="P308" s="80"/>
    </row>
    <row r="309" spans="1:16" s="82" customFormat="1">
      <c r="A309" s="142" t="s">
        <v>273</v>
      </c>
      <c r="B309" s="400" t="s">
        <v>296</v>
      </c>
      <c r="C309" s="400"/>
      <c r="D309" s="400"/>
      <c r="E309" s="400"/>
      <c r="F309" s="400"/>
      <c r="G309" s="400"/>
      <c r="H309" s="400"/>
      <c r="I309" s="400"/>
      <c r="J309" s="400"/>
      <c r="K309" s="400"/>
      <c r="L309" s="84"/>
      <c r="N309" s="81"/>
      <c r="O309" s="84"/>
      <c r="P309" s="84"/>
    </row>
    <row r="310" spans="1:16" s="82" customFormat="1" ht="33" customHeight="1">
      <c r="A310" s="141" t="s">
        <v>274</v>
      </c>
      <c r="B310" s="400" t="s">
        <v>297</v>
      </c>
      <c r="C310" s="400"/>
      <c r="D310" s="400"/>
      <c r="E310" s="400"/>
      <c r="F310" s="400"/>
      <c r="G310" s="400"/>
      <c r="H310" s="400"/>
      <c r="I310" s="400"/>
      <c r="J310" s="400"/>
      <c r="K310" s="400"/>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L223:Q223"/>
    <mergeCell ref="B284:K284"/>
    <mergeCell ref="C274:D274"/>
    <mergeCell ref="B283:K283"/>
    <mergeCell ref="B282:K282"/>
    <mergeCell ref="B286:K286"/>
    <mergeCell ref="B285:K285"/>
    <mergeCell ref="E295:K295"/>
    <mergeCell ref="E294:K294"/>
    <mergeCell ref="B288:K288"/>
    <mergeCell ref="B287:K287"/>
    <mergeCell ref="B301:K301"/>
    <mergeCell ref="B300:K300"/>
    <mergeCell ref="B299:K299"/>
    <mergeCell ref="B298:K298"/>
    <mergeCell ref="B297:K297"/>
    <mergeCell ref="B296:K296"/>
    <mergeCell ref="B292:K292"/>
    <mergeCell ref="B291:K291"/>
    <mergeCell ref="B290:K290"/>
    <mergeCell ref="B289:K289"/>
    <mergeCell ref="B309:K309"/>
    <mergeCell ref="B310:K310"/>
    <mergeCell ref="B304:K304"/>
    <mergeCell ref="B303:K303"/>
    <mergeCell ref="B302:K302"/>
    <mergeCell ref="B308:K308"/>
    <mergeCell ref="B306:K306"/>
    <mergeCell ref="B307:K307"/>
    <mergeCell ref="B305:K305"/>
  </mergeCells>
  <phoneticPr fontId="0" type="noConversion"/>
  <pageMargins left="0.5" right="0.5" top="0.75" bottom="0.75" header="0.09" footer="0.5"/>
  <pageSetup scale="58" fitToHeight="5" orientation="portrait" r:id="rId1"/>
  <headerFooter alignWithMargins="0">
    <oddFooter>&amp;RV34
EFF 06.16.15</oddFooter>
  </headerFooter>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28"/>
  <sheetViews>
    <sheetView showGridLines="0" workbookViewId="0">
      <selection activeCell="F17" sqref="F17"/>
    </sheetView>
  </sheetViews>
  <sheetFormatPr defaultRowHeight="15" customHeight="1"/>
  <cols>
    <col min="1" max="1" width="3.33203125" style="277" customWidth="1"/>
    <col min="2" max="2" width="14.77734375" style="277" customWidth="1"/>
    <col min="3" max="3" width="29.44140625" style="277" customWidth="1"/>
    <col min="4" max="4" width="8.5546875" style="277" customWidth="1"/>
    <col min="5" max="5" width="2" style="277" customWidth="1"/>
    <col min="6" max="6" width="11.21875" style="277" bestFit="1" customWidth="1"/>
    <col min="7" max="7" width="12.5546875" style="277" bestFit="1" customWidth="1"/>
    <col min="8" max="16384" width="8.88671875" style="277"/>
  </cols>
  <sheetData>
    <row r="1" spans="1:7" ht="20.100000000000001" customHeight="1">
      <c r="B1" s="299" t="str">
        <f>EntityName</f>
        <v>Elk River, MN</v>
      </c>
      <c r="C1" s="303"/>
    </row>
    <row r="2" spans="1:7" ht="20.100000000000001" customHeight="1">
      <c r="A2" s="281"/>
      <c r="B2" s="300" t="s">
        <v>542</v>
      </c>
      <c r="C2" s="305"/>
      <c r="D2" s="296"/>
    </row>
    <row r="3" spans="1:7" ht="20.100000000000001" customHeight="1">
      <c r="A3" s="281"/>
      <c r="B3" s="301">
        <f>FilingDate</f>
        <v>43100</v>
      </c>
      <c r="C3" s="303"/>
    </row>
    <row r="4" spans="1:7" ht="20.100000000000001" customHeight="1">
      <c r="A4" s="281"/>
      <c r="B4" s="304"/>
      <c r="C4" s="303"/>
    </row>
    <row r="5" spans="1:7" ht="20.100000000000001" customHeight="1">
      <c r="A5" s="281"/>
      <c r="B5" s="307">
        <f>G27</f>
        <v>46217.714</v>
      </c>
      <c r="C5" s="312" t="s">
        <v>561</v>
      </c>
    </row>
    <row r="6" spans="1:7" ht="18" customHeight="1">
      <c r="A6" s="281"/>
      <c r="B6" s="304"/>
      <c r="C6" s="319"/>
      <c r="D6" s="319"/>
      <c r="E6" s="319"/>
      <c r="F6" s="346">
        <v>2017</v>
      </c>
      <c r="G6" s="346">
        <v>2017</v>
      </c>
    </row>
    <row r="7" spans="1:7" ht="18" customHeight="1">
      <c r="B7" s="338" t="s">
        <v>525</v>
      </c>
      <c r="C7" s="338" t="s">
        <v>524</v>
      </c>
      <c r="D7" s="338" t="s">
        <v>523</v>
      </c>
      <c r="E7" s="319"/>
      <c r="F7" s="338" t="s">
        <v>126</v>
      </c>
      <c r="G7" s="338" t="s">
        <v>522</v>
      </c>
    </row>
    <row r="8" spans="1:7" ht="18" customHeight="1">
      <c r="B8" s="339"/>
      <c r="C8" s="339" t="s">
        <v>521</v>
      </c>
      <c r="D8" s="340">
        <v>0.05</v>
      </c>
      <c r="E8" s="319"/>
      <c r="F8" s="342">
        <v>0</v>
      </c>
      <c r="G8" s="341">
        <f t="shared" ref="G8:G23" si="0">F8*$D8</f>
        <v>0</v>
      </c>
    </row>
    <row r="9" spans="1:7" ht="18" customHeight="1">
      <c r="B9" s="339">
        <v>5821</v>
      </c>
      <c r="C9" s="339" t="s">
        <v>520</v>
      </c>
      <c r="D9" s="340">
        <v>0.05</v>
      </c>
      <c r="E9" s="319"/>
      <c r="F9" s="342">
        <v>22001</v>
      </c>
      <c r="G9" s="341">
        <f t="shared" si="0"/>
        <v>1100.05</v>
      </c>
    </row>
    <row r="10" spans="1:7" ht="18" customHeight="1">
      <c r="B10" s="339">
        <v>5933</v>
      </c>
      <c r="C10" s="339" t="s">
        <v>519</v>
      </c>
      <c r="D10" s="340">
        <v>0.05</v>
      </c>
      <c r="E10" s="319"/>
      <c r="F10" s="342">
        <f>138894-101728.22</f>
        <v>37165.78</v>
      </c>
      <c r="G10" s="341">
        <f t="shared" si="0"/>
        <v>1858.289</v>
      </c>
    </row>
    <row r="11" spans="1:7" ht="18" customHeight="1">
      <c r="B11" s="339" t="s">
        <v>645</v>
      </c>
      <c r="C11" s="339" t="s">
        <v>518</v>
      </c>
      <c r="D11" s="340">
        <v>0.25</v>
      </c>
      <c r="E11" s="319"/>
      <c r="F11" s="342">
        <f>18753-16809.44+4184-1960.91</f>
        <v>4166.6500000000015</v>
      </c>
      <c r="G11" s="341">
        <f t="shared" si="0"/>
        <v>1041.6625000000004</v>
      </c>
    </row>
    <row r="12" spans="1:7" ht="18" customHeight="1">
      <c r="B12" s="339" t="s">
        <v>644</v>
      </c>
      <c r="C12" s="339" t="s">
        <v>517</v>
      </c>
      <c r="D12" s="340">
        <v>0.25</v>
      </c>
      <c r="E12" s="319"/>
      <c r="F12" s="342">
        <f>17431-10551.77+56010-43106.27</f>
        <v>19782.96</v>
      </c>
      <c r="G12" s="341">
        <f t="shared" si="0"/>
        <v>4945.74</v>
      </c>
    </row>
    <row r="13" spans="1:7" ht="18" customHeight="1">
      <c r="B13" s="339"/>
      <c r="C13" s="339" t="s">
        <v>516</v>
      </c>
      <c r="D13" s="340">
        <v>0.05</v>
      </c>
      <c r="E13" s="319"/>
      <c r="F13" s="342">
        <v>0</v>
      </c>
      <c r="G13" s="341">
        <f t="shared" si="0"/>
        <v>0</v>
      </c>
    </row>
    <row r="14" spans="1:7" ht="18" customHeight="1">
      <c r="B14" s="339"/>
      <c r="C14" s="339" t="s">
        <v>515</v>
      </c>
      <c r="D14" s="340">
        <v>0.05</v>
      </c>
      <c r="E14" s="319"/>
      <c r="F14" s="342">
        <v>0</v>
      </c>
      <c r="G14" s="341">
        <f t="shared" si="0"/>
        <v>0</v>
      </c>
    </row>
    <row r="15" spans="1:7" ht="18" customHeight="1">
      <c r="B15" s="339"/>
      <c r="C15" s="339" t="s">
        <v>514</v>
      </c>
      <c r="D15" s="340">
        <v>1</v>
      </c>
      <c r="E15" s="319"/>
      <c r="F15" s="342">
        <v>0</v>
      </c>
      <c r="G15" s="341">
        <f t="shared" si="0"/>
        <v>0</v>
      </c>
    </row>
    <row r="16" spans="1:7" ht="18" customHeight="1">
      <c r="B16" s="339">
        <v>5521</v>
      </c>
      <c r="C16" s="339" t="s">
        <v>513</v>
      </c>
      <c r="D16" s="340">
        <v>0.05</v>
      </c>
      <c r="E16" s="319"/>
      <c r="F16" s="342">
        <f>20750-5393.15</f>
        <v>15356.85</v>
      </c>
      <c r="G16" s="341">
        <f t="shared" si="0"/>
        <v>767.84250000000009</v>
      </c>
    </row>
    <row r="17" spans="2:7" ht="18" customHeight="1">
      <c r="B17" s="339">
        <v>5531</v>
      </c>
      <c r="C17" s="339" t="s">
        <v>512</v>
      </c>
      <c r="D17" s="340">
        <v>0.05</v>
      </c>
      <c r="E17" s="319"/>
      <c r="F17" s="342">
        <f>22149</f>
        <v>22149</v>
      </c>
      <c r="G17" s="341">
        <f t="shared" si="0"/>
        <v>1107.45</v>
      </c>
    </row>
    <row r="18" spans="2:7" ht="18" customHeight="1">
      <c r="B18" s="339"/>
      <c r="C18" s="339" t="s">
        <v>511</v>
      </c>
      <c r="D18" s="340">
        <v>0.05</v>
      </c>
      <c r="E18" s="319"/>
      <c r="F18" s="342">
        <v>0</v>
      </c>
      <c r="G18" s="341">
        <f t="shared" si="0"/>
        <v>0</v>
      </c>
    </row>
    <row r="19" spans="2:7" ht="18" customHeight="1">
      <c r="B19" s="339">
        <v>5995</v>
      </c>
      <c r="C19" s="339" t="s">
        <v>510</v>
      </c>
      <c r="D19" s="340">
        <v>0.05</v>
      </c>
      <c r="E19" s="319"/>
      <c r="F19" s="342">
        <f>187500-106151.8</f>
        <v>81348.2</v>
      </c>
      <c r="G19" s="341">
        <f t="shared" si="0"/>
        <v>4067.41</v>
      </c>
    </row>
    <row r="20" spans="2:7" ht="18" customHeight="1">
      <c r="B20" s="339"/>
      <c r="C20" s="339" t="s">
        <v>509</v>
      </c>
      <c r="D20" s="340">
        <v>0.05</v>
      </c>
      <c r="E20" s="319"/>
      <c r="F20" s="342">
        <v>0</v>
      </c>
      <c r="G20" s="341">
        <f t="shared" si="0"/>
        <v>0</v>
      </c>
    </row>
    <row r="21" spans="2:7" ht="18" customHeight="1">
      <c r="B21" s="339"/>
      <c r="C21" s="339" t="s">
        <v>508</v>
      </c>
      <c r="D21" s="340">
        <v>0.05</v>
      </c>
      <c r="E21" s="319"/>
      <c r="F21" s="342">
        <v>0</v>
      </c>
      <c r="G21" s="341">
        <f t="shared" si="0"/>
        <v>0</v>
      </c>
    </row>
    <row r="22" spans="2:7" ht="18" customHeight="1">
      <c r="B22" s="339"/>
      <c r="C22" s="339" t="s">
        <v>507</v>
      </c>
      <c r="D22" s="340">
        <v>0.05</v>
      </c>
      <c r="E22" s="319"/>
      <c r="F22" s="342">
        <v>0</v>
      </c>
      <c r="G22" s="341">
        <f t="shared" si="0"/>
        <v>0</v>
      </c>
    </row>
    <row r="23" spans="2:7" ht="18" customHeight="1">
      <c r="B23" s="339"/>
      <c r="C23" s="339" t="s">
        <v>506</v>
      </c>
      <c r="D23" s="340">
        <v>0.05</v>
      </c>
      <c r="E23" s="319"/>
      <c r="F23" s="342">
        <v>0</v>
      </c>
      <c r="G23" s="341">
        <f t="shared" si="0"/>
        <v>0</v>
      </c>
    </row>
    <row r="24" spans="2:7" ht="18" customHeight="1">
      <c r="B24" s="339"/>
      <c r="C24" s="339"/>
      <c r="D24" s="340"/>
      <c r="E24" s="319"/>
      <c r="F24" s="343"/>
      <c r="G24" s="344">
        <f>SUM(G8:G23)</f>
        <v>14888.444000000001</v>
      </c>
    </row>
    <row r="25" spans="2:7" ht="18" customHeight="1">
      <c r="B25" s="319" t="s">
        <v>571</v>
      </c>
      <c r="C25" s="347" t="s">
        <v>505</v>
      </c>
      <c r="D25" s="319"/>
      <c r="E25" s="314"/>
      <c r="F25" s="314"/>
      <c r="G25" s="314">
        <f>AttachO_Fees</f>
        <v>4253.8500000000004</v>
      </c>
    </row>
    <row r="26" spans="2:7" ht="18" customHeight="1">
      <c r="B26" s="345" t="s">
        <v>2</v>
      </c>
      <c r="C26" s="348" t="s">
        <v>504</v>
      </c>
      <c r="D26" s="319"/>
      <c r="E26" s="314"/>
      <c r="F26" s="314"/>
      <c r="G26" s="314">
        <f>TransmissionLabor</f>
        <v>27075.42</v>
      </c>
    </row>
    <row r="27" spans="2:7" ht="18" customHeight="1">
      <c r="B27" s="319"/>
      <c r="C27" s="319"/>
      <c r="D27" s="319"/>
      <c r="E27" s="312"/>
      <c r="F27" s="312"/>
      <c r="G27" s="349">
        <f>G26+G24+G25</f>
        <v>46217.714</v>
      </c>
    </row>
    <row r="28" spans="2:7" ht="18" customHeight="1">
      <c r="B28" s="319"/>
      <c r="C28" s="319"/>
      <c r="D28" s="319"/>
      <c r="E28" s="319"/>
      <c r="F28" s="319"/>
      <c r="G28" s="319"/>
    </row>
  </sheetData>
  <pageMargins left="0.75" right="0.75" top="1" bottom="1" header="0.5" footer="0.5"/>
  <pageSetup scale="96"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33"/>
  <sheetViews>
    <sheetView showGridLines="0" workbookViewId="0">
      <selection activeCell="C28" sqref="C28"/>
    </sheetView>
  </sheetViews>
  <sheetFormatPr defaultRowHeight="15" customHeight="1"/>
  <cols>
    <col min="1" max="1" width="3.33203125" style="277" customWidth="1"/>
    <col min="2" max="2" width="35.77734375" style="283" customWidth="1"/>
    <col min="3" max="3" width="14.33203125" style="284" customWidth="1"/>
    <col min="4" max="4" width="55.77734375" style="283" customWidth="1"/>
    <col min="5" max="5" width="0.5546875" style="277" customWidth="1"/>
    <col min="6" max="16384" width="8.88671875" style="277"/>
  </cols>
  <sheetData>
    <row r="1" spans="2:7" ht="20.100000000000001" customHeight="1">
      <c r="B1" s="299" t="str">
        <f>EntityName</f>
        <v>Elk River, MN</v>
      </c>
      <c r="C1" s="277"/>
      <c r="D1" s="277"/>
    </row>
    <row r="2" spans="2:7" ht="20.100000000000001" customHeight="1">
      <c r="B2" s="300" t="s">
        <v>545</v>
      </c>
      <c r="C2" s="296"/>
      <c r="D2" s="296"/>
      <c r="E2" s="296"/>
      <c r="F2" s="296"/>
      <c r="G2" s="296"/>
    </row>
    <row r="3" spans="2:7" ht="20.100000000000001" customHeight="1">
      <c r="B3" s="301">
        <f>FilingDate</f>
        <v>43100</v>
      </c>
      <c r="C3" s="277"/>
      <c r="D3" s="319"/>
    </row>
    <row r="4" spans="2:7" ht="20.100000000000001" customHeight="1">
      <c r="B4" s="308"/>
      <c r="D4" s="319"/>
    </row>
    <row r="5" spans="2:7" ht="20.100000000000001" customHeight="1">
      <c r="B5" s="307">
        <f>C31</f>
        <v>2974499.15</v>
      </c>
      <c r="C5" s="312" t="s">
        <v>562</v>
      </c>
      <c r="D5" s="319"/>
    </row>
    <row r="6" spans="2:7" ht="20.100000000000001" customHeight="1">
      <c r="B6" s="312"/>
      <c r="C6" s="277"/>
      <c r="D6" s="319"/>
    </row>
    <row r="7" spans="2:7" ht="15" customHeight="1">
      <c r="B7" s="320" t="s">
        <v>576</v>
      </c>
      <c r="C7" s="358" t="s">
        <v>7</v>
      </c>
      <c r="D7" s="319"/>
    </row>
    <row r="8" spans="2:7" ht="18" customHeight="1">
      <c r="B8" s="326" t="s">
        <v>598</v>
      </c>
      <c r="C8" s="351">
        <v>732850</v>
      </c>
      <c r="D8" s="319"/>
    </row>
    <row r="9" spans="2:7" ht="18" customHeight="1">
      <c r="B9" s="326" t="s">
        <v>610</v>
      </c>
      <c r="C9" s="351">
        <v>1577287</v>
      </c>
      <c r="D9" s="319"/>
    </row>
    <row r="10" spans="2:7" ht="18" customHeight="1">
      <c r="B10" s="326" t="s">
        <v>540</v>
      </c>
      <c r="C10" s="351">
        <v>19677</v>
      </c>
      <c r="D10" s="319"/>
    </row>
    <row r="11" spans="2:7" ht="18" customHeight="1">
      <c r="B11" s="326" t="s">
        <v>597</v>
      </c>
      <c r="C11" s="351">
        <v>37749</v>
      </c>
      <c r="D11" s="319"/>
    </row>
    <row r="12" spans="2:7" ht="18" customHeight="1">
      <c r="B12" s="326" t="s">
        <v>599</v>
      </c>
      <c r="C12" s="351">
        <v>49512</v>
      </c>
      <c r="D12" s="319"/>
    </row>
    <row r="13" spans="2:7" ht="18" customHeight="1">
      <c r="B13" s="326" t="s">
        <v>539</v>
      </c>
      <c r="C13" s="351">
        <v>54203</v>
      </c>
      <c r="D13" s="319"/>
    </row>
    <row r="14" spans="2:7" ht="18" customHeight="1">
      <c r="B14" s="326" t="s">
        <v>600</v>
      </c>
      <c r="C14" s="351">
        <v>24334</v>
      </c>
      <c r="D14" s="319"/>
    </row>
    <row r="15" spans="2:7" ht="18" customHeight="1">
      <c r="B15" s="326" t="s">
        <v>538</v>
      </c>
      <c r="C15" s="351">
        <v>117132</v>
      </c>
      <c r="D15" s="319"/>
    </row>
    <row r="16" spans="2:7" ht="18" customHeight="1">
      <c r="B16" s="326" t="s">
        <v>537</v>
      </c>
      <c r="C16" s="351">
        <v>24111</v>
      </c>
      <c r="D16" s="319"/>
    </row>
    <row r="17" spans="2:4" ht="18" customHeight="1">
      <c r="B17" s="326" t="s">
        <v>601</v>
      </c>
      <c r="C17" s="351">
        <v>35902</v>
      </c>
      <c r="D17" s="319"/>
    </row>
    <row r="18" spans="2:4" ht="18" customHeight="1">
      <c r="B18" s="326" t="s">
        <v>534</v>
      </c>
      <c r="C18" s="351">
        <v>146856</v>
      </c>
      <c r="D18" s="319"/>
    </row>
    <row r="19" spans="2:4" ht="18" customHeight="1">
      <c r="B19" s="326" t="s">
        <v>536</v>
      </c>
      <c r="C19" s="351">
        <v>86233</v>
      </c>
      <c r="D19" s="319"/>
    </row>
    <row r="20" spans="2:4" ht="18" customHeight="1">
      <c r="B20" s="326" t="s">
        <v>639</v>
      </c>
      <c r="C20" s="351">
        <v>72907</v>
      </c>
      <c r="D20" s="319"/>
    </row>
    <row r="21" spans="2:4" ht="18" customHeight="1">
      <c r="B21" s="326" t="s">
        <v>535</v>
      </c>
      <c r="C21" s="351">
        <v>111532</v>
      </c>
      <c r="D21" s="319"/>
    </row>
    <row r="22" spans="2:4" ht="18" customHeight="1">
      <c r="B22" s="364" t="s">
        <v>579</v>
      </c>
      <c r="C22" s="366">
        <f>SUM(C8:C21)</f>
        <v>3090285</v>
      </c>
      <c r="D22" s="319" t="s">
        <v>638</v>
      </c>
    </row>
    <row r="23" spans="2:4" ht="18" customHeight="1">
      <c r="B23" s="319"/>
      <c r="C23" s="359"/>
      <c r="D23" s="319"/>
    </row>
    <row r="24" spans="2:4" ht="18" customHeight="1">
      <c r="B24" s="277"/>
      <c r="C24" s="360"/>
      <c r="D24" s="319"/>
    </row>
    <row r="25" spans="2:4" ht="18" customHeight="1">
      <c r="B25" s="277"/>
      <c r="C25" s="360"/>
      <c r="D25" s="319"/>
    </row>
    <row r="26" spans="2:4" ht="18" customHeight="1">
      <c r="B26" s="320" t="s">
        <v>583</v>
      </c>
      <c r="C26" s="358" t="s">
        <v>7</v>
      </c>
      <c r="D26" s="309"/>
    </row>
    <row r="27" spans="2:4" ht="18" customHeight="1">
      <c r="B27" s="326" t="s">
        <v>533</v>
      </c>
      <c r="C27" s="351">
        <v>0</v>
      </c>
      <c r="D27" s="311" t="s">
        <v>615</v>
      </c>
    </row>
    <row r="28" spans="2:4" ht="18" customHeight="1">
      <c r="B28" s="326" t="s">
        <v>611</v>
      </c>
      <c r="C28" s="351">
        <f>-C21</f>
        <v>-111532</v>
      </c>
      <c r="D28" s="311" t="s">
        <v>531</v>
      </c>
    </row>
    <row r="29" spans="2:4" ht="18" customHeight="1">
      <c r="B29" s="326"/>
      <c r="C29" s="351"/>
      <c r="D29" s="310" t="s">
        <v>532</v>
      </c>
    </row>
    <row r="30" spans="2:4" ht="18" customHeight="1">
      <c r="B30" s="326" t="s">
        <v>530</v>
      </c>
      <c r="C30" s="351">
        <f>-AttachO_Fees</f>
        <v>-4253.8500000000004</v>
      </c>
      <c r="D30" s="310" t="s">
        <v>594</v>
      </c>
    </row>
    <row r="31" spans="2:4" ht="18" customHeight="1">
      <c r="B31" s="364" t="s">
        <v>580</v>
      </c>
      <c r="C31" s="366">
        <f>C22+SUM(C27:C30)</f>
        <v>2974499.15</v>
      </c>
      <c r="D31" s="310"/>
    </row>
    <row r="32" spans="2:4" ht="18" customHeight="1">
      <c r="B32" s="290"/>
      <c r="C32" s="291"/>
      <c r="D32" s="290"/>
    </row>
    <row r="33" ht="18" customHeight="1"/>
  </sheetData>
  <pageMargins left="0.75" right="0.75" top="1" bottom="1" header="0.5" footer="0.5"/>
  <pageSetup scale="84"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B1:J33"/>
  <sheetViews>
    <sheetView showGridLines="0" topLeftCell="A2" workbookViewId="0">
      <selection activeCell="B5" sqref="B5"/>
    </sheetView>
  </sheetViews>
  <sheetFormatPr defaultRowHeight="12.75"/>
  <cols>
    <col min="1" max="1" width="3.33203125" style="277" customWidth="1"/>
    <col min="2" max="2" width="15.21875" style="277" customWidth="1"/>
    <col min="3" max="3" width="17.109375" style="277" customWidth="1"/>
    <col min="4" max="5" width="11.21875" style="277" customWidth="1"/>
    <col min="6" max="16384" width="8.88671875" style="277"/>
  </cols>
  <sheetData>
    <row r="1" spans="2:10" ht="20.100000000000001" customHeight="1">
      <c r="B1" s="299" t="str">
        <f>EntityName</f>
        <v>Elk River, MN</v>
      </c>
      <c r="C1" s="303"/>
    </row>
    <row r="2" spans="2:10" ht="20.100000000000001" customHeight="1">
      <c r="B2" s="386" t="s">
        <v>603</v>
      </c>
      <c r="C2" s="305"/>
      <c r="D2" s="296"/>
      <c r="E2" s="296"/>
      <c r="F2" s="296"/>
      <c r="G2" s="296"/>
      <c r="H2" s="296"/>
    </row>
    <row r="3" spans="2:10" ht="20.100000000000001" customHeight="1">
      <c r="B3" s="301">
        <f>FilingDate</f>
        <v>43100</v>
      </c>
      <c r="C3" s="303"/>
    </row>
    <row r="4" spans="2:10" ht="20.100000000000001" customHeight="1"/>
    <row r="5" spans="2:10" s="323" customFormat="1" ht="18" customHeight="1">
      <c r="B5" s="307">
        <v>1113264</v>
      </c>
      <c r="C5" s="312" t="s">
        <v>563</v>
      </c>
      <c r="D5" s="319"/>
      <c r="E5" s="319"/>
      <c r="F5" s="319"/>
      <c r="G5" s="319"/>
    </row>
    <row r="6" spans="2:10" s="323" customFormat="1" ht="18" customHeight="1">
      <c r="B6" s="319"/>
      <c r="C6" s="319" t="s">
        <v>609</v>
      </c>
      <c r="D6" s="319"/>
      <c r="E6" s="319"/>
      <c r="F6" s="319"/>
      <c r="G6" s="319"/>
    </row>
    <row r="7" spans="2:10" s="323" customFormat="1" ht="18" customHeight="1">
      <c r="B7" s="319"/>
      <c r="C7" s="319" t="s">
        <v>621</v>
      </c>
      <c r="D7" s="319"/>
      <c r="E7" s="319"/>
      <c r="F7" s="319"/>
      <c r="G7" s="319"/>
    </row>
    <row r="8" spans="2:10" s="323" customFormat="1" ht="18" customHeight="1">
      <c r="B8" s="319"/>
      <c r="D8" s="319"/>
      <c r="E8" s="319"/>
      <c r="F8" s="319"/>
      <c r="G8" s="319"/>
    </row>
    <row r="9" spans="2:10" s="323" customFormat="1" ht="18" customHeight="1">
      <c r="B9" s="319"/>
      <c r="C9" s="319"/>
      <c r="D9" s="319"/>
      <c r="E9" s="319"/>
      <c r="F9" s="319"/>
      <c r="G9" s="319"/>
    </row>
    <row r="10" spans="2:10" s="323" customFormat="1" ht="18" customHeight="1">
      <c r="B10" s="307">
        <v>0</v>
      </c>
      <c r="C10" s="312" t="s">
        <v>564</v>
      </c>
      <c r="D10" s="319"/>
      <c r="E10" s="319"/>
      <c r="F10" s="319"/>
      <c r="G10" s="319"/>
    </row>
    <row r="11" spans="2:10" s="323" customFormat="1" ht="18" customHeight="1">
      <c r="B11" s="319"/>
      <c r="C11" s="319"/>
      <c r="D11" s="319"/>
      <c r="E11" s="319"/>
      <c r="F11" s="319"/>
      <c r="G11" s="319"/>
    </row>
    <row r="12" spans="2:10" s="323" customFormat="1" ht="18" customHeight="1">
      <c r="B12" s="319"/>
      <c r="C12" s="319"/>
      <c r="D12" s="319"/>
      <c r="E12" s="319"/>
      <c r="F12" s="319"/>
      <c r="G12" s="319"/>
    </row>
    <row r="13" spans="2:10" s="323" customFormat="1" ht="18" customHeight="1">
      <c r="B13" s="307">
        <v>10244</v>
      </c>
      <c r="C13" s="312" t="s">
        <v>602</v>
      </c>
      <c r="D13" s="357"/>
      <c r="E13" s="357"/>
      <c r="F13" s="357"/>
      <c r="G13" s="357"/>
    </row>
    <row r="14" spans="2:10" s="323" customFormat="1" ht="18" customHeight="1">
      <c r="B14" s="319"/>
      <c r="C14" s="319"/>
      <c r="D14" s="319"/>
      <c r="E14" s="319"/>
      <c r="F14" s="319"/>
      <c r="G14" s="319"/>
    </row>
    <row r="15" spans="2:10" s="323" customFormat="1" ht="18" customHeight="1"/>
    <row r="16" spans="2:10" s="323" customFormat="1" ht="18" customHeight="1">
      <c r="B16" s="307">
        <f>D31</f>
        <v>4253.8500000000004</v>
      </c>
      <c r="C16" s="312" t="s">
        <v>575</v>
      </c>
      <c r="D16" s="319"/>
      <c r="E16" s="313"/>
      <c r="F16" s="313"/>
      <c r="G16" s="313"/>
      <c r="H16" s="313"/>
      <c r="I16" s="354"/>
      <c r="J16" s="354"/>
    </row>
    <row r="17" spans="2:10" s="323" customFormat="1" ht="18" customHeight="1">
      <c r="B17" s="312"/>
      <c r="C17" s="312"/>
      <c r="D17" s="319"/>
      <c r="E17" s="313"/>
      <c r="F17" s="313"/>
      <c r="G17" s="313"/>
      <c r="H17" s="313"/>
      <c r="I17" s="354"/>
      <c r="J17" s="354"/>
    </row>
    <row r="18" spans="2:10" s="323" customFormat="1" ht="18" customHeight="1">
      <c r="B18" s="320" t="s">
        <v>546</v>
      </c>
      <c r="C18" s="320" t="s">
        <v>524</v>
      </c>
      <c r="D18" s="320" t="s">
        <v>7</v>
      </c>
      <c r="E18" s="313"/>
      <c r="F18" s="313"/>
      <c r="G18" s="313"/>
      <c r="H18" s="354"/>
      <c r="I18" s="354"/>
      <c r="J18" s="354"/>
    </row>
    <row r="19" spans="2:10" s="323" customFormat="1" ht="18" customHeight="1">
      <c r="B19" s="322">
        <v>201701</v>
      </c>
      <c r="C19" s="355" t="s">
        <v>616</v>
      </c>
      <c r="D19" s="356">
        <v>284.74</v>
      </c>
      <c r="E19" s="314"/>
      <c r="F19" s="313"/>
      <c r="G19" s="313"/>
      <c r="H19" s="354"/>
      <c r="I19" s="354"/>
      <c r="J19" s="354"/>
    </row>
    <row r="20" spans="2:10" s="323" customFormat="1" ht="18" customHeight="1">
      <c r="B20" s="322">
        <v>201702</v>
      </c>
      <c r="C20" s="355" t="s">
        <v>616</v>
      </c>
      <c r="D20" s="356">
        <v>231.53</v>
      </c>
      <c r="E20" s="314"/>
      <c r="F20" s="313"/>
      <c r="G20" s="313"/>
      <c r="H20" s="354"/>
      <c r="I20" s="354"/>
      <c r="J20" s="354"/>
    </row>
    <row r="21" spans="2:10" s="323" customFormat="1" ht="18" customHeight="1">
      <c r="B21" s="322">
        <v>201703</v>
      </c>
      <c r="C21" s="355" t="s">
        <v>616</v>
      </c>
      <c r="D21" s="356">
        <v>244.36</v>
      </c>
      <c r="E21" s="314"/>
      <c r="F21" s="313"/>
      <c r="G21" s="313"/>
      <c r="H21" s="354"/>
      <c r="I21" s="354"/>
      <c r="J21" s="354"/>
    </row>
    <row r="22" spans="2:10" s="323" customFormat="1" ht="18" customHeight="1">
      <c r="B22" s="322">
        <v>201704</v>
      </c>
      <c r="C22" s="355" t="s">
        <v>616</v>
      </c>
      <c r="D22" s="356">
        <v>199.28</v>
      </c>
      <c r="E22" s="314"/>
      <c r="F22" s="313"/>
      <c r="G22" s="313"/>
      <c r="H22" s="354"/>
      <c r="I22" s="354"/>
      <c r="J22" s="354"/>
    </row>
    <row r="23" spans="2:10" s="323" customFormat="1" ht="18" customHeight="1">
      <c r="B23" s="322">
        <v>201705</v>
      </c>
      <c r="C23" s="355" t="s">
        <v>616</v>
      </c>
      <c r="D23" s="356">
        <v>216.72</v>
      </c>
      <c r="E23" s="314"/>
      <c r="F23" s="313"/>
      <c r="G23" s="313"/>
      <c r="H23" s="354"/>
      <c r="I23" s="354"/>
      <c r="J23" s="354"/>
    </row>
    <row r="24" spans="2:10" s="323" customFormat="1" ht="18" customHeight="1">
      <c r="B24" s="322">
        <v>201706</v>
      </c>
      <c r="C24" s="355" t="s">
        <v>616</v>
      </c>
      <c r="D24" s="356">
        <v>440.76</v>
      </c>
      <c r="E24" s="314"/>
      <c r="F24" s="313"/>
      <c r="G24" s="313"/>
      <c r="H24" s="354"/>
      <c r="I24" s="354"/>
      <c r="J24" s="354"/>
    </row>
    <row r="25" spans="2:10" s="323" customFormat="1" ht="18" customHeight="1">
      <c r="B25" s="322">
        <v>201707</v>
      </c>
      <c r="C25" s="355" t="s">
        <v>616</v>
      </c>
      <c r="D25" s="356">
        <v>524.53</v>
      </c>
      <c r="E25" s="314"/>
      <c r="F25" s="313"/>
      <c r="G25" s="313"/>
      <c r="H25" s="354"/>
      <c r="I25" s="354"/>
      <c r="J25" s="354"/>
    </row>
    <row r="26" spans="2:10" s="323" customFormat="1" ht="18" customHeight="1">
      <c r="B26" s="322">
        <v>201708</v>
      </c>
      <c r="C26" s="355" t="s">
        <v>616</v>
      </c>
      <c r="D26" s="356">
        <v>488.17</v>
      </c>
      <c r="E26" s="314"/>
      <c r="F26" s="313"/>
      <c r="G26" s="313"/>
      <c r="H26" s="354"/>
      <c r="I26" s="354"/>
      <c r="J26" s="354"/>
    </row>
    <row r="27" spans="2:10" s="323" customFormat="1" ht="18" customHeight="1">
      <c r="B27" s="322">
        <v>201709</v>
      </c>
      <c r="C27" s="355" t="s">
        <v>616</v>
      </c>
      <c r="D27" s="356">
        <v>441.25</v>
      </c>
      <c r="E27" s="314"/>
      <c r="F27" s="313"/>
      <c r="G27" s="313"/>
      <c r="H27" s="354"/>
      <c r="I27" s="354"/>
      <c r="J27" s="354"/>
    </row>
    <row r="28" spans="2:10" s="323" customFormat="1" ht="18" customHeight="1">
      <c r="B28" s="322">
        <v>201710</v>
      </c>
      <c r="C28" s="355" t="s">
        <v>616</v>
      </c>
      <c r="D28" s="356">
        <v>352.45</v>
      </c>
      <c r="E28" s="314"/>
      <c r="F28" s="313"/>
      <c r="G28" s="313"/>
      <c r="H28" s="354"/>
      <c r="I28" s="354"/>
      <c r="J28" s="354"/>
    </row>
    <row r="29" spans="2:10" s="323" customFormat="1" ht="18" customHeight="1">
      <c r="B29" s="322">
        <v>201711</v>
      </c>
      <c r="C29" s="355" t="s">
        <v>616</v>
      </c>
      <c r="D29" s="356">
        <v>377.19</v>
      </c>
      <c r="E29" s="314"/>
      <c r="F29" s="313"/>
      <c r="G29" s="313"/>
      <c r="H29" s="354"/>
      <c r="I29" s="354"/>
      <c r="J29" s="354"/>
    </row>
    <row r="30" spans="2:10" s="323" customFormat="1" ht="18" customHeight="1">
      <c r="B30" s="322">
        <v>201712</v>
      </c>
      <c r="C30" s="355" t="s">
        <v>616</v>
      </c>
      <c r="D30" s="356">
        <v>452.87</v>
      </c>
      <c r="E30" s="314"/>
      <c r="F30" s="313"/>
      <c r="G30" s="313"/>
      <c r="H30" s="354"/>
      <c r="I30" s="354"/>
      <c r="J30" s="354"/>
    </row>
    <row r="31" spans="2:10" s="323" customFormat="1" ht="18" customHeight="1">
      <c r="B31" s="367"/>
      <c r="C31" s="368"/>
      <c r="D31" s="369">
        <f>SUM(D19:D30)</f>
        <v>4253.8500000000004</v>
      </c>
      <c r="E31" s="357" t="s">
        <v>572</v>
      </c>
      <c r="F31" s="313"/>
      <c r="G31" s="313"/>
      <c r="H31" s="354"/>
      <c r="I31" s="354"/>
      <c r="J31" s="354"/>
    </row>
    <row r="32" spans="2:10" ht="18" customHeight="1"/>
    <row r="33" ht="18" customHeight="1"/>
  </sheetData>
  <pageMargins left="0.75" right="0.75" top="1" bottom="1" header="0.5" footer="0.5"/>
  <pageSetup scale="84"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rgb="FF00B050"/>
    <pageSetUpPr fitToPage="1"/>
  </sheetPr>
  <dimension ref="B1:G36"/>
  <sheetViews>
    <sheetView showGridLines="0" workbookViewId="0">
      <selection activeCell="E6" sqref="E6"/>
    </sheetView>
  </sheetViews>
  <sheetFormatPr defaultRowHeight="15" customHeight="1"/>
  <cols>
    <col min="1" max="1" width="3.33203125" style="285" customWidth="1"/>
    <col min="2" max="2" width="12.109375" style="285" customWidth="1"/>
    <col min="3" max="3" width="26.88671875" style="285" bestFit="1" customWidth="1"/>
    <col min="4" max="4" width="8.88671875" style="285" customWidth="1"/>
    <col min="5" max="5" width="11.88671875" style="285" customWidth="1"/>
    <col min="6" max="6" width="14.109375" style="285" customWidth="1"/>
    <col min="7" max="16384" width="8.88671875" style="285"/>
  </cols>
  <sheetData>
    <row r="1" spans="2:7" s="287" customFormat="1" ht="20.100000000000001" customHeight="1">
      <c r="B1" s="299" t="str">
        <f>EntityName</f>
        <v>Elk River, MN</v>
      </c>
      <c r="C1" s="303"/>
      <c r="D1" s="303"/>
      <c r="E1" s="303"/>
      <c r="F1" s="303"/>
      <c r="G1" s="303"/>
    </row>
    <row r="2" spans="2:7" ht="20.100000000000001" customHeight="1">
      <c r="B2" s="418" t="s">
        <v>547</v>
      </c>
      <c r="C2" s="418"/>
      <c r="D2" s="418"/>
      <c r="E2" s="418"/>
      <c r="F2" s="418"/>
      <c r="G2" s="418"/>
    </row>
    <row r="3" spans="2:7" ht="20.100000000000001" customHeight="1">
      <c r="B3" s="301">
        <f>FilingDate</f>
        <v>43100</v>
      </c>
      <c r="C3" s="303"/>
      <c r="D3" s="303"/>
      <c r="E3" s="303"/>
      <c r="F3" s="303"/>
      <c r="G3" s="303"/>
    </row>
    <row r="5" spans="2:7" ht="18" customHeight="1">
      <c r="B5" s="325" t="s">
        <v>567</v>
      </c>
      <c r="C5" s="325" t="s">
        <v>568</v>
      </c>
      <c r="D5" s="320" t="s">
        <v>584</v>
      </c>
      <c r="E5" s="321" t="s">
        <v>7</v>
      </c>
      <c r="F5" s="321" t="s">
        <v>569</v>
      </c>
    </row>
    <row r="6" spans="2:7" ht="18" customHeight="1">
      <c r="B6" s="322">
        <v>201701</v>
      </c>
      <c r="C6" s="326" t="s">
        <v>618</v>
      </c>
      <c r="D6" s="374">
        <v>7</v>
      </c>
      <c r="E6" s="375">
        <v>101.1</v>
      </c>
      <c r="F6" s="375"/>
    </row>
    <row r="7" spans="2:7" ht="18" customHeight="1">
      <c r="B7" s="322">
        <v>201702</v>
      </c>
      <c r="C7" s="326" t="s">
        <v>618</v>
      </c>
      <c r="D7" s="374">
        <v>7</v>
      </c>
      <c r="E7" s="375">
        <f>89.63-101.86</f>
        <v>-12.230000000000004</v>
      </c>
      <c r="F7" s="375"/>
    </row>
    <row r="8" spans="2:7" ht="18" customHeight="1">
      <c r="B8" s="322">
        <v>201703</v>
      </c>
      <c r="C8" s="326" t="s">
        <v>618</v>
      </c>
      <c r="D8" s="374">
        <v>7</v>
      </c>
      <c r="E8" s="375">
        <v>99.6</v>
      </c>
      <c r="F8" s="375"/>
    </row>
    <row r="9" spans="2:7" ht="18" customHeight="1">
      <c r="B9" s="322">
        <v>201704</v>
      </c>
      <c r="C9" s="326" t="s">
        <v>618</v>
      </c>
      <c r="D9" s="374">
        <v>7</v>
      </c>
      <c r="E9" s="375">
        <v>99.23</v>
      </c>
      <c r="F9" s="375"/>
    </row>
    <row r="10" spans="2:7" ht="18" customHeight="1">
      <c r="B10" s="322">
        <v>201705</v>
      </c>
      <c r="C10" s="326" t="s">
        <v>618</v>
      </c>
      <c r="D10" s="374">
        <v>7</v>
      </c>
      <c r="E10" s="375">
        <v>120.58</v>
      </c>
      <c r="F10" s="375"/>
    </row>
    <row r="11" spans="2:7" ht="18" customHeight="1">
      <c r="B11" s="322">
        <v>201706</v>
      </c>
      <c r="C11" s="326" t="s">
        <v>618</v>
      </c>
      <c r="D11" s="374">
        <v>7</v>
      </c>
      <c r="E11" s="375">
        <f>133.75-0.98</f>
        <v>132.77000000000001</v>
      </c>
      <c r="F11" s="375"/>
    </row>
    <row r="12" spans="2:7" ht="18" customHeight="1">
      <c r="B12" s="322">
        <v>201707</v>
      </c>
      <c r="C12" s="326" t="s">
        <v>618</v>
      </c>
      <c r="D12" s="374">
        <v>7</v>
      </c>
      <c r="E12" s="375">
        <v>138.33000000000001</v>
      </c>
      <c r="F12" s="375"/>
    </row>
    <row r="13" spans="2:7" ht="18" customHeight="1">
      <c r="B13" s="322">
        <v>201708</v>
      </c>
      <c r="C13" s="326" t="s">
        <v>618</v>
      </c>
      <c r="D13" s="374">
        <v>7</v>
      </c>
      <c r="E13" s="375">
        <v>132.32</v>
      </c>
      <c r="F13" s="375"/>
    </row>
    <row r="14" spans="2:7" ht="18" customHeight="1">
      <c r="B14" s="322">
        <v>201709</v>
      </c>
      <c r="C14" s="326" t="s">
        <v>618</v>
      </c>
      <c r="D14" s="374">
        <v>7</v>
      </c>
      <c r="E14" s="375">
        <v>130</v>
      </c>
      <c r="F14" s="375"/>
    </row>
    <row r="15" spans="2:7" ht="18" customHeight="1">
      <c r="B15" s="322">
        <v>201710</v>
      </c>
      <c r="C15" s="326" t="s">
        <v>618</v>
      </c>
      <c r="D15" s="374">
        <v>7</v>
      </c>
      <c r="E15" s="375">
        <v>134.13</v>
      </c>
      <c r="F15" s="375"/>
    </row>
    <row r="16" spans="2:7" ht="18" customHeight="1">
      <c r="B16" s="322">
        <v>201711</v>
      </c>
      <c r="C16" s="326" t="s">
        <v>618</v>
      </c>
      <c r="D16" s="374">
        <v>7</v>
      </c>
      <c r="E16" s="375">
        <v>116.94</v>
      </c>
      <c r="F16" s="375"/>
    </row>
    <row r="17" spans="2:6" ht="18" customHeight="1">
      <c r="B17" s="322">
        <v>201712</v>
      </c>
      <c r="C17" s="326" t="s">
        <v>618</v>
      </c>
      <c r="D17" s="374">
        <v>7</v>
      </c>
      <c r="E17" s="375">
        <v>122.56</v>
      </c>
      <c r="F17" s="375"/>
    </row>
    <row r="18" spans="2:6" ht="18" customHeight="1">
      <c r="B18" s="326"/>
      <c r="C18" s="326" t="s">
        <v>618</v>
      </c>
      <c r="D18" s="374"/>
      <c r="E18" s="375"/>
      <c r="F18" s="375">
        <f>SUM(E6:E18)</f>
        <v>1315.33</v>
      </c>
    </row>
    <row r="19" spans="2:6" ht="18" customHeight="1">
      <c r="B19" s="322">
        <v>201701</v>
      </c>
      <c r="C19" s="326" t="s">
        <v>619</v>
      </c>
      <c r="D19" s="374">
        <v>8</v>
      </c>
      <c r="E19" s="375">
        <v>0</v>
      </c>
      <c r="F19" s="375"/>
    </row>
    <row r="20" spans="2:6" ht="18" customHeight="1">
      <c r="B20" s="322">
        <v>201702</v>
      </c>
      <c r="C20" s="326" t="s">
        <v>619</v>
      </c>
      <c r="D20" s="374">
        <v>8</v>
      </c>
      <c r="E20" s="375">
        <v>0</v>
      </c>
      <c r="F20" s="375"/>
    </row>
    <row r="21" spans="2:6" ht="18" customHeight="1">
      <c r="B21" s="322">
        <v>201703</v>
      </c>
      <c r="C21" s="326" t="s">
        <v>619</v>
      </c>
      <c r="D21" s="374">
        <v>8</v>
      </c>
      <c r="E21" s="375">
        <v>0</v>
      </c>
      <c r="F21" s="375"/>
    </row>
    <row r="22" spans="2:6" ht="18" customHeight="1">
      <c r="B22" s="322">
        <v>201704</v>
      </c>
      <c r="C22" s="326" t="s">
        <v>619</v>
      </c>
      <c r="D22" s="374">
        <v>8</v>
      </c>
      <c r="E22" s="375">
        <v>0</v>
      </c>
      <c r="F22" s="375"/>
    </row>
    <row r="23" spans="2:6" ht="18" customHeight="1">
      <c r="B23" s="322">
        <v>201705</v>
      </c>
      <c r="C23" s="326" t="s">
        <v>619</v>
      </c>
      <c r="D23" s="374">
        <v>8</v>
      </c>
      <c r="E23" s="375">
        <v>0</v>
      </c>
      <c r="F23" s="375"/>
    </row>
    <row r="24" spans="2:6" ht="18" customHeight="1">
      <c r="B24" s="322">
        <v>201706</v>
      </c>
      <c r="C24" s="326" t="s">
        <v>619</v>
      </c>
      <c r="D24" s="374">
        <v>8</v>
      </c>
      <c r="E24" s="375">
        <v>0</v>
      </c>
      <c r="F24" s="375"/>
    </row>
    <row r="25" spans="2:6" ht="18" customHeight="1">
      <c r="B25" s="322">
        <v>201707</v>
      </c>
      <c r="C25" s="326" t="s">
        <v>619</v>
      </c>
      <c r="D25" s="374">
        <v>8</v>
      </c>
      <c r="E25" s="375">
        <v>0</v>
      </c>
      <c r="F25" s="375"/>
    </row>
    <row r="26" spans="2:6" ht="18" customHeight="1">
      <c r="B26" s="322">
        <v>201708</v>
      </c>
      <c r="C26" s="326" t="s">
        <v>619</v>
      </c>
      <c r="D26" s="374">
        <v>8</v>
      </c>
      <c r="E26" s="375">
        <v>0</v>
      </c>
      <c r="F26" s="375"/>
    </row>
    <row r="27" spans="2:6" ht="18" customHeight="1">
      <c r="B27" s="322">
        <v>201709</v>
      </c>
      <c r="C27" s="326" t="s">
        <v>619</v>
      </c>
      <c r="D27" s="374">
        <v>8</v>
      </c>
      <c r="E27" s="375">
        <v>0</v>
      </c>
      <c r="F27" s="375"/>
    </row>
    <row r="28" spans="2:6" ht="18" customHeight="1">
      <c r="B28" s="322">
        <v>201710</v>
      </c>
      <c r="C28" s="326" t="s">
        <v>619</v>
      </c>
      <c r="D28" s="374">
        <v>8</v>
      </c>
      <c r="E28" s="375">
        <v>0</v>
      </c>
      <c r="F28" s="375"/>
    </row>
    <row r="29" spans="2:6" ht="18" customHeight="1">
      <c r="B29" s="322">
        <v>201711</v>
      </c>
      <c r="C29" s="326" t="s">
        <v>619</v>
      </c>
      <c r="D29" s="374">
        <v>8</v>
      </c>
      <c r="E29" s="375">
        <v>0</v>
      </c>
      <c r="F29" s="375"/>
    </row>
    <row r="30" spans="2:6" ht="18" customHeight="1">
      <c r="B30" s="322">
        <v>201712</v>
      </c>
      <c r="C30" s="326" t="s">
        <v>619</v>
      </c>
      <c r="D30" s="374">
        <v>8</v>
      </c>
      <c r="E30" s="375">
        <v>0</v>
      </c>
      <c r="F30" s="375"/>
    </row>
    <row r="31" spans="2:6" ht="18" customHeight="1">
      <c r="B31" s="326"/>
      <c r="C31" s="326" t="s">
        <v>619</v>
      </c>
      <c r="D31" s="374"/>
      <c r="E31" s="375"/>
      <c r="F31" s="375">
        <f>SUM(E19:E31)</f>
        <v>0</v>
      </c>
    </row>
    <row r="32" spans="2:6" ht="18" customHeight="1">
      <c r="B32" s="364"/>
      <c r="C32" s="364"/>
      <c r="D32" s="364"/>
      <c r="E32" s="377">
        <f>SUM(E6:E31)</f>
        <v>1315.33</v>
      </c>
      <c r="F32" s="377">
        <f>SUM(F6:F31)</f>
        <v>1315.33</v>
      </c>
    </row>
    <row r="36" s="286" customFormat="1" ht="15" customHeight="1"/>
  </sheetData>
  <mergeCells count="1">
    <mergeCell ref="B2:G2"/>
  </mergeCells>
  <pageMargins left="0.7" right="0.7" top="0.75" bottom="0.75" header="0.1" footer="0.3"/>
  <pageSetup scale="88" orientation="landscape" r:id="rId1"/>
  <headerFooter>
    <oddHeader>&amp;L&amp;"Arial,Bold"&amp;8 9:10 AM
&amp;"Arial,Bold"&amp;8 03/11/16
&amp;"Arial,Bold"&amp;8 Accrual Basis&amp;C&amp;"Arial,Bold"&amp;12 CENTRAL MUNICIPAL POWER AGENCY AND SERVICES
&amp;"Arial,Bold"&amp;14 Sales by Item Detail
&amp;"Arial,Bold"&amp;10 January through December 2014</oddHeader>
    <oddFooter>&amp;R&amp;"Arial,Bold"&amp;8 Page &amp;P of &amp;N</oddFooter>
  </headerFooter>
  <drawing r:id="rId2"/>
  <legacyDrawing r:id="rId3"/>
  <controls>
    <mc:AlternateContent xmlns:mc="http://schemas.openxmlformats.org/markup-compatibility/2006">
      <mc:Choice Requires="x14">
        <control shapeId="11266" r:id="rId4" name="HEADER">
          <controlPr defaultSize="0" autoLine="0" r:id="rId5">
            <anchor moveWithCells="1">
              <from>
                <xdr:col>0</xdr:col>
                <xdr:colOff>0</xdr:colOff>
                <xdr:row>0</xdr:row>
                <xdr:rowOff>0</xdr:rowOff>
              </from>
              <to>
                <xdr:col>1</xdr:col>
                <xdr:colOff>628650</xdr:colOff>
                <xdr:row>0</xdr:row>
                <xdr:rowOff>228600</xdr:rowOff>
              </to>
            </anchor>
          </controlPr>
        </control>
      </mc:Choice>
      <mc:Fallback>
        <control shapeId="11266" r:id="rId4" name="HEADER"/>
      </mc:Fallback>
    </mc:AlternateContent>
    <mc:AlternateContent xmlns:mc="http://schemas.openxmlformats.org/markup-compatibility/2006">
      <mc:Choice Requires="x14">
        <control shapeId="11265" r:id="rId6" name="FILTER">
          <controlPr defaultSize="0" autoLine="0" r:id="rId7">
            <anchor moveWithCells="1">
              <from>
                <xdr:col>0</xdr:col>
                <xdr:colOff>0</xdr:colOff>
                <xdr:row>0</xdr:row>
                <xdr:rowOff>0</xdr:rowOff>
              </from>
              <to>
                <xdr:col>1</xdr:col>
                <xdr:colOff>628650</xdr:colOff>
                <xdr:row>0</xdr:row>
                <xdr:rowOff>228600</xdr:rowOff>
              </to>
            </anchor>
          </controlPr>
        </control>
      </mc:Choice>
      <mc:Fallback>
        <control shapeId="11265" r:id="rId6" name="FILTER"/>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F19"/>
  <sheetViews>
    <sheetView workbookViewId="0">
      <selection activeCell="E6" sqref="E6"/>
    </sheetView>
  </sheetViews>
  <sheetFormatPr defaultRowHeight="15"/>
  <cols>
    <col min="1" max="1" width="3.33203125" customWidth="1"/>
    <col min="2" max="2" width="14.6640625" bestFit="1" customWidth="1"/>
    <col min="3" max="3" width="14" customWidth="1"/>
    <col min="4" max="4" width="9" bestFit="1" customWidth="1"/>
    <col min="5" max="5" width="13.21875" customWidth="1"/>
  </cols>
  <sheetData>
    <row r="1" spans="2:6" s="287" customFormat="1" ht="20.100000000000001" customHeight="1">
      <c r="B1" s="302" t="str">
        <f>EntityName</f>
        <v>Elk River, MN</v>
      </c>
      <c r="C1" s="303"/>
      <c r="D1" s="303"/>
      <c r="E1" s="303"/>
      <c r="F1" s="303"/>
    </row>
    <row r="2" spans="2:6" s="285" customFormat="1" ht="20.100000000000001" customHeight="1">
      <c r="B2" s="305" t="s">
        <v>547</v>
      </c>
      <c r="C2" s="305"/>
      <c r="D2" s="305"/>
      <c r="E2" s="305"/>
      <c r="F2" s="305"/>
    </row>
    <row r="3" spans="2:6" s="285" customFormat="1" ht="20.100000000000001" customHeight="1">
      <c r="B3" s="304">
        <f>FilingDate</f>
        <v>43100</v>
      </c>
      <c r="C3" s="303"/>
      <c r="D3" s="303"/>
      <c r="E3" s="303"/>
      <c r="F3" s="303"/>
    </row>
    <row r="4" spans="2:6" s="285" customFormat="1" ht="15" customHeight="1"/>
    <row r="5" spans="2:6" s="285" customFormat="1" ht="18" customHeight="1">
      <c r="B5" s="325" t="s">
        <v>567</v>
      </c>
      <c r="C5" s="325" t="s">
        <v>568</v>
      </c>
      <c r="D5" s="325" t="s">
        <v>584</v>
      </c>
      <c r="E5" s="321" t="s">
        <v>7</v>
      </c>
      <c r="F5" s="373"/>
    </row>
    <row r="6" spans="2:6" s="285" customFormat="1" ht="18" customHeight="1">
      <c r="B6" s="322">
        <v>201701</v>
      </c>
      <c r="C6" s="326" t="s">
        <v>617</v>
      </c>
      <c r="D6" s="374">
        <v>9</v>
      </c>
      <c r="E6" s="395">
        <v>9390.14</v>
      </c>
      <c r="F6" s="373"/>
    </row>
    <row r="7" spans="2:6" s="285" customFormat="1" ht="18" customHeight="1">
      <c r="B7" s="322">
        <v>201702</v>
      </c>
      <c r="C7" s="326" t="s">
        <v>617</v>
      </c>
      <c r="D7" s="374">
        <v>9</v>
      </c>
      <c r="E7" s="395">
        <v>7729.96</v>
      </c>
      <c r="F7" s="373"/>
    </row>
    <row r="8" spans="2:6" s="285" customFormat="1" ht="18" customHeight="1">
      <c r="B8" s="322">
        <v>201703</v>
      </c>
      <c r="C8" s="326" t="s">
        <v>617</v>
      </c>
      <c r="D8" s="374">
        <v>9</v>
      </c>
      <c r="E8" s="395">
        <v>8045.59</v>
      </c>
      <c r="F8" s="373"/>
    </row>
    <row r="9" spans="2:6" s="285" customFormat="1" ht="18" customHeight="1">
      <c r="B9" s="322">
        <v>201704</v>
      </c>
      <c r="C9" s="326" t="s">
        <v>617</v>
      </c>
      <c r="D9" s="374">
        <v>9</v>
      </c>
      <c r="E9" s="395">
        <v>6543.42</v>
      </c>
      <c r="F9" s="373"/>
    </row>
    <row r="10" spans="2:6" s="285" customFormat="1" ht="18" customHeight="1">
      <c r="B10" s="322">
        <v>201705</v>
      </c>
      <c r="C10" s="326" t="s">
        <v>617</v>
      </c>
      <c r="D10" s="374">
        <v>9</v>
      </c>
      <c r="E10" s="395">
        <v>7103.49</v>
      </c>
      <c r="F10" s="373"/>
    </row>
    <row r="11" spans="2:6" s="285" customFormat="1" ht="18" customHeight="1">
      <c r="B11" s="322">
        <v>201706</v>
      </c>
      <c r="C11" s="326" t="s">
        <v>617</v>
      </c>
      <c r="D11" s="374">
        <v>9</v>
      </c>
      <c r="E11" s="395">
        <f>14613.3+0.1+-55.15</f>
        <v>14558.25</v>
      </c>
      <c r="F11" s="373"/>
    </row>
    <row r="12" spans="2:6" s="285" customFormat="1" ht="18" customHeight="1">
      <c r="B12" s="322">
        <v>201707</v>
      </c>
      <c r="C12" s="326" t="s">
        <v>617</v>
      </c>
      <c r="D12" s="374">
        <v>9</v>
      </c>
      <c r="E12" s="395">
        <v>17345.919999999998</v>
      </c>
      <c r="F12" s="373"/>
    </row>
    <row r="13" spans="2:6" s="285" customFormat="1" ht="18" customHeight="1">
      <c r="B13" s="322">
        <v>201708</v>
      </c>
      <c r="C13" s="326" t="s">
        <v>617</v>
      </c>
      <c r="D13" s="374">
        <v>9</v>
      </c>
      <c r="E13" s="395">
        <v>16139.95</v>
      </c>
      <c r="F13" s="373"/>
    </row>
    <row r="14" spans="2:6" s="285" customFormat="1" ht="18" customHeight="1">
      <c r="B14" s="322">
        <v>201709</v>
      </c>
      <c r="C14" s="326" t="s">
        <v>617</v>
      </c>
      <c r="D14" s="374">
        <v>9</v>
      </c>
      <c r="E14" s="395">
        <v>14578.2</v>
      </c>
      <c r="F14" s="376"/>
    </row>
    <row r="15" spans="2:6" s="285" customFormat="1" ht="18" customHeight="1">
      <c r="B15" s="322">
        <v>201710</v>
      </c>
      <c r="C15" s="326" t="s">
        <v>617</v>
      </c>
      <c r="D15" s="374">
        <v>9</v>
      </c>
      <c r="E15" s="395">
        <f>11547.62+66.46</f>
        <v>11614.08</v>
      </c>
      <c r="F15" s="373"/>
    </row>
    <row r="16" spans="2:6" s="285" customFormat="1" ht="18" customHeight="1">
      <c r="B16" s="322">
        <v>201711</v>
      </c>
      <c r="C16" s="326" t="s">
        <v>617</v>
      </c>
      <c r="D16" s="374">
        <v>9</v>
      </c>
      <c r="E16" s="395">
        <v>12455.91</v>
      </c>
      <c r="F16" s="373"/>
    </row>
    <row r="17" spans="2:6" s="285" customFormat="1" ht="18" customHeight="1">
      <c r="B17" s="322">
        <v>201712</v>
      </c>
      <c r="C17" s="326" t="s">
        <v>617</v>
      </c>
      <c r="D17" s="374">
        <v>9</v>
      </c>
      <c r="E17" s="395">
        <v>14972.94</v>
      </c>
      <c r="F17" s="373"/>
    </row>
    <row r="18" spans="2:6" s="285" customFormat="1" ht="18" customHeight="1">
      <c r="B18" s="364"/>
      <c r="C18" s="364"/>
      <c r="D18" s="364"/>
      <c r="E18" s="377">
        <f>SUM(E6:E17)</f>
        <v>140477.84999999998</v>
      </c>
      <c r="F18" s="373"/>
    </row>
    <row r="19" spans="2:6" ht="18" customHeight="1"/>
  </sheetData>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F20"/>
  <sheetViews>
    <sheetView showGridLines="0" workbookViewId="0">
      <selection activeCell="F31" sqref="F31"/>
    </sheetView>
  </sheetViews>
  <sheetFormatPr defaultRowHeight="15"/>
  <cols>
    <col min="1" max="1" width="3.33203125" customWidth="1"/>
    <col min="2" max="2" width="13.88671875" customWidth="1"/>
    <col min="3" max="3" width="6.6640625" customWidth="1"/>
    <col min="4" max="4" width="12" customWidth="1"/>
    <col min="5" max="5" width="13.6640625" customWidth="1"/>
    <col min="6" max="6" width="13.5546875" customWidth="1"/>
  </cols>
  <sheetData>
    <row r="1" spans="2:6" ht="19.5" customHeight="1">
      <c r="B1" s="302" t="str">
        <f>EntityName</f>
        <v>Elk River, MN</v>
      </c>
    </row>
    <row r="2" spans="2:6" ht="19.5" customHeight="1">
      <c r="B2" s="305" t="s">
        <v>585</v>
      </c>
    </row>
    <row r="3" spans="2:6" ht="19.5" customHeight="1">
      <c r="B3" s="304">
        <f>FilingDate</f>
        <v>43100</v>
      </c>
    </row>
    <row r="4" spans="2:6" ht="19.5" customHeight="1"/>
    <row r="5" spans="2:6" ht="21" customHeight="1">
      <c r="B5" s="378">
        <f>F20</f>
        <v>47.627000000000002</v>
      </c>
      <c r="C5" s="379" t="s">
        <v>586</v>
      </c>
    </row>
    <row r="6" spans="2:6" ht="21" customHeight="1">
      <c r="B6" s="379"/>
    </row>
    <row r="7" spans="2:6" ht="18" customHeight="1">
      <c r="B7" s="320" t="s">
        <v>527</v>
      </c>
      <c r="C7" s="320" t="s">
        <v>526</v>
      </c>
      <c r="D7" s="320" t="s">
        <v>607</v>
      </c>
      <c r="E7" s="320" t="s">
        <v>588</v>
      </c>
      <c r="F7" s="320" t="s">
        <v>587</v>
      </c>
    </row>
    <row r="8" spans="2:6" ht="18" customHeight="1">
      <c r="B8" s="380">
        <v>42740</v>
      </c>
      <c r="C8" s="374">
        <v>19</v>
      </c>
      <c r="D8" s="381">
        <v>45.811</v>
      </c>
      <c r="E8" s="381">
        <v>0</v>
      </c>
      <c r="F8" s="381">
        <f>D8+E8</f>
        <v>45.811</v>
      </c>
    </row>
    <row r="9" spans="2:6" ht="18" customHeight="1">
      <c r="B9" s="380">
        <v>42768</v>
      </c>
      <c r="C9" s="374">
        <v>19</v>
      </c>
      <c r="D9" s="381">
        <v>43.180999999999997</v>
      </c>
      <c r="E9" s="381">
        <v>0</v>
      </c>
      <c r="F9" s="381">
        <f t="shared" ref="F9:F19" si="0">D9+E9</f>
        <v>43.180999999999997</v>
      </c>
    </row>
    <row r="10" spans="2:6" ht="18" customHeight="1">
      <c r="B10" s="380">
        <v>42804</v>
      </c>
      <c r="C10" s="374">
        <v>20</v>
      </c>
      <c r="D10" s="381">
        <v>38.914000000000001</v>
      </c>
      <c r="E10" s="381">
        <v>0</v>
      </c>
      <c r="F10" s="381">
        <f t="shared" si="0"/>
        <v>38.914000000000001</v>
      </c>
    </row>
    <row r="11" spans="2:6" ht="18" customHeight="1">
      <c r="B11" s="380">
        <v>42851</v>
      </c>
      <c r="C11" s="374">
        <v>21</v>
      </c>
      <c r="D11" s="381">
        <v>37.563000000000002</v>
      </c>
      <c r="E11" s="381">
        <v>0</v>
      </c>
      <c r="F11" s="381">
        <f t="shared" si="0"/>
        <v>37.563000000000002</v>
      </c>
    </row>
    <row r="12" spans="2:6" ht="18" customHeight="1">
      <c r="B12" s="380">
        <v>42871</v>
      </c>
      <c r="C12" s="374">
        <v>19</v>
      </c>
      <c r="D12" s="381">
        <v>44.402000000000001</v>
      </c>
      <c r="E12" s="381">
        <v>0</v>
      </c>
      <c r="F12" s="381">
        <f t="shared" si="0"/>
        <v>44.402000000000001</v>
      </c>
    </row>
    <row r="13" spans="2:6" ht="18" customHeight="1">
      <c r="B13" s="380">
        <v>42896</v>
      </c>
      <c r="C13" s="374">
        <v>18</v>
      </c>
      <c r="D13" s="381">
        <v>52.432000000000002</v>
      </c>
      <c r="E13" s="381">
        <v>0</v>
      </c>
      <c r="F13" s="381">
        <f t="shared" si="0"/>
        <v>52.432000000000002</v>
      </c>
    </row>
    <row r="14" spans="2:6" ht="18" customHeight="1">
      <c r="B14" s="380">
        <v>42922</v>
      </c>
      <c r="C14" s="374">
        <v>18</v>
      </c>
      <c r="D14" s="381">
        <v>61.344999999999999</v>
      </c>
      <c r="E14" s="381">
        <v>0</v>
      </c>
      <c r="F14" s="381">
        <f t="shared" si="0"/>
        <v>61.344999999999999</v>
      </c>
    </row>
    <row r="15" spans="2:6" ht="18" customHeight="1">
      <c r="B15" s="380">
        <v>42948</v>
      </c>
      <c r="C15" s="374">
        <v>18</v>
      </c>
      <c r="D15" s="381">
        <v>57.63</v>
      </c>
      <c r="E15" s="381">
        <v>0</v>
      </c>
      <c r="F15" s="381">
        <f t="shared" si="0"/>
        <v>57.63</v>
      </c>
    </row>
    <row r="16" spans="2:6" ht="18" customHeight="1">
      <c r="B16" s="380">
        <v>43000</v>
      </c>
      <c r="C16" s="374">
        <v>18</v>
      </c>
      <c r="D16" s="381">
        <v>61.098999999999997</v>
      </c>
      <c r="E16" s="381">
        <v>0</v>
      </c>
      <c r="F16" s="381">
        <f t="shared" si="0"/>
        <v>61.098999999999997</v>
      </c>
    </row>
    <row r="17" spans="2:6" ht="18" customHeight="1">
      <c r="B17" s="380">
        <v>43038</v>
      </c>
      <c r="C17" s="374">
        <v>19</v>
      </c>
      <c r="D17" s="381">
        <v>41.198999999999998</v>
      </c>
      <c r="E17" s="381">
        <v>0</v>
      </c>
      <c r="F17" s="381">
        <f t="shared" si="0"/>
        <v>41.198999999999998</v>
      </c>
    </row>
    <row r="18" spans="2:6" ht="18" customHeight="1">
      <c r="B18" s="380">
        <v>43048</v>
      </c>
      <c r="C18" s="374">
        <v>19</v>
      </c>
      <c r="D18" s="381">
        <v>43.354999999999997</v>
      </c>
      <c r="E18" s="381">
        <v>0</v>
      </c>
      <c r="F18" s="381">
        <f t="shared" si="0"/>
        <v>43.354999999999997</v>
      </c>
    </row>
    <row r="19" spans="2:6" ht="18" customHeight="1">
      <c r="B19" s="380">
        <v>43095</v>
      </c>
      <c r="C19" s="374">
        <v>19</v>
      </c>
      <c r="D19" s="381">
        <v>44.588000000000001</v>
      </c>
      <c r="E19" s="381">
        <v>0</v>
      </c>
      <c r="F19" s="381">
        <f t="shared" si="0"/>
        <v>44.588000000000001</v>
      </c>
    </row>
    <row r="20" spans="2:6" ht="18" customHeight="1">
      <c r="B20" s="364" t="s">
        <v>589</v>
      </c>
      <c r="C20" s="364"/>
      <c r="D20" s="364"/>
      <c r="E20" s="364"/>
      <c r="F20" s="387">
        <f>ROUND(AVERAGE(F8:F19),3)</f>
        <v>47.627000000000002</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6"/>
  <sheetViews>
    <sheetView showGridLines="0" topLeftCell="A27" zoomScaleNormal="100" workbookViewId="0">
      <selection activeCell="L27" sqref="L27"/>
    </sheetView>
  </sheetViews>
  <sheetFormatPr defaultRowHeight="12.75"/>
  <cols>
    <col min="1" max="1" width="5.21875" style="148" customWidth="1"/>
    <col min="2" max="2" width="30.88671875" style="148" customWidth="1"/>
    <col min="3" max="3" width="13" style="148" customWidth="1"/>
    <col min="4" max="4" width="5.21875" style="148" customWidth="1"/>
    <col min="5" max="5" width="30.88671875" style="148" customWidth="1"/>
    <col min="6" max="6" width="13" style="148" customWidth="1"/>
    <col min="7" max="16384" width="8.88671875" style="148"/>
  </cols>
  <sheetData>
    <row r="1" spans="1:6" ht="15.75">
      <c r="A1" s="404" t="s">
        <v>590</v>
      </c>
      <c r="B1" s="404"/>
      <c r="C1" s="404"/>
      <c r="D1" s="404"/>
      <c r="E1" s="404"/>
      <c r="F1" s="404"/>
    </row>
    <row r="2" spans="1:6" ht="15">
      <c r="A2" s="405" t="s">
        <v>408</v>
      </c>
      <c r="B2" s="405"/>
      <c r="C2" s="405"/>
      <c r="D2" s="405"/>
      <c r="E2" s="405"/>
      <c r="F2" s="405"/>
    </row>
    <row r="3" spans="1:6" ht="15">
      <c r="A3" s="405" t="s">
        <v>407</v>
      </c>
      <c r="B3" s="405"/>
      <c r="C3" s="405"/>
      <c r="D3" s="405"/>
      <c r="E3" s="405"/>
      <c r="F3" s="405"/>
    </row>
    <row r="4" spans="1:6" ht="15.75">
      <c r="A4" s="406">
        <v>43100</v>
      </c>
      <c r="B4" s="406"/>
      <c r="C4" s="406"/>
      <c r="D4" s="406"/>
      <c r="E4" s="406"/>
      <c r="F4" s="406"/>
    </row>
    <row r="6" spans="1:6" ht="15">
      <c r="A6" s="407" t="s">
        <v>406</v>
      </c>
      <c r="B6" s="407"/>
      <c r="C6" s="407"/>
      <c r="D6" s="407"/>
      <c r="E6" s="407"/>
      <c r="F6" s="407"/>
    </row>
    <row r="7" spans="1:6">
      <c r="A7" s="208" t="s">
        <v>4</v>
      </c>
      <c r="B7" s="209"/>
      <c r="C7" s="190" t="s">
        <v>405</v>
      </c>
      <c r="D7" s="190" t="s">
        <v>4</v>
      </c>
      <c r="E7" s="209"/>
      <c r="F7" s="190" t="s">
        <v>405</v>
      </c>
    </row>
    <row r="8" spans="1:6">
      <c r="A8" s="169" t="s">
        <v>6</v>
      </c>
      <c r="B8" s="164" t="s">
        <v>404</v>
      </c>
      <c r="C8" s="164" t="s">
        <v>401</v>
      </c>
      <c r="D8" s="164" t="s">
        <v>403</v>
      </c>
      <c r="E8" s="164" t="s">
        <v>402</v>
      </c>
      <c r="F8" s="164" t="s">
        <v>401</v>
      </c>
    </row>
    <row r="9" spans="1:6" ht="15">
      <c r="A9" s="159"/>
      <c r="B9" s="207" t="s">
        <v>400</v>
      </c>
      <c r="C9" s="206"/>
      <c r="D9" s="208"/>
      <c r="E9" s="207" t="s">
        <v>399</v>
      </c>
      <c r="F9" s="206"/>
    </row>
    <row r="10" spans="1:6" ht="15">
      <c r="A10" s="159">
        <v>1</v>
      </c>
      <c r="B10" s="158" t="s">
        <v>398</v>
      </c>
      <c r="C10" s="187"/>
      <c r="D10" s="159"/>
      <c r="E10" s="158"/>
      <c r="F10" s="187"/>
    </row>
    <row r="11" spans="1:6">
      <c r="A11" s="169"/>
      <c r="B11" s="170" t="s">
        <v>397</v>
      </c>
      <c r="C11" s="205">
        <f>ROUND('412Plant'!G25,0)</f>
        <v>64670368</v>
      </c>
      <c r="D11" s="169">
        <v>29</v>
      </c>
      <c r="E11" s="174" t="s">
        <v>396</v>
      </c>
      <c r="F11" s="205">
        <v>0</v>
      </c>
    </row>
    <row r="12" spans="1:6" ht="15">
      <c r="A12" s="166">
        <v>2</v>
      </c>
      <c r="B12" s="182" t="s">
        <v>395</v>
      </c>
      <c r="C12" s="204">
        <f>'412Plant'!G27</f>
        <v>672161</v>
      </c>
      <c r="D12" s="166">
        <v>30</v>
      </c>
      <c r="E12" s="184" t="s">
        <v>394</v>
      </c>
      <c r="F12" s="203">
        <v>36491274</v>
      </c>
    </row>
    <row r="13" spans="1:6" ht="15">
      <c r="A13" s="159">
        <v>3</v>
      </c>
      <c r="B13" s="158" t="s">
        <v>354</v>
      </c>
      <c r="C13" s="187"/>
      <c r="D13" s="159"/>
      <c r="E13" s="158"/>
      <c r="F13" s="187"/>
    </row>
    <row r="14" spans="1:6" ht="15">
      <c r="A14" s="159"/>
      <c r="B14" s="171" t="s">
        <v>393</v>
      </c>
      <c r="C14" s="187"/>
      <c r="D14" s="159">
        <v>31</v>
      </c>
      <c r="E14" s="158" t="s">
        <v>392</v>
      </c>
      <c r="F14" s="187"/>
    </row>
    <row r="15" spans="1:6" ht="13.5" thickBot="1">
      <c r="A15" s="169"/>
      <c r="B15" s="170" t="s">
        <v>391</v>
      </c>
      <c r="C15" s="195">
        <f>ROUND(S1_Plant!L11,0)</f>
        <v>25640860</v>
      </c>
      <c r="D15" s="169"/>
      <c r="E15" s="170" t="s">
        <v>390</v>
      </c>
      <c r="F15" s="195">
        <v>0</v>
      </c>
    </row>
    <row r="16" spans="1:6" ht="13.5" thickBot="1">
      <c r="A16" s="166">
        <v>4</v>
      </c>
      <c r="B16" s="202" t="s">
        <v>389</v>
      </c>
      <c r="C16" s="188">
        <f>+C11+C12-C15</f>
        <v>39701669</v>
      </c>
      <c r="D16" s="201">
        <v>32</v>
      </c>
      <c r="E16" s="200" t="s">
        <v>388</v>
      </c>
      <c r="F16" s="188">
        <f>+F15+F11+F12</f>
        <v>36491274</v>
      </c>
    </row>
    <row r="17" spans="1:7" ht="15">
      <c r="A17" s="199">
        <v>5</v>
      </c>
      <c r="B17" s="176" t="s">
        <v>387</v>
      </c>
      <c r="C17" s="198">
        <v>0</v>
      </c>
      <c r="D17" s="159"/>
      <c r="E17" s="197" t="s">
        <v>386</v>
      </c>
      <c r="F17" s="187"/>
    </row>
    <row r="18" spans="1:7" ht="15">
      <c r="A18" s="172">
        <v>6</v>
      </c>
      <c r="B18" s="196" t="s">
        <v>354</v>
      </c>
      <c r="C18" s="187"/>
      <c r="D18" s="190"/>
      <c r="E18" s="158"/>
      <c r="F18" s="187"/>
    </row>
    <row r="19" spans="1:7" ht="15">
      <c r="A19" s="159"/>
      <c r="B19" s="171" t="s">
        <v>385</v>
      </c>
      <c r="C19" s="187"/>
      <c r="D19" s="159"/>
      <c r="E19" s="158"/>
      <c r="F19" s="187"/>
    </row>
    <row r="20" spans="1:7">
      <c r="A20" s="159"/>
      <c r="B20" s="171" t="s">
        <v>384</v>
      </c>
      <c r="C20" s="195">
        <v>0</v>
      </c>
      <c r="D20" s="169">
        <v>33</v>
      </c>
      <c r="E20" s="174" t="s">
        <v>383</v>
      </c>
      <c r="F20" s="194">
        <v>0</v>
      </c>
    </row>
    <row r="21" spans="1:7" ht="15.75" thickBot="1">
      <c r="A21" s="193">
        <v>7</v>
      </c>
      <c r="B21" s="192" t="s">
        <v>382</v>
      </c>
      <c r="C21" s="191"/>
      <c r="D21" s="190">
        <v>34</v>
      </c>
      <c r="E21" s="176" t="s">
        <v>381</v>
      </c>
      <c r="F21" s="187"/>
    </row>
    <row r="22" spans="1:7" ht="15.75" thickBot="1">
      <c r="A22" s="169"/>
      <c r="B22" s="189" t="s">
        <v>380</v>
      </c>
      <c r="C22" s="188">
        <f>+C16+C17-C20</f>
        <v>39701669</v>
      </c>
      <c r="D22" s="164"/>
      <c r="E22" s="170" t="s">
        <v>379</v>
      </c>
      <c r="F22" s="295">
        <f>11609422+720000</f>
        <v>12329422</v>
      </c>
      <c r="G22" s="288"/>
    </row>
    <row r="23" spans="1:7" ht="15">
      <c r="A23" s="159"/>
      <c r="B23" s="177" t="s">
        <v>378</v>
      </c>
      <c r="C23" s="187"/>
      <c r="D23" s="159">
        <v>35</v>
      </c>
      <c r="E23" s="176" t="s">
        <v>377</v>
      </c>
      <c r="F23" s="187"/>
    </row>
    <row r="24" spans="1:7">
      <c r="A24" s="169">
        <v>8</v>
      </c>
      <c r="B24" s="174" t="s">
        <v>376</v>
      </c>
      <c r="C24" s="173">
        <v>0</v>
      </c>
      <c r="D24" s="169"/>
      <c r="E24" s="186" t="s">
        <v>375</v>
      </c>
      <c r="F24" s="173">
        <v>0</v>
      </c>
    </row>
    <row r="25" spans="1:7" ht="15">
      <c r="A25" s="159">
        <v>9</v>
      </c>
      <c r="B25" s="158" t="s">
        <v>354</v>
      </c>
      <c r="C25" s="157"/>
      <c r="D25" s="159">
        <v>36</v>
      </c>
      <c r="E25" s="176" t="s">
        <v>374</v>
      </c>
      <c r="F25" s="157"/>
    </row>
    <row r="26" spans="1:7">
      <c r="A26" s="169"/>
      <c r="B26" s="170" t="s">
        <v>373</v>
      </c>
      <c r="C26" s="173">
        <v>0</v>
      </c>
      <c r="D26" s="169"/>
      <c r="E26" s="170" t="s">
        <v>372</v>
      </c>
      <c r="F26" s="173">
        <v>0</v>
      </c>
    </row>
    <row r="27" spans="1:7" ht="15.75" thickBot="1">
      <c r="A27" s="159">
        <v>10</v>
      </c>
      <c r="B27" s="158" t="s">
        <v>371</v>
      </c>
      <c r="C27" s="157"/>
      <c r="D27" s="159"/>
      <c r="E27" s="176"/>
      <c r="F27" s="157"/>
    </row>
    <row r="28" spans="1:7" ht="13.5" thickBot="1">
      <c r="A28" s="169"/>
      <c r="B28" s="170" t="s">
        <v>370</v>
      </c>
      <c r="C28" s="173">
        <v>0</v>
      </c>
      <c r="D28" s="169">
        <v>37</v>
      </c>
      <c r="E28" s="185" t="s">
        <v>369</v>
      </c>
      <c r="F28" s="162">
        <f>+F20+F22+F24-F26</f>
        <v>12329422</v>
      </c>
    </row>
    <row r="29" spans="1:7" ht="15.75" thickBot="1">
      <c r="A29" s="166">
        <v>11</v>
      </c>
      <c r="B29" s="182" t="s">
        <v>368</v>
      </c>
      <c r="C29" s="181">
        <v>0</v>
      </c>
      <c r="D29" s="169"/>
      <c r="E29" s="174"/>
      <c r="F29" s="178"/>
    </row>
    <row r="30" spans="1:7" ht="15.75" thickBot="1">
      <c r="A30" s="166">
        <v>12</v>
      </c>
      <c r="B30" s="165" t="s">
        <v>367</v>
      </c>
      <c r="C30" s="162">
        <f>+C24+C26+C28+C29</f>
        <v>0</v>
      </c>
      <c r="D30" s="164"/>
      <c r="E30" s="179" t="s">
        <v>366</v>
      </c>
      <c r="F30" s="178"/>
    </row>
    <row r="31" spans="1:7" ht="15">
      <c r="A31" s="159"/>
      <c r="B31" s="177" t="s">
        <v>365</v>
      </c>
      <c r="C31" s="157"/>
      <c r="D31" s="166">
        <v>38</v>
      </c>
      <c r="E31" s="184" t="s">
        <v>364</v>
      </c>
      <c r="F31" s="183">
        <v>0</v>
      </c>
    </row>
    <row r="32" spans="1:7" ht="15.75" thickBot="1">
      <c r="A32" s="159">
        <v>13</v>
      </c>
      <c r="B32" s="158" t="s">
        <v>363</v>
      </c>
      <c r="C32" s="157"/>
      <c r="D32" s="166">
        <v>39</v>
      </c>
      <c r="E32" s="184" t="s">
        <v>362</v>
      </c>
      <c r="F32" s="181">
        <v>0</v>
      </c>
    </row>
    <row r="33" spans="1:6" ht="13.5" thickBot="1">
      <c r="A33" s="169"/>
      <c r="B33" s="170" t="s">
        <v>361</v>
      </c>
      <c r="C33" s="173">
        <f>12806032+997660</f>
        <v>13803692</v>
      </c>
      <c r="D33" s="169">
        <v>40</v>
      </c>
      <c r="E33" s="163" t="s">
        <v>360</v>
      </c>
      <c r="F33" s="162">
        <f>SUM(F31:F32)</f>
        <v>0</v>
      </c>
    </row>
    <row r="34" spans="1:6" ht="15">
      <c r="A34" s="159">
        <v>14</v>
      </c>
      <c r="B34" s="158" t="s">
        <v>359</v>
      </c>
      <c r="C34" s="157"/>
      <c r="D34" s="159"/>
      <c r="E34" s="158"/>
      <c r="F34" s="157"/>
    </row>
    <row r="35" spans="1:6" ht="15">
      <c r="A35" s="169"/>
      <c r="B35" s="170" t="s">
        <v>358</v>
      </c>
      <c r="C35" s="173">
        <f>6668+2982+68732+10875</f>
        <v>89257</v>
      </c>
      <c r="D35" s="169"/>
      <c r="E35" s="179" t="s">
        <v>357</v>
      </c>
      <c r="F35" s="178"/>
    </row>
    <row r="36" spans="1:6">
      <c r="A36" s="166">
        <v>15</v>
      </c>
      <c r="B36" s="182" t="s">
        <v>356</v>
      </c>
      <c r="C36" s="183">
        <v>3259576</v>
      </c>
      <c r="D36" s="169">
        <v>41</v>
      </c>
      <c r="E36" s="174" t="s">
        <v>355</v>
      </c>
      <c r="F36" s="173">
        <f>198252+820608</f>
        <v>1018860</v>
      </c>
    </row>
    <row r="37" spans="1:6" ht="15">
      <c r="A37" s="159">
        <v>16</v>
      </c>
      <c r="B37" s="158" t="s">
        <v>354</v>
      </c>
      <c r="C37" s="157"/>
      <c r="D37" s="159"/>
      <c r="E37" s="158"/>
      <c r="F37" s="157"/>
    </row>
    <row r="38" spans="1:6">
      <c r="A38" s="169"/>
      <c r="B38" s="170" t="s">
        <v>353</v>
      </c>
      <c r="C38" s="173">
        <v>0</v>
      </c>
      <c r="D38" s="169">
        <v>42</v>
      </c>
      <c r="E38" s="174" t="s">
        <v>352</v>
      </c>
      <c r="F38" s="173">
        <v>3098700</v>
      </c>
    </row>
    <row r="39" spans="1:6" ht="15">
      <c r="A39" s="159">
        <v>17</v>
      </c>
      <c r="B39" s="158" t="s">
        <v>351</v>
      </c>
      <c r="C39" s="157" t="s">
        <v>2</v>
      </c>
      <c r="D39" s="159">
        <v>43</v>
      </c>
      <c r="E39" s="176" t="s">
        <v>350</v>
      </c>
      <c r="F39" s="157"/>
    </row>
    <row r="40" spans="1:6">
      <c r="A40" s="169"/>
      <c r="B40" s="170" t="s">
        <v>349</v>
      </c>
      <c r="C40" s="173">
        <v>0</v>
      </c>
      <c r="D40" s="169"/>
      <c r="E40" s="170" t="s">
        <v>348</v>
      </c>
      <c r="F40" s="173">
        <v>0</v>
      </c>
    </row>
    <row r="41" spans="1:6">
      <c r="A41" s="166">
        <v>18</v>
      </c>
      <c r="B41" s="182" t="s">
        <v>347</v>
      </c>
      <c r="C41" s="183">
        <v>949694</v>
      </c>
      <c r="D41" s="169">
        <v>44</v>
      </c>
      <c r="E41" s="174" t="s">
        <v>346</v>
      </c>
      <c r="F41" s="173">
        <v>869401</v>
      </c>
    </row>
    <row r="42" spans="1:6">
      <c r="A42" s="166">
        <v>19</v>
      </c>
      <c r="B42" s="182" t="s">
        <v>345</v>
      </c>
      <c r="C42" s="183">
        <v>0</v>
      </c>
      <c r="D42" s="169">
        <v>45</v>
      </c>
      <c r="E42" s="174" t="s">
        <v>344</v>
      </c>
      <c r="F42" s="173">
        <v>0</v>
      </c>
    </row>
    <row r="43" spans="1:6">
      <c r="A43" s="166">
        <v>20</v>
      </c>
      <c r="B43" s="182" t="s">
        <v>343</v>
      </c>
      <c r="C43" s="183">
        <v>192083</v>
      </c>
      <c r="D43" s="169">
        <v>46</v>
      </c>
      <c r="E43" s="174" t="s">
        <v>342</v>
      </c>
      <c r="F43" s="173">
        <v>137744</v>
      </c>
    </row>
    <row r="44" spans="1:6" ht="13.5" thickBot="1">
      <c r="A44" s="180">
        <v>21</v>
      </c>
      <c r="B44" s="182" t="s">
        <v>341</v>
      </c>
      <c r="C44" s="183">
        <v>0</v>
      </c>
      <c r="D44" s="169">
        <v>47</v>
      </c>
      <c r="E44" s="174" t="s">
        <v>340</v>
      </c>
      <c r="F44" s="167">
        <f>101571+790458+163029+150335+77143+142346</f>
        <v>1424882</v>
      </c>
    </row>
    <row r="45" spans="1:6" ht="13.5" thickBot="1">
      <c r="A45" s="180">
        <v>22</v>
      </c>
      <c r="B45" s="182" t="s">
        <v>339</v>
      </c>
      <c r="C45" s="181">
        <v>0</v>
      </c>
      <c r="D45" s="169">
        <v>48</v>
      </c>
      <c r="E45" s="163" t="s">
        <v>338</v>
      </c>
      <c r="F45" s="162">
        <f>+F44+F43+F42+F41+F40+F38+F36</f>
        <v>6549587</v>
      </c>
    </row>
    <row r="46" spans="1:6" ht="15.75" thickBot="1">
      <c r="A46" s="180">
        <v>23</v>
      </c>
      <c r="B46" s="165" t="s">
        <v>337</v>
      </c>
      <c r="C46" s="162">
        <f>+C33+C35+C36-C38+C40+C42+C43+C44+C45+C41</f>
        <v>18294302</v>
      </c>
      <c r="D46" s="164"/>
      <c r="E46" s="179" t="s">
        <v>336</v>
      </c>
      <c r="F46" s="178"/>
    </row>
    <row r="47" spans="1:6" ht="15">
      <c r="A47" s="158"/>
      <c r="B47" s="177" t="s">
        <v>335</v>
      </c>
      <c r="C47" s="157"/>
      <c r="D47" s="172">
        <v>49</v>
      </c>
      <c r="E47" s="176" t="s">
        <v>334</v>
      </c>
      <c r="F47" s="157"/>
    </row>
    <row r="48" spans="1:6">
      <c r="A48" s="175">
        <v>24</v>
      </c>
      <c r="B48" s="174" t="s">
        <v>333</v>
      </c>
      <c r="C48" s="173">
        <v>0</v>
      </c>
      <c r="D48" s="169"/>
      <c r="E48" s="168" t="s">
        <v>332</v>
      </c>
      <c r="F48" s="173">
        <v>0</v>
      </c>
    </row>
    <row r="49" spans="1:7" ht="15">
      <c r="A49" s="172">
        <v>25</v>
      </c>
      <c r="B49" s="158" t="s">
        <v>331</v>
      </c>
      <c r="C49" s="157"/>
      <c r="D49" s="172">
        <v>50</v>
      </c>
      <c r="E49" s="158" t="s">
        <v>330</v>
      </c>
      <c r="F49" s="157"/>
    </row>
    <row r="50" spans="1:7">
      <c r="A50" s="174"/>
      <c r="B50" s="170" t="s">
        <v>329</v>
      </c>
      <c r="C50" s="173">
        <v>0</v>
      </c>
      <c r="D50" s="169"/>
      <c r="E50" s="170" t="s">
        <v>328</v>
      </c>
      <c r="F50" s="173">
        <f>2890601+651486</f>
        <v>3542087</v>
      </c>
    </row>
    <row r="51" spans="1:7" ht="15">
      <c r="A51" s="172">
        <v>26</v>
      </c>
      <c r="B51" s="158" t="s">
        <v>327</v>
      </c>
      <c r="C51" s="157"/>
      <c r="D51" s="159"/>
      <c r="E51" s="158"/>
      <c r="F51" s="157"/>
    </row>
    <row r="52" spans="1:7" ht="15">
      <c r="A52" s="159"/>
      <c r="B52" s="171" t="s">
        <v>326</v>
      </c>
      <c r="C52" s="157">
        <v>0</v>
      </c>
      <c r="D52" s="159">
        <v>51</v>
      </c>
      <c r="E52" s="158" t="s">
        <v>325</v>
      </c>
      <c r="F52" s="157"/>
    </row>
    <row r="53" spans="1:7" ht="15.75" thickBot="1">
      <c r="A53" s="169"/>
      <c r="B53" s="170" t="s">
        <v>324</v>
      </c>
      <c r="C53" s="157">
        <v>916399</v>
      </c>
      <c r="D53" s="169"/>
      <c r="E53" s="168" t="s">
        <v>323</v>
      </c>
      <c r="F53" s="167">
        <v>0</v>
      </c>
    </row>
    <row r="54" spans="1:7" ht="13.5" thickBot="1">
      <c r="A54" s="166">
        <v>27</v>
      </c>
      <c r="B54" s="165" t="s">
        <v>322</v>
      </c>
      <c r="C54" s="162">
        <f>C48+C50+C53</f>
        <v>916399</v>
      </c>
      <c r="D54" s="164">
        <v>52</v>
      </c>
      <c r="E54" s="163" t="s">
        <v>321</v>
      </c>
      <c r="F54" s="162">
        <f>+F53+F50+F48</f>
        <v>3542087</v>
      </c>
    </row>
    <row r="55" spans="1:7" ht="15.75" thickBot="1">
      <c r="A55" s="159"/>
      <c r="B55" s="161"/>
      <c r="C55" s="160"/>
      <c r="D55" s="159"/>
      <c r="E55" s="158"/>
      <c r="F55" s="157"/>
    </row>
    <row r="56" spans="1:7" ht="13.5" thickBot="1">
      <c r="A56" s="156">
        <v>28</v>
      </c>
      <c r="B56" s="154" t="s">
        <v>320</v>
      </c>
      <c r="C56" s="153">
        <f>+C54+C46+C21+C22+C30</f>
        <v>58912370</v>
      </c>
      <c r="D56" s="155">
        <v>53</v>
      </c>
      <c r="E56" s="154" t="s">
        <v>319</v>
      </c>
      <c r="F56" s="153">
        <f>+F54+F45+F28+F16+F33</f>
        <v>58912370</v>
      </c>
      <c r="G56" s="382" t="s">
        <v>637</v>
      </c>
    </row>
    <row r="57" spans="1:7" ht="15">
      <c r="A57" s="149"/>
      <c r="B57" s="149"/>
      <c r="C57" s="152"/>
      <c r="D57" s="149"/>
      <c r="E57" s="149"/>
      <c r="F57" s="151">
        <f>+C56-F56</f>
        <v>0</v>
      </c>
    </row>
    <row r="58" spans="1:7" ht="15">
      <c r="A58" s="149"/>
      <c r="B58" s="149"/>
      <c r="C58" s="152"/>
      <c r="D58" s="149"/>
      <c r="E58" s="149"/>
      <c r="F58" s="151"/>
    </row>
    <row r="59" spans="1:7" ht="15">
      <c r="A59" s="149"/>
      <c r="B59" s="149"/>
      <c r="C59" s="150"/>
      <c r="D59" s="149"/>
      <c r="E59" s="149"/>
      <c r="F59" s="151"/>
    </row>
    <row r="60" spans="1:7" ht="15">
      <c r="A60" s="149"/>
      <c r="B60" s="149"/>
      <c r="C60" s="150"/>
      <c r="D60" s="149"/>
      <c r="E60" s="149"/>
      <c r="F60" s="151"/>
    </row>
    <row r="61" spans="1:7" ht="15">
      <c r="A61" s="149"/>
      <c r="B61" s="149"/>
      <c r="C61" s="150"/>
      <c r="D61" s="149"/>
      <c r="E61" s="149"/>
      <c r="F61" s="151"/>
    </row>
    <row r="62" spans="1:7" ht="15">
      <c r="A62" s="149"/>
      <c r="B62" s="149"/>
      <c r="C62" s="150"/>
      <c r="D62" s="149"/>
      <c r="E62" s="149"/>
      <c r="F62" s="151"/>
    </row>
    <row r="63" spans="1:7" ht="15">
      <c r="A63" s="149"/>
      <c r="B63" s="149"/>
      <c r="C63" s="150"/>
      <c r="D63" s="149"/>
      <c r="E63" s="149"/>
      <c r="F63" s="151"/>
    </row>
    <row r="64" spans="1:7">
      <c r="A64" s="149"/>
      <c r="B64" s="149"/>
      <c r="C64" s="150"/>
      <c r="D64" s="149"/>
      <c r="E64" s="149"/>
      <c r="F64" s="149"/>
    </row>
    <row r="65" spans="1:6">
      <c r="A65" s="149"/>
      <c r="B65" s="149"/>
      <c r="C65" s="150"/>
      <c r="D65" s="149"/>
      <c r="E65" s="149"/>
      <c r="F65" s="149"/>
    </row>
    <row r="66" spans="1:6">
      <c r="A66" s="149"/>
      <c r="B66" s="149"/>
      <c r="C66" s="150"/>
      <c r="D66" s="149"/>
      <c r="E66" s="149"/>
      <c r="F66" s="149"/>
    </row>
    <row r="67" spans="1:6">
      <c r="A67" s="149"/>
      <c r="B67" s="149"/>
      <c r="C67" s="150"/>
      <c r="D67" s="149"/>
      <c r="E67" s="149"/>
      <c r="F67" s="149"/>
    </row>
    <row r="68" spans="1:6">
      <c r="A68" s="149"/>
      <c r="B68" s="149"/>
      <c r="C68" s="150"/>
      <c r="D68" s="149"/>
      <c r="E68" s="149"/>
      <c r="F68" s="149"/>
    </row>
    <row r="69" spans="1:6">
      <c r="A69" s="149"/>
      <c r="B69" s="149"/>
      <c r="C69" s="149"/>
      <c r="D69" s="149"/>
      <c r="E69" s="149"/>
      <c r="F69" s="149"/>
    </row>
    <row r="70" spans="1:6">
      <c r="A70" s="149"/>
      <c r="B70" s="149"/>
      <c r="C70" s="149"/>
      <c r="D70" s="149"/>
      <c r="E70" s="149"/>
      <c r="F70" s="149"/>
    </row>
    <row r="71" spans="1:6">
      <c r="A71" s="149"/>
      <c r="B71" s="149"/>
      <c r="C71" s="149"/>
      <c r="D71" s="149"/>
      <c r="E71" s="149"/>
      <c r="F71" s="149"/>
    </row>
    <row r="72" spans="1:6">
      <c r="A72" s="149"/>
      <c r="B72" s="149"/>
      <c r="C72" s="149"/>
      <c r="D72" s="149"/>
      <c r="E72" s="149"/>
      <c r="F72" s="149"/>
    </row>
    <row r="73" spans="1:6">
      <c r="A73" s="149"/>
      <c r="B73" s="149"/>
      <c r="C73" s="149"/>
      <c r="D73" s="149"/>
      <c r="E73" s="149"/>
      <c r="F73" s="149"/>
    </row>
    <row r="74" spans="1:6">
      <c r="A74" s="149"/>
      <c r="B74" s="149"/>
      <c r="C74" s="149"/>
      <c r="D74" s="149"/>
      <c r="E74" s="149"/>
      <c r="F74" s="149"/>
    </row>
    <row r="75" spans="1:6">
      <c r="A75" s="149"/>
      <c r="B75" s="149"/>
      <c r="C75" s="149"/>
      <c r="D75" s="149"/>
      <c r="E75" s="149"/>
      <c r="F75" s="149"/>
    </row>
    <row r="76" spans="1:6">
      <c r="A76" s="149"/>
      <c r="B76" s="149"/>
      <c r="C76" s="149"/>
      <c r="D76" s="149"/>
      <c r="E76" s="149"/>
      <c r="F76" s="149"/>
    </row>
  </sheetData>
  <mergeCells count="5">
    <mergeCell ref="A1:F1"/>
    <mergeCell ref="A2:F2"/>
    <mergeCell ref="A4:F4"/>
    <mergeCell ref="A6:F6"/>
    <mergeCell ref="A3:F3"/>
  </mergeCells>
  <pageMargins left="0.47" right="0.45" top="1" bottom="0.5" header="0.5" footer="0.5"/>
  <pageSetup scale="60" orientation="portrait"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3"/>
  <sheetViews>
    <sheetView showGridLines="0" zoomScaleNormal="100" workbookViewId="0">
      <selection activeCell="C10" sqref="C10"/>
    </sheetView>
  </sheetViews>
  <sheetFormatPr defaultRowHeight="12.75"/>
  <cols>
    <col min="1" max="1" width="5.21875" style="148" customWidth="1"/>
    <col min="2" max="2" width="60" style="148" customWidth="1"/>
    <col min="3" max="3" width="13" style="148" customWidth="1"/>
    <col min="4" max="16384" width="8.88671875" style="148"/>
  </cols>
  <sheetData>
    <row r="1" spans="1:6" ht="15.75">
      <c r="A1" s="404" t="str">
        <f>+'412BS'!A1:F1</f>
        <v>Elk River, MN</v>
      </c>
      <c r="B1" s="404"/>
      <c r="C1" s="404"/>
      <c r="D1" s="232"/>
      <c r="E1" s="232"/>
      <c r="F1" s="232"/>
    </row>
    <row r="2" spans="1:6" ht="15">
      <c r="A2" s="405" t="s">
        <v>408</v>
      </c>
      <c r="B2" s="405"/>
      <c r="C2" s="405"/>
      <c r="D2" s="232"/>
      <c r="E2" s="232"/>
      <c r="F2" s="232"/>
    </row>
    <row r="3" spans="1:6" ht="15">
      <c r="A3" s="405" t="s">
        <v>433</v>
      </c>
      <c r="B3" s="405"/>
      <c r="C3" s="405"/>
      <c r="D3" s="232"/>
      <c r="E3" s="232"/>
      <c r="F3" s="232"/>
    </row>
    <row r="4" spans="1:6" ht="15.75">
      <c r="A4" s="406">
        <f>+'412BS'!A4:F4</f>
        <v>43100</v>
      </c>
      <c r="B4" s="406"/>
      <c r="C4" s="406"/>
      <c r="D4" s="231"/>
      <c r="E4" s="231"/>
      <c r="F4" s="231"/>
    </row>
    <row r="5" spans="1:6">
      <c r="A5" s="230"/>
      <c r="B5" s="230"/>
      <c r="C5" s="230"/>
      <c r="D5" s="230"/>
      <c r="E5" s="230"/>
      <c r="F5" s="230"/>
    </row>
    <row r="6" spans="1:6" ht="15">
      <c r="A6" s="407" t="s">
        <v>432</v>
      </c>
      <c r="B6" s="407"/>
      <c r="C6" s="407"/>
      <c r="D6" s="229"/>
      <c r="E6" s="229"/>
      <c r="F6" s="229"/>
    </row>
    <row r="7" spans="1:6">
      <c r="A7" s="228" t="s">
        <v>4</v>
      </c>
      <c r="B7" s="227"/>
      <c r="C7" s="226" t="s">
        <v>7</v>
      </c>
    </row>
    <row r="8" spans="1:6">
      <c r="A8" s="174" t="s">
        <v>6</v>
      </c>
      <c r="B8" s="216"/>
      <c r="C8" s="164" t="s">
        <v>401</v>
      </c>
    </row>
    <row r="9" spans="1:6">
      <c r="A9" s="169">
        <v>1</v>
      </c>
      <c r="B9" s="216" t="s">
        <v>431</v>
      </c>
      <c r="C9" s="225">
        <v>35373472</v>
      </c>
    </row>
    <row r="10" spans="1:6">
      <c r="A10" s="169">
        <v>2</v>
      </c>
      <c r="B10" s="216" t="s">
        <v>430</v>
      </c>
      <c r="C10" s="222">
        <f>'412OM'!D31+'412OM'!C19</f>
        <v>31280403.149999999</v>
      </c>
    </row>
    <row r="11" spans="1:6">
      <c r="A11" s="169">
        <v>3</v>
      </c>
      <c r="B11" s="216" t="s">
        <v>429</v>
      </c>
      <c r="C11" s="222">
        <f>'412OM'!E31</f>
        <v>881473.71400000004</v>
      </c>
    </row>
    <row r="12" spans="1:6">
      <c r="A12" s="166">
        <v>4</v>
      </c>
      <c r="B12" s="224" t="s">
        <v>428</v>
      </c>
      <c r="C12" s="223">
        <f>S1_Plant!I11</f>
        <v>2046935</v>
      </c>
    </row>
    <row r="13" spans="1:6">
      <c r="A13" s="169">
        <v>5</v>
      </c>
      <c r="B13" s="216" t="s">
        <v>427</v>
      </c>
      <c r="C13" s="222">
        <v>0</v>
      </c>
    </row>
    <row r="14" spans="1:6" ht="13.5" thickBot="1">
      <c r="A14" s="159">
        <v>6</v>
      </c>
      <c r="B14" s="209" t="s">
        <v>426</v>
      </c>
      <c r="C14" s="221">
        <f>PILOT+PayrollTaxes</f>
        <v>1113264</v>
      </c>
    </row>
    <row r="15" spans="1:6" ht="13.5" thickBot="1">
      <c r="A15" s="213">
        <v>7</v>
      </c>
      <c r="B15" s="218" t="s">
        <v>425</v>
      </c>
      <c r="C15" s="217">
        <f>SUM(C10:C14)</f>
        <v>35322075.864</v>
      </c>
    </row>
    <row r="16" spans="1:6" ht="13.5" thickBot="1">
      <c r="A16" s="213">
        <v>8</v>
      </c>
      <c r="B16" s="212" t="s">
        <v>424</v>
      </c>
      <c r="C16" s="217">
        <f>+C9-C15</f>
        <v>51396.13599999994</v>
      </c>
    </row>
    <row r="17" spans="1:5" ht="13.5" thickBot="1">
      <c r="A17" s="159">
        <v>9</v>
      </c>
      <c r="B17" s="209" t="s">
        <v>423</v>
      </c>
      <c r="C17" s="214">
        <v>0</v>
      </c>
    </row>
    <row r="18" spans="1:5" ht="13.5" thickBot="1">
      <c r="A18" s="220">
        <v>10</v>
      </c>
      <c r="B18" s="219" t="s">
        <v>422</v>
      </c>
      <c r="C18" s="217">
        <f>+C17+C16</f>
        <v>51396.13599999994</v>
      </c>
    </row>
    <row r="19" spans="1:5">
      <c r="A19" s="169">
        <v>11</v>
      </c>
      <c r="B19" s="216" t="s">
        <v>421</v>
      </c>
      <c r="C19" s="215">
        <f>1084589+234365+242739+79543+344558+15152+40000+169051</f>
        <v>2209997</v>
      </c>
    </row>
    <row r="20" spans="1:5">
      <c r="A20" s="169">
        <v>12</v>
      </c>
      <c r="B20" s="216" t="s">
        <v>420</v>
      </c>
      <c r="C20" s="215">
        <v>0</v>
      </c>
    </row>
    <row r="21" spans="1:5">
      <c r="A21" s="169">
        <v>13</v>
      </c>
      <c r="B21" s="216" t="s">
        <v>419</v>
      </c>
      <c r="C21" s="215"/>
    </row>
    <row r="22" spans="1:5" ht="13.5" thickBot="1">
      <c r="A22" s="159">
        <v>14</v>
      </c>
      <c r="B22" s="209" t="s">
        <v>418</v>
      </c>
      <c r="C22" s="214"/>
    </row>
    <row r="23" spans="1:5" ht="13.5" thickBot="1">
      <c r="A23" s="213">
        <v>15</v>
      </c>
      <c r="B23" s="218" t="s">
        <v>417</v>
      </c>
      <c r="C23" s="217">
        <f>+C18+C19-C20-C21-C22</f>
        <v>2261393.1359999999</v>
      </c>
    </row>
    <row r="24" spans="1:5">
      <c r="A24" s="169">
        <v>16</v>
      </c>
      <c r="B24" s="216" t="s">
        <v>416</v>
      </c>
      <c r="C24" s="215">
        <v>294219</v>
      </c>
    </row>
    <row r="25" spans="1:5">
      <c r="A25" s="169">
        <v>17</v>
      </c>
      <c r="B25" s="216" t="s">
        <v>415</v>
      </c>
      <c r="C25" s="215">
        <v>0</v>
      </c>
    </row>
    <row r="26" spans="1:5" ht="13.5" thickBot="1">
      <c r="A26" s="159">
        <v>18</v>
      </c>
      <c r="B26" s="209" t="s">
        <v>414</v>
      </c>
      <c r="C26" s="214">
        <v>0</v>
      </c>
    </row>
    <row r="27" spans="1:5" ht="13.5" thickBot="1">
      <c r="A27" s="213">
        <v>19</v>
      </c>
      <c r="B27" s="218" t="s">
        <v>413</v>
      </c>
      <c r="C27" s="217">
        <f>SUM(C24:C26)</f>
        <v>294219</v>
      </c>
    </row>
    <row r="28" spans="1:5" ht="13.5" thickBot="1">
      <c r="A28" s="213">
        <v>20</v>
      </c>
      <c r="B28" s="218" t="s">
        <v>412</v>
      </c>
      <c r="C28" s="217">
        <f>+C23-C27</f>
        <v>1967174.1359999999</v>
      </c>
    </row>
    <row r="29" spans="1:5">
      <c r="A29" s="169">
        <v>21</v>
      </c>
      <c r="B29" s="216" t="s">
        <v>411</v>
      </c>
      <c r="C29" s="215">
        <v>0</v>
      </c>
    </row>
    <row r="30" spans="1:5" ht="13.5" thickBot="1">
      <c r="A30" s="159">
        <v>22</v>
      </c>
      <c r="B30" s="209" t="s">
        <v>410</v>
      </c>
      <c r="C30" s="214">
        <v>0</v>
      </c>
    </row>
    <row r="31" spans="1:5" ht="13.5" thickBot="1">
      <c r="A31" s="213">
        <v>23</v>
      </c>
      <c r="B31" s="212" t="s">
        <v>409</v>
      </c>
      <c r="C31" s="211">
        <f>SUM(C28:C30)</f>
        <v>1967174.1359999999</v>
      </c>
      <c r="D31" s="382" t="s">
        <v>636</v>
      </c>
      <c r="E31" s="294"/>
    </row>
    <row r="32" spans="1:5">
      <c r="A32" s="149"/>
      <c r="B32" s="149"/>
      <c r="C32" s="150"/>
    </row>
    <row r="33" spans="1:4">
      <c r="A33" s="390" t="s">
        <v>493</v>
      </c>
      <c r="B33" s="149"/>
      <c r="C33" s="150"/>
      <c r="D33" s="149"/>
    </row>
    <row r="34" spans="1:4" ht="15">
      <c r="A34" s="389" t="s">
        <v>640</v>
      </c>
      <c r="B34" s="289"/>
      <c r="C34" s="150"/>
      <c r="D34" s="149"/>
    </row>
    <row r="35" spans="1:4" ht="15">
      <c r="A35" s="389" t="s">
        <v>642</v>
      </c>
      <c r="B35" s="289"/>
      <c r="C35" s="150"/>
      <c r="D35" s="149"/>
    </row>
    <row r="36" spans="1:4">
      <c r="A36" s="149"/>
      <c r="B36" s="149"/>
      <c r="C36" s="150"/>
      <c r="D36" s="149"/>
    </row>
    <row r="37" spans="1:4">
      <c r="A37" s="149" t="s">
        <v>641</v>
      </c>
      <c r="B37" s="149"/>
      <c r="C37" s="150"/>
      <c r="D37" s="149"/>
    </row>
    <row r="38" spans="1:4">
      <c r="A38" s="149"/>
      <c r="B38" s="149"/>
      <c r="C38" s="150"/>
      <c r="D38" s="149"/>
    </row>
    <row r="39" spans="1:4">
      <c r="A39" s="149" t="s">
        <v>643</v>
      </c>
      <c r="B39" s="149"/>
      <c r="C39" s="150"/>
      <c r="D39" s="149"/>
    </row>
    <row r="40" spans="1:4">
      <c r="A40" s="149"/>
      <c r="B40" s="149"/>
      <c r="C40" s="150"/>
      <c r="D40" s="149"/>
    </row>
    <row r="41" spans="1:4">
      <c r="A41" s="149"/>
      <c r="B41" s="149"/>
      <c r="C41" s="150"/>
      <c r="D41" s="149"/>
    </row>
    <row r="42" spans="1:4">
      <c r="A42" s="149"/>
      <c r="B42" s="149"/>
      <c r="C42" s="150"/>
      <c r="D42" s="149"/>
    </row>
    <row r="43" spans="1:4">
      <c r="A43" s="149"/>
      <c r="B43" s="149"/>
      <c r="C43" s="150"/>
      <c r="D43" s="149"/>
    </row>
    <row r="44" spans="1:4">
      <c r="C44" s="150"/>
    </row>
    <row r="45" spans="1:4">
      <c r="C45" s="150"/>
    </row>
    <row r="46" spans="1:4">
      <c r="C46" s="150"/>
    </row>
    <row r="47" spans="1:4">
      <c r="C47" s="150"/>
    </row>
    <row r="48" spans="1:4">
      <c r="C48" s="210"/>
    </row>
    <row r="49" spans="3:3">
      <c r="C49" s="210"/>
    </row>
    <row r="50" spans="3:3">
      <c r="C50" s="210"/>
    </row>
    <row r="51" spans="3:3">
      <c r="C51" s="210"/>
    </row>
    <row r="52" spans="3:3">
      <c r="C52" s="210"/>
    </row>
    <row r="53" spans="3:3">
      <c r="C53" s="210"/>
    </row>
  </sheetData>
  <mergeCells count="5">
    <mergeCell ref="A1:C1"/>
    <mergeCell ref="A2:C2"/>
    <mergeCell ref="A4:C4"/>
    <mergeCell ref="A6:C6"/>
    <mergeCell ref="A3:C3"/>
  </mergeCells>
  <pageMargins left="0.75" right="0.75" top="1" bottom="1" header="0.5" footer="0.5"/>
  <pageSetup scale="65"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3"/>
  <sheetViews>
    <sheetView showGridLines="0" zoomScaleNormal="100" workbookViewId="0">
      <selection activeCell="G20" sqref="G20"/>
    </sheetView>
  </sheetViews>
  <sheetFormatPr defaultRowHeight="12.75"/>
  <cols>
    <col min="1" max="1" width="5.21875" style="148" customWidth="1"/>
    <col min="2" max="2" width="22.77734375" style="148" customWidth="1"/>
    <col min="3" max="7" width="12.21875" style="148" customWidth="1"/>
    <col min="8" max="16384" width="8.88671875" style="148"/>
  </cols>
  <sheetData>
    <row r="1" spans="1:7" ht="20.25" customHeight="1">
      <c r="A1" s="404" t="str">
        <f>+'412BS'!A1:F1</f>
        <v>Elk River, MN</v>
      </c>
      <c r="B1" s="404"/>
      <c r="C1" s="404"/>
      <c r="D1" s="404"/>
      <c r="E1" s="404"/>
      <c r="F1" s="404"/>
      <c r="G1" s="404"/>
    </row>
    <row r="2" spans="1:7" ht="15">
      <c r="A2" s="405" t="s">
        <v>408</v>
      </c>
      <c r="B2" s="405"/>
      <c r="C2" s="405"/>
      <c r="D2" s="405"/>
      <c r="E2" s="405"/>
      <c r="F2" s="405"/>
      <c r="G2" s="405"/>
    </row>
    <row r="3" spans="1:7" ht="15">
      <c r="A3" s="405" t="s">
        <v>456</v>
      </c>
      <c r="B3" s="405"/>
      <c r="C3" s="405"/>
      <c r="D3" s="405"/>
      <c r="E3" s="405"/>
      <c r="F3" s="405"/>
      <c r="G3" s="405"/>
    </row>
    <row r="4" spans="1:7" ht="15.75">
      <c r="A4" s="406">
        <f>+'412BS'!A4:F4</f>
        <v>43100</v>
      </c>
      <c r="B4" s="406"/>
      <c r="C4" s="406"/>
      <c r="D4" s="406"/>
      <c r="E4" s="406"/>
      <c r="F4" s="406"/>
      <c r="G4" s="406"/>
    </row>
    <row r="5" spans="1:7">
      <c r="A5" s="230"/>
      <c r="B5" s="230"/>
      <c r="C5" s="230"/>
    </row>
    <row r="6" spans="1:7" ht="15">
      <c r="A6" s="407" t="s">
        <v>400</v>
      </c>
      <c r="B6" s="407"/>
      <c r="C6" s="407"/>
      <c r="D6" s="407"/>
      <c r="E6" s="407"/>
      <c r="F6" s="407"/>
      <c r="G6" s="407"/>
    </row>
    <row r="7" spans="1:7">
      <c r="A7" s="208" t="s">
        <v>4</v>
      </c>
      <c r="B7" s="226"/>
      <c r="C7" s="226" t="s">
        <v>455</v>
      </c>
      <c r="D7" s="226"/>
      <c r="E7" s="226"/>
      <c r="F7" s="226"/>
      <c r="G7" s="226" t="s">
        <v>454</v>
      </c>
    </row>
    <row r="8" spans="1:7">
      <c r="A8" s="169" t="s">
        <v>6</v>
      </c>
      <c r="B8" s="164"/>
      <c r="C8" s="164" t="s">
        <v>450</v>
      </c>
      <c r="D8" s="164" t="s">
        <v>453</v>
      </c>
      <c r="E8" s="164" t="s">
        <v>452</v>
      </c>
      <c r="F8" s="164" t="s">
        <v>451</v>
      </c>
      <c r="G8" s="164" t="s">
        <v>450</v>
      </c>
    </row>
    <row r="9" spans="1:7" ht="20.100000000000001" customHeight="1">
      <c r="A9" s="166">
        <v>1</v>
      </c>
      <c r="B9" s="182" t="s">
        <v>449</v>
      </c>
      <c r="C9" s="244">
        <v>0</v>
      </c>
      <c r="D9" s="244">
        <v>0</v>
      </c>
      <c r="E9" s="244">
        <v>0</v>
      </c>
      <c r="F9" s="244">
        <v>0</v>
      </c>
      <c r="G9" s="242">
        <f>+C9+D9+E9-F9</f>
        <v>0</v>
      </c>
    </row>
    <row r="10" spans="1:7" ht="12.75" customHeight="1">
      <c r="A10" s="166"/>
      <c r="B10" s="182"/>
      <c r="C10" s="243"/>
      <c r="D10" s="243"/>
      <c r="E10" s="243"/>
      <c r="F10" s="243"/>
      <c r="G10" s="242"/>
    </row>
    <row r="11" spans="1:7" ht="20.100000000000001" customHeight="1">
      <c r="A11" s="166">
        <v>2</v>
      </c>
      <c r="B11" s="182" t="s">
        <v>448</v>
      </c>
      <c r="C11" s="240">
        <v>0</v>
      </c>
      <c r="D11" s="240">
        <v>0</v>
      </c>
      <c r="E11" s="240">
        <v>0</v>
      </c>
      <c r="F11" s="240"/>
      <c r="G11" s="239">
        <f>+C11+D11-E11-F11</f>
        <v>0</v>
      </c>
    </row>
    <row r="12" spans="1:7" ht="20.100000000000001" customHeight="1">
      <c r="A12" s="166">
        <v>3</v>
      </c>
      <c r="B12" s="182" t="s">
        <v>447</v>
      </c>
      <c r="C12" s="240">
        <v>0</v>
      </c>
      <c r="D12" s="240">
        <v>0</v>
      </c>
      <c r="E12" s="240">
        <v>0</v>
      </c>
      <c r="F12" s="240">
        <v>0</v>
      </c>
      <c r="G12" s="239">
        <f>+C12+D12-E12-F12</f>
        <v>0</v>
      </c>
    </row>
    <row r="13" spans="1:7" ht="20.100000000000001" customHeight="1">
      <c r="A13" s="166">
        <v>4</v>
      </c>
      <c r="B13" s="182" t="s">
        <v>446</v>
      </c>
      <c r="C13" s="240">
        <v>0</v>
      </c>
      <c r="D13" s="240">
        <v>0</v>
      </c>
      <c r="E13" s="240">
        <v>0</v>
      </c>
      <c r="F13" s="240">
        <v>0</v>
      </c>
      <c r="G13" s="239">
        <f>+C13+D13-E13-F13</f>
        <v>0</v>
      </c>
    </row>
    <row r="14" spans="1:7" ht="20.100000000000001" customHeight="1" thickBot="1">
      <c r="A14" s="166">
        <v>5</v>
      </c>
      <c r="B14" s="182" t="s">
        <v>445</v>
      </c>
      <c r="C14" s="236">
        <f>S1_Plant!C7</f>
        <v>3829519</v>
      </c>
      <c r="D14" s="236">
        <f>S1_Plant!D7</f>
        <v>0</v>
      </c>
      <c r="E14" s="236">
        <f>S1_Plant!E7</f>
        <v>0</v>
      </c>
      <c r="F14" s="236"/>
      <c r="G14" s="239">
        <f>+C14+D14-E14-F14</f>
        <v>3829519</v>
      </c>
    </row>
    <row r="15" spans="1:7" ht="20.100000000000001" customHeight="1" thickBot="1">
      <c r="A15" s="166">
        <v>6</v>
      </c>
      <c r="B15" s="165" t="s">
        <v>444</v>
      </c>
      <c r="C15" s="234">
        <f>SUM(C11:C14)</f>
        <v>3829519</v>
      </c>
      <c r="D15" s="233">
        <f>SUM(D11:D14)</f>
        <v>0</v>
      </c>
      <c r="E15" s="233">
        <f>SUM(E11:E14)</f>
        <v>0</v>
      </c>
      <c r="F15" s="233">
        <f>SUM(F11:F14)</f>
        <v>0</v>
      </c>
      <c r="G15" s="211">
        <f>+C15+D15-E15-F15</f>
        <v>3829519</v>
      </c>
    </row>
    <row r="16" spans="1:7" ht="12" customHeight="1">
      <c r="A16" s="166"/>
      <c r="B16" s="238"/>
      <c r="C16" s="241"/>
      <c r="D16" s="241"/>
      <c r="E16" s="241"/>
      <c r="F16" s="241"/>
      <c r="G16" s="241"/>
    </row>
    <row r="17" spans="1:8" ht="20.100000000000001" customHeight="1">
      <c r="A17" s="166">
        <v>7</v>
      </c>
      <c r="B17" s="182" t="s">
        <v>443</v>
      </c>
      <c r="C17" s="240">
        <f>S1_Plant!C8</f>
        <v>1842806</v>
      </c>
      <c r="D17" s="240">
        <f>S1_Plant!D8</f>
        <v>459061</v>
      </c>
      <c r="E17" s="240">
        <f>S1_Plant!E8</f>
        <v>0</v>
      </c>
      <c r="F17" s="240">
        <v>0</v>
      </c>
      <c r="G17" s="239">
        <f>+C17+D17-E17-F17</f>
        <v>2301867</v>
      </c>
    </row>
    <row r="18" spans="1:8" ht="20.100000000000001" customHeight="1">
      <c r="A18" s="166">
        <v>8</v>
      </c>
      <c r="B18" s="182" t="s">
        <v>442</v>
      </c>
      <c r="C18" s="240">
        <f>S1_Plant!C9</f>
        <v>39483395</v>
      </c>
      <c r="D18" s="240">
        <f>S1_Plant!D9</f>
        <v>1872308</v>
      </c>
      <c r="E18" s="240">
        <f>S1_Plant!E9</f>
        <v>0</v>
      </c>
      <c r="F18" s="240">
        <v>0</v>
      </c>
      <c r="G18" s="239">
        <f>+C18+D18-E18-F18</f>
        <v>41355703</v>
      </c>
    </row>
    <row r="19" spans="1:8" ht="20.100000000000001" customHeight="1" thickBot="1">
      <c r="A19" s="166">
        <v>9</v>
      </c>
      <c r="B19" s="182" t="s">
        <v>441</v>
      </c>
      <c r="C19" s="236">
        <f>S1_Plant!C10</f>
        <v>16403548</v>
      </c>
      <c r="D19" s="236">
        <f>S1_Plant!D10</f>
        <v>997496</v>
      </c>
      <c r="E19" s="236">
        <f>S1_Plant!E10</f>
        <v>217765</v>
      </c>
      <c r="F19" s="236">
        <v>0</v>
      </c>
      <c r="G19" s="239">
        <f>+C19+D19-E19-F19</f>
        <v>17183279</v>
      </c>
    </row>
    <row r="20" spans="1:8" ht="20.100000000000001" customHeight="1" thickBot="1">
      <c r="A20" s="166">
        <v>10</v>
      </c>
      <c r="B20" s="165" t="s">
        <v>440</v>
      </c>
      <c r="C20" s="234">
        <f>SUM(C15:C19)+C9</f>
        <v>61559268</v>
      </c>
      <c r="D20" s="234">
        <f>SUM(D15:D19)+D9</f>
        <v>3328865</v>
      </c>
      <c r="E20" s="234">
        <f>SUM(E15:E19)+E9</f>
        <v>217765</v>
      </c>
      <c r="F20" s="234">
        <f>SUM(F15:F19)+F9</f>
        <v>0</v>
      </c>
      <c r="G20" s="234">
        <f>SUM(G15:G19)+G9</f>
        <v>64670368</v>
      </c>
    </row>
    <row r="21" spans="1:8" ht="11.25" customHeight="1">
      <c r="A21" s="166"/>
      <c r="B21" s="238"/>
      <c r="C21" s="241"/>
      <c r="D21" s="241"/>
      <c r="E21" s="241"/>
      <c r="F21" s="241"/>
      <c r="G21" s="241"/>
    </row>
    <row r="22" spans="1:8" ht="20.100000000000001" customHeight="1">
      <c r="A22" s="166">
        <v>11</v>
      </c>
      <c r="B22" s="182" t="s">
        <v>439</v>
      </c>
      <c r="C22" s="240">
        <v>0</v>
      </c>
      <c r="D22" s="240">
        <v>0</v>
      </c>
      <c r="E22" s="240">
        <v>0</v>
      </c>
      <c r="F22" s="240">
        <v>0</v>
      </c>
      <c r="G22" s="239">
        <f>+C22+D22-E22-F22</f>
        <v>0</v>
      </c>
    </row>
    <row r="23" spans="1:8" ht="20.100000000000001" customHeight="1">
      <c r="A23" s="166">
        <v>12</v>
      </c>
      <c r="B23" s="182" t="s">
        <v>438</v>
      </c>
      <c r="C23" s="240">
        <v>0</v>
      </c>
      <c r="D23" s="240">
        <v>0</v>
      </c>
      <c r="E23" s="240">
        <v>0</v>
      </c>
      <c r="F23" s="240">
        <v>0</v>
      </c>
      <c r="G23" s="239">
        <f>+C23+D23-E23-F23</f>
        <v>0</v>
      </c>
    </row>
    <row r="24" spans="1:8" ht="20.100000000000001" customHeight="1" thickBot="1">
      <c r="A24" s="166">
        <v>13</v>
      </c>
      <c r="B24" s="182" t="s">
        <v>437</v>
      </c>
      <c r="C24" s="236">
        <v>0</v>
      </c>
      <c r="D24" s="236">
        <v>0</v>
      </c>
      <c r="E24" s="236">
        <v>0</v>
      </c>
      <c r="F24" s="236">
        <v>0</v>
      </c>
      <c r="G24" s="239">
        <f>+C24+D24-E24-F24</f>
        <v>0</v>
      </c>
    </row>
    <row r="25" spans="1:8" ht="20.100000000000001" customHeight="1" thickBot="1">
      <c r="A25" s="166">
        <v>14</v>
      </c>
      <c r="B25" s="165" t="s">
        <v>398</v>
      </c>
      <c r="C25" s="234">
        <f>SUM(C20:C24)</f>
        <v>61559268</v>
      </c>
      <c r="D25" s="233">
        <f>SUM(D20:D24)</f>
        <v>3328865</v>
      </c>
      <c r="E25" s="233">
        <f>SUM(E20:E24)</f>
        <v>217765</v>
      </c>
      <c r="F25" s="233">
        <f>SUM(F20:F24)</f>
        <v>0</v>
      </c>
      <c r="G25" s="211">
        <f>+C25+D25-E25-F25</f>
        <v>64670368</v>
      </c>
    </row>
    <row r="26" spans="1:8" ht="11.25" customHeight="1">
      <c r="A26" s="166"/>
      <c r="B26" s="238"/>
      <c r="C26" s="237"/>
      <c r="D26" s="237"/>
      <c r="E26" s="237"/>
      <c r="F26" s="237"/>
      <c r="G26" s="237"/>
    </row>
    <row r="27" spans="1:8" ht="20.100000000000001" customHeight="1" thickBot="1">
      <c r="A27" s="166">
        <v>15</v>
      </c>
      <c r="B27" s="182" t="s">
        <v>436</v>
      </c>
      <c r="C27" s="236">
        <f>S1_Plant!C12</f>
        <v>36785</v>
      </c>
      <c r="D27" s="236">
        <f>S1_Plant!D12</f>
        <v>672161</v>
      </c>
      <c r="E27" s="236">
        <f>S1_Plant!E12</f>
        <v>36785</v>
      </c>
      <c r="F27" s="236">
        <v>0</v>
      </c>
      <c r="G27" s="235">
        <f>+C27+D27-E27-F27</f>
        <v>672161</v>
      </c>
    </row>
    <row r="28" spans="1:8" ht="20.100000000000001" customHeight="1" thickBot="1">
      <c r="A28" s="166">
        <v>16</v>
      </c>
      <c r="B28" s="165" t="s">
        <v>435</v>
      </c>
      <c r="C28" s="234">
        <f>SUM(C25:C27)</f>
        <v>61596053</v>
      </c>
      <c r="D28" s="233">
        <f>SUM(D25:D27)</f>
        <v>4001026</v>
      </c>
      <c r="E28" s="233">
        <f>SUM(E25:E27)</f>
        <v>254550</v>
      </c>
      <c r="F28" s="233">
        <f>SUM(F25:F27)</f>
        <v>0</v>
      </c>
      <c r="G28" s="211">
        <f>+C28+D28-E28-F28</f>
        <v>65342529</v>
      </c>
      <c r="H28" s="382" t="s">
        <v>635</v>
      </c>
    </row>
    <row r="29" spans="1:8" ht="20.100000000000001" customHeight="1">
      <c r="B29" s="148" t="s">
        <v>434</v>
      </c>
      <c r="G29" s="210" t="s">
        <v>2</v>
      </c>
    </row>
    <row r="31" spans="1:8">
      <c r="G31" s="210">
        <f>+'412BS'!C11+'412BS'!C12-'412Plant'!G28</f>
        <v>0</v>
      </c>
    </row>
    <row r="32" spans="1:8">
      <c r="G32" s="210" t="s">
        <v>2</v>
      </c>
    </row>
    <row r="33" spans="14:14">
      <c r="N33" s="148" t="s">
        <v>612</v>
      </c>
    </row>
  </sheetData>
  <mergeCells count="5">
    <mergeCell ref="A1:G1"/>
    <mergeCell ref="A2:G2"/>
    <mergeCell ref="A4:G4"/>
    <mergeCell ref="A6:G6"/>
    <mergeCell ref="A3:G3"/>
  </mergeCells>
  <pageMargins left="0.5" right="0.5" top="0.75" bottom="0.5" header="0.5" footer="0.5"/>
  <pageSetup scale="66"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6"/>
  <sheetViews>
    <sheetView showGridLines="0" topLeftCell="A4" zoomScaleNormal="100" workbookViewId="0">
      <selection activeCell="E23" sqref="E23"/>
    </sheetView>
  </sheetViews>
  <sheetFormatPr defaultRowHeight="12.75"/>
  <cols>
    <col min="1" max="1" width="5.21875" style="148" customWidth="1"/>
    <col min="2" max="2" width="23" style="148" customWidth="1"/>
    <col min="3" max="3" width="12.6640625" style="148" customWidth="1"/>
    <col min="4" max="6" width="12.21875" style="148" customWidth="1"/>
    <col min="7" max="16384" width="8.88671875" style="148"/>
  </cols>
  <sheetData>
    <row r="1" spans="1:7" ht="15.75">
      <c r="A1" s="404" t="str">
        <f>+'412BS'!A1:F1</f>
        <v>Elk River, MN</v>
      </c>
      <c r="B1" s="404"/>
      <c r="C1" s="404"/>
      <c r="D1" s="404"/>
      <c r="E1" s="404"/>
      <c r="F1" s="404"/>
      <c r="G1" s="274"/>
    </row>
    <row r="2" spans="1:7" ht="15">
      <c r="A2" s="405" t="s">
        <v>408</v>
      </c>
      <c r="B2" s="405"/>
      <c r="C2" s="405"/>
      <c r="D2" s="405"/>
      <c r="E2" s="405"/>
      <c r="F2" s="405"/>
      <c r="G2" s="274"/>
    </row>
    <row r="3" spans="1:7" ht="15">
      <c r="A3" s="405" t="s">
        <v>492</v>
      </c>
      <c r="B3" s="405"/>
      <c r="C3" s="405"/>
      <c r="D3" s="405"/>
      <c r="E3" s="405"/>
      <c r="F3" s="405"/>
      <c r="G3" s="274"/>
    </row>
    <row r="4" spans="1:7" ht="15.75">
      <c r="A4" s="406">
        <f>+'412BS'!A4:F4</f>
        <v>43100</v>
      </c>
      <c r="B4" s="406"/>
      <c r="C4" s="406"/>
      <c r="D4" s="406"/>
      <c r="E4" s="406"/>
      <c r="F4" s="406"/>
      <c r="G4" s="273"/>
    </row>
    <row r="6" spans="1:7">
      <c r="A6" s="408" t="s">
        <v>491</v>
      </c>
      <c r="B6" s="408"/>
      <c r="C6" s="408"/>
      <c r="D6" s="408"/>
      <c r="E6" s="408"/>
      <c r="F6" s="408"/>
    </row>
    <row r="7" spans="1:7">
      <c r="A7" s="208" t="s">
        <v>4</v>
      </c>
      <c r="B7" s="190"/>
      <c r="C7" s="190" t="s">
        <v>490</v>
      </c>
      <c r="D7" s="190" t="s">
        <v>489</v>
      </c>
      <c r="E7" s="190" t="s">
        <v>488</v>
      </c>
      <c r="F7" s="190" t="s">
        <v>487</v>
      </c>
    </row>
    <row r="8" spans="1:7">
      <c r="A8" s="169" t="s">
        <v>403</v>
      </c>
      <c r="B8" s="164"/>
      <c r="C8" s="190" t="s">
        <v>486</v>
      </c>
      <c r="D8" s="164" t="s">
        <v>485</v>
      </c>
      <c r="E8" s="164" t="s">
        <v>484</v>
      </c>
      <c r="F8" s="164" t="s">
        <v>9</v>
      </c>
    </row>
    <row r="9" spans="1:7">
      <c r="A9" s="158">
        <v>1</v>
      </c>
      <c r="B9" s="149" t="s">
        <v>483</v>
      </c>
      <c r="C9" s="272"/>
      <c r="D9" s="252"/>
      <c r="E9" s="252"/>
      <c r="F9" s="252"/>
    </row>
    <row r="10" spans="1:7">
      <c r="A10" s="174"/>
      <c r="B10" s="269" t="s">
        <v>482</v>
      </c>
      <c r="C10" s="205">
        <v>0</v>
      </c>
      <c r="D10" s="271">
        <v>0</v>
      </c>
      <c r="E10" s="271">
        <v>0</v>
      </c>
      <c r="F10" s="270">
        <f>SUM(C10:E10)</f>
        <v>0</v>
      </c>
    </row>
    <row r="11" spans="1:7">
      <c r="A11" s="174">
        <v>2</v>
      </c>
      <c r="B11" s="269" t="s">
        <v>481</v>
      </c>
      <c r="C11" s="173">
        <v>0</v>
      </c>
      <c r="D11" s="215">
        <v>0</v>
      </c>
      <c r="E11" s="215">
        <v>0</v>
      </c>
      <c r="F11" s="266">
        <f>SUM(C11:E11)</f>
        <v>0</v>
      </c>
    </row>
    <row r="12" spans="1:7">
      <c r="A12" s="158">
        <v>3</v>
      </c>
      <c r="B12" s="149" t="s">
        <v>480</v>
      </c>
      <c r="C12" s="167"/>
      <c r="D12" s="214"/>
      <c r="E12" s="214"/>
      <c r="F12" s="263"/>
    </row>
    <row r="13" spans="1:7">
      <c r="A13" s="174"/>
      <c r="B13" s="251" t="s">
        <v>479</v>
      </c>
      <c r="C13" s="173">
        <v>0</v>
      </c>
      <c r="D13" s="215">
        <v>0</v>
      </c>
      <c r="E13" s="215">
        <v>0</v>
      </c>
      <c r="F13" s="266">
        <f>SUM(C13:E13)</f>
        <v>0</v>
      </c>
    </row>
    <row r="14" spans="1:7">
      <c r="A14" s="176">
        <v>4</v>
      </c>
      <c r="B14" s="268" t="s">
        <v>478</v>
      </c>
      <c r="C14" s="167"/>
      <c r="D14" s="214"/>
      <c r="E14" s="214"/>
      <c r="F14" s="263"/>
    </row>
    <row r="15" spans="1:7">
      <c r="A15" s="174"/>
      <c r="B15" s="267" t="s">
        <v>477</v>
      </c>
      <c r="C15" s="173">
        <v>0</v>
      </c>
      <c r="D15" s="215">
        <v>0</v>
      </c>
      <c r="E15" s="215">
        <v>0</v>
      </c>
      <c r="F15" s="266">
        <f>SUM(C15:E15)</f>
        <v>0</v>
      </c>
    </row>
    <row r="16" spans="1:7">
      <c r="A16" s="184">
        <v>5</v>
      </c>
      <c r="B16" s="265" t="s">
        <v>476</v>
      </c>
      <c r="C16" s="183">
        <v>26216917</v>
      </c>
      <c r="D16" s="256">
        <v>0</v>
      </c>
      <c r="E16" s="256">
        <v>0</v>
      </c>
      <c r="F16" s="264">
        <f>SUM(C16:E16)</f>
        <v>26216917</v>
      </c>
    </row>
    <row r="17" spans="1:11">
      <c r="A17" s="158">
        <v>6</v>
      </c>
      <c r="B17" s="149" t="s">
        <v>475</v>
      </c>
      <c r="C17" s="167"/>
      <c r="D17" s="214"/>
      <c r="E17" s="214"/>
      <c r="F17" s="263"/>
    </row>
    <row r="18" spans="1:11" ht="13.5" thickBot="1">
      <c r="A18" s="174"/>
      <c r="B18" s="251" t="s">
        <v>474</v>
      </c>
      <c r="C18" s="167">
        <v>0</v>
      </c>
      <c r="D18" s="214">
        <f>873651-E18-C15</f>
        <v>826176</v>
      </c>
      <c r="E18" s="214">
        <f>20750+22149-1107+5683</f>
        <v>47475</v>
      </c>
      <c r="F18" s="263">
        <f>SUM(C18:E18)</f>
        <v>873651</v>
      </c>
    </row>
    <row r="19" spans="1:11" ht="13.5" thickBot="1">
      <c r="A19" s="182">
        <v>7</v>
      </c>
      <c r="B19" s="262" t="s">
        <v>473</v>
      </c>
      <c r="C19" s="234">
        <f>SUM(C10:C18)</f>
        <v>26216917</v>
      </c>
      <c r="D19" s="250">
        <f>SUM(D10:D18)</f>
        <v>826176</v>
      </c>
      <c r="E19" s="250">
        <f>SUM(E10:E18)</f>
        <v>47475</v>
      </c>
      <c r="F19" s="249">
        <f>SUM(C19:E19)</f>
        <v>27090568</v>
      </c>
    </row>
    <row r="20" spans="1:11">
      <c r="A20" s="158">
        <v>8</v>
      </c>
      <c r="B20" s="209" t="s">
        <v>472</v>
      </c>
      <c r="C20" s="253"/>
      <c r="D20" s="253"/>
      <c r="E20" s="253"/>
      <c r="F20" s="252"/>
    </row>
    <row r="21" spans="1:11" ht="15">
      <c r="A21" s="174"/>
      <c r="B21" s="259" t="s">
        <v>471</v>
      </c>
      <c r="C21" s="258" t="s">
        <v>462</v>
      </c>
      <c r="D21" s="258" t="s">
        <v>462</v>
      </c>
      <c r="E21" s="215">
        <f>TransmissionOM</f>
        <v>46217.714</v>
      </c>
      <c r="F21" s="255">
        <f>SUM(D21:E21)</f>
        <v>46217.714</v>
      </c>
      <c r="G21" s="148" t="s">
        <v>2</v>
      </c>
    </row>
    <row r="22" spans="1:11" ht="15">
      <c r="A22" s="158">
        <v>9</v>
      </c>
      <c r="B22" s="209" t="s">
        <v>470</v>
      </c>
      <c r="C22" s="261"/>
      <c r="D22" s="214"/>
      <c r="E22" s="214"/>
      <c r="F22" s="260"/>
    </row>
    <row r="23" spans="1:11" ht="15">
      <c r="A23" s="174"/>
      <c r="B23" s="259" t="s">
        <v>469</v>
      </c>
      <c r="C23" s="258" t="s">
        <v>462</v>
      </c>
      <c r="D23" s="393">
        <f>1511612-829745</f>
        <v>681867</v>
      </c>
      <c r="E23" s="393">
        <f>829745-27075-14889</f>
        <v>787781</v>
      </c>
      <c r="F23" s="255">
        <f>+D23+E23</f>
        <v>1469648</v>
      </c>
    </row>
    <row r="24" spans="1:11" ht="15">
      <c r="A24" s="158">
        <v>10</v>
      </c>
      <c r="B24" s="209" t="s">
        <v>468</v>
      </c>
      <c r="C24" s="261"/>
      <c r="D24" s="214"/>
      <c r="E24" s="214"/>
      <c r="F24" s="260"/>
    </row>
    <row r="25" spans="1:11" ht="15">
      <c r="A25" s="174"/>
      <c r="B25" s="259" t="s">
        <v>467</v>
      </c>
      <c r="C25" s="258" t="s">
        <v>462</v>
      </c>
      <c r="D25" s="215">
        <f>202421+266991</f>
        <v>469412</v>
      </c>
      <c r="E25" s="215">
        <v>0</v>
      </c>
      <c r="F25" s="255">
        <f>+D25+E25</f>
        <v>469412</v>
      </c>
    </row>
    <row r="26" spans="1:11" ht="15">
      <c r="A26" s="158">
        <v>11</v>
      </c>
      <c r="B26" s="209" t="s">
        <v>466</v>
      </c>
      <c r="C26" s="261"/>
      <c r="D26" s="214"/>
      <c r="E26" s="214"/>
      <c r="F26" s="260"/>
    </row>
    <row r="27" spans="1:11" ht="15">
      <c r="A27" s="174"/>
      <c r="B27" s="259" t="s">
        <v>465</v>
      </c>
      <c r="C27" s="258" t="s">
        <v>462</v>
      </c>
      <c r="D27" s="215">
        <v>0</v>
      </c>
      <c r="E27" s="215">
        <v>0</v>
      </c>
      <c r="F27" s="255">
        <f>+D27+E27</f>
        <v>0</v>
      </c>
    </row>
    <row r="28" spans="1:11" ht="15">
      <c r="A28" s="182">
        <v>12</v>
      </c>
      <c r="B28" s="224" t="s">
        <v>464</v>
      </c>
      <c r="C28" s="257" t="s">
        <v>462</v>
      </c>
      <c r="D28" s="391">
        <f>-SalesExpenses</f>
        <v>111532</v>
      </c>
      <c r="E28" s="256">
        <v>0</v>
      </c>
      <c r="F28" s="255">
        <f>+D28+E28</f>
        <v>111532</v>
      </c>
      <c r="K28" s="288"/>
    </row>
    <row r="29" spans="1:11" ht="15">
      <c r="A29" s="182">
        <v>13</v>
      </c>
      <c r="B29" s="224" t="s">
        <v>463</v>
      </c>
      <c r="C29" s="257" t="s">
        <v>462</v>
      </c>
      <c r="D29" s="391">
        <f>AdminGeneralTotal</f>
        <v>2974499.15</v>
      </c>
      <c r="E29" s="256">
        <v>0</v>
      </c>
      <c r="F29" s="255">
        <f>+D29+E29</f>
        <v>2974499.15</v>
      </c>
      <c r="J29" s="292"/>
      <c r="K29" s="288"/>
    </row>
    <row r="30" spans="1:11" ht="13.5" thickBot="1">
      <c r="A30" s="158">
        <v>14</v>
      </c>
      <c r="B30" s="209" t="s">
        <v>461</v>
      </c>
      <c r="C30" s="254"/>
      <c r="D30" s="253"/>
      <c r="E30" s="253"/>
      <c r="F30" s="252"/>
      <c r="J30" s="292"/>
      <c r="K30" s="288"/>
    </row>
    <row r="31" spans="1:11" ht="13.5" thickBot="1">
      <c r="A31" s="174"/>
      <c r="B31" s="251" t="s">
        <v>460</v>
      </c>
      <c r="C31" s="234" t="s">
        <v>459</v>
      </c>
      <c r="D31" s="250">
        <f>SUM(D19:D29)</f>
        <v>5063486.1500000004</v>
      </c>
      <c r="E31" s="250">
        <f>SUM(E19:E29)</f>
        <v>881473.71400000004</v>
      </c>
      <c r="F31" s="249">
        <f>SUM(F19:F30)</f>
        <v>32161876.864</v>
      </c>
      <c r="J31" s="292"/>
      <c r="K31" s="288"/>
    </row>
    <row r="32" spans="1:11">
      <c r="C32" s="210"/>
      <c r="D32" s="210"/>
      <c r="E32" s="210"/>
      <c r="F32" s="210"/>
      <c r="J32" s="292"/>
      <c r="K32" s="288"/>
    </row>
    <row r="33" spans="2:11">
      <c r="B33" s="409" t="s">
        <v>458</v>
      </c>
      <c r="C33" s="410"/>
      <c r="D33" s="248">
        <v>28</v>
      </c>
      <c r="E33" s="210"/>
      <c r="F33" s="210"/>
      <c r="K33" s="288"/>
    </row>
    <row r="34" spans="2:11">
      <c r="B34" s="247" t="s">
        <v>457</v>
      </c>
      <c r="C34" s="246"/>
      <c r="D34" s="245">
        <v>0</v>
      </c>
      <c r="E34" s="210"/>
      <c r="F34" s="210"/>
      <c r="J34" s="293"/>
    </row>
    <row r="35" spans="2:11">
      <c r="C35" s="210"/>
      <c r="D35" s="210"/>
      <c r="E35" s="210"/>
      <c r="F35" s="210"/>
    </row>
    <row r="36" spans="2:11">
      <c r="J36" s="294"/>
    </row>
  </sheetData>
  <mergeCells count="6">
    <mergeCell ref="A6:F6"/>
    <mergeCell ref="B33:C33"/>
    <mergeCell ref="A1:F1"/>
    <mergeCell ref="A2:F2"/>
    <mergeCell ref="A4:F4"/>
    <mergeCell ref="A3:F3"/>
  </mergeCells>
  <pageMargins left="0.75" right="0.75" top="1" bottom="1" header="0.5" footer="0.5"/>
  <pageSetup scale="86" orientation="portrait" horizontalDpi="4294967293"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7"/>
  <sheetViews>
    <sheetView showGridLines="0" zoomScaleNormal="100" workbookViewId="0">
      <selection activeCell="A21" sqref="A21"/>
    </sheetView>
  </sheetViews>
  <sheetFormatPr defaultRowHeight="12.75"/>
  <cols>
    <col min="1" max="16384" width="8.88671875" style="148"/>
  </cols>
  <sheetData>
    <row r="1" spans="1:10" ht="15.75">
      <c r="A1" s="404" t="str">
        <f>EntityName</f>
        <v>Elk River, MN</v>
      </c>
      <c r="B1" s="404"/>
      <c r="C1" s="404"/>
      <c r="D1" s="404"/>
      <c r="E1" s="404"/>
      <c r="F1" s="404"/>
    </row>
    <row r="2" spans="1:10" ht="15">
      <c r="A2" s="405" t="s">
        <v>408</v>
      </c>
      <c r="B2" s="405"/>
      <c r="C2" s="405"/>
      <c r="D2" s="405"/>
      <c r="E2" s="405"/>
      <c r="F2" s="405"/>
    </row>
    <row r="3" spans="1:10" ht="15">
      <c r="A3" s="405" t="s">
        <v>496</v>
      </c>
      <c r="B3" s="405"/>
      <c r="C3" s="405"/>
      <c r="D3" s="405"/>
      <c r="E3" s="405"/>
      <c r="F3" s="405"/>
    </row>
    <row r="4" spans="1:10" ht="15.75">
      <c r="A4" s="406">
        <v>43100</v>
      </c>
      <c r="B4" s="406"/>
      <c r="C4" s="406"/>
      <c r="D4" s="406"/>
      <c r="E4" s="406"/>
      <c r="F4" s="406"/>
    </row>
    <row r="5" spans="1:10" ht="15.75">
      <c r="A5" s="276"/>
      <c r="B5" s="276"/>
      <c r="C5" s="276"/>
      <c r="D5" s="276"/>
      <c r="E5" s="276"/>
      <c r="F5" s="276"/>
    </row>
    <row r="6" spans="1:10" ht="18" customHeight="1">
      <c r="A6" s="318" t="s">
        <v>581</v>
      </c>
      <c r="C6" s="370"/>
      <c r="D6" s="370"/>
      <c r="E6" s="370"/>
      <c r="F6" s="370"/>
      <c r="G6" s="371" t="str">
        <f>EntityName</f>
        <v>Elk River, MN</v>
      </c>
      <c r="H6" s="372"/>
      <c r="I6" s="275"/>
    </row>
    <row r="7" spans="1:10" ht="18" customHeight="1">
      <c r="A7" s="315" t="s">
        <v>622</v>
      </c>
      <c r="B7" s="315"/>
      <c r="C7" s="315"/>
      <c r="D7" s="315"/>
      <c r="E7" s="315"/>
      <c r="F7" s="315"/>
      <c r="G7" s="315"/>
      <c r="H7" s="315"/>
      <c r="I7" s="315"/>
      <c r="J7" s="317"/>
    </row>
    <row r="8" spans="1:10" ht="18" customHeight="1">
      <c r="A8" s="315" t="s">
        <v>582</v>
      </c>
      <c r="B8" s="315"/>
      <c r="C8" s="315"/>
      <c r="D8" s="315"/>
      <c r="E8" s="315"/>
      <c r="F8" s="315"/>
      <c r="G8" s="315"/>
      <c r="H8" s="315"/>
      <c r="I8" s="315"/>
      <c r="J8" s="317"/>
    </row>
    <row r="9" spans="1:10" ht="18" customHeight="1">
      <c r="A9" s="315" t="s">
        <v>494</v>
      </c>
      <c r="B9" s="315"/>
      <c r="C9" s="315"/>
      <c r="D9" s="315"/>
      <c r="E9" s="315"/>
      <c r="F9" s="315"/>
      <c r="G9" s="315"/>
      <c r="H9" s="315"/>
      <c r="I9" s="315"/>
      <c r="J9" s="317"/>
    </row>
    <row r="10" spans="1:10" ht="18" customHeight="1">
      <c r="A10" s="315" t="s">
        <v>623</v>
      </c>
      <c r="B10" s="315"/>
      <c r="C10" s="315"/>
      <c r="D10" s="315"/>
      <c r="E10" s="315"/>
      <c r="F10" s="315"/>
      <c r="G10" s="315"/>
      <c r="H10" s="315"/>
      <c r="I10" s="315"/>
      <c r="J10" s="317"/>
    </row>
    <row r="11" spans="1:10" ht="18" customHeight="1">
      <c r="A11" s="315" t="s">
        <v>624</v>
      </c>
      <c r="B11" s="315"/>
      <c r="C11" s="315"/>
      <c r="D11" s="315"/>
      <c r="E11" s="315"/>
      <c r="F11" s="315"/>
      <c r="G11" s="315"/>
      <c r="H11" s="315"/>
      <c r="I11" s="315"/>
      <c r="J11" s="317"/>
    </row>
    <row r="12" spans="1:10" ht="18" customHeight="1">
      <c r="A12" s="315" t="s">
        <v>625</v>
      </c>
      <c r="B12" s="315"/>
      <c r="C12" s="315"/>
      <c r="D12" s="315"/>
      <c r="E12" s="315"/>
      <c r="F12" s="315"/>
      <c r="G12" s="315"/>
      <c r="H12" s="315"/>
      <c r="I12" s="315"/>
      <c r="J12" s="317"/>
    </row>
    <row r="13" spans="1:10" ht="18" customHeight="1">
      <c r="A13" s="315" t="s">
        <v>494</v>
      </c>
      <c r="B13" s="315"/>
      <c r="C13" s="315"/>
      <c r="D13" s="315"/>
      <c r="E13" s="315"/>
      <c r="F13" s="315"/>
      <c r="G13" s="315"/>
      <c r="H13" s="315"/>
      <c r="I13" s="315"/>
      <c r="J13" s="317"/>
    </row>
    <row r="14" spans="1:10" ht="18" customHeight="1">
      <c r="A14" s="315" t="s">
        <v>626</v>
      </c>
      <c r="B14" s="315"/>
      <c r="C14" s="315"/>
      <c r="D14" s="315"/>
      <c r="E14" s="315"/>
      <c r="F14" s="315"/>
      <c r="G14" s="315"/>
      <c r="H14" s="315"/>
      <c r="I14" s="315"/>
      <c r="J14" s="317"/>
    </row>
    <row r="15" spans="1:10" ht="18" customHeight="1">
      <c r="A15" s="315" t="s">
        <v>494</v>
      </c>
      <c r="B15" s="315"/>
      <c r="C15" s="315"/>
      <c r="D15" s="315"/>
      <c r="E15" s="315"/>
      <c r="F15" s="315"/>
      <c r="G15" s="315"/>
      <c r="H15" s="315"/>
      <c r="I15" s="315"/>
      <c r="J15" s="317"/>
    </row>
    <row r="16" spans="1:10" ht="18" customHeight="1">
      <c r="A16" s="315" t="s">
        <v>627</v>
      </c>
      <c r="B16" s="315"/>
      <c r="C16" s="315"/>
      <c r="D16" s="315"/>
      <c r="E16" s="315"/>
      <c r="F16" s="315"/>
      <c r="G16" s="315"/>
      <c r="H16" s="315"/>
      <c r="I16" s="315"/>
      <c r="J16" s="317"/>
    </row>
    <row r="17" spans="1:10" ht="18" customHeight="1">
      <c r="A17" s="315" t="s">
        <v>494</v>
      </c>
      <c r="B17" s="315"/>
      <c r="C17" s="315"/>
      <c r="D17" s="315"/>
      <c r="E17" s="315"/>
      <c r="F17" s="315"/>
      <c r="G17" s="315"/>
      <c r="H17" s="315"/>
      <c r="I17" s="315"/>
      <c r="J17" s="317"/>
    </row>
    <row r="18" spans="1:10" ht="18" customHeight="1">
      <c r="A18" s="315" t="s">
        <v>628</v>
      </c>
      <c r="B18" s="315"/>
      <c r="C18" s="315"/>
      <c r="D18" s="315"/>
      <c r="E18" s="315"/>
      <c r="F18" s="315"/>
      <c r="G18" s="315"/>
      <c r="H18" s="315"/>
      <c r="I18" s="315"/>
      <c r="J18" s="317"/>
    </row>
    <row r="19" spans="1:10" ht="18" customHeight="1">
      <c r="A19" s="315" t="s">
        <v>629</v>
      </c>
      <c r="B19" s="315"/>
      <c r="C19" s="315"/>
      <c r="D19" s="315"/>
      <c r="E19" s="315"/>
      <c r="F19" s="315"/>
      <c r="G19" s="315"/>
      <c r="H19" s="315"/>
      <c r="I19" s="315"/>
      <c r="J19" s="317"/>
    </row>
    <row r="20" spans="1:10" ht="18" customHeight="1">
      <c r="A20" s="315" t="s">
        <v>630</v>
      </c>
      <c r="B20" s="315"/>
      <c r="C20" s="315"/>
      <c r="D20" s="315"/>
      <c r="E20" s="315"/>
      <c r="F20" s="315"/>
      <c r="G20" s="315"/>
      <c r="H20" s="315"/>
      <c r="I20" s="315"/>
      <c r="J20" s="317"/>
    </row>
    <row r="21" spans="1:10" ht="18" customHeight="1">
      <c r="A21" s="315" t="s">
        <v>495</v>
      </c>
      <c r="B21" s="315"/>
      <c r="C21" s="315"/>
      <c r="D21" s="315"/>
      <c r="E21" s="315"/>
      <c r="F21" s="315"/>
      <c r="G21" s="315"/>
      <c r="H21" s="315"/>
      <c r="I21" s="315"/>
      <c r="J21" s="317"/>
    </row>
    <row r="22" spans="1:10" ht="18" customHeight="1">
      <c r="A22" s="317"/>
      <c r="B22" s="317"/>
      <c r="C22" s="317"/>
      <c r="D22" s="317"/>
      <c r="E22" s="317"/>
      <c r="F22" s="317"/>
      <c r="G22" s="317"/>
      <c r="H22" s="317"/>
      <c r="I22" s="317"/>
      <c r="J22" s="317"/>
    </row>
    <row r="23" spans="1:10" ht="15" customHeight="1">
      <c r="A23" s="316"/>
      <c r="B23" s="316"/>
      <c r="C23" s="316"/>
      <c r="D23" s="316"/>
      <c r="E23" s="316"/>
      <c r="F23" s="316"/>
      <c r="G23" s="316"/>
      <c r="H23" s="316"/>
      <c r="I23" s="316"/>
      <c r="J23" s="316"/>
    </row>
    <row r="24" spans="1:10" ht="15" customHeight="1">
      <c r="A24" s="316"/>
      <c r="B24" s="316"/>
      <c r="C24" s="316"/>
      <c r="D24" s="316"/>
      <c r="E24" s="316"/>
      <c r="F24" s="316"/>
      <c r="G24" s="316"/>
      <c r="H24" s="316"/>
      <c r="I24" s="316"/>
      <c r="J24" s="316"/>
    </row>
    <row r="25" spans="1:10" ht="15" customHeight="1">
      <c r="A25" s="316"/>
      <c r="B25" s="316"/>
      <c r="C25" s="316"/>
      <c r="D25" s="316"/>
      <c r="E25" s="316"/>
      <c r="F25" s="316"/>
      <c r="G25" s="316"/>
      <c r="H25" s="316"/>
      <c r="I25" s="316"/>
      <c r="J25" s="316"/>
    </row>
    <row r="26" spans="1:10">
      <c r="A26" s="316"/>
      <c r="B26" s="316"/>
      <c r="C26" s="316"/>
      <c r="D26" s="316"/>
      <c r="E26" s="316"/>
      <c r="F26" s="316"/>
      <c r="G26" s="316"/>
      <c r="H26" s="316"/>
      <c r="I26" s="316"/>
      <c r="J26" s="316"/>
    </row>
    <row r="27" spans="1:10">
      <c r="A27" s="316"/>
      <c r="B27" s="316"/>
      <c r="C27" s="316"/>
      <c r="D27" s="316"/>
      <c r="E27" s="316"/>
      <c r="F27" s="316"/>
      <c r="G27" s="316"/>
      <c r="H27" s="316"/>
      <c r="I27" s="316"/>
      <c r="J27" s="316"/>
    </row>
  </sheetData>
  <mergeCells count="4">
    <mergeCell ref="A1:F1"/>
    <mergeCell ref="A2:F2"/>
    <mergeCell ref="A3:F3"/>
    <mergeCell ref="A4:F4"/>
  </mergeCells>
  <pageMargins left="0.75" right="0.75" top="1" bottom="1" header="0.5" footer="0.5"/>
  <pageSetup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L24"/>
  <sheetViews>
    <sheetView showGridLines="0" zoomScaleNormal="100" workbookViewId="0">
      <selection activeCell="C21" sqref="C21"/>
    </sheetView>
  </sheetViews>
  <sheetFormatPr defaultRowHeight="15" customHeight="1"/>
  <cols>
    <col min="1" max="1" width="3.33203125" style="277" customWidth="1"/>
    <col min="2" max="2" width="17" style="277" customWidth="1"/>
    <col min="3" max="3" width="14.5546875" style="277" bestFit="1" customWidth="1"/>
    <col min="4" max="4" width="14.21875" style="277" bestFit="1" customWidth="1"/>
    <col min="5" max="5" width="11.21875" style="277" bestFit="1" customWidth="1"/>
    <col min="6" max="6" width="11" style="277" bestFit="1" customWidth="1"/>
    <col min="7" max="7" width="14.21875" style="277" bestFit="1" customWidth="1"/>
    <col min="8" max="8" width="34.77734375" style="277" bestFit="1" customWidth="1"/>
    <col min="9" max="9" width="13.21875" style="277" bestFit="1" customWidth="1"/>
    <col min="10" max="10" width="10.44140625" style="277" bestFit="1" customWidth="1"/>
    <col min="11" max="11" width="9.88671875" style="277" bestFit="1" customWidth="1"/>
    <col min="12" max="13" width="14.5546875" style="277" bestFit="1" customWidth="1"/>
    <col min="14" max="14" width="11.5546875" style="277" bestFit="1" customWidth="1"/>
    <col min="15" max="15" width="10" style="277" bestFit="1" customWidth="1"/>
    <col min="16" max="16" width="9.44140625" style="277" customWidth="1"/>
    <col min="17" max="17" width="8.33203125" style="277" bestFit="1" customWidth="1"/>
    <col min="18" max="18" width="13.44140625" style="277" customWidth="1"/>
    <col min="19" max="19" width="1.109375" style="277" customWidth="1"/>
    <col min="20" max="20" width="12.21875" style="277" customWidth="1"/>
    <col min="21" max="21" width="8.33203125" style="277" bestFit="1" customWidth="1"/>
    <col min="22" max="22" width="16.5546875" style="277" customWidth="1"/>
    <col min="23" max="23" width="8.88671875" style="277"/>
    <col min="24" max="24" width="10.44140625" style="277" customWidth="1"/>
    <col min="25" max="25" width="9.77734375" style="277" customWidth="1"/>
    <col min="26" max="26" width="9.33203125" style="277" bestFit="1" customWidth="1"/>
    <col min="27" max="27" width="9.6640625" style="277" customWidth="1"/>
    <col min="28" max="28" width="55.33203125" style="277" customWidth="1"/>
    <col min="29" max="29" width="8.88671875" style="277"/>
    <col min="30" max="30" width="13.77734375" style="277" customWidth="1"/>
    <col min="31" max="31" width="19.44140625" style="277" customWidth="1"/>
    <col min="32" max="32" width="12.6640625" style="277" customWidth="1"/>
    <col min="33" max="33" width="12.109375" style="277" customWidth="1"/>
    <col min="34" max="34" width="14.6640625" style="277" customWidth="1"/>
    <col min="35" max="35" width="10.109375" style="277" customWidth="1"/>
    <col min="36" max="36" width="10.5546875" style="277" customWidth="1"/>
    <col min="37" max="37" width="11.88671875" style="277" customWidth="1"/>
    <col min="38" max="38" width="15.5546875" style="283" customWidth="1"/>
    <col min="39" max="39" width="8.88671875" style="277"/>
    <col min="40" max="40" width="16.33203125" style="277" customWidth="1"/>
    <col min="41" max="41" width="11.109375" style="277" customWidth="1"/>
    <col min="42" max="42" width="10.21875" style="277" customWidth="1"/>
    <col min="43" max="44" width="8.77734375" style="277" customWidth="1"/>
    <col min="45" max="16384" width="8.88671875" style="277"/>
  </cols>
  <sheetData>
    <row r="1" spans="2:38" ht="20.100000000000001" customHeight="1">
      <c r="B1" s="299" t="str">
        <f>EntityName</f>
        <v>Elk River, MN</v>
      </c>
      <c r="C1" s="297"/>
      <c r="D1" s="297"/>
      <c r="E1" s="297"/>
      <c r="F1" s="297"/>
      <c r="G1" s="297"/>
      <c r="H1" s="297"/>
      <c r="I1" s="297"/>
      <c r="J1" s="297"/>
      <c r="K1" s="297"/>
      <c r="L1" s="297"/>
      <c r="M1" s="297"/>
      <c r="N1" s="297"/>
      <c r="O1" s="297"/>
      <c r="AL1" s="277"/>
    </row>
    <row r="2" spans="2:38" ht="20.100000000000001" customHeight="1">
      <c r="B2" s="300" t="s">
        <v>544</v>
      </c>
      <c r="C2" s="298"/>
      <c r="D2" s="298"/>
      <c r="E2" s="298"/>
      <c r="F2" s="298"/>
      <c r="G2" s="298"/>
      <c r="H2" s="298"/>
      <c r="I2" s="298"/>
      <c r="J2" s="298"/>
      <c r="K2" s="298"/>
      <c r="L2" s="298"/>
      <c r="M2" s="298"/>
      <c r="N2" s="298"/>
      <c r="O2" s="298"/>
      <c r="AL2" s="277"/>
    </row>
    <row r="3" spans="2:38" ht="20.100000000000001" customHeight="1">
      <c r="B3" s="301">
        <f>FilingDate</f>
        <v>43100</v>
      </c>
      <c r="C3" s="297"/>
      <c r="D3" s="297"/>
      <c r="E3" s="297"/>
      <c r="F3" s="297"/>
      <c r="G3" s="297"/>
      <c r="H3" s="297"/>
      <c r="I3" s="297"/>
      <c r="J3" s="297"/>
      <c r="K3" s="297"/>
      <c r="L3" s="297"/>
      <c r="M3" s="297"/>
      <c r="N3" s="297"/>
      <c r="O3" s="297"/>
      <c r="AL3" s="277"/>
    </row>
    <row r="4" spans="2:38" ht="15" customHeight="1">
      <c r="AL4" s="277"/>
    </row>
    <row r="5" spans="2:38" ht="18" customHeight="1">
      <c r="B5" s="323"/>
      <c r="C5" s="411" t="s">
        <v>548</v>
      </c>
      <c r="D5" s="412"/>
      <c r="E5" s="412"/>
      <c r="F5" s="412"/>
      <c r="G5" s="413"/>
      <c r="H5" s="414" t="s">
        <v>552</v>
      </c>
      <c r="I5" s="415"/>
      <c r="J5" s="415"/>
      <c r="K5" s="415"/>
      <c r="L5" s="416"/>
      <c r="M5" s="324"/>
      <c r="N5" s="323"/>
      <c r="O5" s="323"/>
      <c r="P5" s="323"/>
      <c r="AL5" s="277"/>
    </row>
    <row r="6" spans="2:38" ht="18" customHeight="1">
      <c r="B6" s="325" t="s">
        <v>557</v>
      </c>
      <c r="C6" s="320" t="s">
        <v>549</v>
      </c>
      <c r="D6" s="320" t="s">
        <v>453</v>
      </c>
      <c r="E6" s="320" t="s">
        <v>550</v>
      </c>
      <c r="F6" s="320" t="s">
        <v>451</v>
      </c>
      <c r="G6" s="320" t="s">
        <v>551</v>
      </c>
      <c r="H6" s="320" t="s">
        <v>549</v>
      </c>
      <c r="I6" s="320" t="s">
        <v>453</v>
      </c>
      <c r="J6" s="320" t="s">
        <v>550</v>
      </c>
      <c r="K6" s="320" t="s">
        <v>451</v>
      </c>
      <c r="L6" s="320" t="s">
        <v>551</v>
      </c>
      <c r="M6" s="320" t="s">
        <v>529</v>
      </c>
      <c r="N6" s="323"/>
      <c r="O6" s="323"/>
      <c r="P6" s="323"/>
      <c r="AL6" s="277"/>
    </row>
    <row r="7" spans="2:38" ht="18" customHeight="1">
      <c r="B7" s="326" t="s">
        <v>554</v>
      </c>
      <c r="C7" s="327">
        <v>3829519</v>
      </c>
      <c r="D7" s="327"/>
      <c r="E7" s="327"/>
      <c r="F7" s="327"/>
      <c r="G7" s="327">
        <f>C7+D7-E7</f>
        <v>3829519</v>
      </c>
      <c r="H7" s="327">
        <v>2582192</v>
      </c>
      <c r="I7" s="327">
        <v>268008</v>
      </c>
      <c r="J7" s="327"/>
      <c r="K7" s="327"/>
      <c r="L7" s="327">
        <f>H7+I7-J7</f>
        <v>2850200</v>
      </c>
      <c r="M7" s="327">
        <f>G7-L7</f>
        <v>979319</v>
      </c>
      <c r="N7" s="323"/>
      <c r="O7" s="323"/>
      <c r="P7" s="323"/>
      <c r="AL7" s="277"/>
    </row>
    <row r="8" spans="2:38" ht="18" customHeight="1">
      <c r="B8" s="326" t="s">
        <v>498</v>
      </c>
      <c r="C8" s="327">
        <v>1842806</v>
      </c>
      <c r="D8" s="327">
        <v>459061</v>
      </c>
      <c r="E8" s="327">
        <v>0</v>
      </c>
      <c r="F8" s="327"/>
      <c r="G8" s="327">
        <f>C8+D8-E8+F8</f>
        <v>2301867</v>
      </c>
      <c r="H8" s="327">
        <v>556744</v>
      </c>
      <c r="I8" s="327">
        <v>62072</v>
      </c>
      <c r="J8" s="327"/>
      <c r="K8" s="327"/>
      <c r="L8" s="327">
        <f>H8+I8-J8+K8</f>
        <v>618816</v>
      </c>
      <c r="M8" s="327">
        <f>G8-L8</f>
        <v>1683051</v>
      </c>
      <c r="N8" s="323"/>
      <c r="O8" s="323"/>
      <c r="P8" s="323"/>
      <c r="AL8" s="277"/>
    </row>
    <row r="9" spans="2:38" ht="18" customHeight="1">
      <c r="B9" s="326" t="s">
        <v>555</v>
      </c>
      <c r="C9" s="327">
        <v>39483395</v>
      </c>
      <c r="D9" s="327">
        <v>1872308</v>
      </c>
      <c r="E9" s="327"/>
      <c r="F9" s="327"/>
      <c r="G9" s="327">
        <f>C9+D9-E9+F9</f>
        <v>41355703</v>
      </c>
      <c r="H9" s="327">
        <v>17345099</v>
      </c>
      <c r="I9" s="327">
        <v>1382937</v>
      </c>
      <c r="J9" s="327"/>
      <c r="K9" s="327"/>
      <c r="L9" s="327">
        <f>H9+I9-J9+K9</f>
        <v>18728036</v>
      </c>
      <c r="M9" s="327">
        <f t="shared" ref="M9" si="0">G9-L9</f>
        <v>22627667</v>
      </c>
      <c r="N9" s="323"/>
      <c r="O9" s="323"/>
      <c r="P9" s="323"/>
      <c r="AL9" s="277"/>
    </row>
    <row r="10" spans="2:38" ht="18" customHeight="1">
      <c r="B10" s="326" t="s">
        <v>556</v>
      </c>
      <c r="C10" s="327">
        <v>16403548</v>
      </c>
      <c r="D10" s="327">
        <v>997496</v>
      </c>
      <c r="E10" s="327">
        <v>217765</v>
      </c>
      <c r="F10" s="327"/>
      <c r="G10" s="327">
        <f>C10+D10-E10</f>
        <v>17183279</v>
      </c>
      <c r="H10" s="327">
        <v>3155770</v>
      </c>
      <c r="I10" s="327">
        <v>333918</v>
      </c>
      <c r="J10" s="327">
        <v>45880</v>
      </c>
      <c r="K10" s="327"/>
      <c r="L10" s="327">
        <f>H10+I10-J10</f>
        <v>3443808</v>
      </c>
      <c r="M10" s="327">
        <f>G10-L10</f>
        <v>13739471</v>
      </c>
      <c r="N10" s="323"/>
      <c r="O10" s="323"/>
      <c r="P10" s="323"/>
      <c r="AL10" s="277"/>
    </row>
    <row r="11" spans="2:38" ht="18" customHeight="1">
      <c r="B11" s="328" t="s">
        <v>574</v>
      </c>
      <c r="C11" s="361">
        <f>SUM(C7:C10)</f>
        <v>61559268</v>
      </c>
      <c r="D11" s="361">
        <f t="shared" ref="D11:M11" si="1">SUM(D7:D10)</f>
        <v>3328865</v>
      </c>
      <c r="E11" s="361">
        <f t="shared" si="1"/>
        <v>217765</v>
      </c>
      <c r="F11" s="361"/>
      <c r="G11" s="361">
        <f t="shared" si="1"/>
        <v>64670368</v>
      </c>
      <c r="H11" s="361">
        <f t="shared" si="1"/>
        <v>23639805</v>
      </c>
      <c r="I11" s="361">
        <f t="shared" si="1"/>
        <v>2046935</v>
      </c>
      <c r="J11" s="361">
        <f t="shared" si="1"/>
        <v>45880</v>
      </c>
      <c r="K11" s="361"/>
      <c r="L11" s="361">
        <f t="shared" si="1"/>
        <v>25640860</v>
      </c>
      <c r="M11" s="361">
        <f t="shared" si="1"/>
        <v>39029508</v>
      </c>
      <c r="N11" s="323"/>
      <c r="O11" s="323"/>
      <c r="P11" s="323"/>
      <c r="AL11" s="277"/>
    </row>
    <row r="12" spans="2:38" ht="18" customHeight="1">
      <c r="B12" s="326" t="s">
        <v>528</v>
      </c>
      <c r="C12" s="327">
        <v>36785</v>
      </c>
      <c r="D12" s="327">
        <v>672161</v>
      </c>
      <c r="E12" s="327">
        <v>36785</v>
      </c>
      <c r="F12" s="327"/>
      <c r="G12" s="327">
        <f>C12+D12-E12</f>
        <v>672161</v>
      </c>
      <c r="H12" s="327"/>
      <c r="I12" s="327"/>
      <c r="J12" s="327"/>
      <c r="K12" s="327"/>
      <c r="L12" s="327">
        <v>0</v>
      </c>
      <c r="M12" s="327">
        <v>0</v>
      </c>
      <c r="N12" s="323"/>
      <c r="O12" s="323"/>
      <c r="P12" s="323"/>
      <c r="AL12" s="277"/>
    </row>
    <row r="13" spans="2:38" ht="18" customHeight="1">
      <c r="B13" s="328" t="s">
        <v>573</v>
      </c>
      <c r="C13" s="361">
        <f t="shared" ref="C13:L13" si="2">C11+C12</f>
        <v>61596053</v>
      </c>
      <c r="D13" s="361">
        <f t="shared" si="2"/>
        <v>4001026</v>
      </c>
      <c r="E13" s="361">
        <f t="shared" si="2"/>
        <v>254550</v>
      </c>
      <c r="F13" s="361"/>
      <c r="G13" s="361">
        <f t="shared" si="2"/>
        <v>65342529</v>
      </c>
      <c r="H13" s="361">
        <f t="shared" si="2"/>
        <v>23639805</v>
      </c>
      <c r="I13" s="361">
        <f t="shared" si="2"/>
        <v>2046935</v>
      </c>
      <c r="J13" s="361">
        <f t="shared" si="2"/>
        <v>45880</v>
      </c>
      <c r="K13" s="361"/>
      <c r="L13" s="361">
        <f t="shared" si="2"/>
        <v>25640860</v>
      </c>
      <c r="M13" s="361">
        <f>G13-L13</f>
        <v>39701669</v>
      </c>
      <c r="O13" s="323"/>
      <c r="P13" s="323"/>
      <c r="AL13" s="277"/>
    </row>
    <row r="14" spans="2:38" ht="18" customHeight="1">
      <c r="B14" s="323"/>
      <c r="C14" s="323"/>
      <c r="D14" s="323"/>
      <c r="E14" s="323"/>
      <c r="F14" s="323"/>
      <c r="G14" s="337" t="s">
        <v>604</v>
      </c>
      <c r="H14" s="323"/>
      <c r="I14" s="323"/>
      <c r="J14" s="323"/>
      <c r="K14" s="323"/>
      <c r="L14" s="337" t="s">
        <v>604</v>
      </c>
      <c r="M14" s="337" t="s">
        <v>604</v>
      </c>
      <c r="N14" s="323"/>
      <c r="O14" s="323"/>
      <c r="P14" s="323"/>
      <c r="AL14" s="277"/>
    </row>
    <row r="15" spans="2:38" ht="18" customHeight="1">
      <c r="B15" s="323"/>
      <c r="C15" s="323"/>
      <c r="D15" s="323"/>
      <c r="E15" s="323"/>
      <c r="F15" s="323"/>
      <c r="G15" s="323"/>
      <c r="H15" s="323" t="s">
        <v>631</v>
      </c>
      <c r="I15" s="323"/>
      <c r="J15" s="323"/>
      <c r="K15" s="323"/>
      <c r="L15" s="323"/>
      <c r="M15" s="323"/>
      <c r="N15" s="323"/>
      <c r="O15" s="323"/>
      <c r="P15" s="323"/>
      <c r="AL15" s="277"/>
    </row>
    <row r="16" spans="2:38" ht="18" customHeight="1">
      <c r="B16" s="323"/>
      <c r="C16" s="323"/>
      <c r="D16" s="323"/>
      <c r="E16" s="323"/>
      <c r="F16" s="323"/>
      <c r="G16" s="323"/>
      <c r="H16" s="323"/>
      <c r="I16" s="323"/>
      <c r="J16" s="323"/>
      <c r="K16" s="323"/>
      <c r="L16" s="323"/>
      <c r="M16" s="323"/>
      <c r="N16" s="323"/>
      <c r="O16" s="323"/>
      <c r="P16" s="323"/>
      <c r="AL16" s="277"/>
    </row>
    <row r="17" spans="2:38" ht="18" customHeight="1">
      <c r="B17" s="325" t="s">
        <v>578</v>
      </c>
      <c r="C17" s="320" t="s">
        <v>7</v>
      </c>
      <c r="D17" s="323"/>
      <c r="E17" s="323"/>
      <c r="F17" s="323"/>
      <c r="G17" s="323"/>
      <c r="H17" s="323"/>
      <c r="I17" s="323"/>
      <c r="J17" s="323"/>
      <c r="K17" s="323"/>
      <c r="L17" s="323"/>
      <c r="M17" s="323"/>
      <c r="N17" s="323"/>
      <c r="O17" s="323"/>
      <c r="P17" s="323"/>
      <c r="AL17" s="277"/>
    </row>
    <row r="18" spans="2:38" ht="18" customHeight="1">
      <c r="B18" s="326" t="s">
        <v>554</v>
      </c>
      <c r="C18" s="327">
        <v>0</v>
      </c>
      <c r="D18" s="323"/>
      <c r="E18" s="323"/>
      <c r="F18" s="323"/>
      <c r="G18" s="323"/>
      <c r="H18" s="323"/>
      <c r="I18" s="323"/>
      <c r="J18" s="323"/>
      <c r="K18" s="323"/>
      <c r="L18" s="323"/>
      <c r="M18" s="323"/>
      <c r="N18" s="323"/>
      <c r="O18" s="323"/>
      <c r="P18" s="323"/>
      <c r="AL18" s="277"/>
    </row>
    <row r="19" spans="2:38" ht="18" customHeight="1">
      <c r="B19" s="326" t="s">
        <v>498</v>
      </c>
      <c r="C19" s="327">
        <v>0</v>
      </c>
      <c r="D19" s="323"/>
      <c r="E19" s="323"/>
      <c r="F19" s="323"/>
      <c r="G19" s="323"/>
      <c r="H19" s="323"/>
      <c r="I19" s="323"/>
      <c r="J19" s="323"/>
      <c r="K19" s="323"/>
      <c r="L19" s="323"/>
      <c r="M19" s="323"/>
      <c r="N19" s="323"/>
      <c r="O19" s="323"/>
      <c r="P19" s="323"/>
      <c r="AL19" s="277"/>
    </row>
    <row r="20" spans="2:38" ht="18" customHeight="1">
      <c r="B20" s="326" t="s">
        <v>555</v>
      </c>
      <c r="C20" s="327">
        <v>0</v>
      </c>
      <c r="D20" s="323"/>
      <c r="E20" s="323"/>
      <c r="F20" s="323"/>
      <c r="G20" s="323"/>
      <c r="H20" s="323"/>
      <c r="I20" s="323"/>
      <c r="J20" s="323"/>
      <c r="K20" s="323"/>
      <c r="L20" s="323"/>
      <c r="M20" s="323"/>
      <c r="N20" s="323"/>
      <c r="O20" s="323"/>
      <c r="P20" s="323"/>
      <c r="AL20" s="277"/>
    </row>
    <row r="21" spans="2:38" ht="18" customHeight="1">
      <c r="B21" s="326" t="s">
        <v>556</v>
      </c>
      <c r="C21" s="327">
        <v>542479</v>
      </c>
      <c r="D21" s="323"/>
      <c r="E21" s="323"/>
      <c r="F21" s="323"/>
      <c r="G21" s="323"/>
      <c r="H21" s="323"/>
      <c r="I21" s="323"/>
      <c r="J21" s="323"/>
      <c r="K21" s="323"/>
      <c r="L21" s="323"/>
      <c r="M21" s="323"/>
      <c r="N21" s="323"/>
      <c r="O21" s="323"/>
      <c r="P21" s="323"/>
      <c r="AL21" s="277"/>
    </row>
    <row r="22" spans="2:38" ht="18" customHeight="1">
      <c r="AL22" s="277"/>
    </row>
    <row r="23" spans="2:38" ht="15" customHeight="1">
      <c r="AL23" s="277"/>
    </row>
    <row r="24" spans="2:38" ht="15" customHeight="1">
      <c r="AL24" s="277"/>
    </row>
  </sheetData>
  <mergeCells count="2">
    <mergeCell ref="C5:G5"/>
    <mergeCell ref="H5:L5"/>
  </mergeCells>
  <pageMargins left="0.75" right="0.75" top="1" bottom="1" header="0.5" footer="0.5"/>
  <pageSetup scale="5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N57"/>
  <sheetViews>
    <sheetView showGridLines="0" workbookViewId="0">
      <selection activeCell="B6" sqref="B6"/>
    </sheetView>
  </sheetViews>
  <sheetFormatPr defaultRowHeight="15" customHeight="1"/>
  <cols>
    <col min="1" max="1" width="3.33203125" style="277" customWidth="1"/>
    <col min="2" max="2" width="19.77734375" style="278" customWidth="1"/>
    <col min="3" max="3" width="15.6640625" style="277" customWidth="1"/>
    <col min="4" max="4" width="14.33203125" style="277" customWidth="1"/>
    <col min="5" max="5" width="13.6640625" style="277" customWidth="1"/>
    <col min="6" max="6" width="15.109375" style="277" customWidth="1"/>
    <col min="7" max="7" width="13.6640625" style="277" customWidth="1"/>
    <col min="8" max="8" width="15.109375" style="277" customWidth="1"/>
    <col min="9" max="9" width="12" style="277" customWidth="1"/>
    <col min="10" max="10" width="13" style="277" customWidth="1"/>
    <col min="11" max="11" width="12.33203125" style="277" customWidth="1"/>
    <col min="12" max="16384" width="8.88671875" style="277"/>
  </cols>
  <sheetData>
    <row r="1" spans="2:14" ht="20.100000000000001" customHeight="1">
      <c r="B1" s="299" t="str">
        <f>EntityName</f>
        <v>Elk River, MN</v>
      </c>
      <c r="C1" s="303"/>
      <c r="D1" s="303"/>
    </row>
    <row r="2" spans="2:14" ht="20.100000000000001" customHeight="1">
      <c r="B2" s="300" t="s">
        <v>541</v>
      </c>
      <c r="C2" s="305"/>
      <c r="D2" s="305"/>
      <c r="E2" s="296"/>
      <c r="F2" s="296"/>
      <c r="G2" s="296"/>
      <c r="H2" s="296"/>
      <c r="I2" s="296"/>
    </row>
    <row r="3" spans="2:14" ht="20.100000000000001" customHeight="1">
      <c r="B3" s="301">
        <f>FilingDate</f>
        <v>43100</v>
      </c>
      <c r="C3" s="303"/>
      <c r="D3" s="303"/>
    </row>
    <row r="4" spans="2:14" ht="20.100000000000001" customHeight="1">
      <c r="B4" s="304"/>
      <c r="C4" s="303"/>
      <c r="D4" s="303"/>
    </row>
    <row r="5" spans="2:14" ht="20.100000000000001" customHeight="1">
      <c r="B5" s="306">
        <f>J11</f>
        <v>294219</v>
      </c>
      <c r="C5" s="312" t="s">
        <v>565</v>
      </c>
      <c r="D5" s="303"/>
    </row>
    <row r="6" spans="2:14" ht="20.100000000000001" customHeight="1">
      <c r="B6" s="306">
        <f>H31</f>
        <v>12329422.18</v>
      </c>
      <c r="C6" s="312" t="s">
        <v>570</v>
      </c>
      <c r="D6" s="303"/>
    </row>
    <row r="7" spans="2:14" ht="15" customHeight="1">
      <c r="B7" s="282"/>
      <c r="C7" s="282"/>
    </row>
    <row r="8" spans="2:14" ht="18" customHeight="1">
      <c r="B8" s="282"/>
      <c r="C8" s="282"/>
      <c r="I8" s="329" t="s">
        <v>632</v>
      </c>
    </row>
    <row r="9" spans="2:14" ht="18" customHeight="1">
      <c r="B9" s="417" t="s">
        <v>503</v>
      </c>
      <c r="C9" s="417"/>
      <c r="D9" s="417"/>
      <c r="E9" s="417"/>
      <c r="F9" s="417"/>
      <c r="G9" s="417"/>
      <c r="H9" s="417"/>
      <c r="I9" s="417"/>
      <c r="J9" s="323"/>
      <c r="K9" s="323"/>
      <c r="L9" s="323"/>
      <c r="M9" s="323"/>
      <c r="N9" s="323"/>
    </row>
    <row r="10" spans="2:14" ht="18" customHeight="1">
      <c r="B10" s="320" t="s">
        <v>500</v>
      </c>
      <c r="C10" s="321" t="s">
        <v>591</v>
      </c>
      <c r="D10" s="321" t="s">
        <v>592</v>
      </c>
      <c r="E10" s="321" t="s">
        <v>593</v>
      </c>
      <c r="F10" s="321" t="s">
        <v>613</v>
      </c>
      <c r="G10" s="321" t="s">
        <v>614</v>
      </c>
      <c r="H10" s="321" t="s">
        <v>499</v>
      </c>
      <c r="I10" s="321" t="s">
        <v>577</v>
      </c>
      <c r="J10" s="321" t="s">
        <v>502</v>
      </c>
      <c r="L10" s="323"/>
      <c r="M10" s="323"/>
      <c r="N10" s="323"/>
    </row>
    <row r="11" spans="2:14" ht="18" customHeight="1">
      <c r="B11" s="322">
        <v>2017</v>
      </c>
      <c r="C11" s="352"/>
      <c r="D11" s="352">
        <v>22100</v>
      </c>
      <c r="E11" s="352">
        <v>16600</v>
      </c>
      <c r="F11" s="352">
        <v>286337</v>
      </c>
      <c r="G11" s="352">
        <v>31521</v>
      </c>
      <c r="H11" s="352">
        <f>C12+D11+E11+F11+G11</f>
        <v>356558</v>
      </c>
      <c r="I11" s="352">
        <v>-62339</v>
      </c>
      <c r="J11" s="352">
        <f>H11+I11</f>
        <v>294219</v>
      </c>
      <c r="K11" s="323" t="s">
        <v>605</v>
      </c>
      <c r="L11" s="323"/>
      <c r="M11" s="323"/>
      <c r="N11" s="323"/>
    </row>
    <row r="12" spans="2:14" ht="18" customHeight="1">
      <c r="B12" s="322">
        <v>2018</v>
      </c>
      <c r="C12" s="352"/>
      <c r="D12" s="352">
        <v>18026</v>
      </c>
      <c r="E12" s="352">
        <v>8400</v>
      </c>
      <c r="F12" s="352">
        <v>273425</v>
      </c>
      <c r="G12" s="352">
        <v>25600</v>
      </c>
      <c r="H12" s="352">
        <f>C13+D12+E12+F12+G12</f>
        <v>325451</v>
      </c>
      <c r="I12" s="352"/>
      <c r="J12" s="352">
        <f t="shared" ref="J12:J16" si="0">H12+I12</f>
        <v>325451</v>
      </c>
      <c r="K12" s="323"/>
      <c r="L12" s="323"/>
      <c r="M12" s="323"/>
      <c r="N12" s="323"/>
    </row>
    <row r="13" spans="2:14" ht="18" customHeight="1">
      <c r="B13" s="322">
        <v>2019</v>
      </c>
      <c r="C13" s="352"/>
      <c r="D13" s="352">
        <v>14827</v>
      </c>
      <c r="F13" s="352">
        <v>265225</v>
      </c>
      <c r="G13" s="352">
        <v>21150</v>
      </c>
      <c r="H13" s="352">
        <f>C13+D13+E13+F13+G13</f>
        <v>301202</v>
      </c>
      <c r="I13" s="352"/>
      <c r="J13" s="352">
        <f t="shared" si="0"/>
        <v>301202</v>
      </c>
      <c r="K13" s="323"/>
      <c r="L13" s="323"/>
      <c r="M13" s="323"/>
      <c r="N13" s="323"/>
    </row>
    <row r="14" spans="2:14" ht="18" customHeight="1">
      <c r="B14" s="322">
        <v>2020</v>
      </c>
      <c r="C14" s="352"/>
      <c r="D14" s="352">
        <v>11480</v>
      </c>
      <c r="E14" s="352"/>
      <c r="F14" s="352">
        <v>248325</v>
      </c>
      <c r="G14" s="352">
        <v>16600</v>
      </c>
      <c r="H14" s="352">
        <f>C14+D14+E14+F14+G14</f>
        <v>276405</v>
      </c>
      <c r="I14" s="352"/>
      <c r="J14" s="352">
        <f t="shared" si="0"/>
        <v>276405</v>
      </c>
      <c r="K14" s="323"/>
      <c r="L14" s="323"/>
      <c r="M14" s="323"/>
      <c r="N14" s="323"/>
    </row>
    <row r="15" spans="2:14" ht="18" customHeight="1">
      <c r="B15" s="322">
        <v>2021</v>
      </c>
      <c r="C15" s="352"/>
      <c r="D15" s="352">
        <v>9967</v>
      </c>
      <c r="E15" s="352"/>
      <c r="F15" s="352">
        <v>230725</v>
      </c>
      <c r="G15" s="352">
        <v>11950</v>
      </c>
      <c r="H15" s="352">
        <f>C15+D15+E15+F15+G15</f>
        <v>252642</v>
      </c>
      <c r="I15" s="352"/>
      <c r="J15" s="352">
        <f t="shared" si="0"/>
        <v>252642</v>
      </c>
      <c r="K15" s="323"/>
      <c r="L15" s="323"/>
      <c r="M15" s="323"/>
      <c r="N15" s="323"/>
    </row>
    <row r="16" spans="2:14" ht="18" customHeight="1">
      <c r="B16" s="322">
        <v>2022</v>
      </c>
      <c r="C16" s="352"/>
      <c r="D16" s="352">
        <v>4307</v>
      </c>
      <c r="E16" s="352"/>
      <c r="F16" s="352">
        <v>214775</v>
      </c>
      <c r="G16" s="352">
        <v>4800</v>
      </c>
      <c r="H16" s="352">
        <f>C16+D16+E16+F16+G16</f>
        <v>223882</v>
      </c>
      <c r="I16" s="352"/>
      <c r="J16" s="352">
        <f t="shared" si="0"/>
        <v>223882</v>
      </c>
      <c r="K16" s="323"/>
      <c r="L16" s="323"/>
      <c r="M16" s="323"/>
      <c r="N16" s="323"/>
    </row>
    <row r="17" spans="2:14" ht="18" customHeight="1">
      <c r="B17" s="396">
        <v>2023</v>
      </c>
      <c r="C17" s="352"/>
      <c r="D17" s="398">
        <v>2000</v>
      </c>
      <c r="E17" s="352"/>
      <c r="F17" s="398">
        <v>200525</v>
      </c>
      <c r="G17" s="399"/>
      <c r="H17" s="399">
        <f>D17+F17</f>
        <v>202525</v>
      </c>
      <c r="I17" s="352"/>
      <c r="J17" s="352">
        <f>H17+I17</f>
        <v>202525</v>
      </c>
      <c r="K17" s="323"/>
      <c r="L17" s="323"/>
      <c r="M17" s="323"/>
      <c r="N17" s="323"/>
    </row>
    <row r="18" spans="2:14" ht="18" customHeight="1">
      <c r="B18" s="322" t="s">
        <v>633</v>
      </c>
      <c r="C18" s="352"/>
      <c r="D18" s="352"/>
      <c r="E18" s="352"/>
      <c r="F18" s="352">
        <v>1372875</v>
      </c>
      <c r="G18" s="352"/>
      <c r="H18" s="352">
        <f t="shared" ref="H18" si="1">C18+D18+E18+F18+G18</f>
        <v>1372875</v>
      </c>
      <c r="I18" s="352"/>
      <c r="J18" s="352">
        <f t="shared" ref="J18" si="2">H18+I18</f>
        <v>1372875</v>
      </c>
      <c r="K18" s="323"/>
      <c r="L18" s="323"/>
      <c r="M18" s="323"/>
      <c r="N18" s="323"/>
    </row>
    <row r="19" spans="2:14" ht="18" customHeight="1">
      <c r="B19" s="385" t="s">
        <v>595</v>
      </c>
      <c r="C19" s="330"/>
      <c r="D19" s="330"/>
      <c r="E19" s="330"/>
      <c r="F19" s="330"/>
      <c r="G19" s="330"/>
      <c r="H19" s="330"/>
      <c r="I19" s="330"/>
      <c r="J19" s="323"/>
      <c r="K19" s="323"/>
      <c r="L19" s="323"/>
      <c r="M19" s="323"/>
      <c r="N19" s="323"/>
    </row>
    <row r="20" spans="2:14" ht="18" customHeight="1">
      <c r="B20" s="331"/>
      <c r="C20" s="332"/>
      <c r="D20" s="332"/>
      <c r="E20" s="332"/>
      <c r="F20" s="332"/>
      <c r="G20" s="332"/>
      <c r="H20" s="332"/>
      <c r="I20" s="332"/>
      <c r="J20" s="323"/>
      <c r="K20" s="323"/>
      <c r="L20" s="323"/>
      <c r="M20" s="323"/>
      <c r="N20" s="323"/>
    </row>
    <row r="21" spans="2:14" ht="18" customHeight="1">
      <c r="B21" s="417" t="s">
        <v>501</v>
      </c>
      <c r="C21" s="417"/>
      <c r="D21" s="417"/>
      <c r="E21" s="417"/>
      <c r="F21" s="417"/>
      <c r="G21" s="417"/>
      <c r="H21" s="417"/>
      <c r="I21" s="417"/>
      <c r="J21" s="323"/>
      <c r="K21" s="323"/>
      <c r="L21" s="323"/>
      <c r="M21" s="323"/>
      <c r="N21" s="323"/>
    </row>
    <row r="22" spans="2:14" ht="18" customHeight="1">
      <c r="B22" s="320" t="s">
        <v>500</v>
      </c>
      <c r="C22" s="321" t="s">
        <v>591</v>
      </c>
      <c r="D22" s="321" t="s">
        <v>592</v>
      </c>
      <c r="E22" s="321" t="s">
        <v>593</v>
      </c>
      <c r="F22" s="321" t="s">
        <v>613</v>
      </c>
      <c r="G22" s="321" t="s">
        <v>614</v>
      </c>
      <c r="H22" s="321" t="s">
        <v>499</v>
      </c>
      <c r="I22" s="333"/>
      <c r="J22" s="323"/>
      <c r="K22" s="323"/>
      <c r="L22" s="323"/>
      <c r="M22" s="323"/>
      <c r="N22" s="323"/>
    </row>
    <row r="23" spans="2:14" ht="18" customHeight="1">
      <c r="B23" s="334">
        <v>2017</v>
      </c>
      <c r="C23" s="353"/>
      <c r="D23" s="353">
        <f>76000</f>
        <v>76000</v>
      </c>
      <c r="E23" s="353">
        <f>410000</f>
        <v>410000</v>
      </c>
      <c r="F23" s="353"/>
      <c r="G23" s="353">
        <f>220000</f>
        <v>220000</v>
      </c>
      <c r="H23" s="353">
        <f>C23+D23+E23+F23+G23</f>
        <v>706000</v>
      </c>
      <c r="I23" s="335"/>
      <c r="J23" s="323"/>
      <c r="K23" s="323"/>
      <c r="L23" s="323"/>
      <c r="M23" s="323"/>
      <c r="N23" s="323"/>
    </row>
    <row r="24" spans="2:14" ht="18" customHeight="1">
      <c r="B24" s="334">
        <v>2018</v>
      </c>
      <c r="C24" s="353"/>
      <c r="D24" s="353">
        <f>80000+3316.86</f>
        <v>83316.86</v>
      </c>
      <c r="E24" s="353">
        <f>420000+8114.84</f>
        <v>428114.84</v>
      </c>
      <c r="F24" s="353"/>
      <c r="G24" s="353">
        <f>220000+10845.6</f>
        <v>230845.6</v>
      </c>
      <c r="H24" s="353">
        <f>C24+D24+E24+F24+G24</f>
        <v>742277.3</v>
      </c>
      <c r="I24" s="335"/>
      <c r="J24" s="323"/>
      <c r="K24" s="323"/>
      <c r="L24" s="323"/>
      <c r="M24" s="323"/>
      <c r="N24" s="323"/>
    </row>
    <row r="25" spans="2:14" ht="18" customHeight="1">
      <c r="B25" s="334">
        <v>2019</v>
      </c>
      <c r="C25" s="353"/>
      <c r="D25" s="353">
        <f>80000+3316.86</f>
        <v>83316.86</v>
      </c>
      <c r="F25" s="353">
        <f>410000+22721.76</f>
        <v>432721.76</v>
      </c>
      <c r="G25" s="353">
        <f>225000+10845.6</f>
        <v>235845.6</v>
      </c>
      <c r="H25" s="353">
        <f t="shared" ref="H25:H30" si="3">C25+D25+E25+F25+G25</f>
        <v>751884.22</v>
      </c>
      <c r="I25" s="335"/>
      <c r="J25" s="323"/>
      <c r="K25" s="323"/>
      <c r="L25" s="323"/>
      <c r="M25" s="323"/>
      <c r="N25" s="323"/>
    </row>
    <row r="26" spans="2:14" ht="18" customHeight="1">
      <c r="B26" s="334">
        <v>2020</v>
      </c>
      <c r="C26" s="353"/>
      <c r="D26" s="353">
        <f>84000+3316.86</f>
        <v>87316.86</v>
      </c>
      <c r="E26" s="353"/>
      <c r="F26" s="353">
        <f>435000+22721.76</f>
        <v>457721.76</v>
      </c>
      <c r="G26" s="353">
        <f>230000+10845.6</f>
        <v>240845.6</v>
      </c>
      <c r="H26" s="353">
        <f t="shared" si="3"/>
        <v>785884.22</v>
      </c>
      <c r="I26" s="335"/>
      <c r="J26" s="323"/>
      <c r="K26" s="323"/>
      <c r="L26" s="323"/>
      <c r="M26" s="323"/>
      <c r="N26" s="323"/>
    </row>
    <row r="27" spans="2:14" ht="18" customHeight="1">
      <c r="B27" s="334">
        <v>2021</v>
      </c>
      <c r="C27" s="353"/>
      <c r="D27" s="353">
        <f>88000+3316.86</f>
        <v>91316.86</v>
      </c>
      <c r="E27" s="353">
        <v>0</v>
      </c>
      <c r="F27" s="353">
        <f>445000+22721.76</f>
        <v>467721.76</v>
      </c>
      <c r="G27" s="353">
        <f>235000+10845.6</f>
        <v>245845.6</v>
      </c>
      <c r="H27" s="353">
        <f t="shared" si="3"/>
        <v>804884.22</v>
      </c>
      <c r="I27" s="335"/>
      <c r="J27" s="323"/>
      <c r="K27" s="323"/>
      <c r="L27" s="323"/>
      <c r="M27" s="323"/>
      <c r="N27" s="323"/>
    </row>
    <row r="28" spans="2:14" ht="18" customHeight="1">
      <c r="B28" s="334">
        <v>2022</v>
      </c>
      <c r="C28" s="353"/>
      <c r="D28" s="353">
        <f>92000+3316.86</f>
        <v>95316.86</v>
      </c>
      <c r="E28" s="353">
        <v>0</v>
      </c>
      <c r="F28" s="353">
        <f>470000+22721.76</f>
        <v>492721.76</v>
      </c>
      <c r="G28" s="353">
        <f>240000+904</f>
        <v>240904</v>
      </c>
      <c r="H28" s="353">
        <f t="shared" si="3"/>
        <v>828942.62</v>
      </c>
      <c r="I28" s="335"/>
      <c r="J28" s="323"/>
      <c r="K28" s="323"/>
      <c r="L28" s="323"/>
      <c r="M28" s="323"/>
      <c r="N28" s="323"/>
    </row>
    <row r="29" spans="2:14" ht="18" customHeight="1">
      <c r="B29" s="334">
        <v>2023</v>
      </c>
      <c r="C29" s="353"/>
      <c r="D29" s="353">
        <f>100000+551.84</f>
        <v>100551.84</v>
      </c>
      <c r="E29" s="353">
        <v>0</v>
      </c>
      <c r="F29" s="353">
        <f>480000+22721.76</f>
        <v>502721.76</v>
      </c>
      <c r="H29" s="353">
        <f t="shared" si="3"/>
        <v>603273.6</v>
      </c>
      <c r="I29" s="335"/>
      <c r="J29" s="323"/>
      <c r="K29" s="323"/>
      <c r="L29" s="323"/>
      <c r="M29" s="323"/>
      <c r="N29" s="323"/>
    </row>
    <row r="30" spans="2:14" ht="18" customHeight="1">
      <c r="B30" s="334" t="s">
        <v>633</v>
      </c>
      <c r="C30" s="353"/>
      <c r="D30" s="397"/>
      <c r="E30" s="353">
        <v>0</v>
      </c>
      <c r="F30" s="353">
        <f>7515000+297276</f>
        <v>7812276</v>
      </c>
      <c r="G30" s="353"/>
      <c r="H30" s="353">
        <f t="shared" si="3"/>
        <v>7812276</v>
      </c>
      <c r="I30" s="335"/>
      <c r="J30" s="323"/>
      <c r="K30" s="323"/>
      <c r="L30" s="323"/>
      <c r="M30" s="323"/>
      <c r="N30" s="323"/>
    </row>
    <row r="31" spans="2:14" ht="18" customHeight="1">
      <c r="B31" s="362" t="s">
        <v>566</v>
      </c>
      <c r="C31" s="363">
        <f t="shared" ref="C31" si="4">SUM(C24:C30)</f>
        <v>0</v>
      </c>
      <c r="D31" s="363">
        <f>SUM(D24:D29)</f>
        <v>541136.14</v>
      </c>
      <c r="E31" s="363">
        <f>SUM(E24:E30)</f>
        <v>428114.84</v>
      </c>
      <c r="F31" s="363">
        <f>SUM(F24:F30)</f>
        <v>10165884.800000001</v>
      </c>
      <c r="G31" s="363">
        <f>SUM(G24:G30)</f>
        <v>1194286.3999999999</v>
      </c>
      <c r="H31" s="363">
        <f>SUM(H24:H30)</f>
        <v>12329422.18</v>
      </c>
      <c r="I31" s="323" t="s">
        <v>606</v>
      </c>
      <c r="J31" s="336"/>
      <c r="K31" s="392"/>
      <c r="L31" s="323"/>
      <c r="M31" s="323"/>
      <c r="N31" s="323"/>
    </row>
    <row r="32" spans="2:14" ht="18" customHeight="1">
      <c r="B32" s="337"/>
      <c r="C32" s="323"/>
      <c r="D32" s="323"/>
      <c r="E32" s="323"/>
      <c r="F32" s="323"/>
      <c r="G32" s="323"/>
      <c r="H32" s="323"/>
      <c r="I32" s="323"/>
      <c r="J32" s="323"/>
      <c r="K32" s="323"/>
      <c r="L32" s="323"/>
      <c r="M32" s="323"/>
      <c r="N32" s="323"/>
    </row>
    <row r="33" spans="2:14" ht="18" customHeight="1">
      <c r="B33" s="337"/>
      <c r="C33" s="323"/>
      <c r="D33" s="323"/>
      <c r="E33" s="329" t="s">
        <v>634</v>
      </c>
      <c r="F33" s="329"/>
      <c r="G33" s="329"/>
      <c r="H33" s="323"/>
      <c r="I33" s="323"/>
      <c r="J33" s="323"/>
      <c r="K33" s="323"/>
      <c r="L33" s="323"/>
      <c r="M33" s="323"/>
      <c r="N33" s="323"/>
    </row>
    <row r="34" spans="2:14" ht="18" customHeight="1">
      <c r="H34" s="383"/>
      <c r="I34" s="280"/>
    </row>
    <row r="35" spans="2:14" ht="18" customHeight="1">
      <c r="H35" s="383"/>
      <c r="I35" s="280"/>
    </row>
    <row r="36" spans="2:14" ht="18" customHeight="1">
      <c r="H36" s="384"/>
    </row>
    <row r="37" spans="2:14" ht="18" customHeight="1"/>
    <row r="44" spans="2:14" ht="15" customHeight="1">
      <c r="B44" s="277"/>
    </row>
    <row r="45" spans="2:14" ht="15" customHeight="1">
      <c r="B45" s="277"/>
    </row>
    <row r="46" spans="2:14" ht="15" customHeight="1">
      <c r="B46" s="277"/>
    </row>
    <row r="47" spans="2:14" ht="15" customHeight="1">
      <c r="B47" s="277"/>
    </row>
    <row r="48" spans="2:14" ht="15" customHeight="1">
      <c r="B48" s="277"/>
    </row>
    <row r="49" spans="2:2" ht="15" customHeight="1">
      <c r="B49" s="277"/>
    </row>
    <row r="50" spans="2:2" ht="15" customHeight="1">
      <c r="B50" s="277"/>
    </row>
    <row r="51" spans="2:2" ht="15" customHeight="1">
      <c r="B51" s="277"/>
    </row>
    <row r="52" spans="2:2" ht="15" customHeight="1">
      <c r="B52" s="277"/>
    </row>
    <row r="53" spans="2:2" ht="15" customHeight="1">
      <c r="B53" s="277"/>
    </row>
    <row r="54" spans="2:2" ht="15" customHeight="1">
      <c r="B54" s="277"/>
    </row>
    <row r="55" spans="2:2" ht="15" customHeight="1">
      <c r="B55" s="277"/>
    </row>
    <row r="56" spans="2:2" ht="15" customHeight="1">
      <c r="B56" s="279"/>
    </row>
    <row r="57" spans="2:2" ht="15" customHeight="1">
      <c r="B57" s="279"/>
    </row>
  </sheetData>
  <mergeCells count="2">
    <mergeCell ref="B9:I9"/>
    <mergeCell ref="B21:I21"/>
  </mergeCells>
  <pageMargins left="0.75" right="0.75" top="1" bottom="1" header="0.5" footer="0.5"/>
  <pageSetup scale="6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H17"/>
  <sheetViews>
    <sheetView showGridLines="0" workbookViewId="0">
      <selection activeCell="D18" sqref="D18"/>
    </sheetView>
  </sheetViews>
  <sheetFormatPr defaultRowHeight="15" customHeight="1"/>
  <cols>
    <col min="1" max="1" width="3.33203125" style="277" customWidth="1"/>
    <col min="2" max="2" width="16.5546875" style="277" customWidth="1"/>
    <col min="3" max="4" width="14.109375" style="277" customWidth="1"/>
    <col min="5" max="5" width="13.21875" style="277" customWidth="1"/>
    <col min="6" max="6" width="8.88671875" style="277"/>
    <col min="7" max="7" width="10" style="277" bestFit="1" customWidth="1"/>
    <col min="8" max="8" width="11" style="277" bestFit="1" customWidth="1"/>
    <col min="9" max="16384" width="8.88671875" style="277"/>
  </cols>
  <sheetData>
    <row r="1" spans="2:8" ht="20.100000000000001" customHeight="1">
      <c r="B1" s="299" t="str">
        <f>EntityName</f>
        <v>Elk River, MN</v>
      </c>
      <c r="C1" s="303"/>
      <c r="D1" s="303"/>
      <c r="E1" s="303"/>
    </row>
    <row r="2" spans="2:8" ht="20.100000000000001" customHeight="1">
      <c r="B2" s="300" t="s">
        <v>543</v>
      </c>
      <c r="C2" s="305"/>
      <c r="D2" s="305"/>
      <c r="E2" s="303"/>
    </row>
    <row r="3" spans="2:8" ht="20.100000000000001" customHeight="1">
      <c r="B3" s="301">
        <f>FilingDate</f>
        <v>43100</v>
      </c>
      <c r="C3" s="303"/>
      <c r="D3" s="303"/>
      <c r="E3" s="303"/>
    </row>
    <row r="4" spans="2:8" ht="15" customHeight="1">
      <c r="B4" s="304"/>
      <c r="C4" s="303"/>
      <c r="D4" s="303"/>
      <c r="E4" s="303"/>
    </row>
    <row r="5" spans="2:8" ht="18" customHeight="1">
      <c r="B5" s="320" t="s">
        <v>559</v>
      </c>
      <c r="C5" s="320" t="s">
        <v>560</v>
      </c>
      <c r="D5" s="320" t="s">
        <v>596</v>
      </c>
      <c r="E5" s="320" t="s">
        <v>608</v>
      </c>
      <c r="G5" s="320">
        <v>2016</v>
      </c>
      <c r="H5" s="320">
        <v>2015</v>
      </c>
    </row>
    <row r="6" spans="2:8" ht="18" customHeight="1">
      <c r="B6" s="326" t="s">
        <v>554</v>
      </c>
      <c r="C6" s="351">
        <v>114619.7</v>
      </c>
      <c r="D6" s="351">
        <f>ProductionLabor</f>
        <v>114619.7</v>
      </c>
      <c r="E6" s="350">
        <f>ProductionLabor/LaborTotalNoAdmin</f>
        <v>0.10790581426423515</v>
      </c>
      <c r="G6" s="351">
        <v>115323</v>
      </c>
      <c r="H6" s="351">
        <v>112646</v>
      </c>
    </row>
    <row r="7" spans="2:8" ht="18" customHeight="1">
      <c r="B7" s="326" t="s">
        <v>498</v>
      </c>
      <c r="C7" s="351">
        <v>27075.42</v>
      </c>
      <c r="D7" s="351">
        <f>TransmissionLabor</f>
        <v>27075.42</v>
      </c>
      <c r="E7" s="350">
        <f>TransmissionLabor/LaborTotalNoAdmin</f>
        <v>2.54894685786663E-2</v>
      </c>
      <c r="G7" s="351">
        <v>20908</v>
      </c>
      <c r="H7" s="351">
        <v>21224</v>
      </c>
    </row>
    <row r="8" spans="2:8" ht="18" customHeight="1">
      <c r="B8" s="326" t="s">
        <v>555</v>
      </c>
      <c r="C8" s="351">
        <v>878434.19</v>
      </c>
      <c r="D8" s="351">
        <f>DistributionLabor</f>
        <v>878434.19</v>
      </c>
      <c r="E8" s="350">
        <f>DistributionLabor/LaborTotalNoAdmin</f>
        <v>0.82697962522580193</v>
      </c>
      <c r="G8" s="351">
        <v>719565</v>
      </c>
      <c r="H8" s="351">
        <v>790336</v>
      </c>
    </row>
    <row r="9" spans="2:8" ht="18" customHeight="1">
      <c r="B9" s="326" t="s">
        <v>497</v>
      </c>
      <c r="C9" s="351">
        <v>42090.559999999998</v>
      </c>
      <c r="D9" s="351">
        <f>OtherLabor</f>
        <v>42090.559999999998</v>
      </c>
      <c r="E9" s="350">
        <f>OtherLabor/LaborTotalNoAdmin</f>
        <v>3.9625091931296673E-2</v>
      </c>
      <c r="G9" s="351">
        <v>47558</v>
      </c>
      <c r="H9" s="351">
        <v>50484</v>
      </c>
    </row>
    <row r="10" spans="2:8" ht="18" customHeight="1">
      <c r="B10" s="326" t="s">
        <v>558</v>
      </c>
      <c r="C10" s="351">
        <v>135214.79999999999</v>
      </c>
      <c r="D10" s="351">
        <v>0</v>
      </c>
      <c r="E10" s="350">
        <v>0</v>
      </c>
      <c r="G10" s="351"/>
      <c r="H10" s="351"/>
    </row>
    <row r="11" spans="2:8" ht="18" customHeight="1">
      <c r="B11" s="364" t="s">
        <v>553</v>
      </c>
      <c r="C11" s="366">
        <f>SUM(C6:C10)</f>
        <v>1197434.67</v>
      </c>
      <c r="D11" s="366">
        <f>SUM(D6:D10)</f>
        <v>1062219.8699999999</v>
      </c>
      <c r="E11" s="365">
        <f>SUM(E6:E10)</f>
        <v>1</v>
      </c>
      <c r="G11" s="366">
        <f>SUM(G6:G10)</f>
        <v>903354</v>
      </c>
      <c r="H11" s="366">
        <f>SUM(H6:H10)</f>
        <v>974690</v>
      </c>
    </row>
    <row r="12" spans="2:8" ht="18" customHeight="1">
      <c r="B12" s="303"/>
      <c r="C12" s="303"/>
      <c r="D12" s="303"/>
      <c r="E12" s="303"/>
    </row>
    <row r="13" spans="2:8" ht="15" customHeight="1">
      <c r="B13" s="303"/>
      <c r="C13" s="303"/>
      <c r="D13" s="303"/>
      <c r="E13" s="303"/>
    </row>
    <row r="14" spans="2:8" ht="15" customHeight="1">
      <c r="B14" s="303"/>
      <c r="C14" s="303"/>
      <c r="D14" s="303"/>
      <c r="E14" s="303"/>
    </row>
    <row r="17" spans="3:3" ht="15" customHeight="1">
      <c r="C17" s="388"/>
    </row>
  </sheetData>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37</vt:i4>
      </vt:variant>
    </vt:vector>
  </HeadingPairs>
  <TitlesOfParts>
    <vt:vector size="52" baseType="lpstr">
      <vt:lpstr>Nonlevelized_EIA412</vt:lpstr>
      <vt:lpstr>412BS</vt:lpstr>
      <vt:lpstr>412IS</vt:lpstr>
      <vt:lpstr>412Plant</vt:lpstr>
      <vt:lpstr>412OM</vt:lpstr>
      <vt:lpstr>412Notes</vt:lpstr>
      <vt:lpstr>S1_Plant</vt:lpstr>
      <vt:lpstr>S2_Debt</vt:lpstr>
      <vt:lpstr>S3_Labor</vt:lpstr>
      <vt:lpstr>S4_TransOM</vt:lpstr>
      <vt:lpstr>S5_A&amp;G</vt:lpstr>
      <vt:lpstr>S6_Other</vt:lpstr>
      <vt:lpstr>Rev_7&amp;8</vt:lpstr>
      <vt:lpstr>Rev_9</vt:lpstr>
      <vt:lpstr>PeakLoad</vt:lpstr>
      <vt:lpstr>AdminGeneralTotal</vt:lpstr>
      <vt:lpstr>AdminLabor</vt:lpstr>
      <vt:lpstr>AttachO_Fees</vt:lpstr>
      <vt:lpstr>AveragePeak</vt:lpstr>
      <vt:lpstr>CustomerAccountExpenses</vt:lpstr>
      <vt:lpstr>CWIP</vt:lpstr>
      <vt:lpstr>Debt</vt:lpstr>
      <vt:lpstr>DistributionLabor</vt:lpstr>
      <vt:lpstr>DistributionPlant</vt:lpstr>
      <vt:lpstr>DistributionPlantAD</vt:lpstr>
      <vt:lpstr>ElectricRent</vt:lpstr>
      <vt:lpstr>EntityName</vt:lpstr>
      <vt:lpstr>Equity</vt:lpstr>
      <vt:lpstr>FilingDate</vt:lpstr>
      <vt:lpstr>GeneralDepreciation</vt:lpstr>
      <vt:lpstr>GeneralPlant</vt:lpstr>
      <vt:lpstr>GeneralPlantAD</vt:lpstr>
      <vt:lpstr>InterestExpense</vt:lpstr>
      <vt:lpstr>LaborTotal</vt:lpstr>
      <vt:lpstr>LaborTotalNoAdmin</vt:lpstr>
      <vt:lpstr>NetworkRevenue</vt:lpstr>
      <vt:lpstr>NonNetworkRevenue</vt:lpstr>
      <vt:lpstr>OtherLabor</vt:lpstr>
      <vt:lpstr>PayrollTaxes</vt:lpstr>
      <vt:lpstr>PILOT</vt:lpstr>
      <vt:lpstr>Prepayments</vt:lpstr>
      <vt:lpstr>Nonlevelized_EIA412!Print_Area</vt:lpstr>
      <vt:lpstr>ProductionLabor</vt:lpstr>
      <vt:lpstr>ProductionPlant</vt:lpstr>
      <vt:lpstr>ProductionPlantAD</vt:lpstr>
      <vt:lpstr>SalesExpenses</vt:lpstr>
      <vt:lpstr>TransmissionDepreciation</vt:lpstr>
      <vt:lpstr>TransmissionLabor</vt:lpstr>
      <vt:lpstr>TransmissionOM</vt:lpstr>
      <vt:lpstr>TransmissionPlant</vt:lpstr>
      <vt:lpstr>TransmissionPlantAD</vt:lpstr>
      <vt:lpstr>TransmissionRent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Malinda Hibben</cp:lastModifiedBy>
  <cp:lastPrinted>2019-04-26T18:41:56Z</cp:lastPrinted>
  <dcterms:created xsi:type="dcterms:W3CDTF">2008-03-20T17:17:49Z</dcterms:created>
  <dcterms:modified xsi:type="dcterms:W3CDTF">2019-06-13T19:21:52Z</dcterms:modified>
</cp:coreProperties>
</file>