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K:\CPK Attachment O posting files\2018 Postings\"/>
    </mc:Choice>
  </mc:AlternateContent>
  <bookViews>
    <workbookView xWindow="0" yWindow="0" windowWidth="28800" windowHeight="14820" tabRatio="723"/>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 name="Sheet1" sheetId="22" r:id="rId16"/>
  </sheets>
  <definedNames>
    <definedName name="AdminGeneralTotal">'S5_A&amp;G'!$C$5</definedName>
    <definedName name="AdminLabor">S3_Labor!$D$10</definedName>
    <definedName name="AveragePeak">PeakLoad!$B$5</definedName>
    <definedName name="CustomerAccountExpenses">'S5_A&amp;G'!#REF!</definedName>
    <definedName name="CWIP">S1_Plant!$F$12</definedName>
    <definedName name="Debt">S2_Debt!$B$6</definedName>
    <definedName name="DistributionLabor">S3_Labor!$D$8</definedName>
    <definedName name="DistributionPlant">S1_Plant!$F$9</definedName>
    <definedName name="DistributionPlantAD">S1_Plant!$J$9</definedName>
    <definedName name="EntityName">'412BS'!$A$1</definedName>
    <definedName name="Equity">'412BS'!$F$12</definedName>
    <definedName name="FacilitiyCredits">Rev_9!$G$22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S3_Labor!$D$11</definedName>
    <definedName name="NetworkRevenue">Rev_9!$B$5</definedName>
    <definedName name="NonNetworkRevenue">'Rev_7&amp;8'!$B$5</definedName>
    <definedName name="OtherLabor">S3_Labor!$D$9</definedName>
    <definedName name="PayrollTaxes">S6_Other!$B$9</definedName>
    <definedName name="PILOT">S6_Other!$B$5</definedName>
    <definedName name="Prepayments">'412BS'!$C$43</definedName>
    <definedName name="_xlnm.Print_Area" localSheetId="0">Nonlevelized_EIA412!$A$1:$K$316</definedName>
    <definedName name="ProductionLabor">S3_Labor!$D$6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$31:$31,'Rev_7&amp;8'!#REF!,'Rev_7&amp;8'!#REF!,'Rev_7&amp;8'!#REF!,'Rev_7&amp;8'!#REF!,'Rev_7&amp;8'!#REF!,'Rev_7&amp;8'!#REF!,'Rev_7&amp;8'!#REF!</definedName>
    <definedName name="QB_DATA_1" localSheetId="12" hidden="1">'Rev_7&amp;8'!#REF!,'Rev_7&amp;8'!#REF!,'Rev_7&amp;8'!#REF!,'Rev_7&amp;8'!#REF!,'Rev_7&amp;8'!#REF!,'Rev_7&amp;8'!#REF!,'Rev_7&amp;8'!#REF!,'Rev_7&amp;8'!#REF!,'Rev_7&amp;8'!#REF!,'Rev_7&amp;8'!#REF!,'Rev_7&amp;8'!#REF!,'Rev_7&amp;8'!#REF!,'Rev_7&amp;8'!#REF!,'Rev_7&amp;8'!#REF!,'Rev_7&amp;8'!#REF!,'Rev_7&amp;8'!#REF!</definedName>
    <definedName name="QB_DATA_2" localSheetId="12" hidden="1">'Rev_7&amp;8'!#REF!,'Rev_7&amp;8'!#REF!,'Rev_7&amp;8'!#REF!,'Rev_7&amp;8'!#REF!,'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'S5_A&amp;G'!$C$21:$C$21</definedName>
    <definedName name="TransmissionDepreciation">S1_Plant!$H$8</definedName>
    <definedName name="TransmissionLabor">S3_Labor!$D$7</definedName>
    <definedName name="TransmissionOM">S4_TransOM!$B$5</definedName>
    <definedName name="TransmissionPlant">S1_Plant!$F$8</definedName>
    <definedName name="TransmissionPlantAD">S1_Plant!$J$8</definedName>
    <definedName name="TransmissionRent">S6_Other!$B$12</definedName>
  </definedNames>
  <calcPr calcId="171027"/>
</workbook>
</file>

<file path=xl/calcChain.xml><?xml version="1.0" encoding="utf-8"?>
<calcChain xmlns="http://schemas.openxmlformats.org/spreadsheetml/2006/main">
  <c r="D10" i="13" l="1"/>
  <c r="D8" i="13"/>
  <c r="D7" i="13"/>
  <c r="G13" i="22" l="1"/>
  <c r="F13" i="22"/>
  <c r="D13" i="22"/>
  <c r="G12" i="22"/>
  <c r="G21" i="22"/>
  <c r="G20" i="22"/>
  <c r="F21" i="22"/>
  <c r="B21" i="22"/>
  <c r="B13" i="22"/>
  <c r="B14" i="22"/>
  <c r="B26" i="22" l="1"/>
  <c r="C29" i="4" l="1"/>
  <c r="K12" i="16" l="1"/>
  <c r="F12" i="16"/>
  <c r="J10" i="16"/>
  <c r="F10" i="16"/>
  <c r="J9" i="16"/>
  <c r="F9" i="16"/>
  <c r="J8" i="16"/>
  <c r="F8" i="16"/>
  <c r="J7" i="16"/>
  <c r="F7" i="16"/>
  <c r="K7" i="16" l="1"/>
  <c r="K8" i="16"/>
  <c r="K9" i="16"/>
  <c r="K10" i="16"/>
  <c r="H48" i="19" l="1"/>
  <c r="C25" i="5" l="1"/>
  <c r="C19" i="5"/>
  <c r="C9" i="5"/>
  <c r="F44" i="4"/>
  <c r="F22" i="4"/>
  <c r="C35" i="4"/>
  <c r="E29" i="11"/>
  <c r="C29" i="11"/>
  <c r="D29" i="11"/>
  <c r="D28" i="11" l="1"/>
  <c r="E27" i="11"/>
  <c r="E26" i="11"/>
  <c r="E16" i="11"/>
  <c r="E15" i="11"/>
  <c r="E23" i="8"/>
  <c r="E18" i="8"/>
  <c r="D12" i="13" l="1"/>
  <c r="C9" i="13" s="1"/>
  <c r="C8" i="13" l="1"/>
  <c r="C6" i="13"/>
  <c r="C7" i="13"/>
  <c r="C11" i="13" l="1"/>
  <c r="E23" i="18"/>
  <c r="E21" i="18"/>
  <c r="E18" i="18"/>
  <c r="D21" i="18"/>
  <c r="H31" i="19"/>
  <c r="G11" i="19"/>
  <c r="H19" i="19" s="1"/>
  <c r="E9" i="19"/>
  <c r="E10" i="19"/>
  <c r="E11" i="19"/>
  <c r="E12" i="19"/>
  <c r="E13" i="19"/>
  <c r="E14" i="19"/>
  <c r="E15" i="19"/>
  <c r="E16" i="19"/>
  <c r="E17" i="19"/>
  <c r="E18" i="19"/>
  <c r="E19" i="19"/>
  <c r="E20" i="19"/>
  <c r="E21" i="19"/>
  <c r="E22" i="19"/>
  <c r="E23" i="19"/>
  <c r="E24" i="19"/>
  <c r="E25" i="19"/>
  <c r="E26" i="19"/>
  <c r="E27" i="19"/>
  <c r="E28" i="19"/>
  <c r="E29" i="19"/>
  <c r="E30" i="19"/>
  <c r="E31" i="19"/>
  <c r="E8" i="19"/>
  <c r="G13" i="20"/>
  <c r="G11" i="20"/>
  <c r="G20" i="20" s="1"/>
  <c r="H52" i="19" s="1"/>
  <c r="H54" i="19" s="1"/>
  <c r="E9" i="20"/>
  <c r="E10" i="20"/>
  <c r="E11" i="20"/>
  <c r="E12" i="20"/>
  <c r="E13" i="20"/>
  <c r="E14" i="20"/>
  <c r="E15" i="20"/>
  <c r="E16" i="20"/>
  <c r="E17" i="20"/>
  <c r="E18" i="20"/>
  <c r="E19" i="20"/>
  <c r="E8" i="20"/>
  <c r="D18" i="8" l="1"/>
  <c r="G9" i="12"/>
  <c r="I4" i="22" l="1"/>
  <c r="E9" i="22" l="1"/>
  <c r="E7" i="22"/>
  <c r="E18" i="22" l="1"/>
  <c r="C13" i="22"/>
  <c r="E19" i="22"/>
  <c r="E17" i="22"/>
  <c r="E16" i="22"/>
  <c r="G16" i="22" s="1"/>
  <c r="E11" i="22"/>
  <c r="E10" i="22"/>
  <c r="E8" i="22"/>
  <c r="E5" i="22"/>
  <c r="E4" i="22"/>
  <c r="G4" i="22" s="1"/>
  <c r="D21" i="22"/>
  <c r="C21" i="22"/>
  <c r="K7" i="22"/>
  <c r="J7" i="22"/>
  <c r="G19" i="22"/>
  <c r="E6" i="22" l="1"/>
  <c r="G6" i="22" s="1"/>
  <c r="G8" i="22"/>
  <c r="G17" i="22"/>
  <c r="F23" i="22"/>
  <c r="G18" i="22"/>
  <c r="E21" i="22"/>
  <c r="G11" i="22"/>
  <c r="G5" i="22"/>
  <c r="G9" i="22"/>
  <c r="C23" i="22"/>
  <c r="G7" i="22"/>
  <c r="G10" i="22"/>
  <c r="D23" i="22"/>
  <c r="C21" i="17"/>
  <c r="D28" i="8" s="1"/>
  <c r="E13" i="22" l="1"/>
  <c r="E23" i="22" s="1"/>
  <c r="E26" i="22" s="1"/>
  <c r="G23" i="22" l="1"/>
  <c r="G26" i="22" s="1"/>
  <c r="I261" i="1"/>
  <c r="F20" i="21" l="1"/>
  <c r="B5" i="21" s="1"/>
  <c r="I27" i="1" s="1"/>
  <c r="B3" i="21"/>
  <c r="B1" i="21"/>
  <c r="G25" i="20" l="1"/>
  <c r="B5" i="20" s="1"/>
  <c r="I265" i="1" s="1"/>
  <c r="B3" i="20"/>
  <c r="B1" i="20"/>
  <c r="F32" i="19"/>
  <c r="B5" i="19" s="1"/>
  <c r="H32" i="19"/>
  <c r="H49" i="19" s="1"/>
  <c r="I264" i="1" l="1"/>
  <c r="H6" i="9" l="1"/>
  <c r="B1" i="9"/>
  <c r="C17" i="17" l="1"/>
  <c r="E30" i="18"/>
  <c r="B15" i="18" s="1"/>
  <c r="C23" i="17" l="1"/>
  <c r="C14" i="5"/>
  <c r="D168" i="1"/>
  <c r="D174" i="1"/>
  <c r="D249" i="1"/>
  <c r="D23" i="8"/>
  <c r="D162" i="1"/>
  <c r="D161" i="1"/>
  <c r="D119" i="1"/>
  <c r="D235" i="1"/>
  <c r="D234" i="1"/>
  <c r="D233" i="1"/>
  <c r="D232" i="1"/>
  <c r="D94" i="1"/>
  <c r="D93" i="1"/>
  <c r="D92" i="1"/>
  <c r="D91" i="1"/>
  <c r="D86" i="1"/>
  <c r="D85" i="1"/>
  <c r="D84" i="1"/>
  <c r="D83" i="1"/>
  <c r="D11" i="13"/>
  <c r="G24" i="6" l="1"/>
  <c r="G23" i="6"/>
  <c r="G22" i="6"/>
  <c r="G13" i="6"/>
  <c r="G12" i="6"/>
  <c r="G11" i="6"/>
  <c r="J11" i="16" l="1"/>
  <c r="C15" i="4" s="1"/>
  <c r="I11" i="16"/>
  <c r="H11" i="16"/>
  <c r="C12" i="5" s="1"/>
  <c r="G11" i="16"/>
  <c r="F11" i="16"/>
  <c r="E11" i="16"/>
  <c r="D11" i="16"/>
  <c r="C11" i="16"/>
  <c r="E17" i="6"/>
  <c r="D17" i="6"/>
  <c r="E27" i="6"/>
  <c r="D27" i="6"/>
  <c r="C27" i="6"/>
  <c r="G9" i="6"/>
  <c r="E19" i="6"/>
  <c r="D19" i="6"/>
  <c r="E18" i="6"/>
  <c r="D18" i="6"/>
  <c r="E14" i="6"/>
  <c r="G27" i="6" l="1"/>
  <c r="C12" i="4" s="1"/>
  <c r="I13" i="16" l="1"/>
  <c r="H13" i="16"/>
  <c r="C17" i="6"/>
  <c r="G17" i="6" s="1"/>
  <c r="C14" i="6"/>
  <c r="C18" i="6"/>
  <c r="G18" i="6" s="1"/>
  <c r="C19" i="6"/>
  <c r="G19" i="6" s="1"/>
  <c r="E13" i="16" l="1"/>
  <c r="D13" i="16" l="1"/>
  <c r="D14" i="6"/>
  <c r="G14" i="6" s="1"/>
  <c r="F13" i="16" l="1"/>
  <c r="K11" i="16"/>
  <c r="K13" i="16" s="1"/>
  <c r="E17" i="11"/>
  <c r="E14" i="11"/>
  <c r="E13" i="11"/>
  <c r="E12" i="11"/>
  <c r="E11" i="11"/>
  <c r="E28" i="11"/>
  <c r="E25" i="11"/>
  <c r="G11" i="11" l="1"/>
  <c r="B5" i="11"/>
  <c r="D245" i="1"/>
  <c r="B3" i="19"/>
  <c r="B1" i="19"/>
  <c r="B3" i="18" l="1"/>
  <c r="B1" i="18"/>
  <c r="B3" i="17"/>
  <c r="B1" i="17"/>
  <c r="B3" i="16"/>
  <c r="B1" i="16"/>
  <c r="B3" i="13"/>
  <c r="B1" i="13"/>
  <c r="B3" i="12"/>
  <c r="B1" i="12"/>
  <c r="B3" i="11"/>
  <c r="B1" i="11"/>
  <c r="G8" i="12"/>
  <c r="G10" i="12"/>
  <c r="G11" i="12"/>
  <c r="G12" i="12"/>
  <c r="G13" i="12"/>
  <c r="E22" i="11"/>
  <c r="E23" i="11"/>
  <c r="E24" i="11"/>
  <c r="G14" i="12" l="1"/>
  <c r="B5" i="12" s="1"/>
  <c r="C5" i="17"/>
  <c r="B6" i="11"/>
  <c r="D248" i="1" s="1"/>
  <c r="C13" i="16"/>
  <c r="J13" i="16"/>
  <c r="G13" i="16"/>
  <c r="D149" i="1" l="1"/>
  <c r="E21" i="8"/>
  <c r="D152" i="1"/>
  <c r="D29" i="8"/>
  <c r="A1" i="8" l="1"/>
  <c r="A4" i="8"/>
  <c r="F10" i="8"/>
  <c r="F11" i="8"/>
  <c r="F13" i="8"/>
  <c r="F15" i="8"/>
  <c r="F16" i="8"/>
  <c r="F18" i="8"/>
  <c r="C19" i="8"/>
  <c r="D19" i="8"/>
  <c r="D31" i="8" s="1"/>
  <c r="E19" i="8"/>
  <c r="E31" i="8" s="1"/>
  <c r="C11" i="5" s="1"/>
  <c r="F21" i="8"/>
  <c r="F23" i="8"/>
  <c r="F25" i="8"/>
  <c r="F27" i="8"/>
  <c r="F28" i="8"/>
  <c r="F29" i="8"/>
  <c r="A1" i="6"/>
  <c r="A4" i="6"/>
  <c r="C15" i="6"/>
  <c r="D15" i="6"/>
  <c r="D20" i="6" s="1"/>
  <c r="D25" i="6" s="1"/>
  <c r="D28" i="6" s="1"/>
  <c r="E15" i="6"/>
  <c r="E20" i="6" s="1"/>
  <c r="E25" i="6" s="1"/>
  <c r="E28" i="6" s="1"/>
  <c r="F15" i="6"/>
  <c r="F20" i="6" s="1"/>
  <c r="F25" i="6"/>
  <c r="F28" i="6" s="1"/>
  <c r="A1" i="5"/>
  <c r="A4" i="5"/>
  <c r="C27" i="5"/>
  <c r="F16" i="4"/>
  <c r="F28" i="4"/>
  <c r="C30" i="4"/>
  <c r="F33" i="4"/>
  <c r="F45" i="4"/>
  <c r="C46" i="4"/>
  <c r="C54" i="4"/>
  <c r="F54" i="4"/>
  <c r="G15" i="6" l="1"/>
  <c r="G20" i="6" s="1"/>
  <c r="C10" i="5"/>
  <c r="C15" i="5" s="1"/>
  <c r="F56" i="4"/>
  <c r="F19" i="8"/>
  <c r="F31" i="8" s="1"/>
  <c r="C20" i="6"/>
  <c r="C25" i="6" s="1"/>
  <c r="I252" i="1"/>
  <c r="G25" i="6" l="1"/>
  <c r="C11" i="4" s="1"/>
  <c r="C16" i="4" s="1"/>
  <c r="C22" i="4" s="1"/>
  <c r="C56" i="4" s="1"/>
  <c r="F57" i="4" s="1"/>
  <c r="C16" i="5"/>
  <c r="C18" i="5" s="1"/>
  <c r="C23" i="5" s="1"/>
  <c r="C28" i="5" s="1"/>
  <c r="C31" i="5" s="1"/>
  <c r="C28" i="6"/>
  <c r="G28" i="6" s="1"/>
  <c r="I22" i="1"/>
  <c r="G31" i="6" l="1"/>
  <c r="D158" i="1" l="1"/>
  <c r="D117" i="1" s="1"/>
  <c r="D120" i="1" s="1"/>
  <c r="D88" i="1"/>
  <c r="D239" i="1" s="1"/>
  <c r="D242" i="1" s="1"/>
  <c r="G240" i="1" s="1"/>
  <c r="I215" i="1"/>
  <c r="G232" i="1"/>
  <c r="G234" i="1"/>
  <c r="G235" i="1"/>
  <c r="I223" i="1"/>
  <c r="D99" i="1"/>
  <c r="D100" i="1"/>
  <c r="D101" i="1"/>
  <c r="D102" i="1"/>
  <c r="G248" i="1"/>
  <c r="D250" i="1"/>
  <c r="E248" i="1" s="1"/>
  <c r="G249" i="1"/>
  <c r="I34" i="1"/>
  <c r="D236"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l="1"/>
  <c r="G84" i="1"/>
  <c r="G14" i="1"/>
  <c r="G16" i="1" s="1"/>
  <c r="I16" i="1" s="1"/>
  <c r="E233" i="1"/>
  <c r="G233" i="1" s="1"/>
  <c r="G236" i="1" s="1"/>
  <c r="I236" i="1" s="1"/>
  <c r="G86" i="1" s="1"/>
  <c r="G94" i="1" s="1"/>
  <c r="I94" i="1" s="1"/>
  <c r="I228" i="1"/>
  <c r="I229" i="1" s="1"/>
  <c r="G118" i="1" s="1"/>
  <c r="I118" i="1" s="1"/>
  <c r="I250" i="1"/>
  <c r="G17" i="1"/>
  <c r="I17" i="1" s="1"/>
  <c r="I14" i="1" l="1"/>
  <c r="D179" i="1"/>
  <c r="I253" i="1"/>
  <c r="G15" i="1"/>
  <c r="I86" i="1"/>
  <c r="I102" i="1" s="1"/>
  <c r="G149" i="1"/>
  <c r="G155" i="1" s="1"/>
  <c r="I155" i="1" s="1"/>
  <c r="I240" i="1"/>
  <c r="K240" i="1" s="1"/>
  <c r="G153" i="1"/>
  <c r="I153" i="1" s="1"/>
  <c r="G154" i="1"/>
  <c r="I154" i="1" s="1"/>
  <c r="G152" i="1"/>
  <c r="G92" i="1"/>
  <c r="I84" i="1"/>
  <c r="D189" i="1"/>
  <c r="D185" i="1" l="1"/>
  <c r="D187" i="1" s="1"/>
  <c r="D192" i="1" s="1"/>
  <c r="D201" i="1" s="1"/>
  <c r="G151" i="1"/>
  <c r="I151" i="1" s="1"/>
  <c r="I149" i="1"/>
  <c r="I92" i="1"/>
  <c r="I100" i="1" s="1"/>
  <c r="G114" i="1"/>
  <c r="G87" i="1"/>
  <c r="G156" i="1"/>
  <c r="I152" i="1"/>
  <c r="G162" i="1"/>
  <c r="I156" i="1" l="1"/>
  <c r="I158" i="1" s="1"/>
  <c r="I117" i="1" s="1"/>
  <c r="G163" i="1"/>
  <c r="I163" i="1" s="1"/>
  <c r="G95" i="1"/>
  <c r="I95" i="1" s="1"/>
  <c r="I96" i="1" s="1"/>
  <c r="I87" i="1"/>
  <c r="I162" i="1"/>
  <c r="G168" i="1"/>
  <c r="I114" i="1"/>
  <c r="G161" i="1"/>
  <c r="I161" i="1" s="1"/>
  <c r="I164" i="1" l="1"/>
  <c r="I103" i="1"/>
  <c r="I104" i="1" s="1"/>
  <c r="G104" i="1" s="1"/>
  <c r="I88" i="1"/>
  <c r="G88" i="1" s="1"/>
  <c r="I168" i="1"/>
  <c r="G169" i="1"/>
  <c r="I169" i="1" s="1"/>
  <c r="G119" i="1" l="1"/>
  <c r="I119" i="1" s="1"/>
  <c r="I120" i="1" s="1"/>
  <c r="G171" i="1"/>
  <c r="G186" i="1"/>
  <c r="I186" i="1" s="1"/>
  <c r="G108" i="1"/>
  <c r="G109" i="1" l="1"/>
  <c r="I108" i="1"/>
  <c r="G173" i="1"/>
  <c r="I171" i="1"/>
  <c r="G174" i="1" l="1"/>
  <c r="I174" i="1" s="1"/>
  <c r="I173" i="1"/>
  <c r="I109" i="1"/>
  <c r="G111" i="1"/>
  <c r="I111" i="1" s="1"/>
  <c r="G110" i="1"/>
  <c r="I110" i="1" s="1"/>
  <c r="I175" i="1" l="1"/>
  <c r="I112" i="1"/>
  <c r="I122" i="1" s="1"/>
  <c r="I189" i="1" s="1"/>
  <c r="I185" i="1" s="1"/>
  <c r="I187" i="1" s="1"/>
  <c r="I192" i="1" l="1"/>
  <c r="I201" i="1" s="1"/>
  <c r="I11" i="1" s="1"/>
  <c r="I268" i="1"/>
  <c r="D15" i="1" s="1"/>
  <c r="I15" i="1" s="1"/>
  <c r="I18" i="1" s="1"/>
  <c r="I24" i="1" l="1"/>
  <c r="D36" i="1" s="1"/>
  <c r="I41" i="1" s="1"/>
  <c r="D37" i="1" l="1"/>
  <c r="I42" i="1"/>
  <c r="I40" i="1"/>
  <c r="D41" i="1"/>
  <c r="D40" i="1"/>
  <c r="D42" i="1"/>
</calcChain>
</file>

<file path=xl/comments1.xml><?xml version="1.0" encoding="utf-8"?>
<comments xmlns="http://schemas.openxmlformats.org/spreadsheetml/2006/main">
  <authors>
    <author>Colleen Knudtson</author>
  </authors>
  <commentList>
    <comment ref="G8" authorId="0" shapeId="0">
      <text>
        <r>
          <rPr>
            <b/>
            <sz val="9"/>
            <color indexed="81"/>
            <rFont val="Tahoma"/>
            <family val="2"/>
          </rPr>
          <t>Colleen Knudtson:</t>
        </r>
        <r>
          <rPr>
            <sz val="9"/>
            <color indexed="81"/>
            <rFont val="Tahoma"/>
            <family val="2"/>
          </rPr>
          <t xml:space="preserve">
ROE Phase 1 True-up</t>
        </r>
      </text>
    </comment>
    <comment ref="G11" authorId="0" shapeId="0">
      <text>
        <r>
          <rPr>
            <b/>
            <sz val="9"/>
            <color indexed="81"/>
            <rFont val="Tahoma"/>
            <family val="2"/>
          </rPr>
          <t>Colleen Knudtson:</t>
        </r>
        <r>
          <rPr>
            <sz val="9"/>
            <color indexed="81"/>
            <rFont val="Tahoma"/>
            <family val="2"/>
          </rPr>
          <t xml:space="preserve">
RPU Adjust June 2016 - March 2017  (60.25)
RPU Adjust Jan 2016 - May 2016  (13.32)</t>
        </r>
      </text>
    </comment>
    <comment ref="G13" authorId="0" shapeId="0">
      <text>
        <r>
          <rPr>
            <b/>
            <sz val="9"/>
            <color indexed="81"/>
            <rFont val="Tahoma"/>
            <family val="2"/>
          </rPr>
          <t>Colleen Knudtson:</t>
        </r>
        <r>
          <rPr>
            <sz val="9"/>
            <color indexed="81"/>
            <rFont val="Tahoma"/>
            <family val="2"/>
          </rPr>
          <t xml:space="preserve">
ROE Phase 2 True-up</t>
        </r>
      </text>
    </comment>
  </commentList>
</comments>
</file>

<file path=xl/comments2.xml><?xml version="1.0" encoding="utf-8"?>
<comments xmlns="http://schemas.openxmlformats.org/spreadsheetml/2006/main">
  <authors>
    <author>Paul Leland</author>
  </authors>
  <commentList>
    <comment ref="D4" authorId="0" shapeId="0">
      <text>
        <r>
          <rPr>
            <b/>
            <sz val="8"/>
            <color indexed="81"/>
            <rFont val="Tahoma"/>
            <family val="2"/>
          </rPr>
          <t>Paul Leland:</t>
        </r>
        <r>
          <rPr>
            <sz val="8"/>
            <color indexed="81"/>
            <rFont val="Tahoma"/>
            <family val="2"/>
          </rPr>
          <t xml:space="preserve">
adjustment for reclass of office remodel</t>
        </r>
      </text>
    </comment>
  </commentList>
</comments>
</file>

<file path=xl/sharedStrings.xml><?xml version="1.0" encoding="utf-8"?>
<sst xmlns="http://schemas.openxmlformats.org/spreadsheetml/2006/main" count="902" uniqueCount="653">
  <si>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</si>
  <si>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</si>
  <si>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</si>
  <si>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</si>
  <si>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</si>
  <si>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</si>
  <si>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</si>
  <si>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</si>
  <si>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</si>
  <si>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</si>
  <si>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</si>
  <si>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</si>
  <si>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</si>
  <si>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</si>
  <si>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</si>
  <si>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</si>
  <si>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</si>
  <si>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</si>
  <si>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</si>
  <si>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</si>
  <si>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</si>
  <si>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</si>
  <si>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</si>
  <si>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</si>
  <si>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</si>
  <si>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</si>
  <si>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</si>
  <si>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</si>
  <si>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</si>
  <si>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</si>
  <si>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</si>
  <si>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</si>
  <si>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</si>
  <si>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</si>
  <si>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</si>
  <si>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</si>
  <si>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</si>
  <si>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</si>
  <si>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</si>
  <si>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</si>
  <si>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</si>
  <si>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</si>
  <si>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</si>
  <si>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</si>
  <si>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</si>
  <si>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</si>
  <si>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</si>
  <si>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</si>
  <si>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</si>
  <si>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</si>
  <si>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</si>
  <si>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</si>
  <si>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</si>
  <si>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</si>
  <si>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</si>
  <si>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</si>
  <si>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</si>
  <si>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</si>
  <si>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</si>
  <si>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</si>
  <si>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</si>
  <si>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</si>
  <si>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</si>
  <si>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</si>
  <si>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</si>
  <si>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</si>
  <si>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</si>
  <si>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</si>
  <si>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</si>
  <si>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</si>
  <si>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</si>
  <si>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</si>
  <si>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</si>
  <si>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</si>
  <si>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</si>
  <si>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</si>
  <si>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</si>
  <si>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</si>
  <si>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</si>
  <si>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</si>
  <si>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</si>
  <si>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</si>
  <si>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</si>
  <si>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</si>
  <si>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</si>
  <si>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</si>
  <si>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</si>
  <si>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</si>
  <si>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</si>
  <si>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</si>
  <si>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</si>
  <si>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</si>
  <si>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</si>
  <si>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</si>
  <si>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</si>
  <si>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</si>
  <si>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</si>
  <si>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</si>
  <si>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</si>
  <si>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</si>
  <si>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</si>
  <si>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</si>
  <si>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</si>
  <si>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</si>
  <si>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</si>
  <si>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</si>
  <si>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</si>
  <si>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</si>
  <si>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</si>
  <si>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</si>
  <si>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</si>
  <si>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</si>
  <si>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</si>
  <si>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</si>
  <si>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</si>
  <si>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</si>
  <si>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</si>
  <si>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</si>
  <si>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</si>
  <si>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</si>
  <si>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</si>
  <si>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</si>
  <si>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</si>
  <si>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</si>
  <si>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</si>
  <si>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</si>
  <si>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</si>
  <si>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</si>
  <si>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</si>
  <si>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</si>
  <si>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</si>
  <si>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</si>
  <si>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</si>
  <si>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</si>
  <si>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</si>
  <si>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</si>
  <si>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</si>
  <si>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</si>
  <si>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</si>
  <si>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</si>
  <si>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</si>
  <si>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</si>
  <si>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</si>
  <si>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</si>
  <si>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</si>
  <si>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</si>
  <si>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</si>
  <si>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</si>
  <si>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</si>
  <si>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</si>
  <si>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</si>
  <si>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</si>
  <si>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</si>
  <si>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</si>
  <si>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</si>
  <si>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</si>
  <si>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</si>
  <si>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</si>
  <si>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</si>
  <si>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</si>
  <si>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</si>
  <si>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</si>
  <si>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</si>
  <si>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</si>
  <si>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</si>
  <si>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</si>
  <si>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</si>
  <si>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</si>
  <si>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</si>
  <si>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</si>
  <si>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</si>
  <si>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</si>
  <si>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</si>
  <si>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</si>
  <si>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</si>
  <si>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</si>
  <si>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</si>
  <si>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</si>
  <si>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</si>
  <si>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</si>
  <si>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</si>
  <si>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</si>
  <si>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</si>
  <si>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</si>
  <si>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</si>
  <si>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</si>
  <si>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</si>
  <si>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</si>
  <si>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</si>
  <si>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</si>
  <si>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</si>
  <si>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</si>
  <si>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</si>
  <si>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</si>
  <si>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</si>
  <si>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</si>
  <si>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</si>
  <si>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</si>
  <si>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</si>
  <si>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</si>
  <si>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</si>
  <si>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</si>
  <si>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</si>
  <si>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</si>
  <si>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</si>
  <si>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</si>
  <si>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</si>
  <si>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</si>
  <si>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</si>
  <si>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</si>
  <si>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</si>
  <si>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</si>
  <si>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</si>
  <si>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</si>
  <si>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</si>
  <si>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</si>
  <si>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</si>
  <si>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</si>
  <si>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</si>
  <si>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</si>
  <si>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</si>
  <si>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</si>
  <si>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</si>
  <si>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</si>
  <si>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</si>
  <si>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</si>
  <si>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</si>
  <si>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</si>
  <si>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</si>
  <si>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</si>
  <si>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</si>
  <si>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</si>
  <si>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</si>
  <si>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</si>
  <si>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</si>
  <si>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</si>
  <si>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</si>
  <si>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</si>
  <si>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</si>
  <si>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</si>
  <si>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</si>
  <si>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</si>
  <si>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</si>
  <si>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</si>
  <si>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</si>
  <si>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</si>
  <si>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</si>
  <si>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</si>
  <si>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</si>
  <si>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</si>
  <si>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</si>
  <si>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</si>
  <si>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</si>
  <si>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</si>
  <si>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</si>
  <si>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</si>
  <si>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</si>
  <si>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</si>
  <si>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</si>
  <si>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</si>
  <si>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</si>
  <si>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</si>
  <si>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</si>
  <si>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</si>
  <si>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</si>
  <si>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</si>
  <si>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</si>
  <si>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</si>
  <si>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</si>
  <si>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</si>
  <si>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</si>
  <si>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</si>
  <si>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</si>
  <si>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</si>
  <si>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</si>
  <si>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</si>
  <si>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</si>
  <si>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</si>
  <si>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</si>
  <si>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</si>
  <si>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</si>
  <si>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</si>
  <si>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</si>
  <si>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</si>
  <si>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</si>
  <si>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</si>
  <si>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</si>
  <si>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</si>
  <si>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</si>
  <si>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</si>
  <si>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</si>
  <si>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</si>
  <si>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</si>
  <si>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</si>
  <si>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</si>
  <si>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</si>
  <si>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</si>
  <si>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</si>
  <si>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</si>
  <si>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</si>
  <si>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</si>
  <si>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</si>
  <si>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</si>
  <si>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</si>
  <si>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</si>
  <si>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</si>
  <si>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</si>
  <si>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</si>
  <si>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</si>
  <si>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</si>
  <si>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</si>
  <si>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</si>
  <si>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</si>
  <si>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</si>
  <si>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</si>
  <si>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</si>
  <si>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</si>
  <si>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</si>
  <si>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</si>
  <si>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</si>
  <si>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</si>
  <si>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</si>
  <si>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</si>
  <si>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</si>
  <si>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</si>
  <si>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</si>
  <si>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</si>
  <si>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</si>
  <si>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</si>
  <si>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</si>
  <si>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</si>
  <si>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</si>
  <si>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</si>
  <si>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</si>
  <si>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</si>
  <si>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</si>
  <si>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</si>
  <si>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</si>
  <si>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</si>
  <si>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</si>
  <si>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</si>
  <si>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</si>
  <si>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</si>
  <si>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</si>
  <si>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</si>
  <si>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</si>
  <si>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</si>
  <si>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</si>
  <si>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</si>
  <si>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</si>
  <si>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</si>
  <si>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</si>
  <si>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</si>
  <si>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</si>
  <si>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</si>
  <si>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</si>
  <si>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</si>
  <si>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</si>
  <si>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</si>
  <si>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</si>
  <si>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</si>
  <si>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</si>
  <si>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</si>
  <si>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</si>
  <si>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</si>
  <si>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</si>
  <si>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</si>
  <si>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</si>
  <si>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</si>
  <si>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</si>
  <si>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</si>
  <si>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</si>
  <si>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</si>
  <si>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</si>
  <si>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</si>
  <si>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</si>
  <si>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</si>
  <si>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</si>
  <si>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</si>
  <si>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</si>
  <si>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</si>
  <si>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</si>
  <si>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</si>
  <si>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</si>
  <si>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</si>
  <si>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</si>
  <si>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</si>
  <si>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</si>
  <si>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</si>
  <si>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</si>
  <si>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</si>
  <si>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</si>
  <si>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</si>
  <si>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</si>
  <si>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</si>
  <si>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</si>
  <si>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</si>
  <si>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</si>
  <si>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</si>
  <si>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</si>
  <si>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</si>
  <si>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</si>
  <si>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</si>
  <si>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</si>
  <si>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</si>
  <si>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</si>
  <si>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</si>
  <si>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</si>
  <si>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</si>
  <si>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</si>
  <si>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</si>
  <si>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</si>
  <si>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</si>
  <si>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</si>
  <si>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</si>
  <si>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</si>
  <si>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</si>
  <si>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</si>
  <si>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</si>
  <si>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</si>
  <si>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</si>
  <si>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</si>
  <si>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</si>
  <si>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</si>
  <si>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</si>
  <si>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</si>
  <si>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</si>
  <si>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</si>
  <si>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</si>
  <si>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</si>
  <si>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</si>
  <si>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</si>
  <si>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</si>
  <si>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</si>
  <si>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</si>
  <si>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</si>
  <si>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</si>
  <si>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</si>
  <si>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</si>
  <si>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</si>
  <si>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</si>
  <si>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</si>
  <si>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</si>
  <si>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</si>
  <si>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</si>
  <si>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</si>
  <si>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</si>
  <si>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</si>
  <si>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</si>
  <si>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</si>
  <si>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</si>
  <si>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</si>
  <si>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</si>
  <si>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</si>
  <si>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</si>
  <si>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</si>
  <si>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</si>
  <si>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</si>
  <si>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</si>
  <si>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</si>
  <si>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</si>
  <si>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</si>
  <si>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</si>
  <si>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</si>
  <si>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</si>
  <si>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</si>
  <si>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</si>
  <si>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</si>
  <si>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</si>
  <si>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</si>
  <si>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</si>
  <si>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</si>
  <si>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</si>
  <si>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</si>
  <si>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</si>
  <si>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</si>
  <si>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</si>
  <si>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</si>
  <si>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</si>
  <si>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</si>
  <si>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</si>
  <si>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</si>
  <si>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</si>
  <si>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</si>
  <si>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</si>
  <si>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</si>
  <si>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</si>
  <si>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</si>
  <si>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</si>
  <si>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</si>
  <si>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</si>
  <si>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</si>
  <si>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</si>
  <si>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</si>
  <si>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</si>
  <si>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</si>
  <si>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</si>
  <si>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</si>
  <si>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</si>
  <si>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Year</t>
  </si>
  <si>
    <t>Interest Expense</t>
  </si>
  <si>
    <t>CostAlloc</t>
  </si>
  <si>
    <t>factor</t>
  </si>
  <si>
    <t>Description</t>
  </si>
  <si>
    <t>Account</t>
  </si>
  <si>
    <t>HE</t>
  </si>
  <si>
    <t>Date</t>
  </si>
  <si>
    <t>cwip</t>
  </si>
  <si>
    <t>NBV</t>
  </si>
  <si>
    <t>to Sales Expenses</t>
  </si>
  <si>
    <t>Insurance</t>
  </si>
  <si>
    <t>Conservation/Rebate program</t>
  </si>
  <si>
    <t>Debt Detail Schedule</t>
  </si>
  <si>
    <t>Transmission O&amp;M Expense</t>
  </si>
  <si>
    <t>Wage and Salary Allocations</t>
  </si>
  <si>
    <t>Fixed Asset Summary</t>
  </si>
  <si>
    <t>A&amp;G Detail</t>
  </si>
  <si>
    <t>GL Period</t>
  </si>
  <si>
    <t>Asset Cost</t>
  </si>
  <si>
    <t>BOY Total</t>
  </si>
  <si>
    <t>Disposals</t>
  </si>
  <si>
    <t>EOY Total</t>
  </si>
  <si>
    <t>Accumulated Depreciation</t>
  </si>
  <si>
    <t xml:space="preserve">   total</t>
  </si>
  <si>
    <t>production</t>
  </si>
  <si>
    <t>distribution</t>
  </si>
  <si>
    <t>general</t>
  </si>
  <si>
    <t>Asset Category</t>
  </si>
  <si>
    <t>admin</t>
  </si>
  <si>
    <t>% of Total</t>
  </si>
  <si>
    <t>Function</t>
  </si>
  <si>
    <t>Labor Cost</t>
  </si>
  <si>
    <t>&lt;-- Transmission O&amp;M Total</t>
  </si>
  <si>
    <t>&lt;-- Admin &amp; General Total</t>
  </si>
  <si>
    <t xml:space="preserve"> &lt;-- Taxes in Lieu of Property Taxes:</t>
  </si>
  <si>
    <t xml:space="preserve"> &lt;-- Payroll taxes</t>
  </si>
  <si>
    <t>Remaining Principal</t>
  </si>
  <si>
    <t>AccountingPeriod</t>
  </si>
  <si>
    <t>TranDescription</t>
  </si>
  <si>
    <t>OperatingMonth</t>
  </si>
  <si>
    <t>Schedule Total</t>
  </si>
  <si>
    <t>&lt;-- remaining debt at year end</t>
  </si>
  <si>
    <t xml:space="preserve"> &lt;-- recorded on O&amp;M schedule as professional fees</t>
  </si>
  <si>
    <t xml:space="preserve">  Total Plant</t>
  </si>
  <si>
    <t xml:space="preserve">  Sub Total</t>
  </si>
  <si>
    <t>&lt;-- Total attachment O filing fees</t>
  </si>
  <si>
    <t>Expense Item</t>
  </si>
  <si>
    <t>Land Breakout</t>
  </si>
  <si>
    <t xml:space="preserve">   A&amp;G Subtotal</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</si>
  <si>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</si>
  <si>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</si>
  <si>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</si>
  <si>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</si>
  <si>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transmission expense by the city and a negative transmission expense by CMMPA.</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</si>
  <si>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</si>
  <si>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</si>
  <si>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</si>
  <si>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</si>
  <si>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t>
  </si>
  <si>
    <t xml:space="preserve"> &lt;-- ties to financial statements, Total Administrative Expenses page 31</t>
  </si>
  <si>
    <t>Peak Loads</t>
  </si>
  <si>
    <t>Load MW</t>
  </si>
  <si>
    <t>Generation MW</t>
  </si>
  <si>
    <t xml:space="preserve">  average</t>
  </si>
  <si>
    <t>&lt;-- average of 12 coincident system peaks, MW</t>
  </si>
  <si>
    <t>Transmission Tariff Revenue - Schedule 9</t>
  </si>
  <si>
    <t>Transmission Tariff Revenue - Schedule 7 &amp; 8</t>
  </si>
  <si>
    <t>&lt;-- current year electric interest and bond discount amortization expense</t>
  </si>
  <si>
    <t xml:space="preserve">   A&amp;G less customer and selling expenses</t>
  </si>
  <si>
    <t>CMMPA does invoice the city for a preparation fee of their attachment O.  That fee is booked as a</t>
  </si>
  <si>
    <t>The city has no RECB or other "cost shared" projects' costs reflected in its attachment O.</t>
  </si>
  <si>
    <t>The city has no current year GFA load or revenue included in their attachment O for current year data.</t>
  </si>
  <si>
    <t>&lt;-- current year non network revenue</t>
  </si>
  <si>
    <t>IC MW</t>
  </si>
  <si>
    <t>&lt;-- rent from transmission related electric property</t>
  </si>
  <si>
    <t>Taxes, Rents and Other</t>
  </si>
  <si>
    <t>**</t>
  </si>
  <si>
    <t xml:space="preserve">  ***</t>
  </si>
  <si>
    <t>CIP Expenses</t>
  </si>
  <si>
    <t>Glencoe, MN</t>
  </si>
  <si>
    <t>2012 Bond</t>
  </si>
  <si>
    <t>Facility Credit received from NSP</t>
  </si>
  <si>
    <t>&lt;-- current year network revenue, plus facility credits</t>
  </si>
  <si>
    <t xml:space="preserve"> &lt;-- ties to financial statements, Salaries and Wages, page 33</t>
  </si>
  <si>
    <t>Salaries</t>
  </si>
  <si>
    <t>Office Expense</t>
  </si>
  <si>
    <t>Outside services</t>
  </si>
  <si>
    <t>Employee pension and benefits</t>
  </si>
  <si>
    <t>General maintenance</t>
  </si>
  <si>
    <t>Transportation</t>
  </si>
  <si>
    <t>Miscellaneous</t>
  </si>
  <si>
    <t>per financials</t>
  </si>
  <si>
    <t>total 2016 revenue per CMP</t>
  </si>
  <si>
    <t>Glencoe makes an annual payment to the city general fund in lieu of property taxes</t>
  </si>
  <si>
    <t>Source:  financial statements, page 29, Note 13</t>
  </si>
  <si>
    <t>+</t>
  </si>
  <si>
    <t>PLANT IN SERVICE</t>
  </si>
  <si>
    <t>Buildings, Land and Land Improvements</t>
  </si>
  <si>
    <t>Engines, Auxiliaries and Switch Boards</t>
  </si>
  <si>
    <t>Distribution System</t>
  </si>
  <si>
    <t>Transmission System</t>
  </si>
  <si>
    <t>Street Lights</t>
  </si>
  <si>
    <t>Substation</t>
  </si>
  <si>
    <t>Loop Feeder</t>
  </si>
  <si>
    <t>NON-UTILITY PROPERTY</t>
  </si>
  <si>
    <t>Building and Improvements</t>
  </si>
  <si>
    <t>Transportation Equipment</t>
  </si>
  <si>
    <t>Plant Tools and Equipment</t>
  </si>
  <si>
    <t>Office Equipment</t>
  </si>
  <si>
    <t>beg bal</t>
  </si>
  <si>
    <t>depr</t>
  </si>
  <si>
    <t>engines</t>
  </si>
  <si>
    <t>ties to beginning balance --&gt;</t>
  </si>
  <si>
    <t>adj</t>
  </si>
  <si>
    <t>total</t>
  </si>
  <si>
    <t>schedule</t>
  </si>
  <si>
    <t>disposals</t>
  </si>
  <si>
    <t>ending</t>
  </si>
  <si>
    <t>accum depr</t>
  </si>
  <si>
    <t>&lt;-- diffs</t>
  </si>
  <si>
    <t xml:space="preserve"> **  ties to financial statements, page 5</t>
  </si>
  <si>
    <t xml:space="preserve">  &lt;-- ties fo financial statements, page 5 and 6</t>
  </si>
  <si>
    <t xml:space="preserve">  &lt;-- ties fo financial statements, page 6</t>
  </si>
  <si>
    <t>Supplies/equipment</t>
  </si>
  <si>
    <t>Outside labor</t>
  </si>
  <si>
    <t>consulting services</t>
  </si>
  <si>
    <t>Salaries &amp; Wages</t>
  </si>
  <si>
    <t>&lt;-- ties to financials page 33</t>
  </si>
  <si>
    <t xml:space="preserve">  &lt;-- ties fo financial statements, page 7</t>
  </si>
  <si>
    <t>Principal and related premium</t>
  </si>
  <si>
    <t>Advertising Costs</t>
  </si>
  <si>
    <t>already deducted in CIP Expenses</t>
  </si>
  <si>
    <t>JPZ : Glencoe</t>
  </si>
  <si>
    <t>True up</t>
  </si>
  <si>
    <t xml:space="preserve"> ** ties to financial statements, page 7/19</t>
  </si>
  <si>
    <t>2023-2024</t>
  </si>
  <si>
    <t xml:space="preserve"> *** ties to financial statements, Current + Long Term Debt, page 6/19</t>
  </si>
  <si>
    <t>Line 17 includes $40,045 in other transfers to the City</t>
  </si>
  <si>
    <t>Schedule 7 - audited financials, page 34</t>
  </si>
  <si>
    <t>Schedule 8 - audited financials, page 35</t>
  </si>
  <si>
    <t>Financials, page 34</t>
  </si>
  <si>
    <t>$904.35 was allocated to office expense, acct 4-40-4923-000</t>
  </si>
  <si>
    <t>$1,838 allocated to cip expense, acct 4-40-4932-000</t>
  </si>
  <si>
    <t>Capital Lease</t>
  </si>
  <si>
    <t>Misc</t>
  </si>
  <si>
    <t>Total Electric</t>
  </si>
  <si>
    <t>Related  Premium</t>
  </si>
  <si>
    <t>For the 12 months ended 12/31/17</t>
  </si>
  <si>
    <t>Adjustment</t>
  </si>
  <si>
    <t>Meters</t>
  </si>
  <si>
    <t>Per Audited Financials</t>
  </si>
  <si>
    <t>Difference due to calendar year vs payment received</t>
  </si>
  <si>
    <t>and fixed asset rollfoward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</si>
</sst>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s>
  <fonts count="45">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0"/>
      <name val="Arial"/>
      <family val="2"/>
    </font>
    <font>
      <b/>
      <sz val="12"/>
      <name val="Arial MT"/>
    </font>
    <font>
      <sz val="8"/>
      <color indexed="81"/>
      <name val="Tahoma"/>
      <family val="2"/>
    </font>
    <font>
      <b/>
      <sz val="8"/>
      <color indexed="81"/>
      <name val="Tahoma"/>
      <family val="2"/>
    </font>
    <font>
      <sz val="12"/>
      <color rgb="FFFF0000"/>
      <name val="Arial MT"/>
    </font>
    <font>
      <sz val="11"/>
      <color rgb="FF1F497D"/>
      <name val="Calibri"/>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8">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9">
    <xf numFmtId="172" fontId="0" fillId="0" borderId="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4" fontId="19" fillId="0" borderId="0" applyFont="0" applyFill="0" applyBorder="0" applyAlignment="0" applyProtection="0"/>
    <xf numFmtId="0" fontId="21" fillId="0" borderId="0"/>
    <xf numFmtId="0" fontId="21"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1" fillId="0" borderId="0"/>
    <xf numFmtId="0" fontId="37" fillId="0" borderId="0">
      <alignment wrapText="1"/>
    </xf>
    <xf numFmtId="0" fontId="1" fillId="0" borderId="0"/>
    <xf numFmtId="0" fontId="13" fillId="0" borderId="0"/>
  </cellStyleXfs>
  <cellXfs count="457">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0" fontId="4" fillId="0" borderId="0" xfId="0" applyNumberFormat="1" applyFont="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72" fontId="4" fillId="0" borderId="0" xfId="0" applyFont="1" applyAlignment="1" applyProtection="1"/>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0" fontId="2" fillId="0" borderId="0" xfId="0" applyNumberFormat="1" applyFont="1" applyAlignment="1" applyProtection="1">
      <alignment horizontal="fill"/>
    </xf>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0" fontId="2" fillId="0" borderId="0" xfId="0" applyNumberFormat="1" applyFont="1" applyFill="1" applyAlignment="1" applyProtection="1">
      <alignment horizontal="fill"/>
    </xf>
    <xf numFmtId="3" fontId="2" fillId="0" borderId="0" xfId="0" applyNumberFormat="1" applyFont="1" applyAlignment="1" applyProtection="1">
      <alignment horizontal="left"/>
    </xf>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6"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3" fontId="4" fillId="0" borderId="0" xfId="0" applyNumberFormat="1"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0" fontId="13" fillId="0" borderId="0" xfId="4"/>
    <xf numFmtId="0" fontId="13" fillId="0" borderId="0" xfId="4" applyBorder="1"/>
    <xf numFmtId="37" fontId="13" fillId="0" borderId="0" xfId="4" applyNumberFormat="1" applyBorder="1"/>
    <xf numFmtId="43" fontId="0" fillId="0" borderId="0" xfId="5" applyFont="1" applyBorder="1"/>
    <xf numFmtId="37" fontId="0" fillId="0" borderId="0" xfId="5" applyNumberFormat="1" applyFont="1" applyBorder="1"/>
    <xf numFmtId="173" fontId="14" fillId="0" borderId="12" xfId="6" applyNumberFormat="1" applyFont="1" applyBorder="1"/>
    <xf numFmtId="0" fontId="14" fillId="0" borderId="13" xfId="4" applyFont="1" applyBorder="1"/>
    <xf numFmtId="0" fontId="13" fillId="0" borderId="14" xfId="4" applyBorder="1" applyAlignment="1">
      <alignment horizontal="center"/>
    </xf>
    <xf numFmtId="0" fontId="13" fillId="0" borderId="15" xfId="4" applyBorder="1" applyAlignment="1">
      <alignment horizontal="center"/>
    </xf>
    <xf numFmtId="0" fontId="13" fillId="0" borderId="16" xfId="4" applyBorder="1"/>
    <xf numFmtId="0" fontId="13" fillId="0" borderId="16" xfId="4" applyBorder="1" applyAlignment="1">
      <alignment horizontal="center"/>
    </xf>
    <xf numFmtId="174" fontId="14" fillId="0" borderId="16" xfId="5" applyNumberFormat="1" applyFont="1" applyBorder="1"/>
    <xf numFmtId="0" fontId="14" fillId="0" borderId="16" xfId="4" applyFont="1" applyBorder="1"/>
    <xf numFmtId="174" fontId="14" fillId="0" borderId="12" xfId="5" applyNumberFormat="1" applyFont="1" applyBorder="1"/>
    <xf numFmtId="0" fontId="14" fillId="0" borderId="9" xfId="4" applyFont="1" applyBorder="1"/>
    <xf numFmtId="0" fontId="13" fillId="0" borderId="11" xfId="4" applyBorder="1" applyAlignment="1">
      <alignment horizontal="center"/>
    </xf>
    <xf numFmtId="0" fontId="14" fillId="0" borderId="17" xfId="4" applyFont="1" applyBorder="1"/>
    <xf numFmtId="0" fontId="13" fillId="0" borderId="18" xfId="4" applyBorder="1" applyAlignment="1">
      <alignment horizontal="center"/>
    </xf>
    <xf numFmtId="174" fontId="15" fillId="0" borderId="16" xfId="5" applyNumberFormat="1" applyFont="1" applyBorder="1"/>
    <xf numFmtId="0" fontId="13" fillId="0" borderId="19" xfId="4" quotePrefix="1" applyBorder="1" applyAlignment="1">
      <alignment horizontal="left" indent="1"/>
    </xf>
    <xf numFmtId="0" fontId="13" fillId="0" borderId="19" xfId="4" applyBorder="1" applyAlignment="1">
      <alignment horizontal="center"/>
    </xf>
    <xf numFmtId="0" fontId="13" fillId="0" borderId="19" xfId="4" applyBorder="1" applyAlignment="1">
      <alignment horizontal="left" indent="1"/>
    </xf>
    <xf numFmtId="0" fontId="13" fillId="0" borderId="16" xfId="4" applyBorder="1" applyAlignment="1">
      <alignment horizontal="left" indent="1"/>
    </xf>
    <xf numFmtId="0" fontId="13" fillId="0" borderId="16" xfId="4" applyFill="1" applyBorder="1" applyAlignment="1">
      <alignment horizontal="center"/>
    </xf>
    <xf numFmtId="174" fontId="15" fillId="0" borderId="19" xfId="5" applyNumberFormat="1" applyFont="1" applyBorder="1"/>
    <xf numFmtId="0" fontId="13" fillId="0" borderId="19" xfId="4" applyBorder="1"/>
    <xf numFmtId="0" fontId="13" fillId="0" borderId="19" xfId="4" applyFill="1" applyBorder="1" applyAlignment="1">
      <alignment horizontal="center"/>
    </xf>
    <xf numFmtId="0" fontId="13" fillId="0" borderId="16" xfId="4" applyFill="1" applyBorder="1"/>
    <xf numFmtId="0" fontId="14" fillId="0" borderId="16" xfId="4" applyFont="1" applyBorder="1" applyAlignment="1">
      <alignment horizontal="center"/>
    </xf>
    <xf numFmtId="0" fontId="14" fillId="0" borderId="19" xfId="4" applyFont="1" applyBorder="1" applyAlignment="1">
      <alignment horizontal="center"/>
    </xf>
    <xf numFmtId="0" fontId="13" fillId="0" borderId="18" xfId="4" applyFill="1" applyBorder="1" applyAlignment="1">
      <alignment horizontal="center"/>
    </xf>
    <xf numFmtId="0" fontId="13" fillId="0" borderId="18" xfId="4" applyBorder="1"/>
    <xf numFmtId="0" fontId="13" fillId="0" borderId="18" xfId="4" applyFill="1" applyBorder="1"/>
    <xf numFmtId="0" fontId="14" fillId="0" borderId="9" xfId="4" applyFont="1" applyFill="1" applyBorder="1"/>
    <xf numFmtId="0" fontId="13" fillId="0" borderId="19" xfId="4" applyFill="1" applyBorder="1" applyAlignment="1">
      <alignment horizontal="left" indent="1"/>
    </xf>
    <xf numFmtId="37" fontId="0" fillId="0" borderId="16" xfId="5" applyNumberFormat="1" applyFont="1" applyBorder="1"/>
    <xf numFmtId="0" fontId="14" fillId="0" borderId="21" xfId="4" applyFont="1" applyBorder="1"/>
    <xf numFmtId="0" fontId="13" fillId="0" borderId="8" xfId="4" applyBorder="1" applyAlignment="1">
      <alignment horizontal="center"/>
    </xf>
    <xf numFmtId="0" fontId="14" fillId="0" borderId="20" xfId="4" applyFont="1" applyBorder="1"/>
    <xf numFmtId="0" fontId="13" fillId="0" borderId="5" xfId="4" applyBorder="1" applyAlignment="1">
      <alignment horizontal="center"/>
    </xf>
    <xf numFmtId="0" fontId="13" fillId="0" borderId="7" xfId="4" applyBorder="1"/>
    <xf numFmtId="0" fontId="14" fillId="0" borderId="16" xfId="4" applyFont="1" applyFill="1" applyBorder="1" applyAlignment="1">
      <alignment horizontal="center"/>
    </xf>
    <xf numFmtId="0" fontId="13" fillId="0" borderId="20" xfId="4" applyFill="1" applyBorder="1" applyAlignment="1">
      <alignment horizontal="center"/>
    </xf>
    <xf numFmtId="0" fontId="14" fillId="0" borderId="17" xfId="4" applyFont="1" applyFill="1" applyBorder="1"/>
    <xf numFmtId="0" fontId="13" fillId="0" borderId="22" xfId="4" applyFill="1" applyBorder="1" applyAlignment="1">
      <alignment horizontal="center"/>
    </xf>
    <xf numFmtId="0" fontId="14" fillId="0" borderId="23" xfId="4" applyFont="1" applyFill="1" applyBorder="1"/>
    <xf numFmtId="173" fontId="15" fillId="0" borderId="19" xfId="6" applyNumberFormat="1" applyFont="1" applyBorder="1"/>
    <xf numFmtId="43" fontId="0" fillId="0" borderId="20" xfId="5" applyFont="1" applyBorder="1"/>
    <xf numFmtId="0" fontId="14" fillId="0" borderId="20" xfId="4" applyFont="1" applyBorder="1" applyAlignment="1">
      <alignment horizontal="center"/>
    </xf>
    <xf numFmtId="0" fontId="13" fillId="0" borderId="20" xfId="4" applyBorder="1" applyAlignment="1">
      <alignment horizontal="center"/>
    </xf>
    <xf numFmtId="0" fontId="13" fillId="0" borderId="8" xfId="4" applyBorder="1"/>
    <xf numFmtId="37" fontId="13" fillId="0" borderId="0" xfId="4" applyNumberFormat="1"/>
    <xf numFmtId="173" fontId="14" fillId="0" borderId="24" xfId="6" applyNumberFormat="1" applyFont="1" applyBorder="1"/>
    <xf numFmtId="0" fontId="14" fillId="0" borderId="25" xfId="4" applyFont="1" applyBorder="1"/>
    <xf numFmtId="0" fontId="13" fillId="0" borderId="26" xfId="4" applyBorder="1" applyAlignment="1">
      <alignment horizontal="center"/>
    </xf>
    <xf numFmtId="174" fontId="15" fillId="0" borderId="8" xfId="5" applyNumberFormat="1" applyFont="1" applyBorder="1"/>
    <xf numFmtId="174" fontId="15" fillId="0" borderId="11" xfId="5" applyNumberFormat="1" applyFont="1" applyBorder="1"/>
    <xf numFmtId="0" fontId="13" fillId="0" borderId="11" xfId="4" applyBorder="1"/>
    <xf numFmtId="0" fontId="13" fillId="0" borderId="25" xfId="4" applyBorder="1"/>
    <xf numFmtId="0" fontId="19" fillId="0" borderId="25" xfId="4" applyFont="1" applyBorder="1"/>
    <xf numFmtId="0" fontId="19" fillId="0" borderId="26" xfId="4" applyFont="1" applyBorder="1" applyAlignment="1">
      <alignment horizontal="center"/>
    </xf>
    <xf numFmtId="0" fontId="13" fillId="0" borderId="22" xfId="4" applyBorder="1"/>
    <xf numFmtId="0" fontId="13" fillId="0" borderId="6" xfId="4" applyBorder="1" applyAlignment="1">
      <alignment horizontal="center"/>
    </xf>
    <xf numFmtId="0" fontId="13" fillId="0" borderId="6" xfId="4" applyBorder="1"/>
    <xf numFmtId="0" fontId="13" fillId="0" borderId="20" xfId="4" applyBorder="1"/>
    <xf numFmtId="0" fontId="16" fillId="0" borderId="0" xfId="4" applyFont="1" applyBorder="1" applyAlignment="1">
      <alignment horizontal="left"/>
    </xf>
    <xf numFmtId="0" fontId="13" fillId="0" borderId="0" xfId="4" applyAlignment="1">
      <alignment horizontal="left"/>
    </xf>
    <xf numFmtId="14" fontId="18" fillId="0" borderId="0" xfId="4" applyNumberFormat="1" applyFont="1" applyAlignment="1">
      <alignment horizontal="left"/>
    </xf>
    <xf numFmtId="0" fontId="18" fillId="0" borderId="0" xfId="4" applyFont="1" applyAlignment="1">
      <alignment horizontal="left"/>
    </xf>
    <xf numFmtId="173" fontId="14" fillId="0" borderId="26" xfId="6" applyNumberFormat="1" applyFont="1" applyBorder="1"/>
    <xf numFmtId="173" fontId="14" fillId="0" borderId="28" xfId="6" applyNumberFormat="1" applyFont="1" applyBorder="1"/>
    <xf numFmtId="174" fontId="14" fillId="0" borderId="20" xfId="5" applyNumberFormat="1" applyFont="1" applyBorder="1"/>
    <xf numFmtId="174" fontId="20" fillId="0" borderId="20" xfId="5" applyNumberFormat="1" applyFont="1" applyBorder="1"/>
    <xf numFmtId="37" fontId="14" fillId="0" borderId="19" xfId="4" applyNumberFormat="1" applyFont="1" applyBorder="1"/>
    <xf numFmtId="0" fontId="14" fillId="0" borderId="18" xfId="4" applyFont="1" applyBorder="1"/>
    <xf numFmtId="174" fontId="14" fillId="0" borderId="18" xfId="5" applyNumberFormat="1" applyFont="1" applyBorder="1"/>
    <xf numFmtId="174" fontId="20" fillId="0" borderId="18" xfId="5" applyNumberFormat="1" applyFont="1" applyBorder="1"/>
    <xf numFmtId="173" fontId="14" fillId="0" borderId="19" xfId="6" applyNumberFormat="1" applyFont="1" applyBorder="1"/>
    <xf numFmtId="173" fontId="14" fillId="0" borderId="18" xfId="6" applyNumberFormat="1" applyFont="1" applyBorder="1"/>
    <xf numFmtId="173" fontId="0" fillId="0" borderId="18" xfId="6" applyNumberFormat="1" applyFont="1" applyBorder="1"/>
    <xf numFmtId="173" fontId="15" fillId="0" borderId="18" xfId="6" applyNumberFormat="1" applyFont="1" applyBorder="1"/>
    <xf numFmtId="37" fontId="15" fillId="0" borderId="11" xfId="4" applyNumberFormat="1" applyFont="1" applyBorder="1"/>
    <xf numFmtId="37" fontId="13" fillId="0" borderId="10" xfId="4" applyNumberFormat="1" applyBorder="1"/>
    <xf numFmtId="0" fontId="13" fillId="0" borderId="9" xfId="4" applyBorder="1"/>
    <xf numFmtId="37" fontId="15" fillId="0" borderId="6" xfId="4" applyNumberFormat="1" applyFont="1" applyBorder="1"/>
    <xf numFmtId="173" fontId="14" fillId="0" borderId="27" xfId="6" applyNumberFormat="1" applyFont="1" applyBorder="1"/>
    <xf numFmtId="173" fontId="14" fillId="0" borderId="25" xfId="6" applyNumberFormat="1" applyFont="1" applyBorder="1"/>
    <xf numFmtId="0" fontId="13" fillId="0" borderId="10" xfId="4" applyBorder="1" applyAlignment="1">
      <alignment horizontal="left" indent="1"/>
    </xf>
    <xf numFmtId="37" fontId="13" fillId="0" borderId="8" xfId="4" applyNumberFormat="1" applyBorder="1"/>
    <xf numFmtId="37" fontId="15" fillId="0" borderId="8" xfId="4" applyNumberFormat="1" applyFont="1" applyBorder="1"/>
    <xf numFmtId="37" fontId="15" fillId="0" borderId="8" xfId="4" applyNumberFormat="1" applyFont="1" applyBorder="1" applyAlignment="1">
      <alignment horizontal="right"/>
    </xf>
    <xf numFmtId="174" fontId="0" fillId="0" borderId="11" xfId="5" applyNumberFormat="1" applyFont="1" applyBorder="1"/>
    <xf numFmtId="174" fontId="15" fillId="0" borderId="22" xfId="5" applyNumberFormat="1" applyFont="1" applyBorder="1"/>
    <xf numFmtId="174" fontId="15" fillId="0" borderId="22" xfId="5" applyNumberFormat="1" applyFont="1" applyBorder="1" applyAlignment="1">
      <alignment horizontal="right"/>
    </xf>
    <xf numFmtId="0" fontId="13" fillId="0" borderId="11" xfId="4" applyBorder="1" applyAlignment="1">
      <alignment horizontal="left" indent="1"/>
    </xf>
    <xf numFmtId="0" fontId="13" fillId="0" borderId="29" xfId="4" applyBorder="1"/>
    <xf numFmtId="174" fontId="13" fillId="0" borderId="8" xfId="5" applyNumberFormat="1" applyFont="1" applyBorder="1"/>
    <xf numFmtId="0" fontId="13" fillId="0" borderId="29" xfId="4" applyFill="1" applyBorder="1"/>
    <xf numFmtId="174" fontId="13" fillId="0" borderId="11" xfId="5" applyNumberFormat="1" applyFont="1" applyBorder="1"/>
    <xf numFmtId="0" fontId="13" fillId="0" borderId="10" xfId="4" applyFill="1" applyBorder="1" applyAlignment="1">
      <alignment horizontal="left" indent="1"/>
    </xf>
    <xf numFmtId="0" fontId="13" fillId="0" borderId="0" xfId="4" applyFill="1" applyBorder="1"/>
    <xf numFmtId="0" fontId="13" fillId="0" borderId="10" xfId="4" applyBorder="1"/>
    <xf numFmtId="173" fontId="13" fillId="0" borderId="11" xfId="6" applyNumberFormat="1" applyFont="1" applyBorder="1"/>
    <xf numFmtId="173" fontId="15" fillId="0" borderId="11" xfId="6" applyNumberFormat="1" applyFont="1" applyBorder="1"/>
    <xf numFmtId="37" fontId="13" fillId="0" borderId="20" xfId="4" applyNumberFormat="1" applyBorder="1"/>
    <xf numFmtId="14" fontId="18" fillId="0" borderId="0" xfId="4" applyNumberFormat="1" applyFont="1" applyAlignment="1">
      <alignment horizontal="center"/>
    </xf>
    <xf numFmtId="0" fontId="18" fillId="0" borderId="0" xfId="4" applyFont="1" applyAlignment="1">
      <alignment horizontal="center"/>
    </xf>
    <xf numFmtId="172" fontId="0" fillId="0" borderId="0" xfId="0"/>
    <xf numFmtId="14" fontId="17" fillId="0" borderId="0" xfId="4" applyNumberFormat="1" applyFont="1" applyAlignment="1">
      <alignment horizontal="center"/>
    </xf>
    <xf numFmtId="0" fontId="19" fillId="0" borderId="0" xfId="7"/>
    <xf numFmtId="0" fontId="19" fillId="0" borderId="0" xfId="7" applyAlignment="1">
      <alignment horizontal="center"/>
    </xf>
    <xf numFmtId="0" fontId="19" fillId="0" borderId="0" xfId="7" applyAlignment="1"/>
    <xf numFmtId="0" fontId="23" fillId="0" borderId="0" xfId="7" applyFont="1"/>
    <xf numFmtId="0" fontId="14" fillId="0" borderId="0" xfId="7" applyFont="1"/>
    <xf numFmtId="0" fontId="19" fillId="0" borderId="0" xfId="7" applyAlignment="1">
      <alignment horizontal="left" indent="1"/>
    </xf>
    <xf numFmtId="173" fontId="0" fillId="0" borderId="0" xfId="8" applyNumberFormat="1" applyFont="1"/>
    <xf numFmtId="0" fontId="19" fillId="0" borderId="0" xfId="7" applyFill="1"/>
    <xf numFmtId="0" fontId="24" fillId="0" borderId="0" xfId="7" applyFont="1" applyFill="1"/>
    <xf numFmtId="0" fontId="19" fillId="0" borderId="0" xfId="7" applyFill="1" applyAlignment="1">
      <alignment horizontal="center"/>
    </xf>
    <xf numFmtId="0" fontId="19" fillId="0" borderId="0" xfId="4" applyFont="1"/>
    <xf numFmtId="172" fontId="0" fillId="0" borderId="0" xfId="0" applyFill="1"/>
    <xf numFmtId="0" fontId="19" fillId="0" borderId="0" xfId="4" applyFont="1" applyBorder="1"/>
    <xf numFmtId="0" fontId="18" fillId="0" borderId="0" xfId="7" applyFont="1" applyAlignment="1">
      <alignment horizontal="left" indent="1"/>
    </xf>
    <xf numFmtId="173" fontId="12" fillId="0" borderId="0" xfId="8" applyNumberFormat="1" applyFont="1"/>
    <xf numFmtId="174" fontId="13" fillId="0" borderId="0" xfId="4" applyNumberFormat="1"/>
    <xf numFmtId="0" fontId="18" fillId="0" borderId="0" xfId="4" applyFont="1" applyAlignment="1"/>
    <xf numFmtId="0" fontId="19" fillId="0" borderId="0" xfId="7" applyAlignment="1">
      <alignment horizontal="left" vertical="center"/>
    </xf>
    <xf numFmtId="0" fontId="18"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1" fillId="0" borderId="31" xfId="9" applyFont="1" applyFill="1" applyBorder="1" applyAlignment="1">
      <alignment horizontal="center" wrapText="1"/>
    </xf>
    <xf numFmtId="0" fontId="18" fillId="0" borderId="0" xfId="7" applyFont="1"/>
    <xf numFmtId="0" fontId="18"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2"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3" fillId="0" borderId="0" xfId="9" applyFont="1" applyFill="1" applyBorder="1" applyAlignment="1">
      <alignment horizontal="center" wrapText="1"/>
    </xf>
    <xf numFmtId="175" fontId="33"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18"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2" fillId="0" borderId="31" xfId="12" applyFont="1" applyFill="1" applyBorder="1" applyAlignment="1">
      <alignment horizontal="right" wrapText="1"/>
    </xf>
    <xf numFmtId="44" fontId="32"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3" fontId="26"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1" fillId="0" borderId="31" xfId="2" applyFont="1" applyFill="1" applyBorder="1" applyAlignment="1">
      <alignment horizontal="right" wrapText="1"/>
    </xf>
    <xf numFmtId="43" fontId="30" fillId="0" borderId="30" xfId="2" applyFont="1" applyFill="1" applyBorder="1" applyAlignment="1">
      <alignment horizontal="right" wrapText="1"/>
    </xf>
    <xf numFmtId="172" fontId="12" fillId="0" borderId="0" xfId="0" applyFont="1" applyAlignment="1"/>
    <xf numFmtId="0" fontId="31" fillId="0" borderId="31" xfId="9" applyFont="1" applyFill="1" applyBorder="1" applyAlignment="1">
      <alignment horizontal="left" wrapText="1"/>
    </xf>
    <xf numFmtId="43" fontId="31"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9" fillId="0" borderId="0" xfId="7" applyNumberFormat="1"/>
    <xf numFmtId="174" fontId="32" fillId="11" borderId="31" xfId="12" applyNumberFormat="1" applyFont="1" applyFill="1" applyBorder="1" applyAlignment="1">
      <alignment horizontal="right" wrapText="1"/>
    </xf>
    <xf numFmtId="0" fontId="32" fillId="11" borderId="31" xfId="9" applyFont="1" applyFill="1" applyBorder="1" applyAlignment="1">
      <alignment horizontal="center" wrapText="1"/>
    </xf>
    <xf numFmtId="43" fontId="32" fillId="11" borderId="30" xfId="2" applyFont="1" applyFill="1" applyBorder="1" applyAlignment="1">
      <alignment horizontal="right" wrapText="1"/>
    </xf>
    <xf numFmtId="0" fontId="32" fillId="11" borderId="31" xfId="15" applyFont="1" applyFill="1" applyBorder="1" applyAlignment="1">
      <alignment horizontal="left" wrapText="1"/>
    </xf>
    <xf numFmtId="176" fontId="32" fillId="11" borderId="31" xfId="1" applyNumberFormat="1" applyFont="1" applyFill="1" applyBorder="1" applyAlignment="1">
      <alignment horizontal="right" wrapText="1"/>
    </xf>
    <xf numFmtId="174" fontId="32" fillId="11" borderId="31" xfId="2" applyNumberFormat="1" applyFont="1" applyFill="1" applyBorder="1" applyAlignment="1">
      <alignment horizontal="left" wrapText="1"/>
    </xf>
    <xf numFmtId="0" fontId="31" fillId="11" borderId="31" xfId="9" applyFont="1" applyFill="1" applyBorder="1" applyAlignment="1">
      <alignment horizontal="center" wrapText="1"/>
    </xf>
    <xf numFmtId="0" fontId="31" fillId="11" borderId="31" xfId="9" applyFont="1" applyFill="1" applyBorder="1" applyAlignment="1">
      <alignment wrapText="1"/>
    </xf>
    <xf numFmtId="43" fontId="34" fillId="11" borderId="31" xfId="2" applyFont="1" applyFill="1" applyBorder="1" applyAlignment="1">
      <alignment horizontal="center" wrapText="1"/>
    </xf>
    <xf numFmtId="172" fontId="35" fillId="0" borderId="0" xfId="0" applyFont="1"/>
    <xf numFmtId="172" fontId="36" fillId="0" borderId="0" xfId="0" applyFont="1"/>
    <xf numFmtId="173" fontId="35" fillId="0" borderId="0" xfId="3" applyNumberFormat="1" applyFont="1"/>
    <xf numFmtId="43" fontId="33" fillId="0" borderId="0" xfId="2" applyFont="1"/>
    <xf numFmtId="0" fontId="18"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43" fontId="32" fillId="11" borderId="31" xfId="2" applyFont="1" applyFill="1" applyBorder="1" applyAlignment="1">
      <alignment horizontal="right" wrapText="1"/>
    </xf>
    <xf numFmtId="0" fontId="13" fillId="0" borderId="0" xfId="4" applyFont="1"/>
    <xf numFmtId="0" fontId="30" fillId="0" borderId="31" xfId="15" applyFont="1" applyFill="1" applyBorder="1" applyAlignment="1">
      <alignment horizontal="right" wrapText="1"/>
    </xf>
    <xf numFmtId="0" fontId="32" fillId="11" borderId="31" xfId="15" applyFont="1" applyFill="1" applyBorder="1" applyAlignment="1">
      <alignment horizontal="right" wrapText="1"/>
    </xf>
    <xf numFmtId="177" fontId="28" fillId="10" borderId="0" xfId="2" applyNumberFormat="1" applyFont="1" applyFill="1" applyAlignment="1">
      <alignment horizontal="right"/>
    </xf>
    <xf numFmtId="173" fontId="28" fillId="10" borderId="0" xfId="3" applyNumberFormat="1" applyFont="1" applyFill="1" applyAlignment="1">
      <alignment horizontal="right"/>
    </xf>
    <xf numFmtId="0" fontId="17" fillId="0" borderId="0" xfId="4" applyFont="1" applyAlignment="1">
      <alignment horizontal="center"/>
    </xf>
    <xf numFmtId="43" fontId="19" fillId="0" borderId="0" xfId="7" applyNumberFormat="1" applyFill="1"/>
    <xf numFmtId="172" fontId="28" fillId="10" borderId="0" xfId="3" applyNumberFormat="1" applyFont="1" applyFill="1" applyAlignment="1">
      <alignment horizontal="right"/>
    </xf>
    <xf numFmtId="3" fontId="18" fillId="0" borderId="0" xfId="7" applyNumberFormat="1" applyFont="1"/>
    <xf numFmtId="174" fontId="18" fillId="0" borderId="0" xfId="7" applyNumberFormat="1" applyFont="1"/>
    <xf numFmtId="0" fontId="13" fillId="0" borderId="0" xfId="7" applyFont="1"/>
    <xf numFmtId="172" fontId="38" fillId="0" borderId="0" xfId="0" applyFont="1" applyAlignment="1"/>
    <xf numFmtId="0" fontId="30" fillId="0" borderId="31" xfId="15" applyFont="1" applyFill="1" applyBorder="1" applyAlignment="1">
      <alignment horizontal="left"/>
    </xf>
    <xf numFmtId="43" fontId="30" fillId="0" borderId="31" xfId="2" applyFont="1" applyFill="1" applyBorder="1" applyAlignment="1">
      <alignment horizontal="left"/>
    </xf>
    <xf numFmtId="43" fontId="19" fillId="0" borderId="0" xfId="2" applyFont="1" applyFill="1"/>
    <xf numFmtId="0" fontId="13" fillId="0" borderId="0" xfId="7" applyFont="1" applyFill="1"/>
    <xf numFmtId="0" fontId="30" fillId="0" borderId="0" xfId="15" applyFont="1" applyFill="1" applyBorder="1" applyAlignment="1">
      <alignment horizontal="left" wrapText="1"/>
    </xf>
    <xf numFmtId="174" fontId="30" fillId="0" borderId="0" xfId="12" applyNumberFormat="1" applyFont="1" applyFill="1" applyBorder="1" applyAlignment="1">
      <alignment horizontal="right" wrapText="1"/>
    </xf>
    <xf numFmtId="174" fontId="18" fillId="0" borderId="0" xfId="2" applyNumberFormat="1" applyFont="1"/>
    <xf numFmtId="174" fontId="0" fillId="8" borderId="0" xfId="2" applyNumberFormat="1" applyFont="1" applyFill="1"/>
    <xf numFmtId="174" fontId="38" fillId="0" borderId="0" xfId="2" applyNumberFormat="1" applyFont="1" applyAlignment="1"/>
    <xf numFmtId="174" fontId="0" fillId="0" borderId="0" xfId="2" applyNumberFormat="1" applyFont="1" applyAlignment="1"/>
    <xf numFmtId="172" fontId="0" fillId="0" borderId="0" xfId="0" applyAlignment="1">
      <alignment horizontal="right"/>
    </xf>
    <xf numFmtId="172" fontId="0" fillId="0" borderId="0" xfId="0" applyAlignment="1">
      <alignment horizontal="center"/>
    </xf>
    <xf numFmtId="172" fontId="36" fillId="0" borderId="0" xfId="0" applyFont="1" applyAlignment="1">
      <alignment horizontal="center"/>
    </xf>
    <xf numFmtId="172" fontId="38" fillId="0" borderId="0" xfId="0" applyFont="1" applyAlignment="1">
      <alignment horizontal="center"/>
    </xf>
    <xf numFmtId="174" fontId="41" fillId="0" borderId="0" xfId="2" applyNumberFormat="1" applyFont="1" applyAlignment="1"/>
    <xf numFmtId="172" fontId="41" fillId="0" borderId="0" xfId="0" applyFont="1" applyAlignment="1"/>
    <xf numFmtId="172" fontId="13" fillId="0" borderId="0" xfId="0" applyFont="1" applyFill="1"/>
    <xf numFmtId="43" fontId="19" fillId="0" borderId="0" xfId="7" applyNumberFormat="1"/>
    <xf numFmtId="43" fontId="30" fillId="0" borderId="30" xfId="2" applyFont="1" applyFill="1" applyBorder="1" applyAlignment="1">
      <alignment horizontal="right" wrapText="1"/>
    </xf>
    <xf numFmtId="172" fontId="42" fillId="0" borderId="0" xfId="0" applyFont="1" applyAlignment="1">
      <alignment vertical="center"/>
    </xf>
    <xf numFmtId="14" fontId="30" fillId="0" borderId="31" xfId="15" applyNumberFormat="1" applyFont="1" applyFill="1" applyBorder="1" applyAlignment="1">
      <alignment horizontal="right" wrapText="1"/>
    </xf>
    <xf numFmtId="174" fontId="27" fillId="0" borderId="0" xfId="7" applyNumberFormat="1" applyFont="1"/>
    <xf numFmtId="43" fontId="18" fillId="0" borderId="0" xfId="7" applyNumberFormat="1" applyFont="1"/>
    <xf numFmtId="37" fontId="0" fillId="0" borderId="16" xfId="5" applyNumberFormat="1" applyFont="1" applyFill="1" applyBorder="1"/>
    <xf numFmtId="173" fontId="15" fillId="0" borderId="19" xfId="6" applyNumberFormat="1" applyFont="1" applyFill="1" applyBorder="1"/>
    <xf numFmtId="37" fontId="15" fillId="0" borderId="18" xfId="5" applyNumberFormat="1" applyFont="1" applyFill="1" applyBorder="1"/>
    <xf numFmtId="37" fontId="15" fillId="0" borderId="16" xfId="5" applyNumberFormat="1" applyFont="1" applyFill="1" applyBorder="1"/>
    <xf numFmtId="37" fontId="14" fillId="0" borderId="12" xfId="5" applyNumberFormat="1" applyFont="1" applyFill="1" applyBorder="1"/>
    <xf numFmtId="37" fontId="15" fillId="0" borderId="8" xfId="5" applyNumberFormat="1" applyFont="1" applyFill="1" applyBorder="1"/>
    <xf numFmtId="37" fontId="14" fillId="0" borderId="20" xfId="5" applyNumberFormat="1" applyFont="1" applyFill="1" applyBorder="1"/>
    <xf numFmtId="174" fontId="15" fillId="0" borderId="19" xfId="5" applyNumberFormat="1" applyFont="1" applyFill="1" applyBorder="1"/>
    <xf numFmtId="174" fontId="0" fillId="0" borderId="16" xfId="5" applyNumberFormat="1" applyFont="1" applyFill="1" applyBorder="1"/>
    <xf numFmtId="174" fontId="15" fillId="0" borderId="20" xfId="5" applyNumberFormat="1" applyFont="1" applyFill="1" applyBorder="1"/>
    <xf numFmtId="174" fontId="14" fillId="0" borderId="12" xfId="5" applyNumberFormat="1" applyFont="1" applyFill="1" applyBorder="1"/>
    <xf numFmtId="174" fontId="15" fillId="0" borderId="18" xfId="5" applyNumberFormat="1" applyFont="1" applyFill="1" applyBorder="1"/>
    <xf numFmtId="174" fontId="15" fillId="0" borderId="16" xfId="5" applyNumberFormat="1" applyFont="1" applyFill="1" applyBorder="1"/>
    <xf numFmtId="37" fontId="0" fillId="0" borderId="18" xfId="5" applyNumberFormat="1" applyFont="1" applyFill="1" applyBorder="1"/>
    <xf numFmtId="37" fontId="15" fillId="0" borderId="19" xfId="5" applyNumberFormat="1" applyFont="1" applyFill="1" applyBorder="1"/>
    <xf numFmtId="37" fontId="0" fillId="0" borderId="19" xfId="5" applyNumberFormat="1" applyFont="1" applyFill="1" applyBorder="1"/>
    <xf numFmtId="174" fontId="0" fillId="0" borderId="19" xfId="5" applyNumberFormat="1" applyFont="1" applyFill="1" applyBorder="1"/>
    <xf numFmtId="173" fontId="14" fillId="0" borderId="12" xfId="6" applyNumberFormat="1" applyFont="1" applyFill="1" applyBorder="1"/>
    <xf numFmtId="173" fontId="20" fillId="0" borderId="11" xfId="6" applyNumberFormat="1" applyFont="1" applyFill="1" applyBorder="1"/>
    <xf numFmtId="174" fontId="20" fillId="0" borderId="11" xfId="5" applyNumberFormat="1" applyFont="1" applyFill="1" applyBorder="1"/>
    <xf numFmtId="174" fontId="20" fillId="0" borderId="22" xfId="5" applyNumberFormat="1" applyFont="1" applyFill="1" applyBorder="1"/>
    <xf numFmtId="174" fontId="20" fillId="0" borderId="8" xfId="5" applyNumberFormat="1" applyFont="1" applyFill="1" applyBorder="1"/>
    <xf numFmtId="174" fontId="14" fillId="0" borderId="27" xfId="5" applyNumberFormat="1" applyFont="1" applyFill="1" applyBorder="1"/>
    <xf numFmtId="174" fontId="15" fillId="0" borderId="8" xfId="5" applyNumberFormat="1" applyFont="1" applyFill="1" applyBorder="1"/>
    <xf numFmtId="174" fontId="15" fillId="0" borderId="11" xfId="5" applyNumberFormat="1" applyFont="1" applyFill="1" applyBorder="1"/>
    <xf numFmtId="0" fontId="19" fillId="8" borderId="0" xfId="7" applyFill="1" applyBorder="1"/>
    <xf numFmtId="0" fontId="30" fillId="8" borderId="0" xfId="15" applyFont="1" applyFill="1" applyBorder="1" applyAlignment="1">
      <alignment horizontal="center"/>
    </xf>
    <xf numFmtId="0" fontId="30" fillId="8" borderId="0" xfId="15" applyFont="1" applyFill="1" applyBorder="1" applyAlignment="1">
      <alignment horizontal="left" wrapText="1"/>
    </xf>
    <xf numFmtId="176" fontId="30" fillId="8" borderId="0" xfId="1" applyNumberFormat="1" applyFont="1" applyFill="1" applyBorder="1" applyAlignment="1">
      <alignment horizontal="right" wrapText="1"/>
    </xf>
    <xf numFmtId="174" fontId="30" fillId="8" borderId="0" xfId="2" applyNumberFormat="1" applyFont="1" applyFill="1" applyBorder="1" applyAlignment="1">
      <alignment horizontal="left" wrapText="1"/>
    </xf>
    <xf numFmtId="0" fontId="32" fillId="8" borderId="0" xfId="15" applyFont="1" applyFill="1" applyBorder="1" applyAlignment="1">
      <alignment horizontal="left" wrapText="1"/>
    </xf>
    <xf numFmtId="176" fontId="32" fillId="8" borderId="0" xfId="1" applyNumberFormat="1" applyFont="1" applyFill="1" applyBorder="1" applyAlignment="1">
      <alignment horizontal="right" wrapText="1"/>
    </xf>
    <xf numFmtId="174" fontId="32" fillId="8" borderId="0" xfId="2" applyNumberFormat="1" applyFont="1" applyFill="1" applyBorder="1" applyAlignment="1">
      <alignment horizontal="left" wrapText="1"/>
    </xf>
    <xf numFmtId="174" fontId="13" fillId="0" borderId="8" xfId="5" applyNumberFormat="1" applyFont="1" applyFill="1" applyBorder="1"/>
    <xf numFmtId="174" fontId="13" fillId="0" borderId="11" xfId="5" applyNumberFormat="1" applyFont="1" applyFill="1" applyBorder="1"/>
    <xf numFmtId="174" fontId="15" fillId="0" borderId="22" xfId="5" applyNumberFormat="1" applyFont="1" applyFill="1" applyBorder="1"/>
    <xf numFmtId="174" fontId="13" fillId="0" borderId="22" xfId="5" applyNumberFormat="1" applyFont="1" applyFill="1" applyBorder="1"/>
    <xf numFmtId="173" fontId="14" fillId="0" borderId="28" xfId="6" applyNumberFormat="1" applyFont="1" applyFill="1" applyBorder="1"/>
    <xf numFmtId="173" fontId="14" fillId="0" borderId="25" xfId="6" applyNumberFormat="1" applyFont="1" applyFill="1" applyBorder="1"/>
    <xf numFmtId="173" fontId="14" fillId="0" borderId="27" xfId="6" applyNumberFormat="1" applyFont="1" applyFill="1" applyBorder="1"/>
    <xf numFmtId="37" fontId="15" fillId="0" borderId="8" xfId="4" applyNumberFormat="1" applyFont="1" applyFill="1" applyBorder="1"/>
    <xf numFmtId="37" fontId="13" fillId="0" borderId="8" xfId="4" applyNumberFormat="1" applyFill="1" applyBorder="1"/>
    <xf numFmtId="174" fontId="15" fillId="0" borderId="11" xfId="5" applyNumberFormat="1" applyFont="1" applyFill="1" applyBorder="1" applyAlignment="1">
      <alignment horizontal="right"/>
    </xf>
    <xf numFmtId="174" fontId="0" fillId="0" borderId="11" xfId="5" applyNumberFormat="1" applyFont="1" applyFill="1" applyBorder="1"/>
    <xf numFmtId="174" fontId="15" fillId="0" borderId="8" xfId="5" applyNumberFormat="1" applyFont="1" applyFill="1" applyBorder="1" applyAlignment="1">
      <alignment horizontal="right"/>
    </xf>
    <xf numFmtId="174" fontId="0" fillId="0" borderId="8" xfId="5" applyNumberFormat="1" applyFont="1" applyFill="1" applyBorder="1"/>
    <xf numFmtId="174" fontId="15" fillId="0" borderId="22" xfId="5" applyNumberFormat="1" applyFont="1" applyFill="1" applyBorder="1" applyAlignment="1">
      <alignment horizontal="right"/>
    </xf>
    <xf numFmtId="0" fontId="2" fillId="0" borderId="0" xfId="0" applyNumberFormat="1" applyFont="1" applyFill="1" applyBorder="1" applyAlignment="1" applyProtection="1">
      <alignment horizontal="center"/>
    </xf>
    <xf numFmtId="0" fontId="2" fillId="0" borderId="0" xfId="0" applyNumberFormat="1" applyFont="1" applyAlignment="1" applyProtection="1">
      <alignment vertical="top" wrapText="1"/>
    </xf>
    <xf numFmtId="3" fontId="2" fillId="0" borderId="0" xfId="0" applyNumberFormat="1" applyFont="1" applyAlignment="1" applyProtection="1">
      <alignment horizontal="right"/>
    </xf>
    <xf numFmtId="0" fontId="2" fillId="0" borderId="0" xfId="0" applyNumberFormat="1" applyFont="1" applyFill="1" applyAlignment="1" applyProtection="1">
      <alignment vertical="top" wrapText="1"/>
    </xf>
    <xf numFmtId="0" fontId="17" fillId="0" borderId="0" xfId="4" applyFont="1" applyAlignment="1">
      <alignment horizontal="center"/>
    </xf>
    <xf numFmtId="0" fontId="18" fillId="0" borderId="0" xfId="4" applyFont="1" applyAlignment="1">
      <alignment horizontal="center"/>
    </xf>
    <xf numFmtId="14" fontId="17" fillId="0" borderId="0" xfId="4" applyNumberFormat="1" applyFont="1" applyAlignment="1">
      <alignment horizontal="center"/>
    </xf>
    <xf numFmtId="0" fontId="16" fillId="0" borderId="10" xfId="4" applyFont="1" applyBorder="1" applyAlignment="1">
      <alignment horizontal="center"/>
    </xf>
    <xf numFmtId="0" fontId="14" fillId="0" borderId="10" xfId="4" applyFont="1" applyBorder="1" applyAlignment="1">
      <alignment horizontal="center"/>
    </xf>
    <xf numFmtId="0" fontId="13" fillId="0" borderId="4" xfId="4" applyBorder="1" applyAlignment="1">
      <alignment horizontal="left"/>
    </xf>
    <xf numFmtId="0" fontId="13" fillId="0" borderId="5" xfId="4" applyBorder="1" applyAlignment="1">
      <alignment horizontal="left"/>
    </xf>
    <xf numFmtId="0" fontId="18" fillId="6" borderId="33" xfId="7" applyFont="1" applyFill="1" applyBorder="1" applyAlignment="1">
      <alignment horizontal="center"/>
    </xf>
    <xf numFmtId="0" fontId="18" fillId="6" borderId="35" xfId="7" applyFont="1" applyFill="1" applyBorder="1" applyAlignment="1">
      <alignment horizontal="center"/>
    </xf>
    <xf numFmtId="0" fontId="18" fillId="6" borderId="36" xfId="7" applyFont="1" applyFill="1" applyBorder="1" applyAlignment="1">
      <alignment horizontal="center"/>
    </xf>
    <xf numFmtId="0" fontId="18" fillId="7" borderId="33" xfId="7" applyFont="1" applyFill="1" applyBorder="1" applyAlignment="1">
      <alignment horizontal="center"/>
    </xf>
    <xf numFmtId="0" fontId="18" fillId="7" borderId="35" xfId="7" applyFont="1" applyFill="1" applyBorder="1" applyAlignment="1">
      <alignment horizontal="center"/>
    </xf>
    <xf numFmtId="0" fontId="18" fillId="7" borderId="36" xfId="7" applyFont="1" applyFill="1" applyBorder="1" applyAlignment="1">
      <alignment horizontal="center"/>
    </xf>
    <xf numFmtId="0" fontId="22" fillId="0" borderId="0" xfId="7" applyFont="1" applyBorder="1" applyAlignment="1">
      <alignment horizontal="center"/>
    </xf>
    <xf numFmtId="0" fontId="22" fillId="0" borderId="37" xfId="7" applyFont="1" applyBorder="1" applyAlignment="1">
      <alignment horizontal="center"/>
    </xf>
    <xf numFmtId="0" fontId="26" fillId="0" borderId="0" xfId="4" applyFont="1" applyAlignment="1">
      <alignment horizontal="left" vertical="center"/>
    </xf>
  </cellXfs>
  <cellStyles count="19">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 3 2" xfId="18"/>
    <cellStyle name="Normal 4" xfId="17"/>
    <cellStyle name="Normal 7" xfId="16"/>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647</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579</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1097921.0595546982</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582308</v>
      </c>
      <c r="E15" s="17"/>
      <c r="F15" s="17" t="str">
        <f>+F14</f>
        <v>TP</v>
      </c>
      <c r="G15" s="27">
        <f>+G14</f>
        <v>1</v>
      </c>
      <c r="H15" s="17"/>
      <c r="I15" s="17">
        <f>+G15*D15</f>
        <v>582308</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582308</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515613.05955469818</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12190</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12190</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42.298036058629876</v>
      </c>
      <c r="E36" s="11"/>
      <c r="F36" s="11"/>
      <c r="G36" s="11"/>
      <c r="H36" s="11"/>
      <c r="J36" s="11"/>
      <c r="K36" s="11"/>
      <c r="L36" s="11"/>
      <c r="N36" s="11"/>
      <c r="O36" s="11"/>
      <c r="P36" s="11"/>
    </row>
    <row r="37" spans="1:16">
      <c r="A37" s="13">
        <v>17</v>
      </c>
      <c r="B37" s="9" t="s">
        <v>301</v>
      </c>
      <c r="C37" s="11"/>
      <c r="D37" s="39">
        <f>+D36/12</f>
        <v>3.5248363382191563</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0.81342377035826685</v>
      </c>
      <c r="E40" s="11"/>
      <c r="F40" s="11"/>
      <c r="G40" s="11"/>
      <c r="H40" s="11"/>
      <c r="I40" s="42">
        <f>+D36/52</f>
        <v>0.81342377035826685</v>
      </c>
      <c r="J40" s="11"/>
      <c r="K40" s="11"/>
      <c r="L40" s="11"/>
      <c r="N40" s="11"/>
      <c r="O40" s="11"/>
      <c r="P40" s="11"/>
    </row>
    <row r="41" spans="1:16">
      <c r="A41" s="13">
        <v>19</v>
      </c>
      <c r="B41" s="9" t="s">
        <v>31</v>
      </c>
      <c r="C41" s="11" t="s">
        <v>249</v>
      </c>
      <c r="D41" s="39">
        <f>+D36/260</f>
        <v>0.16268475407165336</v>
      </c>
      <c r="E41" s="11" t="s">
        <v>32</v>
      </c>
      <c r="G41" s="11"/>
      <c r="H41" s="11"/>
      <c r="I41" s="42">
        <f>+D36/365</f>
        <v>0.1158850302976161</v>
      </c>
      <c r="J41" s="11"/>
      <c r="K41" s="11"/>
      <c r="L41" s="11"/>
      <c r="N41" s="11"/>
      <c r="O41" s="11"/>
      <c r="P41" s="11"/>
    </row>
    <row r="42" spans="1:16">
      <c r="A42" s="13">
        <v>20</v>
      </c>
      <c r="B42" s="9" t="s">
        <v>33</v>
      </c>
      <c r="C42" s="11" t="s">
        <v>250</v>
      </c>
      <c r="D42" s="39">
        <f>+D36/4160*1000</f>
        <v>10.167797129478336</v>
      </c>
      <c r="E42" s="11" t="s">
        <v>34</v>
      </c>
      <c r="G42" s="11"/>
      <c r="H42" s="11"/>
      <c r="I42" s="42">
        <f>+D36/8760*1000</f>
        <v>4.8285429290673374</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Glencoe,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15740826</v>
      </c>
      <c r="E83" s="17"/>
      <c r="F83" s="17" t="s">
        <v>52</v>
      </c>
      <c r="G83" s="53" t="s">
        <v>2</v>
      </c>
      <c r="H83" s="17"/>
      <c r="I83" s="17" t="s">
        <v>2</v>
      </c>
      <c r="J83" s="17"/>
      <c r="K83" s="17"/>
      <c r="L83" s="9"/>
      <c r="O83" s="17"/>
      <c r="P83" s="9"/>
    </row>
    <row r="84" spans="1:16">
      <c r="A84" s="13">
        <v>2</v>
      </c>
      <c r="B84" s="9" t="s">
        <v>53</v>
      </c>
      <c r="C84" s="17" t="s">
        <v>252</v>
      </c>
      <c r="D84" s="52">
        <f>TransmissionPlant</f>
        <v>9702416</v>
      </c>
      <c r="E84" s="17"/>
      <c r="F84" s="17" t="s">
        <v>12</v>
      </c>
      <c r="G84" s="53">
        <f>I220</f>
        <v>1</v>
      </c>
      <c r="H84" s="17"/>
      <c r="I84" s="17">
        <f>+G84*D84</f>
        <v>9702416</v>
      </c>
      <c r="J84" s="17"/>
      <c r="K84" s="17"/>
      <c r="L84" s="9"/>
      <c r="O84" s="17"/>
      <c r="P84" s="9"/>
    </row>
    <row r="85" spans="1:16">
      <c r="A85" s="13">
        <v>3</v>
      </c>
      <c r="B85" s="9" t="s">
        <v>54</v>
      </c>
      <c r="C85" s="17" t="s">
        <v>253</v>
      </c>
      <c r="D85" s="52">
        <f>DistributionPlant</f>
        <v>10242604</v>
      </c>
      <c r="E85" s="17"/>
      <c r="F85" s="17" t="s">
        <v>52</v>
      </c>
      <c r="G85" s="53" t="s">
        <v>2</v>
      </c>
      <c r="H85" s="17"/>
      <c r="I85" s="17" t="s">
        <v>2</v>
      </c>
      <c r="J85" s="17"/>
      <c r="K85" s="17"/>
      <c r="L85" s="9"/>
      <c r="O85" s="17"/>
      <c r="P85" s="9"/>
    </row>
    <row r="86" spans="1:16">
      <c r="A86" s="13">
        <v>4</v>
      </c>
      <c r="B86" s="9" t="s">
        <v>55</v>
      </c>
      <c r="C86" s="17" t="s">
        <v>282</v>
      </c>
      <c r="D86" s="52">
        <f>GeneralPlant</f>
        <v>1959443</v>
      </c>
      <c r="E86" s="17"/>
      <c r="F86" s="17" t="s">
        <v>56</v>
      </c>
      <c r="G86" s="53">
        <f>I236</f>
        <v>1.4505887122475128E-2</v>
      </c>
      <c r="H86" s="17"/>
      <c r="I86" s="17">
        <f>+G86*D86</f>
        <v>28423.458980924031</v>
      </c>
      <c r="J86" s="17"/>
      <c r="K86" s="17"/>
      <c r="L86" s="9"/>
      <c r="O86" s="13"/>
      <c r="P86" s="9"/>
    </row>
    <row r="87" spans="1:16" ht="16.5" thickBot="1">
      <c r="A87" s="13">
        <v>5</v>
      </c>
      <c r="B87" s="9" t="s">
        <v>57</v>
      </c>
      <c r="C87" s="17"/>
      <c r="D87" s="54">
        <v>0</v>
      </c>
      <c r="E87" s="17"/>
      <c r="F87" s="17" t="s">
        <v>58</v>
      </c>
      <c r="G87" s="53">
        <f>K240</f>
        <v>1.4505887122475128E-2</v>
      </c>
      <c r="H87" s="17"/>
      <c r="I87" s="30">
        <f>+G87*D87</f>
        <v>0</v>
      </c>
      <c r="J87" s="17"/>
      <c r="K87" s="17"/>
      <c r="L87" s="9"/>
      <c r="O87" s="13"/>
      <c r="P87" s="9"/>
    </row>
    <row r="88" spans="1:16">
      <c r="A88" s="13">
        <v>6</v>
      </c>
      <c r="B88" s="9" t="s">
        <v>212</v>
      </c>
      <c r="C88" s="17"/>
      <c r="D88" s="17">
        <f>SUM(D83:D87)</f>
        <v>37645289</v>
      </c>
      <c r="E88" s="17"/>
      <c r="F88" s="17" t="s">
        <v>59</v>
      </c>
      <c r="G88" s="55">
        <f>IF(I88&gt;0,I88/D88,0)</f>
        <v>0.25848757487240764</v>
      </c>
      <c r="H88" s="17"/>
      <c r="I88" s="17">
        <f>SUM(I83:I87)</f>
        <v>9730839.4589809235</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12243866</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2550177</v>
      </c>
      <c r="E92" s="17"/>
      <c r="F92" s="17" t="str">
        <f t="shared" si="0"/>
        <v>TP</v>
      </c>
      <c r="G92" s="53">
        <f t="shared" si="0"/>
        <v>1</v>
      </c>
      <c r="H92" s="17"/>
      <c r="I92" s="17">
        <f>+G92*D92</f>
        <v>2550177</v>
      </c>
      <c r="J92" s="17"/>
      <c r="K92" s="17"/>
      <c r="L92" s="9"/>
      <c r="N92" s="17"/>
      <c r="O92" s="17"/>
      <c r="P92" s="9"/>
    </row>
    <row r="93" spans="1:16">
      <c r="A93" s="13">
        <v>9</v>
      </c>
      <c r="B93" s="9" t="str">
        <f>+B85</f>
        <v xml:space="preserve">  Distribution</v>
      </c>
      <c r="D93" s="56">
        <f>DistributionPlantAD</f>
        <v>6291163</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1080066</v>
      </c>
      <c r="E94" s="17"/>
      <c r="F94" s="17" t="str">
        <f t="shared" si="0"/>
        <v>W/S</v>
      </c>
      <c r="G94" s="53">
        <f t="shared" si="0"/>
        <v>1.4505887122475128E-2</v>
      </c>
      <c r="H94" s="17"/>
      <c r="I94" s="17">
        <f>+G94*D94</f>
        <v>15667.315480823221</v>
      </c>
      <c r="J94" s="17"/>
      <c r="K94" s="17"/>
      <c r="L94" s="9"/>
      <c r="N94" s="17"/>
      <c r="O94" s="13"/>
      <c r="P94" s="9"/>
    </row>
    <row r="95" spans="1:16" ht="16.5" thickBot="1">
      <c r="A95" s="13">
        <v>11</v>
      </c>
      <c r="B95" s="9" t="str">
        <f>+B87</f>
        <v xml:space="preserve">  Common</v>
      </c>
      <c r="C95" s="17"/>
      <c r="D95" s="54">
        <v>0</v>
      </c>
      <c r="E95" s="17"/>
      <c r="F95" s="17" t="str">
        <f t="shared" si="0"/>
        <v>CE</v>
      </c>
      <c r="G95" s="53">
        <f t="shared" si="0"/>
        <v>1.4505887122475128E-2</v>
      </c>
      <c r="H95" s="17"/>
      <c r="I95" s="30">
        <f>+G95*D95</f>
        <v>0</v>
      </c>
      <c r="J95" s="17"/>
      <c r="K95" s="17"/>
      <c r="L95" s="9"/>
      <c r="N95" s="17"/>
      <c r="O95" s="13"/>
      <c r="P95" s="9"/>
    </row>
    <row r="96" spans="1:16">
      <c r="A96" s="13">
        <v>12</v>
      </c>
      <c r="B96" s="9" t="s">
        <v>213</v>
      </c>
      <c r="C96" s="17"/>
      <c r="D96" s="17">
        <f>SUM(D91:D95)</f>
        <v>22165272</v>
      </c>
      <c r="E96" s="17"/>
      <c r="F96" s="17"/>
      <c r="G96" s="17"/>
      <c r="H96" s="17"/>
      <c r="I96" s="17">
        <f>SUM(I91:I95)</f>
        <v>2565844.3154808232</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3496960</v>
      </c>
      <c r="E99" s="17"/>
      <c r="F99" s="17"/>
      <c r="G99" s="55"/>
      <c r="H99" s="17"/>
      <c r="I99" s="17" t="s">
        <v>2</v>
      </c>
      <c r="J99" s="17"/>
      <c r="K99" s="55"/>
      <c r="L99" s="9"/>
      <c r="N99" s="17"/>
      <c r="O99" s="17"/>
      <c r="P99" s="9"/>
    </row>
    <row r="100" spans="1:16">
      <c r="A100" s="13">
        <v>14</v>
      </c>
      <c r="B100" s="9" t="str">
        <f>+B92</f>
        <v xml:space="preserve">  Transmission</v>
      </c>
      <c r="C100" s="17" t="s">
        <v>215</v>
      </c>
      <c r="D100" s="17">
        <f>D84-D92</f>
        <v>7152239</v>
      </c>
      <c r="E100" s="17"/>
      <c r="F100" s="17"/>
      <c r="G100" s="53"/>
      <c r="H100" s="17"/>
      <c r="I100" s="17">
        <f>I84-I92</f>
        <v>7152239</v>
      </c>
      <c r="J100" s="17"/>
      <c r="K100" s="55"/>
      <c r="L100" s="9"/>
      <c r="N100" s="17"/>
      <c r="O100" s="17"/>
      <c r="P100" s="9"/>
    </row>
    <row r="101" spans="1:16">
      <c r="A101" s="13">
        <v>15</v>
      </c>
      <c r="B101" s="9" t="str">
        <f>+B93</f>
        <v xml:space="preserve">  Distribution</v>
      </c>
      <c r="C101" s="17" t="s">
        <v>216</v>
      </c>
      <c r="D101" s="17">
        <f>D85-D93</f>
        <v>3951441</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879377</v>
      </c>
      <c r="E102" s="17"/>
      <c r="F102" s="17"/>
      <c r="G102" s="55"/>
      <c r="H102" s="17"/>
      <c r="I102" s="17">
        <f>I86-I94</f>
        <v>12756.14350010081</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15480017</v>
      </c>
      <c r="E104" s="17"/>
      <c r="F104" s="17" t="s">
        <v>61</v>
      </c>
      <c r="G104" s="55">
        <f>IF(I104&gt;0,I104/D104,0)</f>
        <v>0.46285447512752093</v>
      </c>
      <c r="H104" s="17"/>
      <c r="I104" s="17">
        <f>SUM(I99:I103)</f>
        <v>7164995.1435001008</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0.46285447512752093</v>
      </c>
      <c r="H108" s="17"/>
      <c r="I108" s="17">
        <f>D108*G108</f>
        <v>0</v>
      </c>
      <c r="J108" s="17"/>
      <c r="K108" s="55"/>
      <c r="L108" s="9"/>
      <c r="N108" s="55"/>
      <c r="O108" s="13"/>
      <c r="P108" s="9"/>
    </row>
    <row r="109" spans="1:16">
      <c r="A109" s="13">
        <v>21</v>
      </c>
      <c r="B109" s="9" t="s">
        <v>65</v>
      </c>
      <c r="C109" s="17"/>
      <c r="D109" s="52">
        <v>0</v>
      </c>
      <c r="E109" s="17"/>
      <c r="F109" s="17" t="s">
        <v>63</v>
      </c>
      <c r="G109" s="53">
        <f>+G108</f>
        <v>0.46285447512752093</v>
      </c>
      <c r="H109" s="17"/>
      <c r="I109" s="17">
        <f>D109*G109</f>
        <v>0</v>
      </c>
      <c r="J109" s="17"/>
      <c r="K109" s="55"/>
      <c r="L109" s="9"/>
      <c r="N109" s="55"/>
      <c r="O109" s="13"/>
      <c r="P109" s="9"/>
    </row>
    <row r="110" spans="1:16">
      <c r="A110" s="13">
        <v>22</v>
      </c>
      <c r="B110" s="9" t="s">
        <v>66</v>
      </c>
      <c r="C110" s="17"/>
      <c r="D110" s="52">
        <v>0</v>
      </c>
      <c r="E110" s="17"/>
      <c r="F110" s="17" t="str">
        <f>+F109</f>
        <v>NP</v>
      </c>
      <c r="G110" s="53">
        <f>+G109</f>
        <v>0.46285447512752093</v>
      </c>
      <c r="H110" s="17"/>
      <c r="I110" s="17">
        <f>D110*G110</f>
        <v>0</v>
      </c>
      <c r="J110" s="17"/>
      <c r="K110" s="55"/>
      <c r="L110" s="9"/>
      <c r="N110" s="55"/>
      <c r="O110" s="13"/>
      <c r="P110" s="9"/>
    </row>
    <row r="111" spans="1:16" ht="16.5" thickBot="1">
      <c r="A111" s="13">
        <v>23</v>
      </c>
      <c r="B111" s="6" t="s">
        <v>67</v>
      </c>
      <c r="D111" s="54">
        <v>0</v>
      </c>
      <c r="E111" s="17"/>
      <c r="F111" s="17" t="s">
        <v>63</v>
      </c>
      <c r="G111" s="53">
        <f>+G109</f>
        <v>0.46285447512752093</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107039.125</v>
      </c>
      <c r="E117" s="17"/>
      <c r="F117" s="17"/>
      <c r="G117" s="55"/>
      <c r="H117" s="17"/>
      <c r="I117" s="17">
        <f>I158/8</f>
        <v>11777.568446335155</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84797</v>
      </c>
      <c r="E119" s="17"/>
      <c r="F119" s="17" t="s">
        <v>76</v>
      </c>
      <c r="G119" s="53">
        <f>+G88</f>
        <v>0.25848757487240764</v>
      </c>
      <c r="H119" s="17"/>
      <c r="I119" s="30">
        <f>+G119*D119</f>
        <v>21918.97088645555</v>
      </c>
      <c r="J119" s="17"/>
      <c r="K119" s="55"/>
      <c r="L119" s="9"/>
      <c r="N119" s="59"/>
      <c r="O119" s="13"/>
      <c r="P119" s="9"/>
    </row>
    <row r="120" spans="1:16">
      <c r="A120" s="13">
        <v>29</v>
      </c>
      <c r="B120" s="9" t="s">
        <v>222</v>
      </c>
      <c r="C120" s="11"/>
      <c r="D120" s="17">
        <f>D117+D118+D119</f>
        <v>191836.125</v>
      </c>
      <c r="E120" s="11"/>
      <c r="F120" s="11"/>
      <c r="G120" s="11"/>
      <c r="H120" s="11"/>
      <c r="I120" s="17">
        <f>I117+I118+I119</f>
        <v>33696.539332790708</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15671853.125</v>
      </c>
      <c r="E122" s="17"/>
      <c r="F122" s="17"/>
      <c r="G122" s="55"/>
      <c r="H122" s="17"/>
      <c r="I122" s="61">
        <f>+I120+I114+I112+I104</f>
        <v>7198691.6828328911</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Glencoe,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83003</v>
      </c>
      <c r="E149" s="17"/>
      <c r="F149" s="17" t="s">
        <v>74</v>
      </c>
      <c r="G149" s="53">
        <f>I229</f>
        <v>1</v>
      </c>
      <c r="H149" s="17"/>
      <c r="I149" s="17">
        <f t="shared" ref="I149:I157" si="1">+G149*D149</f>
        <v>83003</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774148</v>
      </c>
      <c r="E152" s="17"/>
      <c r="F152" s="17" t="s">
        <v>56</v>
      </c>
      <c r="G152" s="53">
        <f>I236</f>
        <v>1.4505887122475128E-2</v>
      </c>
      <c r="H152" s="17"/>
      <c r="I152" s="17">
        <f t="shared" si="1"/>
        <v>11229.703504089875</v>
      </c>
      <c r="J152" s="17"/>
      <c r="K152" s="17" t="s">
        <v>2</v>
      </c>
      <c r="L152" s="9"/>
      <c r="N152" s="17"/>
      <c r="O152" s="13"/>
      <c r="P152" s="9"/>
    </row>
    <row r="153" spans="1:16">
      <c r="A153" s="13">
        <v>4</v>
      </c>
      <c r="B153" s="9" t="s">
        <v>81</v>
      </c>
      <c r="C153" s="17"/>
      <c r="D153" s="56">
        <v>0</v>
      </c>
      <c r="E153" s="17"/>
      <c r="F153" s="17" t="str">
        <f>+F152</f>
        <v>W/S</v>
      </c>
      <c r="G153" s="53">
        <f>I236</f>
        <v>1.4505887122475128E-2</v>
      </c>
      <c r="H153" s="17"/>
      <c r="I153" s="17">
        <f t="shared" si="1"/>
        <v>0</v>
      </c>
      <c r="J153" s="17"/>
      <c r="K153" s="17"/>
      <c r="L153" s="9"/>
      <c r="N153" s="17"/>
      <c r="O153" s="13"/>
      <c r="P153" s="9"/>
    </row>
    <row r="154" spans="1:16">
      <c r="A154" s="13">
        <v>5</v>
      </c>
      <c r="B154" s="9" t="s">
        <v>224</v>
      </c>
      <c r="C154" s="17"/>
      <c r="D154" s="56">
        <v>838</v>
      </c>
      <c r="E154" s="17"/>
      <c r="F154" s="17" t="str">
        <f>+F153</f>
        <v>W/S</v>
      </c>
      <c r="G154" s="53">
        <f>I236</f>
        <v>1.4505887122475128E-2</v>
      </c>
      <c r="H154" s="17"/>
      <c r="I154" s="17">
        <f t="shared" si="1"/>
        <v>12.155933408634157</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1.4505887122475128E-2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856313</v>
      </c>
      <c r="E158" s="5"/>
      <c r="F158" s="5"/>
      <c r="G158" s="5"/>
      <c r="H158" s="5"/>
      <c r="I158" s="5">
        <f>+I149-I151+I152-I153-I154+I155+I156+I157-I150</f>
        <v>94220.547570681243</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319865</v>
      </c>
      <c r="E161" s="17"/>
      <c r="F161" s="17" t="s">
        <v>12</v>
      </c>
      <c r="G161" s="53">
        <f>+G114</f>
        <v>1</v>
      </c>
      <c r="H161" s="17"/>
      <c r="I161" s="17">
        <f>+G161*D161</f>
        <v>319865</v>
      </c>
      <c r="J161" s="17"/>
      <c r="K161" s="55"/>
      <c r="L161" s="9"/>
      <c r="N161" s="17"/>
      <c r="O161" s="13"/>
      <c r="P161" s="17" t="s">
        <v>2</v>
      </c>
    </row>
    <row r="162" spans="1:16">
      <c r="A162" s="13">
        <v>10</v>
      </c>
      <c r="B162" s="9" t="s">
        <v>286</v>
      </c>
      <c r="C162" s="6" t="s">
        <v>2</v>
      </c>
      <c r="D162" s="56">
        <f>GeneralDepreciation</f>
        <v>100156</v>
      </c>
      <c r="E162" s="17"/>
      <c r="F162" s="17" t="s">
        <v>56</v>
      </c>
      <c r="G162" s="53">
        <f>+G152</f>
        <v>1.4505887122475128E-2</v>
      </c>
      <c r="H162" s="17"/>
      <c r="I162" s="17">
        <f>+G162*D162</f>
        <v>1452.8516306386189</v>
      </c>
      <c r="J162" s="17"/>
      <c r="K162" s="55"/>
      <c r="L162" s="9"/>
      <c r="N162" s="17"/>
      <c r="O162" s="13"/>
      <c r="P162" s="17" t="s">
        <v>2</v>
      </c>
    </row>
    <row r="163" spans="1:16" ht="16.5" thickBot="1">
      <c r="A163" s="13">
        <v>11</v>
      </c>
      <c r="B163" s="9" t="str">
        <f>+B156</f>
        <v xml:space="preserve">  Common</v>
      </c>
      <c r="C163" s="17"/>
      <c r="D163" s="54">
        <v>0</v>
      </c>
      <c r="E163" s="17"/>
      <c r="F163" s="17" t="s">
        <v>58</v>
      </c>
      <c r="G163" s="53">
        <f>+G156</f>
        <v>1.4505887122475128E-2</v>
      </c>
      <c r="H163" s="17"/>
      <c r="I163" s="30">
        <f>+G163*D163</f>
        <v>0</v>
      </c>
      <c r="J163" s="17"/>
      <c r="K163" s="55"/>
      <c r="L163" s="9"/>
      <c r="N163" s="17"/>
      <c r="O163" s="13"/>
      <c r="P163" s="17" t="s">
        <v>2</v>
      </c>
    </row>
    <row r="164" spans="1:16">
      <c r="A164" s="13">
        <v>12</v>
      </c>
      <c r="B164" s="9" t="s">
        <v>226</v>
      </c>
      <c r="C164" s="17"/>
      <c r="D164" s="17">
        <f>SUM(D161:D163)</f>
        <v>420021</v>
      </c>
      <c r="E164" s="17"/>
      <c r="F164" s="17"/>
      <c r="G164" s="17"/>
      <c r="H164" s="17"/>
      <c r="I164" s="17">
        <f>SUM(I161:I163)</f>
        <v>321317.85163063864</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1.4505887122475128E-2</v>
      </c>
      <c r="H168" s="17"/>
      <c r="I168" s="17">
        <f>+G168*D168</f>
        <v>0</v>
      </c>
      <c r="J168" s="17"/>
      <c r="K168" s="55"/>
      <c r="L168" s="9"/>
      <c r="N168" s="59"/>
      <c r="O168" s="13"/>
      <c r="P168" s="9"/>
    </row>
    <row r="169" spans="1:16">
      <c r="A169" s="13">
        <v>14</v>
      </c>
      <c r="B169" s="9" t="s">
        <v>85</v>
      </c>
      <c r="C169" s="17"/>
      <c r="D169" s="56">
        <v>0</v>
      </c>
      <c r="E169" s="17"/>
      <c r="F169" s="17" t="str">
        <f>+F168</f>
        <v>W/S</v>
      </c>
      <c r="G169" s="27">
        <f>+G168</f>
        <v>1.4505887122475128E-2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0.25848757487240764</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0.25848757487240764</v>
      </c>
      <c r="H173" s="17"/>
      <c r="I173" s="17">
        <f>+G173*D173</f>
        <v>0</v>
      </c>
      <c r="J173" s="17"/>
      <c r="K173" s="55"/>
      <c r="L173" s="9"/>
      <c r="N173" s="59"/>
      <c r="O173" s="13"/>
      <c r="P173" s="9"/>
    </row>
    <row r="174" spans="1:16" ht="16.5" thickBot="1">
      <c r="A174" s="13">
        <v>19</v>
      </c>
      <c r="B174" s="9" t="s">
        <v>90</v>
      </c>
      <c r="C174" s="17"/>
      <c r="D174" s="54">
        <f>PILOT</f>
        <v>90000</v>
      </c>
      <c r="E174" s="17"/>
      <c r="F174" s="17" t="s">
        <v>76</v>
      </c>
      <c r="G174" s="27">
        <f>+G173</f>
        <v>0.25848757487240764</v>
      </c>
      <c r="H174" s="17"/>
      <c r="I174" s="30">
        <f>+G174*D174</f>
        <v>23263.881738516688</v>
      </c>
      <c r="J174" s="17"/>
      <c r="K174" s="55"/>
      <c r="L174" s="9"/>
      <c r="N174" s="59"/>
      <c r="O174" s="13"/>
      <c r="P174" s="9"/>
    </row>
    <row r="175" spans="1:16">
      <c r="A175" s="13">
        <v>20</v>
      </c>
      <c r="B175" s="9" t="s">
        <v>91</v>
      </c>
      <c r="C175" s="17"/>
      <c r="D175" s="17">
        <f>SUM(D168:D174)</f>
        <v>90000</v>
      </c>
      <c r="E175" s="17"/>
      <c r="F175" s="17"/>
      <c r="G175" s="27"/>
      <c r="H175" s="17"/>
      <c r="I175" s="17">
        <f>SUM(I168:I174)</f>
        <v>23263.881738516688</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0.46285447512752093</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1434929.1712291399</v>
      </c>
      <c r="E189" s="17"/>
      <c r="F189" s="17" t="s">
        <v>52</v>
      </c>
      <c r="G189" s="70"/>
      <c r="H189" s="17"/>
      <c r="I189" s="17">
        <f>+$I250*I122</f>
        <v>659118.77861486166</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2801263.1712291399</v>
      </c>
      <c r="E192" s="17"/>
      <c r="F192" s="17"/>
      <c r="G192" s="17"/>
      <c r="H192" s="17"/>
      <c r="I192" s="76">
        <f>+I189+I187+I175+I164+I158</f>
        <v>1097921.0595546982</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2801263.1712291399</v>
      </c>
      <c r="E201" s="1"/>
      <c r="F201" s="1"/>
      <c r="G201" s="1"/>
      <c r="H201" s="1"/>
      <c r="I201" s="79">
        <f>+I192-I196-I200</f>
        <v>1097921.0595546982</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Glencoe,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9702416</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9702416</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83003</v>
      </c>
      <c r="J223" s="17"/>
      <c r="K223" s="17"/>
      <c r="L223" s="437"/>
      <c r="M223" s="437"/>
      <c r="N223" s="437"/>
      <c r="O223" s="437"/>
      <c r="P223" s="437"/>
      <c r="Q223" s="437"/>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83003</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393561</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13382</v>
      </c>
      <c r="E233" s="101">
        <f>+I220</f>
        <v>1</v>
      </c>
      <c r="F233" s="101"/>
      <c r="G233" s="17">
        <f>D233*E233</f>
        <v>13382</v>
      </c>
      <c r="H233" s="17"/>
      <c r="I233" s="17"/>
      <c r="J233" s="17"/>
      <c r="K233" s="17"/>
      <c r="L233" s="4"/>
      <c r="M233" s="94"/>
      <c r="N233" s="92"/>
      <c r="O233" s="93"/>
      <c r="P233" s="88"/>
      <c r="Q233" s="88"/>
    </row>
    <row r="234" spans="1:17">
      <c r="A234" s="13">
        <v>14</v>
      </c>
      <c r="B234" s="9" t="s">
        <v>54</v>
      </c>
      <c r="C234" s="17"/>
      <c r="D234" s="56">
        <f>DistributionLabor</f>
        <v>336705</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178874</v>
      </c>
      <c r="E235" s="101">
        <v>0</v>
      </c>
      <c r="F235" s="101"/>
      <c r="G235" s="30">
        <f>D235*E235</f>
        <v>0</v>
      </c>
      <c r="H235" s="17"/>
      <c r="I235" s="23" t="s">
        <v>114</v>
      </c>
      <c r="J235" s="17"/>
      <c r="K235" s="17"/>
      <c r="L235" s="9"/>
      <c r="N235" s="17"/>
      <c r="O235" s="17"/>
      <c r="P235" s="9"/>
    </row>
    <row r="236" spans="1:17">
      <c r="A236" s="13">
        <v>16</v>
      </c>
      <c r="B236" s="9" t="s">
        <v>239</v>
      </c>
      <c r="C236" s="17"/>
      <c r="D236" s="17">
        <f>SUM(D232:D235)</f>
        <v>922522</v>
      </c>
      <c r="E236" s="17"/>
      <c r="F236" s="17"/>
      <c r="G236" s="17">
        <f>SUM(G232:G235)</f>
        <v>13382</v>
      </c>
      <c r="H236" s="13" t="s">
        <v>115</v>
      </c>
      <c r="I236" s="53">
        <f>IF(G236&gt;0,G233/D236,0)</f>
        <v>1.4505887122475128E-2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37645289</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1.4505887122475128E-2</v>
      </c>
      <c r="J240" s="70" t="s">
        <v>115</v>
      </c>
      <c r="K240" s="27">
        <f>I240*G240</f>
        <v>1.4505887122475128E-2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37645289</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110764</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4597292</v>
      </c>
      <c r="E248" s="105">
        <f>IF($D$250&gt;0,D248/$D$250,0)</f>
        <v>0.19783311407541185</v>
      </c>
      <c r="F248" s="106"/>
      <c r="G248" s="107">
        <f>IF(D248&gt;0,D245/D248,0)</f>
        <v>2.4093314064018555E-2</v>
      </c>
      <c r="I248" s="106">
        <f>G248*E248</f>
        <v>4.7664553496817074E-3</v>
      </c>
      <c r="J248" s="108" t="s">
        <v>131</v>
      </c>
      <c r="K248" s="17"/>
      <c r="L248" s="9"/>
      <c r="N248" s="17"/>
      <c r="O248" s="17"/>
      <c r="P248" s="9"/>
    </row>
    <row r="249" spans="1:18" ht="16.5" thickBot="1">
      <c r="A249" s="13">
        <v>23</v>
      </c>
      <c r="B249" s="9" t="s">
        <v>132</v>
      </c>
      <c r="C249" s="11" t="s">
        <v>260</v>
      </c>
      <c r="D249" s="54">
        <f>Equity</f>
        <v>18640941</v>
      </c>
      <c r="E249" s="109">
        <f>IF($D$250&gt;0,D249/$D$250,0)</f>
        <v>0.80216688592458818</v>
      </c>
      <c r="F249" s="106"/>
      <c r="G249" s="106">
        <f>I252</f>
        <v>0.1082</v>
      </c>
      <c r="I249" s="110">
        <f>G249*E249</f>
        <v>8.6794457057040447E-2</v>
      </c>
      <c r="L249" s="9"/>
      <c r="N249" s="17"/>
      <c r="O249" s="17"/>
      <c r="P249" s="9"/>
    </row>
    <row r="250" spans="1:18">
      <c r="A250" s="13">
        <v>24</v>
      </c>
      <c r="B250" s="9" t="s">
        <v>172</v>
      </c>
      <c r="C250" s="11"/>
      <c r="D250" s="17">
        <f>SUM(D248:D249)</f>
        <v>23238233</v>
      </c>
      <c r="E250" s="111">
        <f>SUM(E248+E249)</f>
        <v>1</v>
      </c>
      <c r="F250" s="106"/>
      <c r="G250" s="106"/>
      <c r="I250" s="106">
        <f>SUM(I248:I249)</f>
        <v>9.156091240672215E-2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3.8002622704138935</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1041699.69</v>
      </c>
      <c r="J264" s="9"/>
      <c r="K264" s="9"/>
      <c r="L264" s="124"/>
      <c r="N264" s="9"/>
      <c r="O264" s="17"/>
      <c r="P264" s="9"/>
    </row>
    <row r="265" spans="1:17">
      <c r="A265" s="13">
        <v>32</v>
      </c>
      <c r="B265" s="125" t="s">
        <v>174</v>
      </c>
      <c r="C265" s="18"/>
      <c r="D265" s="18"/>
      <c r="E265" s="18"/>
      <c r="F265" s="18"/>
      <c r="G265" s="18"/>
      <c r="H265" s="11"/>
      <c r="I265" s="123">
        <f>NetworkRevenue-FacilitiyCredits</f>
        <v>459391.68999999994</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582308</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39" t="str">
        <f>D4</f>
        <v xml:space="preserve">   Rate Formula Template</v>
      </c>
      <c r="D274" s="439"/>
      <c r="E274" s="17"/>
      <c r="F274" s="17"/>
      <c r="G274" s="17"/>
      <c r="H274" s="24"/>
      <c r="J274" s="11"/>
      <c r="K274" s="131" t="str">
        <f>K4</f>
        <v>For the 12 months ended 12/31/17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Glencoe,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38" t="s">
        <v>265</v>
      </c>
      <c r="C282" s="438"/>
      <c r="D282" s="438"/>
      <c r="E282" s="438"/>
      <c r="F282" s="438"/>
      <c r="G282" s="438"/>
      <c r="H282" s="438"/>
      <c r="I282" s="438"/>
      <c r="J282" s="438"/>
      <c r="K282" s="438"/>
      <c r="L282" s="11"/>
      <c r="N282" s="13"/>
      <c r="O282" s="11"/>
      <c r="P282" s="11"/>
    </row>
    <row r="283" spans="1:16" ht="63" customHeight="1">
      <c r="A283" s="134" t="s">
        <v>145</v>
      </c>
      <c r="B283" s="438" t="s">
        <v>266</v>
      </c>
      <c r="C283" s="438"/>
      <c r="D283" s="438"/>
      <c r="E283" s="438"/>
      <c r="F283" s="438"/>
      <c r="G283" s="438"/>
      <c r="H283" s="438"/>
      <c r="I283" s="438"/>
      <c r="J283" s="438"/>
      <c r="K283" s="438"/>
      <c r="L283" s="11"/>
      <c r="N283" s="13"/>
      <c r="O283" s="11"/>
      <c r="P283" s="11"/>
    </row>
    <row r="284" spans="1:16">
      <c r="A284" s="134" t="s">
        <v>146</v>
      </c>
      <c r="B284" s="438" t="s">
        <v>267</v>
      </c>
      <c r="C284" s="438"/>
      <c r="D284" s="438"/>
      <c r="E284" s="438"/>
      <c r="F284" s="438"/>
      <c r="G284" s="438"/>
      <c r="H284" s="438"/>
      <c r="I284" s="438"/>
      <c r="J284" s="438"/>
      <c r="K284" s="438"/>
      <c r="L284" s="11"/>
      <c r="N284" s="13"/>
      <c r="O284" s="11"/>
      <c r="P284" s="11"/>
    </row>
    <row r="285" spans="1:16">
      <c r="A285" s="134" t="s">
        <v>147</v>
      </c>
      <c r="B285" s="438" t="s">
        <v>267</v>
      </c>
      <c r="C285" s="438"/>
      <c r="D285" s="438"/>
      <c r="E285" s="438"/>
      <c r="F285" s="438"/>
      <c r="G285" s="438"/>
      <c r="H285" s="438"/>
      <c r="I285" s="438"/>
      <c r="J285" s="438"/>
      <c r="K285" s="438"/>
      <c r="L285" s="11"/>
      <c r="N285" s="13"/>
      <c r="O285" s="11"/>
      <c r="P285" s="11"/>
    </row>
    <row r="286" spans="1:16">
      <c r="A286" s="134" t="s">
        <v>148</v>
      </c>
      <c r="B286" s="438" t="s">
        <v>280</v>
      </c>
      <c r="C286" s="438"/>
      <c r="D286" s="438"/>
      <c r="E286" s="438"/>
      <c r="F286" s="438"/>
      <c r="G286" s="438"/>
      <c r="H286" s="438"/>
      <c r="I286" s="438"/>
      <c r="J286" s="438"/>
      <c r="K286" s="438"/>
      <c r="L286" s="11"/>
      <c r="N286" s="13"/>
      <c r="O286" s="11"/>
      <c r="P286" s="11"/>
    </row>
    <row r="287" spans="1:16" ht="48" customHeight="1">
      <c r="A287" s="134" t="s">
        <v>149</v>
      </c>
      <c r="B287" s="440" t="s">
        <v>242</v>
      </c>
      <c r="C287" s="440"/>
      <c r="D287" s="440"/>
      <c r="E287" s="440"/>
      <c r="F287" s="440"/>
      <c r="G287" s="440"/>
      <c r="H287" s="440"/>
      <c r="I287" s="440"/>
      <c r="J287" s="440"/>
      <c r="K287" s="440"/>
      <c r="L287" s="11"/>
      <c r="N287" s="13"/>
      <c r="O287" s="11"/>
      <c r="P287" s="11"/>
    </row>
    <row r="288" spans="1:16">
      <c r="A288" s="134" t="s">
        <v>150</v>
      </c>
      <c r="B288" s="440" t="s">
        <v>180</v>
      </c>
      <c r="C288" s="440"/>
      <c r="D288" s="440"/>
      <c r="E288" s="440"/>
      <c r="F288" s="440"/>
      <c r="G288" s="440"/>
      <c r="H288" s="440"/>
      <c r="I288" s="440"/>
      <c r="J288" s="440"/>
      <c r="K288" s="440"/>
      <c r="L288" s="11"/>
      <c r="N288" s="13"/>
      <c r="O288" s="11"/>
      <c r="P288" s="11"/>
    </row>
    <row r="289" spans="1:16" ht="32.25" customHeight="1">
      <c r="A289" s="134" t="s">
        <v>151</v>
      </c>
      <c r="B289" s="440" t="s">
        <v>243</v>
      </c>
      <c r="C289" s="440"/>
      <c r="D289" s="440"/>
      <c r="E289" s="440"/>
      <c r="F289" s="440"/>
      <c r="G289" s="440"/>
      <c r="H289" s="440"/>
      <c r="I289" s="440"/>
      <c r="J289" s="440"/>
      <c r="K289" s="440"/>
      <c r="L289" s="11"/>
      <c r="N289" s="13"/>
      <c r="O289" s="11"/>
      <c r="P289" s="11"/>
    </row>
    <row r="290" spans="1:16" ht="32.25" customHeight="1">
      <c r="A290" s="134" t="s">
        <v>152</v>
      </c>
      <c r="B290" s="438" t="s">
        <v>244</v>
      </c>
      <c r="C290" s="438"/>
      <c r="D290" s="438"/>
      <c r="E290" s="438"/>
      <c r="F290" s="438"/>
      <c r="G290" s="438"/>
      <c r="H290" s="438"/>
      <c r="I290" s="438"/>
      <c r="J290" s="438"/>
      <c r="K290" s="438"/>
      <c r="L290" s="11"/>
      <c r="N290" s="13"/>
      <c r="O290" s="11"/>
      <c r="P290" s="11"/>
    </row>
    <row r="291" spans="1:16" ht="32.25" customHeight="1">
      <c r="A291" s="134" t="s">
        <v>153</v>
      </c>
      <c r="B291" s="440" t="s">
        <v>245</v>
      </c>
      <c r="C291" s="440"/>
      <c r="D291" s="440"/>
      <c r="E291" s="440"/>
      <c r="F291" s="440"/>
      <c r="G291" s="440"/>
      <c r="H291" s="440"/>
      <c r="I291" s="440"/>
      <c r="J291" s="440"/>
      <c r="K291" s="440"/>
      <c r="L291" s="11"/>
      <c r="N291" s="13"/>
      <c r="O291" s="10"/>
      <c r="P291" s="11"/>
    </row>
    <row r="292" spans="1:16" ht="79.5" customHeight="1">
      <c r="A292" s="134" t="s">
        <v>154</v>
      </c>
      <c r="B292" s="440" t="s">
        <v>246</v>
      </c>
      <c r="C292" s="440"/>
      <c r="D292" s="440"/>
      <c r="E292" s="440"/>
      <c r="F292" s="440"/>
      <c r="G292" s="440"/>
      <c r="H292" s="440"/>
      <c r="I292" s="440"/>
      <c r="J292" s="440"/>
      <c r="K292" s="440"/>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40" t="s">
        <v>157</v>
      </c>
      <c r="F294" s="440"/>
      <c r="G294" s="440"/>
      <c r="H294" s="440"/>
      <c r="I294" s="440"/>
      <c r="J294" s="440"/>
      <c r="K294" s="440"/>
      <c r="N294" s="13"/>
      <c r="O294" s="11"/>
      <c r="P294" s="11"/>
    </row>
    <row r="295" spans="1:16">
      <c r="A295" s="134"/>
      <c r="B295" s="136"/>
      <c r="C295" s="136" t="s">
        <v>158</v>
      </c>
      <c r="D295" s="137">
        <v>0</v>
      </c>
      <c r="E295" s="440" t="s">
        <v>159</v>
      </c>
      <c r="F295" s="440"/>
      <c r="G295" s="440"/>
      <c r="H295" s="440"/>
      <c r="I295" s="440"/>
      <c r="J295" s="440"/>
      <c r="K295" s="440"/>
      <c r="L295" s="11"/>
      <c r="N295" s="13"/>
      <c r="O295" s="11"/>
      <c r="P295" s="11"/>
    </row>
    <row r="296" spans="1:16">
      <c r="A296" s="134" t="s">
        <v>160</v>
      </c>
      <c r="B296" s="440" t="s">
        <v>194</v>
      </c>
      <c r="C296" s="440"/>
      <c r="D296" s="440"/>
      <c r="E296" s="440"/>
      <c r="F296" s="440"/>
      <c r="G296" s="440"/>
      <c r="H296" s="440"/>
      <c r="I296" s="440"/>
      <c r="J296" s="440"/>
      <c r="K296" s="440"/>
      <c r="L296" s="11"/>
      <c r="N296" s="13"/>
      <c r="O296" s="11"/>
      <c r="P296" s="11"/>
    </row>
    <row r="297" spans="1:16" ht="32.25" customHeight="1">
      <c r="A297" s="134" t="s">
        <v>161</v>
      </c>
      <c r="B297" s="440" t="s">
        <v>298</v>
      </c>
      <c r="C297" s="440"/>
      <c r="D297" s="440"/>
      <c r="E297" s="440"/>
      <c r="F297" s="440"/>
      <c r="G297" s="440"/>
      <c r="H297" s="440"/>
      <c r="I297" s="440"/>
      <c r="J297" s="440"/>
      <c r="K297" s="440"/>
      <c r="L297" s="140"/>
      <c r="N297" s="13"/>
      <c r="O297" s="11"/>
      <c r="P297" s="11"/>
    </row>
    <row r="298" spans="1:16" ht="48" customHeight="1">
      <c r="A298" s="134" t="s">
        <v>162</v>
      </c>
      <c r="B298" s="440" t="s">
        <v>263</v>
      </c>
      <c r="C298" s="440"/>
      <c r="D298" s="440"/>
      <c r="E298" s="440"/>
      <c r="F298" s="440"/>
      <c r="G298" s="440"/>
      <c r="H298" s="440"/>
      <c r="I298" s="440"/>
      <c r="J298" s="440"/>
      <c r="K298" s="440"/>
      <c r="L298" s="11"/>
      <c r="N298" s="13"/>
      <c r="O298" s="11"/>
      <c r="P298" s="11"/>
    </row>
    <row r="299" spans="1:16">
      <c r="A299" s="134" t="s">
        <v>163</v>
      </c>
      <c r="B299" s="440" t="s">
        <v>181</v>
      </c>
      <c r="C299" s="440"/>
      <c r="D299" s="440"/>
      <c r="E299" s="440"/>
      <c r="F299" s="440"/>
      <c r="G299" s="440"/>
      <c r="H299" s="440"/>
      <c r="I299" s="440"/>
      <c r="J299" s="440"/>
      <c r="K299" s="440"/>
      <c r="L299" s="11"/>
      <c r="N299" s="13"/>
      <c r="O299" s="10"/>
      <c r="P299" s="11"/>
    </row>
    <row r="300" spans="1:16" ht="176.25" customHeight="1">
      <c r="A300" s="134" t="s">
        <v>164</v>
      </c>
      <c r="B300" s="438" t="s">
        <v>315</v>
      </c>
      <c r="C300" s="438"/>
      <c r="D300" s="438"/>
      <c r="E300" s="438"/>
      <c r="F300" s="438"/>
      <c r="G300" s="438"/>
      <c r="H300" s="438"/>
      <c r="I300" s="438"/>
      <c r="J300" s="438"/>
      <c r="K300" s="438"/>
      <c r="L300" s="11"/>
      <c r="N300" s="13"/>
      <c r="O300" s="10"/>
      <c r="P300" s="11"/>
    </row>
    <row r="301" spans="1:16" ht="32.25" customHeight="1">
      <c r="A301" s="134" t="s">
        <v>165</v>
      </c>
      <c r="B301" s="440" t="s">
        <v>247</v>
      </c>
      <c r="C301" s="440"/>
      <c r="D301" s="440"/>
      <c r="E301" s="440"/>
      <c r="F301" s="440"/>
      <c r="G301" s="440"/>
      <c r="H301" s="440"/>
      <c r="I301" s="440"/>
      <c r="J301" s="440"/>
      <c r="K301" s="440"/>
      <c r="L301" s="11"/>
      <c r="N301" s="13"/>
      <c r="O301" s="11"/>
      <c r="P301" s="11"/>
    </row>
    <row r="302" spans="1:16">
      <c r="A302" s="134" t="s">
        <v>166</v>
      </c>
      <c r="B302" s="440" t="s">
        <v>167</v>
      </c>
      <c r="C302" s="440"/>
      <c r="D302" s="440"/>
      <c r="E302" s="440"/>
      <c r="F302" s="440"/>
      <c r="G302" s="440"/>
      <c r="H302" s="440"/>
      <c r="I302" s="440"/>
      <c r="J302" s="440"/>
      <c r="K302" s="440"/>
      <c r="L302" s="11"/>
      <c r="N302" s="13"/>
      <c r="O302" s="11"/>
      <c r="P302" s="11"/>
    </row>
    <row r="303" spans="1:16" ht="48" customHeight="1">
      <c r="A303" s="134" t="s">
        <v>182</v>
      </c>
      <c r="B303" s="440" t="s">
        <v>299</v>
      </c>
      <c r="C303" s="440"/>
      <c r="D303" s="440"/>
      <c r="E303" s="440"/>
      <c r="F303" s="440"/>
      <c r="G303" s="440"/>
      <c r="H303" s="440"/>
      <c r="I303" s="440"/>
      <c r="J303" s="440"/>
      <c r="K303" s="440"/>
      <c r="L303" s="11"/>
      <c r="N303" s="13"/>
      <c r="O303" s="11"/>
      <c r="P303" s="11"/>
    </row>
    <row r="304" spans="1:16" ht="65.25" customHeight="1">
      <c r="A304" s="141" t="s">
        <v>183</v>
      </c>
      <c r="B304" s="440" t="s">
        <v>262</v>
      </c>
      <c r="C304" s="440"/>
      <c r="D304" s="440"/>
      <c r="E304" s="440"/>
      <c r="F304" s="440"/>
      <c r="G304" s="440"/>
      <c r="H304" s="440"/>
      <c r="I304" s="440"/>
      <c r="J304" s="440"/>
      <c r="K304" s="440"/>
      <c r="L304" s="11"/>
      <c r="N304" s="13"/>
      <c r="O304" s="11"/>
      <c r="P304" s="11"/>
    </row>
    <row r="305" spans="1:16">
      <c r="A305" s="141" t="s">
        <v>189</v>
      </c>
      <c r="B305" s="440" t="s">
        <v>288</v>
      </c>
      <c r="C305" s="440"/>
      <c r="D305" s="440"/>
      <c r="E305" s="440"/>
      <c r="F305" s="440"/>
      <c r="G305" s="440"/>
      <c r="H305" s="440"/>
      <c r="I305" s="440"/>
      <c r="J305" s="440"/>
      <c r="K305" s="440"/>
      <c r="L305" s="11"/>
      <c r="N305" s="13"/>
      <c r="O305" s="11"/>
      <c r="P305" s="11"/>
    </row>
    <row r="306" spans="1:16">
      <c r="A306" s="142" t="s">
        <v>191</v>
      </c>
      <c r="B306" s="440" t="s">
        <v>289</v>
      </c>
      <c r="C306" s="440"/>
      <c r="D306" s="440"/>
      <c r="E306" s="440"/>
      <c r="F306" s="440"/>
      <c r="G306" s="440"/>
      <c r="H306" s="440"/>
      <c r="I306" s="440"/>
      <c r="J306" s="440"/>
      <c r="K306" s="440"/>
      <c r="L306" s="11"/>
      <c r="N306" s="59"/>
      <c r="O306" s="11"/>
      <c r="P306" s="11"/>
    </row>
    <row r="307" spans="1:16">
      <c r="A307" s="142" t="s">
        <v>196</v>
      </c>
      <c r="B307" s="440" t="s">
        <v>294</v>
      </c>
      <c r="C307" s="440"/>
      <c r="D307" s="440"/>
      <c r="E307" s="440"/>
      <c r="F307" s="440"/>
      <c r="G307" s="440"/>
      <c r="H307" s="440"/>
      <c r="I307" s="440"/>
      <c r="J307" s="440"/>
      <c r="K307" s="440"/>
      <c r="L307" s="11"/>
      <c r="N307" s="59"/>
      <c r="O307" s="11"/>
      <c r="P307" s="11"/>
    </row>
    <row r="308" spans="1:16" s="1" customFormat="1" ht="32.25" customHeight="1">
      <c r="A308" s="141" t="s">
        <v>197</v>
      </c>
      <c r="B308" s="440" t="s">
        <v>295</v>
      </c>
      <c r="C308" s="440"/>
      <c r="D308" s="440"/>
      <c r="E308" s="440"/>
      <c r="F308" s="440"/>
      <c r="G308" s="440"/>
      <c r="H308" s="440"/>
      <c r="I308" s="440"/>
      <c r="J308" s="440"/>
      <c r="K308" s="440"/>
      <c r="L308" s="80"/>
      <c r="N308" s="63"/>
      <c r="O308" s="80"/>
      <c r="P308" s="80"/>
    </row>
    <row r="309" spans="1:16" s="82" customFormat="1">
      <c r="A309" s="142" t="s">
        <v>273</v>
      </c>
      <c r="B309" s="440" t="s">
        <v>296</v>
      </c>
      <c r="C309" s="440"/>
      <c r="D309" s="440"/>
      <c r="E309" s="440"/>
      <c r="F309" s="440"/>
      <c r="G309" s="440"/>
      <c r="H309" s="440"/>
      <c r="I309" s="440"/>
      <c r="J309" s="440"/>
      <c r="K309" s="440"/>
      <c r="L309" s="84"/>
      <c r="N309" s="81"/>
      <c r="O309" s="84"/>
      <c r="P309" s="84"/>
    </row>
    <row r="310" spans="1:16" s="82" customFormat="1" ht="33" customHeight="1">
      <c r="A310" s="141" t="s">
        <v>274</v>
      </c>
      <c r="B310" s="440" t="s">
        <v>297</v>
      </c>
      <c r="C310" s="440"/>
      <c r="D310" s="440"/>
      <c r="E310" s="440"/>
      <c r="F310" s="440"/>
      <c r="G310" s="440"/>
      <c r="H310" s="440"/>
      <c r="I310" s="440"/>
      <c r="J310" s="440"/>
      <c r="K310" s="440"/>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sheetViews>
  <sheetFormatPr defaultRowHeight="15" customHeight="1"/>
  <cols>
    <col min="1" max="1" width="3.33203125" style="257" customWidth="1"/>
    <col min="2" max="2" width="14.77734375" style="257" customWidth="1"/>
    <col min="3" max="3" width="29.44140625" style="257" customWidth="1"/>
    <col min="4" max="4" width="8.5546875" style="257" customWidth="1"/>
    <col min="5" max="5" width="1.44140625" style="257" customWidth="1"/>
    <col min="6" max="6" width="10.33203125" style="257" bestFit="1" customWidth="1"/>
    <col min="7" max="7" width="14.33203125" style="257" customWidth="1"/>
    <col min="8" max="16384" width="8.88671875" style="257"/>
  </cols>
  <sheetData>
    <row r="1" spans="1:8" ht="20.100000000000001" customHeight="1">
      <c r="B1" s="276" t="str">
        <f>EntityName</f>
        <v>Glencoe, MN</v>
      </c>
      <c r="C1" s="280"/>
    </row>
    <row r="2" spans="1:8" ht="20.100000000000001" customHeight="1">
      <c r="A2" s="260"/>
      <c r="B2" s="277" t="s">
        <v>513</v>
      </c>
      <c r="C2" s="282"/>
      <c r="D2" s="273"/>
    </row>
    <row r="3" spans="1:8" ht="20.100000000000001" customHeight="1">
      <c r="A3" s="260"/>
      <c r="B3" s="278">
        <f>FilingDate</f>
        <v>43100</v>
      </c>
      <c r="C3" s="280"/>
    </row>
    <row r="4" spans="1:8" ht="20.100000000000001" customHeight="1">
      <c r="A4" s="260"/>
      <c r="B4" s="281"/>
      <c r="C4" s="280"/>
    </row>
    <row r="5" spans="1:8" ht="20.100000000000001" customHeight="1">
      <c r="A5" s="260"/>
      <c r="B5" s="284">
        <f>G14</f>
        <v>83003</v>
      </c>
      <c r="C5" s="289" t="s">
        <v>532</v>
      </c>
    </row>
    <row r="6" spans="1:8" ht="15" customHeight="1">
      <c r="A6" s="260"/>
      <c r="B6" s="281"/>
      <c r="C6" s="295"/>
      <c r="D6" s="295"/>
      <c r="E6" s="295"/>
      <c r="F6" s="322">
        <v>2017</v>
      </c>
      <c r="G6" s="322">
        <v>2017</v>
      </c>
    </row>
    <row r="7" spans="1:8" ht="18" customHeight="1">
      <c r="B7" s="314" t="s">
        <v>504</v>
      </c>
      <c r="C7" s="314" t="s">
        <v>503</v>
      </c>
      <c r="D7" s="314" t="s">
        <v>502</v>
      </c>
      <c r="E7" s="295"/>
      <c r="F7" s="314" t="s">
        <v>126</v>
      </c>
      <c r="G7" s="314" t="s">
        <v>501</v>
      </c>
    </row>
    <row r="8" spans="1:8" ht="18" customHeight="1">
      <c r="B8" s="315"/>
      <c r="C8" s="315" t="s">
        <v>626</v>
      </c>
      <c r="D8" s="316">
        <v>1</v>
      </c>
      <c r="E8" s="295"/>
      <c r="F8" s="318">
        <v>11240</v>
      </c>
      <c r="G8" s="317">
        <f t="shared" ref="G8:G13" si="0">F8*$D8</f>
        <v>11240</v>
      </c>
    </row>
    <row r="9" spans="1:8" ht="18" customHeight="1">
      <c r="B9" s="315"/>
      <c r="C9" s="315" t="s">
        <v>623</v>
      </c>
      <c r="D9" s="316">
        <v>1</v>
      </c>
      <c r="E9" s="295"/>
      <c r="F9" s="318">
        <v>0</v>
      </c>
      <c r="G9" s="317">
        <f t="shared" ref="G9" si="1">F9*$D9</f>
        <v>0</v>
      </c>
    </row>
    <row r="10" spans="1:8" ht="18" customHeight="1">
      <c r="B10" s="315"/>
      <c r="C10" s="315" t="s">
        <v>484</v>
      </c>
      <c r="D10" s="316">
        <v>1</v>
      </c>
      <c r="E10" s="295"/>
      <c r="F10" s="318">
        <v>14987</v>
      </c>
      <c r="G10" s="317">
        <f t="shared" si="0"/>
        <v>14987</v>
      </c>
    </row>
    <row r="11" spans="1:8" ht="18" customHeight="1">
      <c r="B11" s="315"/>
      <c r="C11" s="315" t="s">
        <v>624</v>
      </c>
      <c r="D11" s="316">
        <v>1</v>
      </c>
      <c r="E11" s="295"/>
      <c r="F11" s="318">
        <v>39012</v>
      </c>
      <c r="G11" s="317">
        <f t="shared" si="0"/>
        <v>39012</v>
      </c>
    </row>
    <row r="12" spans="1:8" ht="18" customHeight="1">
      <c r="B12" s="315"/>
      <c r="C12" s="315" t="s">
        <v>625</v>
      </c>
      <c r="D12" s="316">
        <v>1</v>
      </c>
      <c r="E12" s="295"/>
      <c r="F12" s="318">
        <v>17764</v>
      </c>
      <c r="G12" s="317">
        <f t="shared" si="0"/>
        <v>17764</v>
      </c>
    </row>
    <row r="13" spans="1:8" ht="18" customHeight="1">
      <c r="B13" s="315"/>
      <c r="C13" s="315" t="s">
        <v>497</v>
      </c>
      <c r="D13" s="316">
        <v>1</v>
      </c>
      <c r="E13" s="295"/>
      <c r="F13" s="318">
        <v>0</v>
      </c>
      <c r="G13" s="317">
        <f t="shared" si="0"/>
        <v>0</v>
      </c>
    </row>
    <row r="14" spans="1:8" ht="18" customHeight="1">
      <c r="B14" s="315"/>
      <c r="C14" s="315"/>
      <c r="D14" s="316"/>
      <c r="E14" s="295"/>
      <c r="F14" s="319"/>
      <c r="G14" s="320">
        <f>SUM(G8:G13)</f>
        <v>83003</v>
      </c>
      <c r="H14" s="365" t="s">
        <v>627</v>
      </c>
    </row>
    <row r="15" spans="1:8" ht="18" customHeight="1">
      <c r="B15" s="295"/>
      <c r="C15" s="323"/>
      <c r="D15" s="295"/>
      <c r="E15" s="291"/>
      <c r="F15" s="291"/>
      <c r="G15" s="291"/>
    </row>
    <row r="16" spans="1:8" ht="18" customHeight="1">
      <c r="B16" s="321" t="s">
        <v>2</v>
      </c>
      <c r="C16" s="324"/>
      <c r="D16" s="295"/>
      <c r="E16" s="291"/>
      <c r="F16" s="291"/>
      <c r="G16" s="291"/>
    </row>
    <row r="17" spans="2:7" ht="18" customHeight="1">
      <c r="B17" s="295"/>
      <c r="C17" s="295"/>
      <c r="D17" s="295"/>
      <c r="E17" s="289"/>
      <c r="F17" s="289"/>
      <c r="G17" s="325"/>
    </row>
    <row r="18" spans="2:7" ht="18" customHeight="1">
      <c r="B18" s="295"/>
      <c r="C18" s="295"/>
      <c r="D18" s="295"/>
      <c r="E18" s="295"/>
      <c r="F18" s="295"/>
      <c r="G18" s="295"/>
    </row>
  </sheetData>
  <pageMargins left="0.75" right="0.75" top="1" bottom="1" header="0.5" footer="0.5"/>
  <pageSetup scale="7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8"/>
  <sheetViews>
    <sheetView showGridLines="0" workbookViewId="0"/>
  </sheetViews>
  <sheetFormatPr defaultRowHeight="15" customHeight="1"/>
  <cols>
    <col min="1" max="1" width="3.33203125" style="257" customWidth="1"/>
    <col min="2" max="2" width="40.21875" style="262" customWidth="1"/>
    <col min="3" max="3" width="14.33203125" style="263" customWidth="1"/>
    <col min="4" max="4" width="55.77734375" style="262" customWidth="1"/>
    <col min="5" max="5" width="0.5546875" style="257" customWidth="1"/>
    <col min="6" max="16384" width="8.88671875" style="257"/>
  </cols>
  <sheetData>
    <row r="1" spans="2:7" ht="20.100000000000001" customHeight="1">
      <c r="B1" s="276" t="str">
        <f>EntityName</f>
        <v>Glencoe, MN</v>
      </c>
      <c r="C1" s="257"/>
      <c r="D1" s="257"/>
    </row>
    <row r="2" spans="2:7" ht="20.100000000000001" customHeight="1">
      <c r="B2" s="277" t="s">
        <v>516</v>
      </c>
      <c r="C2" s="273"/>
      <c r="D2" s="273"/>
      <c r="E2" s="273"/>
      <c r="F2" s="273"/>
      <c r="G2" s="273"/>
    </row>
    <row r="3" spans="2:7" ht="20.100000000000001" customHeight="1">
      <c r="B3" s="278">
        <f>FilingDate</f>
        <v>43100</v>
      </c>
      <c r="C3" s="257"/>
      <c r="D3" s="295"/>
    </row>
    <row r="4" spans="2:7" ht="20.100000000000001" customHeight="1">
      <c r="B4" s="285"/>
      <c r="D4" s="295"/>
    </row>
    <row r="5" spans="2:7" ht="20.100000000000001" customHeight="1">
      <c r="C5" s="284">
        <f>C23</f>
        <v>774148</v>
      </c>
      <c r="D5" s="289" t="s">
        <v>533</v>
      </c>
    </row>
    <row r="6" spans="2:7" ht="20.100000000000001" customHeight="1">
      <c r="B6" s="289"/>
      <c r="C6" s="257"/>
      <c r="D6" s="295"/>
    </row>
    <row r="7" spans="2:7" ht="15" customHeight="1">
      <c r="B7" s="296" t="s">
        <v>546</v>
      </c>
      <c r="C7" s="335" t="s">
        <v>7</v>
      </c>
      <c r="D7" s="295"/>
    </row>
    <row r="8" spans="2:7" ht="18" customHeight="1">
      <c r="B8" s="302" t="s">
        <v>584</v>
      </c>
      <c r="C8" s="328">
        <v>115068</v>
      </c>
      <c r="D8" s="295"/>
    </row>
    <row r="9" spans="2:7" ht="18" customHeight="1">
      <c r="B9" s="302" t="s">
        <v>585</v>
      </c>
      <c r="C9" s="328">
        <v>78038</v>
      </c>
      <c r="D9" s="295"/>
    </row>
    <row r="10" spans="2:7" ht="18" customHeight="1">
      <c r="B10" s="302" t="s">
        <v>586</v>
      </c>
      <c r="C10" s="328">
        <v>28361</v>
      </c>
      <c r="D10" s="295"/>
    </row>
    <row r="11" spans="2:7" ht="18" customHeight="1">
      <c r="B11" s="302" t="s">
        <v>510</v>
      </c>
      <c r="C11" s="328">
        <v>50294</v>
      </c>
      <c r="D11" s="295"/>
    </row>
    <row r="12" spans="2:7" ht="18" customHeight="1">
      <c r="B12" s="302" t="s">
        <v>587</v>
      </c>
      <c r="C12" s="328">
        <v>413052</v>
      </c>
      <c r="D12" s="295"/>
    </row>
    <row r="13" spans="2:7" ht="18" customHeight="1">
      <c r="B13" s="302" t="s">
        <v>588</v>
      </c>
      <c r="C13" s="328">
        <v>12988</v>
      </c>
      <c r="D13" s="295"/>
    </row>
    <row r="14" spans="2:7" ht="18" customHeight="1">
      <c r="B14" s="302" t="s">
        <v>589</v>
      </c>
      <c r="C14" s="328">
        <v>20276</v>
      </c>
      <c r="D14" s="295"/>
    </row>
    <row r="15" spans="2:7" ht="18" customHeight="1">
      <c r="B15" s="302" t="s">
        <v>590</v>
      </c>
      <c r="C15" s="328">
        <v>56071</v>
      </c>
      <c r="D15" s="295"/>
    </row>
    <row r="16" spans="2:7" ht="18" customHeight="1">
      <c r="B16" s="302" t="s">
        <v>511</v>
      </c>
      <c r="C16" s="328">
        <v>122087</v>
      </c>
      <c r="D16" s="295"/>
    </row>
    <row r="17" spans="2:4" ht="18" customHeight="1">
      <c r="B17" s="341" t="s">
        <v>548</v>
      </c>
      <c r="C17" s="343">
        <f>SUM(C8:C16)</f>
        <v>896235</v>
      </c>
      <c r="D17" s="295" t="s">
        <v>559</v>
      </c>
    </row>
    <row r="18" spans="2:4" ht="18" customHeight="1">
      <c r="B18" s="295"/>
      <c r="C18" s="336"/>
      <c r="D18" s="295"/>
    </row>
    <row r="19" spans="2:4" ht="18" customHeight="1">
      <c r="B19" s="257"/>
      <c r="C19" s="337"/>
      <c r="D19" s="295"/>
    </row>
    <row r="20" spans="2:4" ht="18" customHeight="1">
      <c r="B20" s="296" t="s">
        <v>557</v>
      </c>
      <c r="C20" s="335" t="s">
        <v>7</v>
      </c>
      <c r="D20" s="286"/>
    </row>
    <row r="21" spans="2:4" ht="18" customHeight="1">
      <c r="B21" s="302" t="s">
        <v>578</v>
      </c>
      <c r="C21" s="328">
        <f>-C16</f>
        <v>-122087</v>
      </c>
      <c r="D21" s="288" t="s">
        <v>509</v>
      </c>
    </row>
    <row r="22" spans="2:4" ht="18" customHeight="1">
      <c r="B22" s="302"/>
      <c r="C22" s="328"/>
      <c r="D22" s="287"/>
    </row>
    <row r="23" spans="2:4" ht="18" customHeight="1">
      <c r="B23" s="341" t="s">
        <v>568</v>
      </c>
      <c r="C23" s="343">
        <f>C17+SUM(C21:C22)</f>
        <v>774148</v>
      </c>
      <c r="D23" s="287"/>
    </row>
    <row r="24" spans="2:4" ht="18" customHeight="1">
      <c r="B24" s="270"/>
      <c r="C24" s="271"/>
      <c r="D24" s="270"/>
    </row>
    <row r="25" spans="2:4" ht="18" customHeight="1"/>
    <row r="26" spans="2:4" ht="15" customHeight="1">
      <c r="B26" s="341" t="s">
        <v>630</v>
      </c>
    </row>
    <row r="27" spans="2:4" ht="15" customHeight="1">
      <c r="B27" s="386" t="s">
        <v>641</v>
      </c>
      <c r="C27" s="263">
        <v>904.35</v>
      </c>
    </row>
    <row r="28" spans="2:4" ht="15" customHeight="1">
      <c r="B28" s="386" t="s">
        <v>642</v>
      </c>
      <c r="C28" s="263" t="s">
        <v>631</v>
      </c>
    </row>
  </sheetData>
  <pageMargins left="0.75" right="0.75" top="1" bottom="1" header="0.5" footer="0.5"/>
  <pageSetup scale="81"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workbookViewId="0"/>
  </sheetViews>
  <sheetFormatPr defaultRowHeight="12.75"/>
  <cols>
    <col min="1" max="1" width="3.33203125" style="257" customWidth="1"/>
    <col min="2" max="2" width="13.88671875" style="257" customWidth="1"/>
    <col min="3" max="3" width="29.88671875" style="257" customWidth="1"/>
    <col min="4" max="4" width="16.5546875" style="257" customWidth="1"/>
    <col min="5" max="5" width="11.21875" style="257" customWidth="1"/>
    <col min="6" max="16384" width="8.88671875" style="257"/>
  </cols>
  <sheetData>
    <row r="1" spans="2:11" ht="20.100000000000001" customHeight="1">
      <c r="B1" s="276" t="str">
        <f>EntityName</f>
        <v>Glencoe, MN</v>
      </c>
      <c r="C1" s="280"/>
      <c r="D1" s="280"/>
    </row>
    <row r="2" spans="2:11" ht="20.100000000000001" customHeight="1">
      <c r="B2" s="277" t="s">
        <v>575</v>
      </c>
      <c r="C2" s="282"/>
      <c r="D2" s="282"/>
      <c r="E2" s="273"/>
      <c r="F2" s="273"/>
      <c r="G2" s="273"/>
      <c r="H2" s="273"/>
      <c r="I2" s="273"/>
    </row>
    <row r="3" spans="2:11" ht="20.100000000000001" customHeight="1">
      <c r="B3" s="278">
        <f>FilingDate</f>
        <v>43100</v>
      </c>
      <c r="C3" s="280"/>
      <c r="D3" s="280"/>
    </row>
    <row r="4" spans="2:11" ht="20.100000000000001" customHeight="1"/>
    <row r="5" spans="2:11" s="299" customFormat="1" ht="18" customHeight="1">
      <c r="B5" s="284">
        <v>90000</v>
      </c>
      <c r="C5" s="289" t="s">
        <v>534</v>
      </c>
      <c r="D5" s="289"/>
      <c r="E5" s="295"/>
      <c r="F5" s="295"/>
      <c r="G5" s="295"/>
      <c r="H5" s="295"/>
    </row>
    <row r="6" spans="2:11" s="299" customFormat="1" ht="18" customHeight="1">
      <c r="B6" s="295"/>
      <c r="C6" s="295" t="s">
        <v>593</v>
      </c>
      <c r="D6" s="295"/>
      <c r="E6" s="295"/>
      <c r="F6" s="295"/>
      <c r="G6" s="295"/>
      <c r="H6" s="295"/>
    </row>
    <row r="7" spans="2:11" s="299" customFormat="1" ht="18" customHeight="1">
      <c r="B7" s="295"/>
      <c r="C7" s="295" t="s">
        <v>594</v>
      </c>
      <c r="D7" s="295"/>
      <c r="E7" s="295"/>
      <c r="F7" s="295"/>
      <c r="G7" s="295"/>
      <c r="H7" s="295"/>
    </row>
    <row r="8" spans="2:11" s="299" customFormat="1" ht="18" customHeight="1">
      <c r="B8" s="295"/>
      <c r="C8" s="295"/>
      <c r="D8" s="295"/>
      <c r="E8" s="295"/>
      <c r="F8" s="295"/>
      <c r="G8" s="295"/>
      <c r="H8" s="295"/>
    </row>
    <row r="9" spans="2:11" s="299" customFormat="1" ht="18" customHeight="1">
      <c r="B9" s="284">
        <v>0</v>
      </c>
      <c r="C9" s="289" t="s">
        <v>535</v>
      </c>
      <c r="D9" s="289"/>
      <c r="E9" s="295"/>
      <c r="F9" s="295"/>
      <c r="G9" s="295"/>
      <c r="H9" s="295"/>
    </row>
    <row r="10" spans="2:11" s="299" customFormat="1" ht="18" customHeight="1">
      <c r="B10" s="295"/>
      <c r="C10" s="295"/>
      <c r="D10" s="295"/>
      <c r="E10" s="295"/>
      <c r="F10" s="295"/>
      <c r="G10" s="295"/>
      <c r="H10" s="295"/>
    </row>
    <row r="11" spans="2:11" s="299" customFormat="1" ht="18" customHeight="1">
      <c r="B11" s="295"/>
      <c r="C11" s="295"/>
      <c r="D11" s="295"/>
      <c r="E11" s="295"/>
      <c r="F11" s="295"/>
      <c r="G11" s="295"/>
      <c r="H11" s="295"/>
    </row>
    <row r="12" spans="2:11" s="299" customFormat="1" ht="18" customHeight="1">
      <c r="B12" s="284">
        <v>0</v>
      </c>
      <c r="C12" s="289" t="s">
        <v>574</v>
      </c>
      <c r="D12" s="289"/>
      <c r="F12" s="295"/>
      <c r="G12" s="295"/>
      <c r="H12" s="295"/>
    </row>
    <row r="13" spans="2:11" s="299" customFormat="1" ht="18" customHeight="1">
      <c r="B13" s="289"/>
      <c r="C13" s="289"/>
      <c r="D13" s="289"/>
      <c r="F13" s="295"/>
      <c r="G13" s="295"/>
      <c r="H13" s="295"/>
    </row>
    <row r="14" spans="2:11" s="299" customFormat="1" ht="18" customHeight="1"/>
    <row r="15" spans="2:11" s="299" customFormat="1" ht="18" customHeight="1">
      <c r="B15" s="284">
        <f>E30</f>
        <v>15871.630000000001</v>
      </c>
      <c r="C15" s="289" t="s">
        <v>545</v>
      </c>
      <c r="D15" s="289"/>
      <c r="E15" s="295"/>
      <c r="F15" s="290"/>
      <c r="G15" s="290"/>
      <c r="H15" s="290"/>
      <c r="I15" s="290"/>
      <c r="J15" s="331"/>
      <c r="K15" s="331"/>
    </row>
    <row r="16" spans="2:11" s="299" customFormat="1" ht="18" customHeight="1">
      <c r="B16" s="289"/>
      <c r="C16" s="289"/>
      <c r="D16" s="289"/>
      <c r="E16" s="295"/>
      <c r="F16" s="290"/>
      <c r="G16" s="290"/>
      <c r="H16" s="290"/>
      <c r="I16" s="290"/>
      <c r="J16" s="331"/>
      <c r="K16" s="331"/>
    </row>
    <row r="17" spans="2:11" s="299" customFormat="1" ht="18" customHeight="1">
      <c r="B17" s="296" t="s">
        <v>517</v>
      </c>
      <c r="C17" s="296" t="s">
        <v>503</v>
      </c>
      <c r="D17" s="296" t="s">
        <v>633</v>
      </c>
      <c r="E17" s="296" t="s">
        <v>7</v>
      </c>
      <c r="F17" s="290"/>
      <c r="G17" s="290"/>
      <c r="H17" s="290"/>
      <c r="I17" s="331"/>
      <c r="J17" s="331"/>
      <c r="K17" s="331"/>
    </row>
    <row r="18" spans="2:11" s="299" customFormat="1" ht="18" customHeight="1">
      <c r="B18" s="302">
        <v>201701</v>
      </c>
      <c r="C18" s="302" t="s">
        <v>632</v>
      </c>
      <c r="D18" s="333">
        <v>62.67</v>
      </c>
      <c r="E18" s="333">
        <f>1312.83+D18</f>
        <v>1375.5</v>
      </c>
      <c r="F18" s="291"/>
      <c r="G18" s="290"/>
      <c r="H18" s="290"/>
      <c r="I18" s="331"/>
      <c r="J18" s="331"/>
      <c r="K18" s="331"/>
    </row>
    <row r="19" spans="2:11" s="299" customFormat="1" ht="18" customHeight="1">
      <c r="B19" s="302">
        <v>201702</v>
      </c>
      <c r="C19" s="302" t="s">
        <v>632</v>
      </c>
      <c r="D19" s="333"/>
      <c r="E19" s="333">
        <v>1145.56</v>
      </c>
      <c r="F19" s="291"/>
      <c r="G19" s="290"/>
      <c r="H19" s="290"/>
      <c r="I19" s="331"/>
      <c r="J19" s="331"/>
      <c r="K19" s="331"/>
    </row>
    <row r="20" spans="2:11" s="299" customFormat="1" ht="18" customHeight="1">
      <c r="B20" s="302">
        <v>201703</v>
      </c>
      <c r="C20" s="302" t="s">
        <v>632</v>
      </c>
      <c r="D20" s="333"/>
      <c r="E20" s="333">
        <v>1193.1500000000001</v>
      </c>
      <c r="F20" s="291"/>
      <c r="G20" s="290"/>
      <c r="H20" s="290"/>
      <c r="I20" s="331"/>
      <c r="J20" s="331"/>
      <c r="K20" s="331"/>
    </row>
    <row r="21" spans="2:11" s="299" customFormat="1" ht="18" customHeight="1">
      <c r="B21" s="302">
        <v>201704</v>
      </c>
      <c r="C21" s="302" t="s">
        <v>632</v>
      </c>
      <c r="D21" s="333">
        <f>14.79+14.03</f>
        <v>28.82</v>
      </c>
      <c r="E21" s="333">
        <f>1054.56+D21</f>
        <v>1083.3799999999999</v>
      </c>
      <c r="F21" s="291"/>
      <c r="G21" s="290"/>
      <c r="H21" s="290"/>
      <c r="I21" s="331"/>
      <c r="J21" s="331"/>
      <c r="K21" s="331"/>
    </row>
    <row r="22" spans="2:11" s="299" customFormat="1" ht="18" customHeight="1">
      <c r="B22" s="302">
        <v>201705</v>
      </c>
      <c r="C22" s="302" t="s">
        <v>632</v>
      </c>
      <c r="D22" s="333"/>
      <c r="E22" s="333">
        <v>1271.5999999999999</v>
      </c>
      <c r="F22" s="291"/>
      <c r="G22" s="290"/>
      <c r="H22" s="290"/>
      <c r="I22" s="331"/>
      <c r="J22" s="331"/>
      <c r="K22" s="331"/>
    </row>
    <row r="23" spans="2:11" s="299" customFormat="1" ht="18" customHeight="1">
      <c r="B23" s="302">
        <v>201706</v>
      </c>
      <c r="C23" s="302" t="s">
        <v>632</v>
      </c>
      <c r="D23" s="333">
        <v>8.81</v>
      </c>
      <c r="E23" s="333">
        <f>1504.68+D23</f>
        <v>1513.49</v>
      </c>
      <c r="F23" s="291"/>
      <c r="G23" s="290"/>
      <c r="H23" s="290"/>
      <c r="I23" s="331"/>
      <c r="J23" s="331"/>
      <c r="K23" s="331"/>
    </row>
    <row r="24" spans="2:11" s="299" customFormat="1" ht="18" customHeight="1">
      <c r="B24" s="302">
        <v>201707</v>
      </c>
      <c r="C24" s="302" t="s">
        <v>632</v>
      </c>
      <c r="D24" s="333"/>
      <c r="E24" s="333">
        <v>1674.07</v>
      </c>
      <c r="F24" s="291"/>
      <c r="G24" s="290"/>
      <c r="H24" s="290"/>
      <c r="I24" s="331"/>
      <c r="J24" s="331"/>
      <c r="K24" s="331"/>
    </row>
    <row r="25" spans="2:11" s="299" customFormat="1" ht="18" customHeight="1">
      <c r="B25" s="302">
        <v>201708</v>
      </c>
      <c r="C25" s="302" t="s">
        <v>632</v>
      </c>
      <c r="D25" s="333"/>
      <c r="E25" s="333">
        <v>1497.81</v>
      </c>
      <c r="F25" s="291"/>
      <c r="G25" s="290"/>
      <c r="H25" s="290"/>
      <c r="I25" s="331"/>
      <c r="J25" s="331"/>
      <c r="K25" s="331"/>
    </row>
    <row r="26" spans="2:11" s="299" customFormat="1" ht="18" customHeight="1">
      <c r="B26" s="302">
        <v>201709</v>
      </c>
      <c r="C26" s="302" t="s">
        <v>632</v>
      </c>
      <c r="D26" s="332"/>
      <c r="E26" s="333">
        <v>1566.21</v>
      </c>
      <c r="F26" s="291"/>
      <c r="G26" s="290"/>
      <c r="H26" s="290"/>
      <c r="I26" s="331"/>
      <c r="J26" s="331"/>
      <c r="K26" s="331"/>
    </row>
    <row r="27" spans="2:11" s="299" customFormat="1" ht="18" customHeight="1">
      <c r="B27" s="302">
        <v>201710</v>
      </c>
      <c r="C27" s="302" t="s">
        <v>632</v>
      </c>
      <c r="D27" s="332"/>
      <c r="E27" s="333">
        <v>1134.82</v>
      </c>
      <c r="F27" s="350"/>
      <c r="G27" s="290"/>
      <c r="H27" s="290"/>
      <c r="I27" s="331"/>
      <c r="J27" s="331"/>
      <c r="K27" s="331"/>
    </row>
    <row r="28" spans="2:11" s="299" customFormat="1" ht="18" customHeight="1">
      <c r="B28" s="302">
        <v>201711</v>
      </c>
      <c r="C28" s="302" t="s">
        <v>632</v>
      </c>
      <c r="D28" s="332"/>
      <c r="E28" s="333">
        <v>1143.43</v>
      </c>
      <c r="F28" s="291"/>
      <c r="G28" s="290"/>
      <c r="H28" s="290"/>
      <c r="I28" s="331"/>
      <c r="J28" s="331"/>
      <c r="K28" s="331"/>
    </row>
    <row r="29" spans="2:11" s="299" customFormat="1" ht="18" customHeight="1">
      <c r="B29" s="302">
        <v>201712</v>
      </c>
      <c r="C29" s="302" t="s">
        <v>632</v>
      </c>
      <c r="D29" s="332"/>
      <c r="E29" s="333">
        <v>1272.6099999999999</v>
      </c>
      <c r="F29" s="291"/>
      <c r="G29" s="290"/>
      <c r="H29" s="290"/>
      <c r="I29" s="331"/>
      <c r="J29" s="331"/>
      <c r="K29" s="331"/>
    </row>
    <row r="30" spans="2:11" s="299" customFormat="1" ht="18" customHeight="1">
      <c r="B30" s="344"/>
      <c r="C30" s="345"/>
      <c r="D30" s="345"/>
      <c r="E30" s="346">
        <f>SUM(E18:E29)</f>
        <v>15871.630000000001</v>
      </c>
      <c r="F30" s="334" t="s">
        <v>542</v>
      </c>
      <c r="G30" s="290"/>
      <c r="H30" s="290"/>
      <c r="I30" s="331"/>
      <c r="J30" s="331"/>
      <c r="K30" s="331"/>
    </row>
    <row r="31" spans="2:11" ht="18" customHeight="1"/>
    <row r="32" spans="2:11" ht="18" customHeight="1"/>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L54"/>
  <sheetViews>
    <sheetView showGridLines="0" workbookViewId="0"/>
  </sheetViews>
  <sheetFormatPr defaultRowHeight="15" customHeight="1"/>
  <cols>
    <col min="1" max="1" width="3.33203125" style="264" customWidth="1"/>
    <col min="2" max="2" width="13.33203125" style="264" customWidth="1"/>
    <col min="3" max="3" width="27.77734375" style="264" customWidth="1"/>
    <col min="4" max="4" width="8.88671875" style="264" customWidth="1"/>
    <col min="5" max="5" width="13.109375" style="264" customWidth="1"/>
    <col min="6" max="6" width="11.88671875" style="264" customWidth="1"/>
    <col min="7" max="7" width="10.109375" style="264" customWidth="1"/>
    <col min="8" max="8" width="12.33203125" style="264" customWidth="1"/>
    <col min="9" max="16384" width="8.88671875" style="264"/>
  </cols>
  <sheetData>
    <row r="1" spans="2:10" s="266" customFormat="1" ht="20.100000000000001" customHeight="1">
      <c r="B1" s="276" t="str">
        <f>EntityName</f>
        <v>Glencoe, MN</v>
      </c>
      <c r="C1" s="280"/>
      <c r="D1" s="280"/>
      <c r="E1" s="280"/>
      <c r="F1" s="280"/>
      <c r="G1" s="280"/>
      <c r="H1" s="280"/>
      <c r="I1" s="280"/>
    </row>
    <row r="2" spans="2:10" ht="20.100000000000001" customHeight="1">
      <c r="B2" s="456" t="s">
        <v>566</v>
      </c>
      <c r="C2" s="456"/>
      <c r="D2" s="456"/>
      <c r="E2" s="456"/>
      <c r="F2" s="456"/>
      <c r="G2" s="456"/>
      <c r="H2" s="456"/>
      <c r="I2" s="456"/>
    </row>
    <row r="3" spans="2:10" ht="20.100000000000001" customHeight="1">
      <c r="B3" s="278">
        <f>FilingDate</f>
        <v>43100</v>
      </c>
      <c r="C3" s="280"/>
      <c r="D3" s="280"/>
      <c r="E3" s="280"/>
      <c r="F3" s="280"/>
      <c r="G3" s="280"/>
      <c r="H3" s="280"/>
      <c r="I3" s="280"/>
    </row>
    <row r="4" spans="2:10" ht="16.5" customHeight="1">
      <c r="B4" s="278"/>
      <c r="C4" s="280"/>
      <c r="D4" s="280"/>
      <c r="E4" s="280"/>
      <c r="F4" s="280"/>
      <c r="G4" s="280"/>
      <c r="H4" s="280"/>
      <c r="I4" s="280"/>
    </row>
    <row r="5" spans="2:10" ht="20.100000000000001" customHeight="1">
      <c r="B5" s="359">
        <f>ROUND(F32,0)</f>
        <v>67259</v>
      </c>
      <c r="C5" s="289" t="s">
        <v>572</v>
      </c>
      <c r="D5" s="280"/>
      <c r="E5" s="280"/>
      <c r="F5" s="280"/>
      <c r="G5" s="280"/>
      <c r="H5" s="280"/>
      <c r="I5" s="280"/>
    </row>
    <row r="7" spans="2:10" ht="18" customHeight="1">
      <c r="B7" s="301" t="s">
        <v>537</v>
      </c>
      <c r="C7" s="301" t="s">
        <v>538</v>
      </c>
      <c r="D7" s="296" t="s">
        <v>558</v>
      </c>
      <c r="E7" s="301" t="s">
        <v>539</v>
      </c>
      <c r="F7" s="297" t="s">
        <v>7</v>
      </c>
      <c r="G7" s="297" t="s">
        <v>633</v>
      </c>
      <c r="H7" s="297" t="s">
        <v>540</v>
      </c>
    </row>
    <row r="8" spans="2:10" ht="18" customHeight="1">
      <c r="B8" s="302">
        <v>201701</v>
      </c>
      <c r="C8" s="302" t="s">
        <v>632</v>
      </c>
      <c r="D8" s="352">
        <v>7</v>
      </c>
      <c r="E8" s="302">
        <f>+B8</f>
        <v>201701</v>
      </c>
      <c r="F8" s="353">
        <v>2534.64</v>
      </c>
      <c r="G8" s="353">
        <v>-834.14</v>
      </c>
      <c r="H8" s="353"/>
      <c r="J8" s="361"/>
    </row>
    <row r="9" spans="2:10" ht="18" customHeight="1">
      <c r="B9" s="302">
        <v>201702</v>
      </c>
      <c r="C9" s="302" t="s">
        <v>632</v>
      </c>
      <c r="D9" s="352">
        <v>7</v>
      </c>
      <c r="E9" s="302">
        <f t="shared" ref="E9:E31" si="0">+B9</f>
        <v>201702</v>
      </c>
      <c r="F9" s="353">
        <v>2259.1999999999998</v>
      </c>
      <c r="G9" s="353"/>
      <c r="H9" s="353"/>
      <c r="J9" s="361"/>
    </row>
    <row r="10" spans="2:10" ht="18" customHeight="1">
      <c r="B10" s="302">
        <v>201703</v>
      </c>
      <c r="C10" s="302" t="s">
        <v>632</v>
      </c>
      <c r="D10" s="352">
        <v>7</v>
      </c>
      <c r="E10" s="302">
        <f t="shared" si="0"/>
        <v>201703</v>
      </c>
      <c r="F10" s="353">
        <v>2497.65</v>
      </c>
      <c r="G10" s="353"/>
      <c r="H10" s="353"/>
      <c r="J10" s="361"/>
    </row>
    <row r="11" spans="2:10" ht="18" customHeight="1">
      <c r="B11" s="302">
        <v>201704</v>
      </c>
      <c r="C11" s="302" t="s">
        <v>632</v>
      </c>
      <c r="D11" s="352">
        <v>7</v>
      </c>
      <c r="E11" s="302">
        <f t="shared" si="0"/>
        <v>201704</v>
      </c>
      <c r="F11" s="353">
        <v>2445.31</v>
      </c>
      <c r="G11" s="353">
        <f>-60.25+-13.32</f>
        <v>-73.569999999999993</v>
      </c>
      <c r="H11" s="353"/>
      <c r="J11" s="361"/>
    </row>
    <row r="12" spans="2:10" ht="18" customHeight="1">
      <c r="B12" s="302">
        <v>201705</v>
      </c>
      <c r="C12" s="302" t="s">
        <v>632</v>
      </c>
      <c r="D12" s="352">
        <v>7</v>
      </c>
      <c r="E12" s="302">
        <f t="shared" si="0"/>
        <v>201705</v>
      </c>
      <c r="F12" s="353">
        <v>2879.7</v>
      </c>
      <c r="G12" s="353"/>
      <c r="H12" s="353"/>
      <c r="J12" s="361"/>
    </row>
    <row r="13" spans="2:10" ht="18" customHeight="1">
      <c r="B13" s="302">
        <v>201706</v>
      </c>
      <c r="C13" s="302" t="s">
        <v>632</v>
      </c>
      <c r="D13" s="352">
        <v>7</v>
      </c>
      <c r="E13" s="302">
        <f t="shared" si="0"/>
        <v>201706</v>
      </c>
      <c r="F13" s="353">
        <v>2133.9499999999998</v>
      </c>
      <c r="G13" s="353">
        <v>69.42</v>
      </c>
      <c r="H13" s="353"/>
      <c r="J13" s="361"/>
    </row>
    <row r="14" spans="2:10" ht="18" customHeight="1">
      <c r="B14" s="302">
        <v>201707</v>
      </c>
      <c r="C14" s="302" t="s">
        <v>632</v>
      </c>
      <c r="D14" s="352">
        <v>7</v>
      </c>
      <c r="E14" s="302">
        <f t="shared" si="0"/>
        <v>201707</v>
      </c>
      <c r="F14" s="353">
        <v>2226.0300000000002</v>
      </c>
      <c r="G14" s="353"/>
      <c r="H14" s="353"/>
      <c r="J14" s="361"/>
    </row>
    <row r="15" spans="2:10" ht="18" customHeight="1">
      <c r="B15" s="302">
        <v>201708</v>
      </c>
      <c r="C15" s="302" t="s">
        <v>632</v>
      </c>
      <c r="D15" s="352">
        <v>7</v>
      </c>
      <c r="E15" s="302">
        <f t="shared" si="0"/>
        <v>201708</v>
      </c>
      <c r="F15" s="353">
        <v>2141.54</v>
      </c>
      <c r="G15" s="353"/>
      <c r="H15" s="353"/>
      <c r="J15" s="361"/>
    </row>
    <row r="16" spans="2:10" ht="18" customHeight="1">
      <c r="B16" s="302">
        <v>201709</v>
      </c>
      <c r="C16" s="302" t="s">
        <v>632</v>
      </c>
      <c r="D16" s="352">
        <v>7</v>
      </c>
      <c r="E16" s="302">
        <f t="shared" si="0"/>
        <v>201709</v>
      </c>
      <c r="F16" s="353">
        <v>2100.4</v>
      </c>
      <c r="G16" s="353"/>
      <c r="H16" s="353"/>
      <c r="J16" s="361"/>
    </row>
    <row r="17" spans="2:10" ht="18" customHeight="1">
      <c r="B17" s="302">
        <v>201710</v>
      </c>
      <c r="C17" s="302" t="s">
        <v>632</v>
      </c>
      <c r="D17" s="352">
        <v>7</v>
      </c>
      <c r="E17" s="302">
        <f t="shared" si="0"/>
        <v>201710</v>
      </c>
      <c r="F17" s="353">
        <v>2170.59</v>
      </c>
      <c r="G17" s="353"/>
      <c r="H17" s="353"/>
      <c r="J17" s="361"/>
    </row>
    <row r="18" spans="2:10" ht="18" customHeight="1">
      <c r="B18" s="302">
        <v>201711</v>
      </c>
      <c r="C18" s="302" t="s">
        <v>632</v>
      </c>
      <c r="D18" s="352">
        <v>7</v>
      </c>
      <c r="E18" s="302">
        <f t="shared" si="0"/>
        <v>201711</v>
      </c>
      <c r="F18" s="353">
        <v>1723.71</v>
      </c>
      <c r="G18" s="353"/>
      <c r="H18" s="353"/>
      <c r="J18" s="361"/>
    </row>
    <row r="19" spans="2:10" ht="18" customHeight="1">
      <c r="B19" s="302">
        <v>201712</v>
      </c>
      <c r="C19" s="302" t="s">
        <v>632</v>
      </c>
      <c r="D19" s="352">
        <v>7</v>
      </c>
      <c r="E19" s="302">
        <f t="shared" si="0"/>
        <v>201712</v>
      </c>
      <c r="F19" s="353">
        <v>1798.59</v>
      </c>
      <c r="G19" s="353"/>
      <c r="H19" s="353">
        <f>SUM(F8:F19)+SUM(G8:G19)</f>
        <v>26073.02</v>
      </c>
      <c r="J19" s="361"/>
    </row>
    <row r="20" spans="2:10" ht="18" customHeight="1">
      <c r="B20" s="302">
        <v>201701</v>
      </c>
      <c r="C20" s="302" t="s">
        <v>632</v>
      </c>
      <c r="D20" s="352">
        <v>8</v>
      </c>
      <c r="E20" s="302">
        <f t="shared" si="0"/>
        <v>201701</v>
      </c>
      <c r="F20" s="353">
        <v>3527.61</v>
      </c>
      <c r="G20" s="353"/>
      <c r="H20" s="353"/>
      <c r="J20" s="361"/>
    </row>
    <row r="21" spans="2:10" ht="18" customHeight="1">
      <c r="B21" s="302">
        <v>201702</v>
      </c>
      <c r="C21" s="302" t="s">
        <v>632</v>
      </c>
      <c r="D21" s="352">
        <v>8</v>
      </c>
      <c r="E21" s="302">
        <f t="shared" si="0"/>
        <v>201702</v>
      </c>
      <c r="F21" s="353">
        <v>2936.26</v>
      </c>
      <c r="G21" s="353"/>
      <c r="H21" s="353"/>
      <c r="J21" s="361"/>
    </row>
    <row r="22" spans="2:10" ht="18" customHeight="1">
      <c r="B22" s="302">
        <v>201703</v>
      </c>
      <c r="C22" s="302" t="s">
        <v>632</v>
      </c>
      <c r="D22" s="352">
        <v>8</v>
      </c>
      <c r="E22" s="302">
        <f t="shared" si="0"/>
        <v>201703</v>
      </c>
      <c r="F22" s="353">
        <v>3309.33</v>
      </c>
      <c r="G22" s="353"/>
      <c r="H22" s="353"/>
      <c r="J22" s="361"/>
    </row>
    <row r="23" spans="2:10" ht="18" customHeight="1">
      <c r="B23" s="302">
        <v>201704</v>
      </c>
      <c r="C23" s="302" t="s">
        <v>632</v>
      </c>
      <c r="D23" s="352">
        <v>8</v>
      </c>
      <c r="E23" s="302">
        <f t="shared" si="0"/>
        <v>201704</v>
      </c>
      <c r="F23" s="353">
        <v>2839.84</v>
      </c>
      <c r="G23" s="353">
        <v>-107.16</v>
      </c>
      <c r="H23" s="353"/>
      <c r="J23" s="361"/>
    </row>
    <row r="24" spans="2:10" ht="18" customHeight="1">
      <c r="B24" s="302">
        <v>201705</v>
      </c>
      <c r="C24" s="302" t="s">
        <v>632</v>
      </c>
      <c r="D24" s="352">
        <v>8</v>
      </c>
      <c r="E24" s="302">
        <f t="shared" si="0"/>
        <v>201705</v>
      </c>
      <c r="F24" s="353">
        <v>3122.63</v>
      </c>
      <c r="G24" s="353"/>
      <c r="H24" s="353"/>
      <c r="J24" s="361"/>
    </row>
    <row r="25" spans="2:10" ht="18" customHeight="1">
      <c r="B25" s="302">
        <v>201706</v>
      </c>
      <c r="C25" s="302" t="s">
        <v>632</v>
      </c>
      <c r="D25" s="352">
        <v>8</v>
      </c>
      <c r="E25" s="302">
        <f t="shared" si="0"/>
        <v>201706</v>
      </c>
      <c r="F25" s="353">
        <v>3552.89</v>
      </c>
      <c r="G25" s="353"/>
      <c r="H25" s="353"/>
      <c r="J25" s="361"/>
    </row>
    <row r="26" spans="2:10" ht="18" customHeight="1">
      <c r="B26" s="302">
        <v>201707</v>
      </c>
      <c r="C26" s="302" t="s">
        <v>632</v>
      </c>
      <c r="D26" s="352">
        <v>8</v>
      </c>
      <c r="E26" s="302">
        <f t="shared" si="0"/>
        <v>201707</v>
      </c>
      <c r="F26" s="353">
        <v>3819.67</v>
      </c>
      <c r="G26" s="353"/>
      <c r="H26" s="353"/>
      <c r="J26" s="361"/>
    </row>
    <row r="27" spans="2:10" ht="18" customHeight="1">
      <c r="B27" s="302">
        <v>201708</v>
      </c>
      <c r="C27" s="302" t="s">
        <v>632</v>
      </c>
      <c r="D27" s="352">
        <v>8</v>
      </c>
      <c r="E27" s="302">
        <f t="shared" si="0"/>
        <v>201708</v>
      </c>
      <c r="F27" s="353">
        <v>3948.44</v>
      </c>
      <c r="G27" s="353"/>
      <c r="H27" s="353"/>
      <c r="J27" s="361"/>
    </row>
    <row r="28" spans="2:10" ht="18" customHeight="1">
      <c r="B28" s="302">
        <v>201709</v>
      </c>
      <c r="C28" s="302" t="s">
        <v>632</v>
      </c>
      <c r="D28" s="352">
        <v>8</v>
      </c>
      <c r="E28" s="302">
        <f t="shared" si="0"/>
        <v>201709</v>
      </c>
      <c r="F28" s="353">
        <v>3751.55</v>
      </c>
      <c r="G28" s="353"/>
      <c r="H28" s="353"/>
      <c r="J28" s="361"/>
    </row>
    <row r="29" spans="2:10" ht="18" customHeight="1">
      <c r="B29" s="302">
        <v>201710</v>
      </c>
      <c r="C29" s="302" t="s">
        <v>632</v>
      </c>
      <c r="D29" s="352">
        <v>8</v>
      </c>
      <c r="E29" s="302">
        <f t="shared" si="0"/>
        <v>201710</v>
      </c>
      <c r="F29" s="353">
        <v>2805.14</v>
      </c>
      <c r="G29" s="353"/>
      <c r="H29" s="353"/>
      <c r="J29" s="361"/>
    </row>
    <row r="30" spans="2:10" ht="18" customHeight="1">
      <c r="B30" s="302">
        <v>201711</v>
      </c>
      <c r="C30" s="302" t="s">
        <v>632</v>
      </c>
      <c r="D30" s="352">
        <v>8</v>
      </c>
      <c r="E30" s="302">
        <f t="shared" si="0"/>
        <v>201711</v>
      </c>
      <c r="F30" s="353">
        <v>3044.56</v>
      </c>
      <c r="G30" s="353"/>
      <c r="H30" s="353"/>
      <c r="J30" s="361"/>
    </row>
    <row r="31" spans="2:10" ht="18" customHeight="1">
      <c r="B31" s="302">
        <v>201712</v>
      </c>
      <c r="C31" s="302" t="s">
        <v>632</v>
      </c>
      <c r="D31" s="352">
        <v>8</v>
      </c>
      <c r="E31" s="302">
        <f t="shared" si="0"/>
        <v>201712</v>
      </c>
      <c r="F31" s="353">
        <v>3689.32</v>
      </c>
      <c r="G31" s="353"/>
      <c r="H31" s="353">
        <f>SUM(F20:F31)+SUM(G20:G31)</f>
        <v>40240.079999999994</v>
      </c>
      <c r="J31" s="361"/>
    </row>
    <row r="32" spans="2:10" ht="18" customHeight="1">
      <c r="B32" s="341"/>
      <c r="C32" s="341"/>
      <c r="D32" s="341"/>
      <c r="E32" s="341"/>
      <c r="F32" s="354">
        <f>SUM(F8:F31)</f>
        <v>67258.55</v>
      </c>
      <c r="G32" s="354"/>
      <c r="H32" s="354">
        <f>SUM(H8:H31)</f>
        <v>66313.099999999991</v>
      </c>
    </row>
    <row r="34" spans="8:12" ht="15" customHeight="1">
      <c r="H34" s="369"/>
    </row>
    <row r="35" spans="8:12" ht="15" customHeight="1">
      <c r="H35" s="369"/>
    </row>
    <row r="36" spans="8:12" s="265" customFormat="1" ht="15" customHeight="1">
      <c r="H36" s="369"/>
    </row>
    <row r="37" spans="8:12" ht="15" customHeight="1">
      <c r="H37" s="361"/>
      <c r="I37" s="370"/>
    </row>
    <row r="40" spans="8:12" ht="15" customHeight="1">
      <c r="H40" s="361"/>
      <c r="I40" s="370"/>
      <c r="L40" s="370"/>
    </row>
    <row r="41" spans="8:12" ht="15" customHeight="1">
      <c r="I41" s="370"/>
    </row>
    <row r="42" spans="8:12" ht="15" customHeight="1">
      <c r="H42" s="361"/>
      <c r="I42" s="370"/>
    </row>
    <row r="46" spans="8:12" ht="15" customHeight="1">
      <c r="H46" s="369">
        <v>29241</v>
      </c>
      <c r="I46" s="370" t="s">
        <v>638</v>
      </c>
    </row>
    <row r="47" spans="8:12" ht="15" customHeight="1">
      <c r="H47" s="369">
        <v>40779</v>
      </c>
      <c r="I47" s="370" t="s">
        <v>639</v>
      </c>
    </row>
    <row r="48" spans="8:12" ht="15" customHeight="1">
      <c r="H48" s="369">
        <f>SUM(H46:H47)</f>
        <v>70020</v>
      </c>
      <c r="I48" s="265" t="s">
        <v>650</v>
      </c>
      <c r="J48" s="265"/>
      <c r="K48" s="265"/>
    </row>
    <row r="49" spans="8:9" ht="15" customHeight="1">
      <c r="H49" s="361">
        <f>H48-H32</f>
        <v>3706.9000000000087</v>
      </c>
      <c r="I49" s="370" t="s">
        <v>651</v>
      </c>
    </row>
    <row r="52" spans="8:9" ht="15" customHeight="1">
      <c r="H52" s="361">
        <f>H44+Rev_9!G20</f>
        <v>459391.68999999994</v>
      </c>
      <c r="I52" s="370" t="s">
        <v>592</v>
      </c>
    </row>
    <row r="53" spans="8:9" ht="15" customHeight="1">
      <c r="H53" s="361">
        <v>465673</v>
      </c>
      <c r="I53" s="370" t="s">
        <v>591</v>
      </c>
    </row>
    <row r="54" spans="8:9" ht="15" customHeight="1">
      <c r="H54" s="361">
        <f>H53-H52</f>
        <v>6281.3100000000559</v>
      </c>
      <c r="I54" s="370" t="s">
        <v>651</v>
      </c>
    </row>
  </sheetData>
  <mergeCells count="1">
    <mergeCell ref="B2:I2"/>
  </mergeCells>
  <pageMargins left="0.7" right="0.7" top="0.75" bottom="0.75" header="0.1" footer="0.3"/>
  <pageSetup scale="83"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workbookViewId="0"/>
  </sheetViews>
  <sheetFormatPr defaultRowHeight="15"/>
  <cols>
    <col min="1" max="1" width="3.33203125" customWidth="1"/>
    <col min="2" max="2" width="14.6640625" bestFit="1" customWidth="1"/>
    <col min="3" max="3" width="26.109375" customWidth="1"/>
    <col min="4" max="4" width="9" bestFit="1" customWidth="1"/>
    <col min="5" max="5" width="13.77734375" bestFit="1" customWidth="1"/>
    <col min="6" max="6" width="13.77734375" customWidth="1"/>
    <col min="7" max="7" width="13.21875" customWidth="1"/>
  </cols>
  <sheetData>
    <row r="1" spans="2:8" s="266" customFormat="1" ht="19.5" customHeight="1">
      <c r="B1" s="279" t="str">
        <f>EntityName</f>
        <v>Glencoe, MN</v>
      </c>
      <c r="C1" s="280"/>
      <c r="D1" s="280"/>
      <c r="E1" s="280"/>
      <c r="F1" s="280"/>
      <c r="G1" s="280"/>
      <c r="H1" s="280"/>
    </row>
    <row r="2" spans="2:8" s="264" customFormat="1" ht="19.5" customHeight="1">
      <c r="B2" s="282" t="s">
        <v>565</v>
      </c>
      <c r="C2" s="282"/>
      <c r="D2" s="282"/>
      <c r="E2" s="282"/>
      <c r="F2" s="282"/>
      <c r="G2" s="282"/>
      <c r="H2" s="282"/>
    </row>
    <row r="3" spans="2:8" s="264" customFormat="1" ht="19.5" customHeight="1">
      <c r="B3" s="281">
        <f>FilingDate</f>
        <v>43100</v>
      </c>
      <c r="C3" s="280"/>
      <c r="D3" s="280"/>
      <c r="E3" s="280"/>
      <c r="F3" s="280"/>
      <c r="G3" s="280"/>
      <c r="H3" s="280"/>
    </row>
    <row r="4" spans="2:8" s="264" customFormat="1" ht="19.5" customHeight="1"/>
    <row r="5" spans="2:8" s="264" customFormat="1" ht="19.5" customHeight="1">
      <c r="B5" s="362">
        <f>G25</f>
        <v>974440.69</v>
      </c>
      <c r="C5" s="289" t="s">
        <v>582</v>
      </c>
      <c r="D5"/>
    </row>
    <row r="6" spans="2:8" s="264" customFormat="1" ht="19.5" customHeight="1"/>
    <row r="7" spans="2:8" s="264" customFormat="1" ht="18" customHeight="1">
      <c r="B7" s="301" t="s">
        <v>537</v>
      </c>
      <c r="C7" s="301" t="s">
        <v>538</v>
      </c>
      <c r="D7" s="301" t="s">
        <v>558</v>
      </c>
      <c r="E7" s="301" t="s">
        <v>539</v>
      </c>
      <c r="F7" s="301" t="s">
        <v>633</v>
      </c>
      <c r="G7" s="297" t="s">
        <v>7</v>
      </c>
      <c r="H7" s="351"/>
    </row>
    <row r="8" spans="2:8" s="264" customFormat="1" ht="18" customHeight="1">
      <c r="B8" s="302">
        <v>201701</v>
      </c>
      <c r="C8" s="302" t="s">
        <v>632</v>
      </c>
      <c r="D8" s="352">
        <v>9</v>
      </c>
      <c r="E8" s="302">
        <f>+B8</f>
        <v>201701</v>
      </c>
      <c r="F8" s="302"/>
      <c r="G8" s="353">
        <v>38532.83</v>
      </c>
      <c r="H8" s="351"/>
    </row>
    <row r="9" spans="2:8" s="264" customFormat="1" ht="18" customHeight="1">
      <c r="B9" s="302">
        <v>201702</v>
      </c>
      <c r="C9" s="302" t="s">
        <v>632</v>
      </c>
      <c r="D9" s="352">
        <v>9</v>
      </c>
      <c r="E9" s="302">
        <f t="shared" ref="E9:E19" si="0">+B9</f>
        <v>201702</v>
      </c>
      <c r="F9" s="302"/>
      <c r="G9" s="353">
        <v>32989.94</v>
      </c>
      <c r="H9" s="351"/>
    </row>
    <row r="10" spans="2:8" s="264" customFormat="1" ht="18" customHeight="1">
      <c r="B10" s="302">
        <v>201703</v>
      </c>
      <c r="C10" s="302" t="s">
        <v>632</v>
      </c>
      <c r="D10" s="352">
        <v>9</v>
      </c>
      <c r="E10" s="302">
        <f t="shared" si="0"/>
        <v>201703</v>
      </c>
      <c r="F10" s="353"/>
      <c r="G10" s="353">
        <v>33964.78</v>
      </c>
      <c r="H10" s="351"/>
    </row>
    <row r="11" spans="2:8" s="264" customFormat="1" ht="18" customHeight="1">
      <c r="B11" s="302">
        <v>201704</v>
      </c>
      <c r="C11" s="302" t="s">
        <v>632</v>
      </c>
      <c r="D11" s="352">
        <v>9</v>
      </c>
      <c r="E11" s="302">
        <f t="shared" si="0"/>
        <v>201704</v>
      </c>
      <c r="F11" s="353">
        <v>-1187.1600000000001</v>
      </c>
      <c r="G11" s="353">
        <f>31234.91+F11</f>
        <v>30047.75</v>
      </c>
      <c r="H11" s="351"/>
    </row>
    <row r="12" spans="2:8" s="264" customFormat="1" ht="18" customHeight="1">
      <c r="B12" s="302">
        <v>201705</v>
      </c>
      <c r="C12" s="302" t="s">
        <v>632</v>
      </c>
      <c r="D12" s="352">
        <v>9</v>
      </c>
      <c r="E12" s="302">
        <f t="shared" si="0"/>
        <v>201705</v>
      </c>
      <c r="F12" s="353"/>
      <c r="G12" s="353">
        <v>36384.31</v>
      </c>
      <c r="H12" s="351"/>
    </row>
    <row r="13" spans="2:8" s="264" customFormat="1" ht="18" customHeight="1">
      <c r="B13" s="302">
        <v>201706</v>
      </c>
      <c r="C13" s="302" t="s">
        <v>632</v>
      </c>
      <c r="D13" s="352">
        <v>9</v>
      </c>
      <c r="E13" s="302">
        <f t="shared" si="0"/>
        <v>201706</v>
      </c>
      <c r="F13" s="353">
        <v>-463.23</v>
      </c>
      <c r="G13" s="353">
        <f>44862.87+F13</f>
        <v>44399.64</v>
      </c>
      <c r="H13" s="351"/>
    </row>
    <row r="14" spans="2:8" s="264" customFormat="1" ht="18" customHeight="1">
      <c r="B14" s="302">
        <v>201707</v>
      </c>
      <c r="C14" s="302" t="s">
        <v>632</v>
      </c>
      <c r="D14" s="352">
        <v>9</v>
      </c>
      <c r="E14" s="302">
        <f t="shared" si="0"/>
        <v>201707</v>
      </c>
      <c r="F14" s="302"/>
      <c r="G14" s="353">
        <v>49756.79</v>
      </c>
      <c r="H14" s="351"/>
    </row>
    <row r="15" spans="2:8" s="264" customFormat="1" ht="18" customHeight="1">
      <c r="B15" s="302">
        <v>201708</v>
      </c>
      <c r="C15" s="302" t="s">
        <v>632</v>
      </c>
      <c r="D15" s="352">
        <v>9</v>
      </c>
      <c r="E15" s="302">
        <f t="shared" si="0"/>
        <v>201708</v>
      </c>
      <c r="F15" s="302"/>
      <c r="G15" s="353">
        <v>43837.1</v>
      </c>
      <c r="H15" s="351"/>
    </row>
    <row r="16" spans="2:8" s="264" customFormat="1" ht="18" customHeight="1">
      <c r="B16" s="302">
        <v>201709</v>
      </c>
      <c r="C16" s="302" t="s">
        <v>632</v>
      </c>
      <c r="D16" s="352">
        <v>9</v>
      </c>
      <c r="E16" s="302">
        <f t="shared" si="0"/>
        <v>201709</v>
      </c>
      <c r="F16" s="302"/>
      <c r="G16" s="353">
        <v>46355</v>
      </c>
      <c r="H16" s="351"/>
    </row>
    <row r="17" spans="2:8" s="264" customFormat="1" ht="18" customHeight="1">
      <c r="B17" s="302">
        <v>201710</v>
      </c>
      <c r="C17" s="302" t="s">
        <v>632</v>
      </c>
      <c r="D17" s="352">
        <v>9</v>
      </c>
      <c r="E17" s="302">
        <f t="shared" si="0"/>
        <v>201710</v>
      </c>
      <c r="F17" s="302"/>
      <c r="G17" s="353">
        <v>32851.550000000003</v>
      </c>
      <c r="H17" s="351"/>
    </row>
    <row r="18" spans="2:8" s="264" customFormat="1" ht="18" customHeight="1">
      <c r="B18" s="302">
        <v>201711</v>
      </c>
      <c r="C18" s="302" t="s">
        <v>632</v>
      </c>
      <c r="D18" s="352">
        <v>9</v>
      </c>
      <c r="E18" s="302">
        <f t="shared" si="0"/>
        <v>201711</v>
      </c>
      <c r="F18" s="302"/>
      <c r="G18" s="353">
        <v>33339.519999999997</v>
      </c>
      <c r="H18" s="351"/>
    </row>
    <row r="19" spans="2:8" s="264" customFormat="1" ht="18" customHeight="1">
      <c r="B19" s="302">
        <v>201712</v>
      </c>
      <c r="C19" s="302" t="s">
        <v>632</v>
      </c>
      <c r="D19" s="352">
        <v>9</v>
      </c>
      <c r="E19" s="302">
        <f t="shared" si="0"/>
        <v>201712</v>
      </c>
      <c r="F19" s="302"/>
      <c r="G19" s="353">
        <v>36932.480000000003</v>
      </c>
      <c r="H19" s="351"/>
    </row>
    <row r="20" spans="2:8" s="264" customFormat="1" ht="18" customHeight="1">
      <c r="B20" s="341"/>
      <c r="C20" s="341"/>
      <c r="D20" s="341"/>
      <c r="E20" s="341"/>
      <c r="F20" s="341"/>
      <c r="G20" s="354">
        <f>SUM(G8:G19)</f>
        <v>459391.68999999994</v>
      </c>
      <c r="H20" s="351"/>
    </row>
    <row r="21" spans="2:8" ht="18" customHeight="1"/>
    <row r="22" spans="2:8">
      <c r="B22" s="367" t="s">
        <v>581</v>
      </c>
      <c r="C22" s="367"/>
      <c r="D22" s="367"/>
      <c r="E22" s="367"/>
      <c r="F22" s="367"/>
      <c r="G22" s="368">
        <v>515049</v>
      </c>
      <c r="H22" t="s">
        <v>640</v>
      </c>
    </row>
    <row r="25" spans="2:8" ht="15.75">
      <c r="G25" s="366">
        <f>G20+G22</f>
        <v>974440.69</v>
      </c>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heetViews>
  <sheetFormatPr defaultRowHeight="15"/>
  <cols>
    <col min="1" max="1" width="3.33203125" customWidth="1"/>
    <col min="2" max="2" width="13" customWidth="1"/>
    <col min="3" max="3" width="8.33203125" customWidth="1"/>
    <col min="4" max="4" width="11.33203125" customWidth="1"/>
    <col min="5" max="5" width="13.77734375" customWidth="1"/>
    <col min="6" max="6" width="12.88671875" customWidth="1"/>
  </cols>
  <sheetData>
    <row r="1" spans="2:6" ht="19.5" customHeight="1">
      <c r="B1" s="279" t="str">
        <f>EntityName</f>
        <v>Glencoe, MN</v>
      </c>
    </row>
    <row r="2" spans="2:6" ht="19.5" customHeight="1">
      <c r="B2" s="282" t="s">
        <v>560</v>
      </c>
    </row>
    <row r="3" spans="2:6" ht="19.5" customHeight="1">
      <c r="B3" s="281">
        <f>FilingDate</f>
        <v>43100</v>
      </c>
    </row>
    <row r="4" spans="2:6" ht="19.5" customHeight="1"/>
    <row r="5" spans="2:6" ht="21" customHeight="1">
      <c r="B5" s="358">
        <f>F20</f>
        <v>12.19</v>
      </c>
      <c r="C5" s="289" t="s">
        <v>564</v>
      </c>
    </row>
    <row r="6" spans="2:6" ht="21" customHeight="1">
      <c r="B6" s="289"/>
    </row>
    <row r="7" spans="2:6" ht="18" customHeight="1">
      <c r="B7" s="296" t="s">
        <v>506</v>
      </c>
      <c r="C7" s="296" t="s">
        <v>505</v>
      </c>
      <c r="D7" s="296" t="s">
        <v>573</v>
      </c>
      <c r="E7" s="296" t="s">
        <v>562</v>
      </c>
      <c r="F7" s="296" t="s">
        <v>561</v>
      </c>
    </row>
    <row r="8" spans="2:6" ht="18" customHeight="1">
      <c r="B8" s="387">
        <v>42739</v>
      </c>
      <c r="C8" s="356">
        <v>18</v>
      </c>
      <c r="D8" s="356">
        <v>6.6909999999999998</v>
      </c>
      <c r="E8" s="356">
        <v>3.016</v>
      </c>
      <c r="F8" s="356">
        <v>9.7070000000000007</v>
      </c>
    </row>
    <row r="9" spans="2:6" ht="18" customHeight="1">
      <c r="B9" s="387">
        <v>42767</v>
      </c>
      <c r="C9" s="356">
        <v>19</v>
      </c>
      <c r="D9" s="356">
        <v>6.1109999999999998</v>
      </c>
      <c r="E9" s="356">
        <v>3.03</v>
      </c>
      <c r="F9" s="356">
        <v>9.141</v>
      </c>
    </row>
    <row r="10" spans="2:6" ht="18" customHeight="1">
      <c r="B10" s="387">
        <v>42810</v>
      </c>
      <c r="C10" s="356">
        <v>9</v>
      </c>
      <c r="D10" s="356">
        <v>5.5960000000000001</v>
      </c>
      <c r="E10" s="356">
        <v>3.1059999999999999</v>
      </c>
      <c r="F10" s="356">
        <v>8.702</v>
      </c>
    </row>
    <row r="11" spans="2:6" ht="18" customHeight="1">
      <c r="B11" s="387">
        <v>42828</v>
      </c>
      <c r="C11" s="356">
        <v>11</v>
      </c>
      <c r="D11" s="356">
        <v>4.4370000000000003</v>
      </c>
      <c r="E11" s="356">
        <v>3.0830000000000002</v>
      </c>
      <c r="F11" s="356">
        <v>7.52</v>
      </c>
    </row>
    <row r="12" spans="2:6" ht="18" customHeight="1">
      <c r="B12" s="387">
        <v>42871</v>
      </c>
      <c r="C12" s="356">
        <v>17</v>
      </c>
      <c r="D12" s="356">
        <v>6.734</v>
      </c>
      <c r="E12" s="356">
        <v>3.0409999999999999</v>
      </c>
      <c r="F12" s="356">
        <v>9.7750000000000004</v>
      </c>
    </row>
    <row r="13" spans="2:6" ht="18" customHeight="1">
      <c r="B13" s="387">
        <v>42916</v>
      </c>
      <c r="C13" s="356">
        <v>18</v>
      </c>
      <c r="D13" s="356">
        <v>9.032</v>
      </c>
      <c r="E13" s="356">
        <v>3.0259999999999998</v>
      </c>
      <c r="F13" s="356">
        <v>12.058</v>
      </c>
    </row>
    <row r="14" spans="2:6" ht="18" customHeight="1">
      <c r="B14" s="387">
        <v>42933</v>
      </c>
      <c r="C14" s="356">
        <v>18</v>
      </c>
      <c r="D14" s="356">
        <v>15.194000000000001</v>
      </c>
      <c r="E14" s="356">
        <v>3.028</v>
      </c>
      <c r="F14" s="356">
        <v>18.222000000000001</v>
      </c>
    </row>
    <row r="15" spans="2:6" ht="18" customHeight="1">
      <c r="B15" s="387">
        <v>42977</v>
      </c>
      <c r="C15" s="356">
        <v>16</v>
      </c>
      <c r="D15" s="356">
        <v>13.292</v>
      </c>
      <c r="E15" s="356">
        <v>3.0510000000000002</v>
      </c>
      <c r="F15" s="356">
        <v>16.343</v>
      </c>
    </row>
    <row r="16" spans="2:6" ht="18" customHeight="1">
      <c r="B16" s="387">
        <v>43000</v>
      </c>
      <c r="C16" s="356">
        <v>17</v>
      </c>
      <c r="D16" s="356">
        <v>18.422000000000001</v>
      </c>
      <c r="E16" s="356">
        <v>3.044</v>
      </c>
      <c r="F16" s="356">
        <v>21.466000000000001</v>
      </c>
    </row>
    <row r="17" spans="2:6" ht="18" customHeight="1">
      <c r="B17" s="387">
        <v>43010</v>
      </c>
      <c r="C17" s="356">
        <v>14</v>
      </c>
      <c r="D17" s="356">
        <v>12.012</v>
      </c>
      <c r="E17" s="356">
        <v>3.0369999999999999</v>
      </c>
      <c r="F17" s="356">
        <v>15.048999999999999</v>
      </c>
    </row>
    <row r="18" spans="2:6" ht="18" customHeight="1">
      <c r="B18" s="387">
        <v>43041</v>
      </c>
      <c r="C18" s="356">
        <v>18</v>
      </c>
      <c r="D18" s="356">
        <v>5.5709999999999997</v>
      </c>
      <c r="E18" s="356">
        <v>3.0979999999999999</v>
      </c>
      <c r="F18" s="356">
        <v>8.6690000000000005</v>
      </c>
    </row>
    <row r="19" spans="2:6" ht="18" customHeight="1">
      <c r="B19" s="387">
        <v>43075</v>
      </c>
      <c r="C19" s="356">
        <v>18</v>
      </c>
      <c r="D19" s="356">
        <v>6.5590000000000002</v>
      </c>
      <c r="E19" s="356">
        <v>3.073</v>
      </c>
      <c r="F19" s="356">
        <v>9.6319999999999997</v>
      </c>
    </row>
    <row r="20" spans="2:6" ht="18" customHeight="1">
      <c r="B20" s="341" t="s">
        <v>563</v>
      </c>
      <c r="C20" s="341"/>
      <c r="D20" s="341"/>
      <c r="E20" s="341"/>
      <c r="F20" s="357">
        <f>ROUND(AVERAGE(F8:F19),3)</f>
        <v>12.19</v>
      </c>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6"/>
  <sheetViews>
    <sheetView workbookViewId="0"/>
  </sheetViews>
  <sheetFormatPr defaultRowHeight="15"/>
  <cols>
    <col min="1" max="1" width="32.21875" customWidth="1"/>
    <col min="2" max="2" width="12.77734375" customWidth="1"/>
    <col min="3" max="3" width="10.21875" customWidth="1"/>
    <col min="4" max="4" width="8" customWidth="1"/>
    <col min="5" max="5" width="10.6640625" customWidth="1"/>
    <col min="6" max="6" width="11.44140625" customWidth="1"/>
    <col min="7" max="7" width="11.21875" customWidth="1"/>
    <col min="8" max="8" width="12.44140625" customWidth="1"/>
    <col min="9" max="10" width="11" bestFit="1" customWidth="1"/>
  </cols>
  <sheetData>
    <row r="2" spans="1:11" ht="15.75">
      <c r="B2" s="378"/>
      <c r="C2" s="380" t="s">
        <v>615</v>
      </c>
      <c r="D2" s="380" t="s">
        <v>613</v>
      </c>
      <c r="E2" s="380" t="s">
        <v>614</v>
      </c>
      <c r="F2" s="380"/>
      <c r="G2" s="380" t="s">
        <v>617</v>
      </c>
      <c r="H2" s="380"/>
      <c r="J2" s="375" t="s">
        <v>611</v>
      </c>
      <c r="K2" s="376"/>
    </row>
    <row r="3" spans="1:11" ht="15.75">
      <c r="A3" s="348" t="s">
        <v>596</v>
      </c>
      <c r="B3" s="379" t="s">
        <v>609</v>
      </c>
      <c r="C3" s="379" t="s">
        <v>610</v>
      </c>
      <c r="D3" s="379" t="s">
        <v>610</v>
      </c>
      <c r="E3" s="379" t="s">
        <v>610</v>
      </c>
      <c r="F3" s="379" t="s">
        <v>616</v>
      </c>
      <c r="G3" s="379" t="s">
        <v>618</v>
      </c>
      <c r="H3" s="379"/>
      <c r="J3" s="376">
        <v>3083103</v>
      </c>
      <c r="K3" s="376">
        <v>3777</v>
      </c>
    </row>
    <row r="4" spans="1:11">
      <c r="A4" s="255" t="s">
        <v>597</v>
      </c>
      <c r="B4" s="376">
        <v>1332757</v>
      </c>
      <c r="C4" s="376">
        <v>29285</v>
      </c>
      <c r="D4" s="376">
        <v>0</v>
      </c>
      <c r="E4" s="376">
        <f t="shared" ref="E4:E11" si="0">C4+D4</f>
        <v>29285</v>
      </c>
      <c r="F4" s="376">
        <v>0</v>
      </c>
      <c r="G4" s="376">
        <f>B4+E4+F4</f>
        <v>1362042</v>
      </c>
      <c r="H4" s="376"/>
      <c r="I4">
        <f>C4+C5</f>
        <v>409314</v>
      </c>
      <c r="J4" s="376">
        <v>6191796</v>
      </c>
      <c r="K4" s="376">
        <v>224107</v>
      </c>
    </row>
    <row r="5" spans="1:11">
      <c r="A5" s="255" t="s">
        <v>598</v>
      </c>
      <c r="B5" s="376">
        <v>10501795</v>
      </c>
      <c r="C5" s="376">
        <v>380029</v>
      </c>
      <c r="D5" s="376">
        <v>0</v>
      </c>
      <c r="E5" s="376">
        <f t="shared" si="0"/>
        <v>380029</v>
      </c>
      <c r="F5" s="376">
        <v>0</v>
      </c>
      <c r="G5" s="376">
        <f t="shared" ref="G5:G12" si="1">B5+E5+F5</f>
        <v>10881824</v>
      </c>
      <c r="J5" s="376">
        <v>783958</v>
      </c>
      <c r="K5" s="376">
        <v>111937</v>
      </c>
    </row>
    <row r="6" spans="1:11">
      <c r="A6" s="255" t="s">
        <v>600</v>
      </c>
      <c r="B6" s="376">
        <v>2230312</v>
      </c>
      <c r="C6" s="376">
        <v>319865</v>
      </c>
      <c r="D6" s="376">
        <v>0</v>
      </c>
      <c r="E6" s="376">
        <f>C6+D6</f>
        <v>319865</v>
      </c>
      <c r="F6" s="376">
        <v>0</v>
      </c>
      <c r="G6" s="376">
        <f>B6+E6+F6</f>
        <v>2550177</v>
      </c>
      <c r="J6" s="376">
        <v>92247</v>
      </c>
      <c r="K6" s="376">
        <v>10870</v>
      </c>
    </row>
    <row r="7" spans="1:11" ht="15.75">
      <c r="A7" s="255" t="s">
        <v>599</v>
      </c>
      <c r="B7" s="376">
        <v>4137856</v>
      </c>
      <c r="C7" s="376">
        <v>136249</v>
      </c>
      <c r="D7" s="376">
        <v>0</v>
      </c>
      <c r="E7" s="376">
        <f t="shared" si="0"/>
        <v>136249</v>
      </c>
      <c r="F7" s="376">
        <v>0</v>
      </c>
      <c r="G7" s="376">
        <f t="shared" si="1"/>
        <v>4274105</v>
      </c>
      <c r="J7" s="375">
        <f>SUM(J3:J6)</f>
        <v>10151104</v>
      </c>
      <c r="K7" s="375">
        <f>SUM(K3:K6)</f>
        <v>350691</v>
      </c>
    </row>
    <row r="8" spans="1:11">
      <c r="A8" s="255" t="s">
        <v>601</v>
      </c>
      <c r="B8" s="376">
        <v>155149</v>
      </c>
      <c r="C8" s="376">
        <v>5241</v>
      </c>
      <c r="D8" s="376">
        <v>0</v>
      </c>
      <c r="E8" s="376">
        <f t="shared" si="0"/>
        <v>5241</v>
      </c>
      <c r="F8" s="376">
        <v>0</v>
      </c>
      <c r="G8" s="376">
        <f t="shared" si="1"/>
        <v>160390</v>
      </c>
    </row>
    <row r="9" spans="1:11">
      <c r="A9" s="255" t="s">
        <v>602</v>
      </c>
      <c r="B9" s="376">
        <v>913035</v>
      </c>
      <c r="C9" s="376">
        <v>99517</v>
      </c>
      <c r="D9" s="376">
        <v>0</v>
      </c>
      <c r="E9" s="376">
        <f t="shared" si="0"/>
        <v>99517</v>
      </c>
      <c r="F9" s="376">
        <v>0</v>
      </c>
      <c r="G9" s="376">
        <f t="shared" si="1"/>
        <v>1012552</v>
      </c>
    </row>
    <row r="10" spans="1:11">
      <c r="A10" s="255" t="s">
        <v>603</v>
      </c>
      <c r="B10" s="376">
        <v>468366</v>
      </c>
      <c r="C10" s="376">
        <v>0</v>
      </c>
      <c r="D10" s="376">
        <v>0</v>
      </c>
      <c r="E10" s="376">
        <f t="shared" si="0"/>
        <v>0</v>
      </c>
      <c r="F10" s="376">
        <v>0</v>
      </c>
      <c r="G10" s="376">
        <f t="shared" si="1"/>
        <v>468366</v>
      </c>
    </row>
    <row r="11" spans="1:11">
      <c r="A11" s="255" t="s">
        <v>649</v>
      </c>
      <c r="B11" s="376">
        <v>360455</v>
      </c>
      <c r="C11" s="376">
        <v>15295</v>
      </c>
      <c r="D11" s="376">
        <v>0</v>
      </c>
      <c r="E11" s="376">
        <f t="shared" si="0"/>
        <v>15295</v>
      </c>
      <c r="F11" s="376">
        <v>0</v>
      </c>
      <c r="G11" s="376">
        <f t="shared" si="1"/>
        <v>375750</v>
      </c>
      <c r="H11" s="376"/>
      <c r="I11" s="376"/>
    </row>
    <row r="12" spans="1:11">
      <c r="A12" s="255" t="s">
        <v>648</v>
      </c>
      <c r="B12" s="376">
        <v>2538</v>
      </c>
      <c r="C12" s="376"/>
      <c r="D12" s="376">
        <v>0</v>
      </c>
      <c r="E12" s="376"/>
      <c r="F12" s="376">
        <v>0</v>
      </c>
      <c r="G12" s="376">
        <f t="shared" si="1"/>
        <v>2538</v>
      </c>
      <c r="H12" s="376"/>
      <c r="I12" s="376"/>
    </row>
    <row r="13" spans="1:11" ht="15.75">
      <c r="B13" s="375">
        <f>SUM(B4:B12)</f>
        <v>20102263</v>
      </c>
      <c r="C13" s="375">
        <f>SUM(C4:C11)</f>
        <v>985481</v>
      </c>
      <c r="D13" s="375">
        <f>SUM(D4:D12)</f>
        <v>0</v>
      </c>
      <c r="E13" s="375">
        <f>SUM(E4:E11)</f>
        <v>985481</v>
      </c>
      <c r="F13" s="375">
        <f>SUM(F4:F12)</f>
        <v>0</v>
      </c>
      <c r="G13" s="375">
        <f>SUM(G4:G12)</f>
        <v>21087744</v>
      </c>
    </row>
    <row r="14" spans="1:11">
      <c r="B14">
        <f>20102263+-B13</f>
        <v>0</v>
      </c>
    </row>
    <row r="15" spans="1:11" ht="15.75">
      <c r="A15" s="348" t="s">
        <v>604</v>
      </c>
    </row>
    <row r="16" spans="1:11">
      <c r="A16" s="255" t="s">
        <v>605</v>
      </c>
      <c r="B16" s="374">
        <v>16252</v>
      </c>
      <c r="C16" s="374">
        <v>14025</v>
      </c>
      <c r="D16" s="376">
        <v>0</v>
      </c>
      <c r="E16" s="376">
        <f>C16+D16</f>
        <v>14025</v>
      </c>
      <c r="F16" s="376">
        <v>0</v>
      </c>
      <c r="G16" s="376">
        <f t="shared" ref="G16:G20" si="2">B16+E16+F16</f>
        <v>30277</v>
      </c>
      <c r="H16" s="376"/>
      <c r="I16" s="376"/>
    </row>
    <row r="17" spans="1:9">
      <c r="A17" s="255" t="s">
        <v>606</v>
      </c>
      <c r="B17" s="376">
        <v>710894</v>
      </c>
      <c r="C17" s="376">
        <v>74734</v>
      </c>
      <c r="D17" s="376">
        <v>0</v>
      </c>
      <c r="E17" s="376">
        <f>C17+D17</f>
        <v>74734</v>
      </c>
      <c r="F17" s="376">
        <v>0</v>
      </c>
      <c r="G17" s="376">
        <f t="shared" si="2"/>
        <v>785628</v>
      </c>
      <c r="H17" s="376"/>
      <c r="I17" s="376"/>
    </row>
    <row r="18" spans="1:9">
      <c r="A18" s="255" t="s">
        <v>607</v>
      </c>
      <c r="B18" s="376">
        <v>171370</v>
      </c>
      <c r="C18" s="376">
        <v>1789</v>
      </c>
      <c r="D18" s="376">
        <v>0</v>
      </c>
      <c r="E18" s="376">
        <f>C18+D18</f>
        <v>1789</v>
      </c>
      <c r="F18" s="376">
        <v>0</v>
      </c>
      <c r="G18" s="376">
        <f t="shared" si="2"/>
        <v>173159</v>
      </c>
      <c r="H18" s="376"/>
      <c r="I18" s="376"/>
    </row>
    <row r="19" spans="1:9">
      <c r="A19" s="255" t="s">
        <v>608</v>
      </c>
      <c r="B19" s="376">
        <v>161512</v>
      </c>
      <c r="C19" s="376">
        <v>9608</v>
      </c>
      <c r="D19" s="376">
        <v>0</v>
      </c>
      <c r="E19" s="376">
        <f>C19+D19</f>
        <v>9608</v>
      </c>
      <c r="F19" s="376">
        <v>0</v>
      </c>
      <c r="G19" s="376">
        <f t="shared" si="2"/>
        <v>171120</v>
      </c>
      <c r="H19" s="376"/>
      <c r="I19" s="376"/>
    </row>
    <row r="20" spans="1:9">
      <c r="A20" s="255" t="s">
        <v>648</v>
      </c>
      <c r="B20" s="376">
        <v>-2538</v>
      </c>
      <c r="C20" s="376"/>
      <c r="D20" s="376"/>
      <c r="E20" s="376"/>
      <c r="F20" s="376">
        <v>-80118</v>
      </c>
      <c r="G20" s="376">
        <f t="shared" si="2"/>
        <v>-82656</v>
      </c>
      <c r="H20" s="376"/>
      <c r="I20" s="376"/>
    </row>
    <row r="21" spans="1:9" ht="15.75">
      <c r="B21" s="375">
        <f>SUM(B16:B20)</f>
        <v>1057490</v>
      </c>
      <c r="C21" s="375">
        <f>SUM(C16:C19)</f>
        <v>100156</v>
      </c>
      <c r="D21" s="375">
        <f>SUM(D16:D19)</f>
        <v>0</v>
      </c>
      <c r="E21" s="375">
        <f>SUM(E16:E19)</f>
        <v>100156</v>
      </c>
      <c r="F21" s="375">
        <f>+SUM(F16:F20)</f>
        <v>-80118</v>
      </c>
      <c r="G21" s="375">
        <f>SUM(G16:G20)</f>
        <v>1077528</v>
      </c>
    </row>
    <row r="23" spans="1:9" ht="15.75">
      <c r="A23" s="377" t="s">
        <v>612</v>
      </c>
      <c r="B23" s="375">
        <v>21159753</v>
      </c>
      <c r="C23" s="375">
        <f>C13+C21</f>
        <v>1085637</v>
      </c>
      <c r="D23" s="375">
        <f>D13+D21</f>
        <v>0</v>
      </c>
      <c r="E23" s="375">
        <f>E13+E21</f>
        <v>1085637</v>
      </c>
      <c r="F23" s="375">
        <f>F13+F21</f>
        <v>-80118</v>
      </c>
      <c r="G23" s="375">
        <f>G13+G21</f>
        <v>22165272</v>
      </c>
    </row>
    <row r="25" spans="1:9" ht="15.75">
      <c r="B25" s="376">
        <v>21159753</v>
      </c>
      <c r="E25" s="375">
        <v>1085637</v>
      </c>
      <c r="F25" s="375"/>
      <c r="G25" s="375">
        <v>22165272</v>
      </c>
    </row>
    <row r="26" spans="1:9">
      <c r="B26" s="381">
        <f>B25-B23</f>
        <v>0</v>
      </c>
      <c r="E26" s="381">
        <f>E25-E23</f>
        <v>0</v>
      </c>
      <c r="F26" s="382"/>
      <c r="G26" s="381">
        <f>G25-G23</f>
        <v>0</v>
      </c>
      <c r="H26" t="s">
        <v>619</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zoomScaleNormal="100" workbookViewId="0">
      <selection sqref="A1:F1"/>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441" t="s">
        <v>579</v>
      </c>
      <c r="B1" s="441"/>
      <c r="C1" s="441"/>
      <c r="D1" s="441"/>
      <c r="E1" s="441"/>
      <c r="F1" s="441"/>
    </row>
    <row r="2" spans="1:7" ht="15">
      <c r="A2" s="442" t="s">
        <v>408</v>
      </c>
      <c r="B2" s="442"/>
      <c r="C2" s="442"/>
      <c r="D2" s="442"/>
      <c r="E2" s="442"/>
      <c r="F2" s="442"/>
    </row>
    <row r="3" spans="1:7" ht="15">
      <c r="A3" s="442" t="s">
        <v>407</v>
      </c>
      <c r="B3" s="442"/>
      <c r="C3" s="442"/>
      <c r="D3" s="442"/>
      <c r="E3" s="442"/>
      <c r="F3" s="442"/>
    </row>
    <row r="4" spans="1:7" ht="15.75">
      <c r="A4" s="443">
        <v>43100</v>
      </c>
      <c r="B4" s="443"/>
      <c r="C4" s="443"/>
      <c r="D4" s="443"/>
      <c r="E4" s="443"/>
      <c r="F4" s="443"/>
    </row>
    <row r="6" spans="1:7" ht="15">
      <c r="A6" s="444" t="s">
        <v>406</v>
      </c>
      <c r="B6" s="444"/>
      <c r="C6" s="444"/>
      <c r="D6" s="444"/>
      <c r="E6" s="444"/>
      <c r="F6" s="444"/>
    </row>
    <row r="7" spans="1:7">
      <c r="A7" s="197" t="s">
        <v>4</v>
      </c>
      <c r="B7" s="198"/>
      <c r="C7" s="185" t="s">
        <v>405</v>
      </c>
      <c r="D7" s="185" t="s">
        <v>4</v>
      </c>
      <c r="E7" s="198"/>
      <c r="F7" s="185" t="s">
        <v>405</v>
      </c>
    </row>
    <row r="8" spans="1:7">
      <c r="A8" s="168" t="s">
        <v>6</v>
      </c>
      <c r="B8" s="163" t="s">
        <v>404</v>
      </c>
      <c r="C8" s="163" t="s">
        <v>401</v>
      </c>
      <c r="D8" s="163" t="s">
        <v>403</v>
      </c>
      <c r="E8" s="163" t="s">
        <v>402</v>
      </c>
      <c r="F8" s="163" t="s">
        <v>401</v>
      </c>
    </row>
    <row r="9" spans="1:7" ht="15">
      <c r="A9" s="158"/>
      <c r="B9" s="196" t="s">
        <v>400</v>
      </c>
      <c r="C9" s="195"/>
      <c r="D9" s="197"/>
      <c r="E9" s="196" t="s">
        <v>399</v>
      </c>
      <c r="F9" s="195"/>
    </row>
    <row r="10" spans="1:7" ht="15">
      <c r="A10" s="158">
        <v>1</v>
      </c>
      <c r="B10" s="157" t="s">
        <v>398</v>
      </c>
      <c r="C10" s="390"/>
      <c r="D10" s="158"/>
      <c r="E10" s="157"/>
      <c r="F10" s="183"/>
    </row>
    <row r="11" spans="1:7">
      <c r="A11" s="168"/>
      <c r="B11" s="169" t="s">
        <v>397</v>
      </c>
      <c r="C11" s="391">
        <f>ROUND('412Plant'!G25,0)</f>
        <v>37645289</v>
      </c>
      <c r="D11" s="168">
        <v>29</v>
      </c>
      <c r="E11" s="173" t="s">
        <v>396</v>
      </c>
      <c r="F11" s="391">
        <v>0</v>
      </c>
    </row>
    <row r="12" spans="1:7" ht="15">
      <c r="A12" s="165">
        <v>2</v>
      </c>
      <c r="B12" s="179" t="s">
        <v>395</v>
      </c>
      <c r="C12" s="392">
        <f>'412Plant'!G27</f>
        <v>436035</v>
      </c>
      <c r="D12" s="165">
        <v>30</v>
      </c>
      <c r="E12" s="180" t="s">
        <v>394</v>
      </c>
      <c r="F12" s="403">
        <v>18640941</v>
      </c>
      <c r="G12" s="355" t="s">
        <v>622</v>
      </c>
    </row>
    <row r="13" spans="1:7" ht="15">
      <c r="A13" s="158">
        <v>3</v>
      </c>
      <c r="B13" s="157" t="s">
        <v>354</v>
      </c>
      <c r="C13" s="390"/>
      <c r="D13" s="158"/>
      <c r="E13" s="157"/>
      <c r="F13" s="390"/>
    </row>
    <row r="14" spans="1:7" ht="15">
      <c r="A14" s="158"/>
      <c r="B14" s="170" t="s">
        <v>393</v>
      </c>
      <c r="C14" s="390"/>
      <c r="D14" s="158">
        <v>31</v>
      </c>
      <c r="E14" s="157" t="s">
        <v>392</v>
      </c>
      <c r="F14" s="390"/>
    </row>
    <row r="15" spans="1:7" ht="13.5" thickBot="1">
      <c r="A15" s="168"/>
      <c r="B15" s="169" t="s">
        <v>391</v>
      </c>
      <c r="C15" s="393">
        <f>ROUND(S1_Plant!J11,0)</f>
        <v>22165272</v>
      </c>
      <c r="D15" s="168"/>
      <c r="E15" s="169" t="s">
        <v>390</v>
      </c>
      <c r="F15" s="393">
        <v>0</v>
      </c>
    </row>
    <row r="16" spans="1:7" ht="13.5" thickBot="1">
      <c r="A16" s="165">
        <v>4</v>
      </c>
      <c r="B16" s="193" t="s">
        <v>389</v>
      </c>
      <c r="C16" s="394">
        <f>+C11+C12-C15</f>
        <v>15916052</v>
      </c>
      <c r="D16" s="192">
        <v>32</v>
      </c>
      <c r="E16" s="191" t="s">
        <v>388</v>
      </c>
      <c r="F16" s="394">
        <f>+F15+F11+F12</f>
        <v>18640941</v>
      </c>
    </row>
    <row r="17" spans="1:7" ht="15">
      <c r="A17" s="190">
        <v>5</v>
      </c>
      <c r="B17" s="175" t="s">
        <v>387</v>
      </c>
      <c r="C17" s="395">
        <v>0</v>
      </c>
      <c r="D17" s="158"/>
      <c r="E17" s="189" t="s">
        <v>386</v>
      </c>
      <c r="F17" s="390"/>
    </row>
    <row r="18" spans="1:7" ht="15">
      <c r="A18" s="171">
        <v>6</v>
      </c>
      <c r="B18" s="188" t="s">
        <v>354</v>
      </c>
      <c r="C18" s="390"/>
      <c r="D18" s="185"/>
      <c r="E18" s="157"/>
      <c r="F18" s="390"/>
    </row>
    <row r="19" spans="1:7" ht="15">
      <c r="A19" s="158"/>
      <c r="B19" s="170" t="s">
        <v>385</v>
      </c>
      <c r="C19" s="390"/>
      <c r="D19" s="158"/>
      <c r="E19" s="157"/>
      <c r="F19" s="390"/>
    </row>
    <row r="20" spans="1:7">
      <c r="A20" s="158"/>
      <c r="B20" s="170" t="s">
        <v>384</v>
      </c>
      <c r="C20" s="393">
        <v>0</v>
      </c>
      <c r="D20" s="168">
        <v>33</v>
      </c>
      <c r="E20" s="173" t="s">
        <v>383</v>
      </c>
      <c r="F20" s="404">
        <v>0</v>
      </c>
    </row>
    <row r="21" spans="1:7" ht="15.75" thickBot="1">
      <c r="A21" s="187">
        <v>7</v>
      </c>
      <c r="B21" s="186" t="s">
        <v>382</v>
      </c>
      <c r="C21" s="396"/>
      <c r="D21" s="185">
        <v>34</v>
      </c>
      <c r="E21" s="175" t="s">
        <v>381</v>
      </c>
      <c r="F21" s="390"/>
    </row>
    <row r="22" spans="1:7" ht="15.75" thickBot="1">
      <c r="A22" s="168"/>
      <c r="B22" s="184" t="s">
        <v>380</v>
      </c>
      <c r="C22" s="394">
        <f>+C16+C17-C20</f>
        <v>15916052</v>
      </c>
      <c r="D22" s="163"/>
      <c r="E22" s="169" t="s">
        <v>379</v>
      </c>
      <c r="F22" s="405">
        <f>640000+3957291</f>
        <v>4597291</v>
      </c>
      <c r="G22" s="267"/>
    </row>
    <row r="23" spans="1:7" ht="15">
      <c r="A23" s="158"/>
      <c r="B23" s="176" t="s">
        <v>378</v>
      </c>
      <c r="C23" s="390"/>
      <c r="D23" s="158">
        <v>35</v>
      </c>
      <c r="E23" s="175" t="s">
        <v>377</v>
      </c>
      <c r="F23" s="390"/>
    </row>
    <row r="24" spans="1:7">
      <c r="A24" s="168">
        <v>8</v>
      </c>
      <c r="B24" s="173" t="s">
        <v>376</v>
      </c>
      <c r="C24" s="397">
        <v>0</v>
      </c>
      <c r="D24" s="168"/>
      <c r="E24" s="182" t="s">
        <v>375</v>
      </c>
      <c r="F24" s="397">
        <v>0</v>
      </c>
    </row>
    <row r="25" spans="1:7" ht="15">
      <c r="A25" s="158">
        <v>9</v>
      </c>
      <c r="B25" s="157" t="s">
        <v>354</v>
      </c>
      <c r="C25" s="398"/>
      <c r="D25" s="158">
        <v>36</v>
      </c>
      <c r="E25" s="175" t="s">
        <v>374</v>
      </c>
      <c r="F25" s="398"/>
    </row>
    <row r="26" spans="1:7">
      <c r="A26" s="168"/>
      <c r="B26" s="169" t="s">
        <v>373</v>
      </c>
      <c r="C26" s="397">
        <v>0</v>
      </c>
      <c r="D26" s="168"/>
      <c r="E26" s="169" t="s">
        <v>372</v>
      </c>
      <c r="F26" s="397">
        <v>0</v>
      </c>
    </row>
    <row r="27" spans="1:7" ht="15.75" thickBot="1">
      <c r="A27" s="158">
        <v>10</v>
      </c>
      <c r="B27" s="157" t="s">
        <v>371</v>
      </c>
      <c r="C27" s="398"/>
      <c r="D27" s="158"/>
      <c r="E27" s="175"/>
      <c r="F27" s="398"/>
    </row>
    <row r="28" spans="1:7" ht="13.5" thickBot="1">
      <c r="A28" s="168"/>
      <c r="B28" s="169" t="s">
        <v>370</v>
      </c>
      <c r="C28" s="397">
        <v>0</v>
      </c>
      <c r="D28" s="168">
        <v>37</v>
      </c>
      <c r="E28" s="181" t="s">
        <v>369</v>
      </c>
      <c r="F28" s="400">
        <f>+F20+F22+F24-F26</f>
        <v>4597291</v>
      </c>
    </row>
    <row r="29" spans="1:7" ht="15.75" thickBot="1">
      <c r="A29" s="165">
        <v>11</v>
      </c>
      <c r="B29" s="179" t="s">
        <v>368</v>
      </c>
      <c r="C29" s="399">
        <f>918962+6148524.5</f>
        <v>7067486.5</v>
      </c>
      <c r="D29" s="168"/>
      <c r="E29" s="173"/>
      <c r="F29" s="406"/>
    </row>
    <row r="30" spans="1:7" ht="15.75" thickBot="1">
      <c r="A30" s="165">
        <v>12</v>
      </c>
      <c r="B30" s="164" t="s">
        <v>367</v>
      </c>
      <c r="C30" s="400">
        <f>+C24+C26+C28+C29</f>
        <v>7067486.5</v>
      </c>
      <c r="D30" s="163"/>
      <c r="E30" s="177" t="s">
        <v>366</v>
      </c>
      <c r="F30" s="406"/>
    </row>
    <row r="31" spans="1:7" ht="15">
      <c r="A31" s="158"/>
      <c r="B31" s="176" t="s">
        <v>365</v>
      </c>
      <c r="C31" s="398"/>
      <c r="D31" s="165">
        <v>38</v>
      </c>
      <c r="E31" s="180" t="s">
        <v>364</v>
      </c>
      <c r="F31" s="401">
        <v>0</v>
      </c>
    </row>
    <row r="32" spans="1:7" ht="15.75" thickBot="1">
      <c r="A32" s="158">
        <v>13</v>
      </c>
      <c r="B32" s="157" t="s">
        <v>363</v>
      </c>
      <c r="C32" s="398"/>
      <c r="D32" s="165">
        <v>39</v>
      </c>
      <c r="E32" s="180" t="s">
        <v>362</v>
      </c>
      <c r="F32" s="399">
        <v>0</v>
      </c>
    </row>
    <row r="33" spans="1:6" ht="13.5" thickBot="1">
      <c r="A33" s="168"/>
      <c r="B33" s="169" t="s">
        <v>361</v>
      </c>
      <c r="C33" s="397">
        <v>1309311.5</v>
      </c>
      <c r="D33" s="168">
        <v>40</v>
      </c>
      <c r="E33" s="162" t="s">
        <v>360</v>
      </c>
      <c r="F33" s="400">
        <f>SUM(F31:F32)</f>
        <v>0</v>
      </c>
    </row>
    <row r="34" spans="1:6" ht="15">
      <c r="A34" s="158">
        <v>14</v>
      </c>
      <c r="B34" s="157" t="s">
        <v>359</v>
      </c>
      <c r="C34" s="398"/>
      <c r="D34" s="158"/>
      <c r="E34" s="157"/>
      <c r="F34" s="398"/>
    </row>
    <row r="35" spans="1:6" ht="15">
      <c r="A35" s="168"/>
      <c r="B35" s="169" t="s">
        <v>358</v>
      </c>
      <c r="C35" s="397">
        <f>326892+10565+6426</f>
        <v>343883</v>
      </c>
      <c r="D35" s="168"/>
      <c r="E35" s="177" t="s">
        <v>357</v>
      </c>
      <c r="F35" s="406"/>
    </row>
    <row r="36" spans="1:6">
      <c r="A36" s="165">
        <v>15</v>
      </c>
      <c r="B36" s="179" t="s">
        <v>356</v>
      </c>
      <c r="C36" s="401">
        <v>662318</v>
      </c>
      <c r="D36" s="168">
        <v>41</v>
      </c>
      <c r="E36" s="173" t="s">
        <v>355</v>
      </c>
      <c r="F36" s="397">
        <v>0</v>
      </c>
    </row>
    <row r="37" spans="1:6" ht="15">
      <c r="A37" s="158">
        <v>16</v>
      </c>
      <c r="B37" s="157" t="s">
        <v>354</v>
      </c>
      <c r="C37" s="398"/>
      <c r="D37" s="158"/>
      <c r="E37" s="157"/>
      <c r="F37" s="398"/>
    </row>
    <row r="38" spans="1:6">
      <c r="A38" s="168"/>
      <c r="B38" s="169" t="s">
        <v>353</v>
      </c>
      <c r="C38" s="397">
        <v>0</v>
      </c>
      <c r="D38" s="168">
        <v>42</v>
      </c>
      <c r="E38" s="173" t="s">
        <v>352</v>
      </c>
      <c r="F38" s="397">
        <v>428411</v>
      </c>
    </row>
    <row r="39" spans="1:6" ht="15">
      <c r="A39" s="158">
        <v>17</v>
      </c>
      <c r="B39" s="157" t="s">
        <v>351</v>
      </c>
      <c r="C39" s="398" t="s">
        <v>2</v>
      </c>
      <c r="D39" s="158">
        <v>43</v>
      </c>
      <c r="E39" s="175" t="s">
        <v>350</v>
      </c>
      <c r="F39" s="398"/>
    </row>
    <row r="40" spans="1:6">
      <c r="A40" s="168"/>
      <c r="B40" s="169" t="s">
        <v>349</v>
      </c>
      <c r="C40" s="397">
        <v>0</v>
      </c>
      <c r="D40" s="168"/>
      <c r="E40" s="169" t="s">
        <v>348</v>
      </c>
      <c r="F40" s="397">
        <v>279414</v>
      </c>
    </row>
    <row r="41" spans="1:6">
      <c r="A41" s="165">
        <v>18</v>
      </c>
      <c r="B41" s="179" t="s">
        <v>347</v>
      </c>
      <c r="C41" s="401">
        <v>211511</v>
      </c>
      <c r="D41" s="168">
        <v>44</v>
      </c>
      <c r="E41" s="173" t="s">
        <v>346</v>
      </c>
      <c r="F41" s="397">
        <v>111850</v>
      </c>
    </row>
    <row r="42" spans="1:6">
      <c r="A42" s="165">
        <v>19</v>
      </c>
      <c r="B42" s="179" t="s">
        <v>345</v>
      </c>
      <c r="C42" s="401">
        <v>0</v>
      </c>
      <c r="D42" s="168">
        <v>45</v>
      </c>
      <c r="E42" s="173" t="s">
        <v>344</v>
      </c>
      <c r="F42" s="397">
        <v>0</v>
      </c>
    </row>
    <row r="43" spans="1:6">
      <c r="A43" s="165">
        <v>20</v>
      </c>
      <c r="B43" s="179" t="s">
        <v>343</v>
      </c>
      <c r="C43" s="401">
        <v>84797</v>
      </c>
      <c r="D43" s="168">
        <v>46</v>
      </c>
      <c r="E43" s="173" t="s">
        <v>342</v>
      </c>
      <c r="F43" s="397">
        <v>0</v>
      </c>
    </row>
    <row r="44" spans="1:6" ht="13.5" thickBot="1">
      <c r="A44" s="178">
        <v>21</v>
      </c>
      <c r="B44" s="179" t="s">
        <v>341</v>
      </c>
      <c r="C44" s="401">
        <v>0</v>
      </c>
      <c r="D44" s="168">
        <v>47</v>
      </c>
      <c r="E44" s="173" t="s">
        <v>340</v>
      </c>
      <c r="F44" s="397">
        <f>2832+0+140702+188352+240230+1021429+14306</f>
        <v>1607851</v>
      </c>
    </row>
    <row r="45" spans="1:6" ht="13.5" thickBot="1">
      <c r="A45" s="178">
        <v>22</v>
      </c>
      <c r="B45" s="179" t="s">
        <v>339</v>
      </c>
      <c r="C45" s="399">
        <v>0</v>
      </c>
      <c r="D45" s="168">
        <v>48</v>
      </c>
      <c r="E45" s="162" t="s">
        <v>338</v>
      </c>
      <c r="F45" s="400">
        <f>+F44+F43+F42+F41+F40+F38+F36</f>
        <v>2427526</v>
      </c>
    </row>
    <row r="46" spans="1:6" ht="15.75" thickBot="1">
      <c r="A46" s="178">
        <v>23</v>
      </c>
      <c r="B46" s="164" t="s">
        <v>337</v>
      </c>
      <c r="C46" s="400">
        <f>+C33+C35+C36-C38+C40+C42+C43+C44+C45+C41</f>
        <v>2611820.5</v>
      </c>
      <c r="D46" s="163"/>
      <c r="E46" s="177" t="s">
        <v>336</v>
      </c>
      <c r="F46" s="406"/>
    </row>
    <row r="47" spans="1:6" ht="15">
      <c r="A47" s="157"/>
      <c r="B47" s="176" t="s">
        <v>335</v>
      </c>
      <c r="C47" s="398"/>
      <c r="D47" s="171">
        <v>49</v>
      </c>
      <c r="E47" s="175" t="s">
        <v>334</v>
      </c>
      <c r="F47" s="398"/>
    </row>
    <row r="48" spans="1:6">
      <c r="A48" s="174">
        <v>24</v>
      </c>
      <c r="B48" s="173" t="s">
        <v>333</v>
      </c>
      <c r="C48" s="397">
        <v>28898</v>
      </c>
      <c r="D48" s="168"/>
      <c r="E48" s="167" t="s">
        <v>332</v>
      </c>
      <c r="F48" s="397">
        <v>0</v>
      </c>
    </row>
    <row r="49" spans="1:7" ht="15">
      <c r="A49" s="171">
        <v>25</v>
      </c>
      <c r="B49" s="157" t="s">
        <v>331</v>
      </c>
      <c r="C49" s="398"/>
      <c r="D49" s="171">
        <v>50</v>
      </c>
      <c r="E49" s="157" t="s">
        <v>330</v>
      </c>
      <c r="F49" s="398"/>
    </row>
    <row r="50" spans="1:7">
      <c r="A50" s="173"/>
      <c r="B50" s="169" t="s">
        <v>329</v>
      </c>
      <c r="C50" s="397">
        <v>0</v>
      </c>
      <c r="D50" s="168"/>
      <c r="E50" s="169" t="s">
        <v>328</v>
      </c>
      <c r="F50" s="397">
        <v>215378</v>
      </c>
    </row>
    <row r="51" spans="1:7" ht="15">
      <c r="A51" s="171">
        <v>26</v>
      </c>
      <c r="B51" s="157" t="s">
        <v>327</v>
      </c>
      <c r="C51" s="398"/>
      <c r="D51" s="158"/>
      <c r="E51" s="157"/>
      <c r="F51" s="398"/>
    </row>
    <row r="52" spans="1:7" ht="15">
      <c r="A52" s="158"/>
      <c r="B52" s="170" t="s">
        <v>326</v>
      </c>
      <c r="C52" s="398"/>
      <c r="D52" s="158">
        <v>51</v>
      </c>
      <c r="E52" s="157" t="s">
        <v>325</v>
      </c>
      <c r="F52" s="398"/>
    </row>
    <row r="53" spans="1:7" ht="13.5" thickBot="1">
      <c r="A53" s="168"/>
      <c r="B53" s="169" t="s">
        <v>324</v>
      </c>
      <c r="C53" s="402">
        <v>256879</v>
      </c>
      <c r="D53" s="168"/>
      <c r="E53" s="167" t="s">
        <v>323</v>
      </c>
      <c r="F53" s="402">
        <v>0</v>
      </c>
    </row>
    <row r="54" spans="1:7" ht="13.5" thickBot="1">
      <c r="A54" s="165">
        <v>27</v>
      </c>
      <c r="B54" s="164" t="s">
        <v>322</v>
      </c>
      <c r="C54" s="161">
        <f>C48+C50+C53</f>
        <v>285777</v>
      </c>
      <c r="D54" s="163">
        <v>52</v>
      </c>
      <c r="E54" s="162" t="s">
        <v>321</v>
      </c>
      <c r="F54" s="400">
        <f>+F53+F50+F48</f>
        <v>215378</v>
      </c>
    </row>
    <row r="55" spans="1:7" ht="15.75" thickBot="1">
      <c r="A55" s="158"/>
      <c r="B55" s="160"/>
      <c r="C55" s="159"/>
      <c r="D55" s="158"/>
      <c r="E55" s="157"/>
      <c r="F55" s="398"/>
    </row>
    <row r="56" spans="1:7" ht="13.5" thickBot="1">
      <c r="A56" s="156">
        <v>28</v>
      </c>
      <c r="B56" s="154" t="s">
        <v>320</v>
      </c>
      <c r="C56" s="153">
        <f>+C54+C46+C21+C22+C30</f>
        <v>25881136</v>
      </c>
      <c r="D56" s="155">
        <v>53</v>
      </c>
      <c r="E56" s="154" t="s">
        <v>319</v>
      </c>
      <c r="F56" s="407">
        <f>+F54+F45+F28+F16+F33</f>
        <v>25881136</v>
      </c>
      <c r="G56" s="355" t="s">
        <v>621</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zoomScaleNormal="100" workbookViewId="0">
      <selection sqref="A1:C1"/>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41" t="str">
        <f>+'412BS'!A1:F1</f>
        <v>Glencoe, MN</v>
      </c>
      <c r="B1" s="441"/>
      <c r="C1" s="441"/>
      <c r="D1" s="216"/>
      <c r="E1" s="216"/>
      <c r="F1" s="216"/>
    </row>
    <row r="2" spans="1:6" ht="15">
      <c r="A2" s="442" t="s">
        <v>408</v>
      </c>
      <c r="B2" s="442"/>
      <c r="C2" s="442"/>
      <c r="D2" s="216"/>
      <c r="E2" s="216"/>
      <c r="F2" s="216"/>
    </row>
    <row r="3" spans="1:6" ht="15">
      <c r="A3" s="442" t="s">
        <v>433</v>
      </c>
      <c r="B3" s="442"/>
      <c r="C3" s="442"/>
      <c r="D3" s="216"/>
      <c r="E3" s="216"/>
      <c r="F3" s="216"/>
    </row>
    <row r="4" spans="1:6" ht="15.75">
      <c r="A4" s="443">
        <f>+'412BS'!A4:F4</f>
        <v>43100</v>
      </c>
      <c r="B4" s="443"/>
      <c r="C4" s="443"/>
      <c r="D4" s="215"/>
      <c r="E4" s="215"/>
      <c r="F4" s="215"/>
    </row>
    <row r="5" spans="1:6">
      <c r="A5" s="214"/>
      <c r="B5" s="214"/>
      <c r="C5" s="214"/>
      <c r="D5" s="214"/>
      <c r="E5" s="214"/>
      <c r="F5" s="214"/>
    </row>
    <row r="6" spans="1:6" ht="15">
      <c r="A6" s="444" t="s">
        <v>432</v>
      </c>
      <c r="B6" s="444"/>
      <c r="C6" s="444"/>
      <c r="D6" s="213"/>
      <c r="E6" s="213"/>
      <c r="F6" s="213"/>
    </row>
    <row r="7" spans="1:6">
      <c r="A7" s="212" t="s">
        <v>4</v>
      </c>
      <c r="B7" s="211"/>
      <c r="C7" s="210" t="s">
        <v>7</v>
      </c>
    </row>
    <row r="8" spans="1:6">
      <c r="A8" s="173" t="s">
        <v>6</v>
      </c>
      <c r="B8" s="205"/>
      <c r="C8" s="163" t="s">
        <v>401</v>
      </c>
    </row>
    <row r="9" spans="1:6">
      <c r="A9" s="168">
        <v>1</v>
      </c>
      <c r="B9" s="205" t="s">
        <v>431</v>
      </c>
      <c r="C9" s="408">
        <f>7685565+807261</f>
        <v>8492826</v>
      </c>
    </row>
    <row r="10" spans="1:6">
      <c r="A10" s="168">
        <v>2</v>
      </c>
      <c r="B10" s="205" t="s">
        <v>430</v>
      </c>
      <c r="C10" s="409">
        <f>'412OM'!D31+'412OM'!C19</f>
        <v>6670671</v>
      </c>
    </row>
    <row r="11" spans="1:6">
      <c r="A11" s="168">
        <v>3</v>
      </c>
      <c r="B11" s="205" t="s">
        <v>429</v>
      </c>
      <c r="C11" s="409">
        <f>'412OM'!E31</f>
        <v>329355</v>
      </c>
    </row>
    <row r="12" spans="1:6">
      <c r="A12" s="165">
        <v>4</v>
      </c>
      <c r="B12" s="209" t="s">
        <v>428</v>
      </c>
      <c r="C12" s="410">
        <f>S1_Plant!H11</f>
        <v>1085637</v>
      </c>
    </row>
    <row r="13" spans="1:6">
      <c r="A13" s="168">
        <v>5</v>
      </c>
      <c r="B13" s="205" t="s">
        <v>427</v>
      </c>
      <c r="C13" s="409">
        <v>0</v>
      </c>
    </row>
    <row r="14" spans="1:6" ht="13.5" thickBot="1">
      <c r="A14" s="158">
        <v>6</v>
      </c>
      <c r="B14" s="198" t="s">
        <v>426</v>
      </c>
      <c r="C14" s="411">
        <f>PILOT+PayrollTaxes</f>
        <v>90000</v>
      </c>
    </row>
    <row r="15" spans="1:6" ht="13.5" thickBot="1">
      <c r="A15" s="202">
        <v>7</v>
      </c>
      <c r="B15" s="206" t="s">
        <v>425</v>
      </c>
      <c r="C15" s="412">
        <f>SUM(C10:C14)</f>
        <v>8175663</v>
      </c>
    </row>
    <row r="16" spans="1:6" ht="13.5" thickBot="1">
      <c r="A16" s="202">
        <v>8</v>
      </c>
      <c r="B16" s="201" t="s">
        <v>424</v>
      </c>
      <c r="C16" s="412">
        <f>+C9-C15</f>
        <v>317163</v>
      </c>
    </row>
    <row r="17" spans="1:5" ht="13.5" thickBot="1">
      <c r="A17" s="158">
        <v>9</v>
      </c>
      <c r="B17" s="198" t="s">
        <v>423</v>
      </c>
      <c r="C17" s="413">
        <v>0</v>
      </c>
    </row>
    <row r="18" spans="1:5" ht="13.5" thickBot="1">
      <c r="A18" s="208">
        <v>10</v>
      </c>
      <c r="B18" s="207" t="s">
        <v>422</v>
      </c>
      <c r="C18" s="412">
        <f>+C17+C16</f>
        <v>317163</v>
      </c>
    </row>
    <row r="19" spans="1:5">
      <c r="A19" s="168">
        <v>11</v>
      </c>
      <c r="B19" s="205" t="s">
        <v>421</v>
      </c>
      <c r="C19" s="414">
        <f>535693+86558-13409</f>
        <v>608842</v>
      </c>
    </row>
    <row r="20" spans="1:5">
      <c r="A20" s="168">
        <v>12</v>
      </c>
      <c r="B20" s="205" t="s">
        <v>420</v>
      </c>
      <c r="C20" s="414">
        <v>0</v>
      </c>
    </row>
    <row r="21" spans="1:5">
      <c r="A21" s="168">
        <v>13</v>
      </c>
      <c r="B21" s="205" t="s">
        <v>419</v>
      </c>
      <c r="C21" s="414"/>
    </row>
    <row r="22" spans="1:5" ht="13.5" thickBot="1">
      <c r="A22" s="158">
        <v>14</v>
      </c>
      <c r="B22" s="198" t="s">
        <v>418</v>
      </c>
      <c r="C22" s="413"/>
    </row>
    <row r="23" spans="1:5" ht="13.5" thickBot="1">
      <c r="A23" s="202">
        <v>15</v>
      </c>
      <c r="B23" s="206" t="s">
        <v>417</v>
      </c>
      <c r="C23" s="412">
        <f>+C18+C19-C20-C21-C22</f>
        <v>926005</v>
      </c>
    </row>
    <row r="24" spans="1:5">
      <c r="A24" s="168">
        <v>16</v>
      </c>
      <c r="B24" s="205" t="s">
        <v>416</v>
      </c>
      <c r="C24" s="414">
        <v>110764</v>
      </c>
    </row>
    <row r="25" spans="1:5">
      <c r="A25" s="168">
        <v>17</v>
      </c>
      <c r="B25" s="205" t="s">
        <v>415</v>
      </c>
      <c r="C25" s="414">
        <f>130045-90000</f>
        <v>40045</v>
      </c>
    </row>
    <row r="26" spans="1:5" ht="13.5" thickBot="1">
      <c r="A26" s="158">
        <v>18</v>
      </c>
      <c r="B26" s="198" t="s">
        <v>414</v>
      </c>
      <c r="C26" s="413">
        <v>0</v>
      </c>
    </row>
    <row r="27" spans="1:5" ht="13.5" thickBot="1">
      <c r="A27" s="202">
        <v>19</v>
      </c>
      <c r="B27" s="206" t="s">
        <v>413</v>
      </c>
      <c r="C27" s="412">
        <f>SUM(C24:C26)</f>
        <v>150809</v>
      </c>
    </row>
    <row r="28" spans="1:5" ht="13.5" thickBot="1">
      <c r="A28" s="202">
        <v>20</v>
      </c>
      <c r="B28" s="206" t="s">
        <v>412</v>
      </c>
      <c r="C28" s="412">
        <f>+C23-C27</f>
        <v>775196</v>
      </c>
    </row>
    <row r="29" spans="1:5">
      <c r="A29" s="168">
        <v>21</v>
      </c>
      <c r="B29" s="205" t="s">
        <v>411</v>
      </c>
      <c r="C29" s="204"/>
    </row>
    <row r="30" spans="1:5" ht="13.5" thickBot="1">
      <c r="A30" s="158">
        <v>22</v>
      </c>
      <c r="B30" s="198" t="s">
        <v>410</v>
      </c>
      <c r="C30" s="203">
        <v>0</v>
      </c>
    </row>
    <row r="31" spans="1:5" ht="13.5" thickBot="1">
      <c r="A31" s="202">
        <v>23</v>
      </c>
      <c r="B31" s="201" t="s">
        <v>409</v>
      </c>
      <c r="C31" s="200">
        <f>SUM(C28:C30)</f>
        <v>775196</v>
      </c>
      <c r="D31" s="355" t="s">
        <v>628</v>
      </c>
      <c r="E31" s="272"/>
    </row>
    <row r="32" spans="1:5">
      <c r="A32" s="149"/>
      <c r="B32" s="149"/>
      <c r="C32" s="150">
        <v>774449</v>
      </c>
    </row>
    <row r="33" spans="1:4">
      <c r="A33" s="269" t="s">
        <v>493</v>
      </c>
      <c r="B33" s="149"/>
      <c r="C33" s="150"/>
      <c r="D33" s="149"/>
    </row>
    <row r="34" spans="1:4" ht="15">
      <c r="A34" s="383" t="s">
        <v>637</v>
      </c>
      <c r="B34" s="268"/>
      <c r="C34" s="150"/>
      <c r="D34" s="149"/>
    </row>
    <row r="35" spans="1:4">
      <c r="A35" s="149"/>
      <c r="B35" s="149"/>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C43" s="150"/>
    </row>
    <row r="44" spans="1:4">
      <c r="C44" s="150"/>
    </row>
    <row r="45" spans="1:4">
      <c r="C45" s="150"/>
    </row>
    <row r="46" spans="1:4">
      <c r="C46" s="150"/>
    </row>
    <row r="47" spans="1:4">
      <c r="C47" s="199"/>
    </row>
    <row r="48" spans="1:4">
      <c r="C48" s="199"/>
    </row>
    <row r="49" spans="3:3">
      <c r="C49" s="199"/>
    </row>
    <row r="50" spans="3:3">
      <c r="C50" s="199"/>
    </row>
    <row r="51" spans="3:3">
      <c r="C51" s="199"/>
    </row>
    <row r="52" spans="3:3">
      <c r="C52" s="199"/>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sqref="A1:G1"/>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41" t="str">
        <f>+'412BS'!A1:F1</f>
        <v>Glencoe, MN</v>
      </c>
      <c r="B1" s="441"/>
      <c r="C1" s="441"/>
      <c r="D1" s="441"/>
      <c r="E1" s="441"/>
      <c r="F1" s="441"/>
      <c r="G1" s="441"/>
    </row>
    <row r="2" spans="1:7" ht="15">
      <c r="A2" s="442" t="s">
        <v>408</v>
      </c>
      <c r="B2" s="442"/>
      <c r="C2" s="442"/>
      <c r="D2" s="442"/>
      <c r="E2" s="442"/>
      <c r="F2" s="442"/>
      <c r="G2" s="442"/>
    </row>
    <row r="3" spans="1:7" ht="15">
      <c r="A3" s="442" t="s">
        <v>456</v>
      </c>
      <c r="B3" s="442"/>
      <c r="C3" s="442"/>
      <c r="D3" s="442"/>
      <c r="E3" s="442"/>
      <c r="F3" s="442"/>
      <c r="G3" s="442"/>
    </row>
    <row r="4" spans="1:7" ht="15.75">
      <c r="A4" s="443">
        <f>+'412BS'!A4:F4</f>
        <v>43100</v>
      </c>
      <c r="B4" s="443"/>
      <c r="C4" s="443"/>
      <c r="D4" s="443"/>
      <c r="E4" s="443"/>
      <c r="F4" s="443"/>
      <c r="G4" s="443"/>
    </row>
    <row r="5" spans="1:7">
      <c r="A5" s="214"/>
      <c r="B5" s="214"/>
      <c r="C5" s="214"/>
    </row>
    <row r="6" spans="1:7" ht="15">
      <c r="A6" s="444" t="s">
        <v>400</v>
      </c>
      <c r="B6" s="444"/>
      <c r="C6" s="444"/>
      <c r="D6" s="444"/>
      <c r="E6" s="444"/>
      <c r="F6" s="444"/>
      <c r="G6" s="444"/>
    </row>
    <row r="7" spans="1:7">
      <c r="A7" s="197" t="s">
        <v>4</v>
      </c>
      <c r="B7" s="210"/>
      <c r="C7" s="210" t="s">
        <v>455</v>
      </c>
      <c r="D7" s="210"/>
      <c r="E7" s="210"/>
      <c r="F7" s="210"/>
      <c r="G7" s="210" t="s">
        <v>454</v>
      </c>
    </row>
    <row r="8" spans="1:7">
      <c r="A8" s="168" t="s">
        <v>6</v>
      </c>
      <c r="B8" s="163"/>
      <c r="C8" s="163" t="s">
        <v>450</v>
      </c>
      <c r="D8" s="163" t="s">
        <v>453</v>
      </c>
      <c r="E8" s="163" t="s">
        <v>452</v>
      </c>
      <c r="F8" s="163" t="s">
        <v>451</v>
      </c>
      <c r="G8" s="163" t="s">
        <v>450</v>
      </c>
    </row>
    <row r="9" spans="1:7" ht="20.100000000000001" customHeight="1">
      <c r="A9" s="165">
        <v>1</v>
      </c>
      <c r="B9" s="179" t="s">
        <v>449</v>
      </c>
      <c r="C9" s="228">
        <v>0</v>
      </c>
      <c r="D9" s="228">
        <v>0</v>
      </c>
      <c r="E9" s="228">
        <v>0</v>
      </c>
      <c r="F9" s="228">
        <v>0</v>
      </c>
      <c r="G9" s="226">
        <f>+C9+D9+E9-F9</f>
        <v>0</v>
      </c>
    </row>
    <row r="10" spans="1:7" ht="12.75" customHeight="1">
      <c r="A10" s="165"/>
      <c r="B10" s="179"/>
      <c r="C10" s="227"/>
      <c r="D10" s="227"/>
      <c r="E10" s="227"/>
      <c r="F10" s="227"/>
      <c r="G10" s="226"/>
    </row>
    <row r="11" spans="1:7" ht="20.100000000000001" customHeight="1">
      <c r="A11" s="165">
        <v>2</v>
      </c>
      <c r="B11" s="179" t="s">
        <v>448</v>
      </c>
      <c r="C11" s="224">
        <v>0</v>
      </c>
      <c r="D11" s="224">
        <v>0</v>
      </c>
      <c r="E11" s="224">
        <v>0</v>
      </c>
      <c r="F11" s="224"/>
      <c r="G11" s="223">
        <f>+C11+D11-E11-F11</f>
        <v>0</v>
      </c>
    </row>
    <row r="12" spans="1:7" ht="20.100000000000001" customHeight="1">
      <c r="A12" s="165">
        <v>3</v>
      </c>
      <c r="B12" s="179" t="s">
        <v>447</v>
      </c>
      <c r="C12" s="224">
        <v>0</v>
      </c>
      <c r="D12" s="224">
        <v>0</v>
      </c>
      <c r="E12" s="224">
        <v>0</v>
      </c>
      <c r="F12" s="224">
        <v>0</v>
      </c>
      <c r="G12" s="223">
        <f>+C12+D12-E12-F12</f>
        <v>0</v>
      </c>
    </row>
    <row r="13" spans="1:7" ht="20.100000000000001" customHeight="1">
      <c r="A13" s="165">
        <v>4</v>
      </c>
      <c r="B13" s="179" t="s">
        <v>446</v>
      </c>
      <c r="C13" s="224">
        <v>0</v>
      </c>
      <c r="D13" s="224">
        <v>0</v>
      </c>
      <c r="E13" s="224">
        <v>0</v>
      </c>
      <c r="F13" s="224">
        <v>0</v>
      </c>
      <c r="G13" s="223">
        <f>+C13+D13-E13-F13</f>
        <v>0</v>
      </c>
    </row>
    <row r="14" spans="1:7" ht="20.100000000000001" customHeight="1" thickBot="1">
      <c r="A14" s="165">
        <v>5</v>
      </c>
      <c r="B14" s="179" t="s">
        <v>445</v>
      </c>
      <c r="C14" s="220">
        <f>S1_Plant!C7</f>
        <v>15732349</v>
      </c>
      <c r="D14" s="220">
        <f>S1_Plant!D7</f>
        <v>19801</v>
      </c>
      <c r="E14" s="220">
        <f>S1_Plant!E7</f>
        <v>11324</v>
      </c>
      <c r="F14" s="220"/>
      <c r="G14" s="223">
        <f>+C14+D14-E14-F14</f>
        <v>15740826</v>
      </c>
    </row>
    <row r="15" spans="1:7" ht="20.100000000000001" customHeight="1" thickBot="1">
      <c r="A15" s="165">
        <v>6</v>
      </c>
      <c r="B15" s="164" t="s">
        <v>444</v>
      </c>
      <c r="C15" s="218">
        <f>SUM(C11:C14)</f>
        <v>15732349</v>
      </c>
      <c r="D15" s="217">
        <f>SUM(D11:D14)</f>
        <v>19801</v>
      </c>
      <c r="E15" s="217">
        <f>SUM(E11:E14)</f>
        <v>11324</v>
      </c>
      <c r="F15" s="217">
        <f>SUM(F11:F14)</f>
        <v>0</v>
      </c>
      <c r="G15" s="200">
        <f>+C15+D15-E15-F15</f>
        <v>15740826</v>
      </c>
    </row>
    <row r="16" spans="1:7" ht="12" customHeight="1">
      <c r="A16" s="165"/>
      <c r="B16" s="222"/>
      <c r="C16" s="225"/>
      <c r="D16" s="225"/>
      <c r="E16" s="225"/>
      <c r="F16" s="225"/>
      <c r="G16" s="225"/>
    </row>
    <row r="17" spans="1:8" ht="20.100000000000001" customHeight="1">
      <c r="A17" s="165">
        <v>7</v>
      </c>
      <c r="B17" s="179" t="s">
        <v>443</v>
      </c>
      <c r="C17" s="224">
        <f>S1_Plant!C8</f>
        <v>9702416</v>
      </c>
      <c r="D17" s="224">
        <f>S1_Plant!D8</f>
        <v>0</v>
      </c>
      <c r="E17" s="224">
        <f>S1_Plant!E8</f>
        <v>0</v>
      </c>
      <c r="F17" s="224">
        <v>0</v>
      </c>
      <c r="G17" s="223">
        <f>+C17+D17-E17-F17</f>
        <v>9702416</v>
      </c>
    </row>
    <row r="18" spans="1:8" ht="20.100000000000001" customHeight="1">
      <c r="A18" s="165">
        <v>8</v>
      </c>
      <c r="B18" s="179" t="s">
        <v>442</v>
      </c>
      <c r="C18" s="224">
        <f>S1_Plant!C9</f>
        <v>10221717</v>
      </c>
      <c r="D18" s="224">
        <f>S1_Plant!D9</f>
        <v>20887</v>
      </c>
      <c r="E18" s="224">
        <f>S1_Plant!E9</f>
        <v>0</v>
      </c>
      <c r="F18" s="224">
        <v>0</v>
      </c>
      <c r="G18" s="223">
        <f>+C18+D18-E18-F18</f>
        <v>10242604</v>
      </c>
    </row>
    <row r="19" spans="1:8" ht="20.100000000000001" customHeight="1" thickBot="1">
      <c r="A19" s="165">
        <v>9</v>
      </c>
      <c r="B19" s="179" t="s">
        <v>441</v>
      </c>
      <c r="C19" s="220">
        <f>S1_Plant!C10</f>
        <v>1986237</v>
      </c>
      <c r="D19" s="220">
        <f>S1_Plant!D10</f>
        <v>55409</v>
      </c>
      <c r="E19" s="220">
        <f>S1_Plant!E10</f>
        <v>82203</v>
      </c>
      <c r="F19" s="220">
        <v>0</v>
      </c>
      <c r="G19" s="223">
        <f>+C19+D19-E19-F19</f>
        <v>1959443</v>
      </c>
    </row>
    <row r="20" spans="1:8" ht="20.100000000000001" customHeight="1" thickBot="1">
      <c r="A20" s="165">
        <v>10</v>
      </c>
      <c r="B20" s="164" t="s">
        <v>440</v>
      </c>
      <c r="C20" s="218">
        <f>SUM(C15:C19)+C9</f>
        <v>37642719</v>
      </c>
      <c r="D20" s="218">
        <f>SUM(D15:D19)+D9</f>
        <v>96097</v>
      </c>
      <c r="E20" s="218">
        <f>SUM(E15:E19)+E9</f>
        <v>93527</v>
      </c>
      <c r="F20" s="218">
        <f>SUM(F15:F19)+F9</f>
        <v>0</v>
      </c>
      <c r="G20" s="218">
        <f>SUM(G15:G19)+G9</f>
        <v>37645289</v>
      </c>
    </row>
    <row r="21" spans="1:8" ht="11.25" customHeight="1">
      <c r="A21" s="165"/>
      <c r="B21" s="222"/>
      <c r="C21" s="225"/>
      <c r="D21" s="225"/>
      <c r="E21" s="225"/>
      <c r="F21" s="225"/>
      <c r="G21" s="225"/>
    </row>
    <row r="22" spans="1:8" ht="20.100000000000001" customHeight="1">
      <c r="A22" s="165">
        <v>11</v>
      </c>
      <c r="B22" s="179" t="s">
        <v>439</v>
      </c>
      <c r="C22" s="224">
        <v>0</v>
      </c>
      <c r="D22" s="224">
        <v>0</v>
      </c>
      <c r="E22" s="224">
        <v>0</v>
      </c>
      <c r="F22" s="224">
        <v>0</v>
      </c>
      <c r="G22" s="223">
        <f>+C22+D22-E22-F22</f>
        <v>0</v>
      </c>
    </row>
    <row r="23" spans="1:8" ht="20.100000000000001" customHeight="1">
      <c r="A23" s="165">
        <v>12</v>
      </c>
      <c r="B23" s="179" t="s">
        <v>438</v>
      </c>
      <c r="C23" s="224">
        <v>0</v>
      </c>
      <c r="D23" s="224">
        <v>0</v>
      </c>
      <c r="E23" s="224">
        <v>0</v>
      </c>
      <c r="F23" s="224">
        <v>0</v>
      </c>
      <c r="G23" s="223">
        <f>+C23+D23-E23-F23</f>
        <v>0</v>
      </c>
    </row>
    <row r="24" spans="1:8" ht="20.100000000000001" customHeight="1" thickBot="1">
      <c r="A24" s="165">
        <v>13</v>
      </c>
      <c r="B24" s="179" t="s">
        <v>437</v>
      </c>
      <c r="C24" s="220">
        <v>0</v>
      </c>
      <c r="D24" s="220">
        <v>0</v>
      </c>
      <c r="E24" s="220">
        <v>0</v>
      </c>
      <c r="F24" s="220">
        <v>0</v>
      </c>
      <c r="G24" s="223">
        <f>+C24+D24-E24-F24</f>
        <v>0</v>
      </c>
    </row>
    <row r="25" spans="1:8" ht="20.100000000000001" customHeight="1" thickBot="1">
      <c r="A25" s="165">
        <v>14</v>
      </c>
      <c r="B25" s="164" t="s">
        <v>398</v>
      </c>
      <c r="C25" s="218">
        <f>SUM(C20:C24)</f>
        <v>37642719</v>
      </c>
      <c r="D25" s="217">
        <f>SUM(D20:D24)</f>
        <v>96097</v>
      </c>
      <c r="E25" s="217">
        <f>SUM(E20:E24)</f>
        <v>93527</v>
      </c>
      <c r="F25" s="217">
        <f>SUM(F20:F24)</f>
        <v>0</v>
      </c>
      <c r="G25" s="200">
        <f>+C25+D25-E25-F25</f>
        <v>37645289</v>
      </c>
    </row>
    <row r="26" spans="1:8" ht="11.25" customHeight="1">
      <c r="A26" s="165"/>
      <c r="B26" s="222"/>
      <c r="C26" s="221"/>
      <c r="D26" s="221"/>
      <c r="E26" s="221"/>
      <c r="F26" s="221"/>
      <c r="G26" s="221"/>
    </row>
    <row r="27" spans="1:8" ht="20.100000000000001" customHeight="1" thickBot="1">
      <c r="A27" s="165">
        <v>15</v>
      </c>
      <c r="B27" s="179" t="s">
        <v>436</v>
      </c>
      <c r="C27" s="220">
        <f>S1_Plant!C12</f>
        <v>261404</v>
      </c>
      <c r="D27" s="220">
        <f>S1_Plant!D12</f>
        <v>174631</v>
      </c>
      <c r="E27" s="220">
        <f>S1_Plant!E12</f>
        <v>0</v>
      </c>
      <c r="F27" s="220">
        <v>0</v>
      </c>
      <c r="G27" s="219">
        <f>+C27+D27-E27-F27</f>
        <v>436035</v>
      </c>
    </row>
    <row r="28" spans="1:8" ht="20.100000000000001" customHeight="1" thickBot="1">
      <c r="A28" s="165">
        <v>16</v>
      </c>
      <c r="B28" s="164" t="s">
        <v>435</v>
      </c>
      <c r="C28" s="218">
        <f>SUM(C25:C27)</f>
        <v>37904123</v>
      </c>
      <c r="D28" s="217">
        <f>SUM(D25:D27)</f>
        <v>270728</v>
      </c>
      <c r="E28" s="217">
        <f>SUM(E25:E27)</f>
        <v>93527</v>
      </c>
      <c r="F28" s="217">
        <f>SUM(F25:F27)</f>
        <v>0</v>
      </c>
      <c r="G28" s="200">
        <f>+C28+D28-E28-F28</f>
        <v>38081324</v>
      </c>
      <c r="H28" s="355"/>
    </row>
    <row r="29" spans="1:8" ht="20.100000000000001" customHeight="1">
      <c r="B29" s="148" t="s">
        <v>434</v>
      </c>
      <c r="G29" s="199" t="s">
        <v>2</v>
      </c>
    </row>
    <row r="31" spans="1:8">
      <c r="G31" s="199">
        <f>+'412BS'!C11+'412BS'!C12-'412Plant'!G28</f>
        <v>0</v>
      </c>
    </row>
    <row r="32" spans="1:8">
      <c r="G32" s="199"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election sqref="A1:F1"/>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41" t="str">
        <f>+'412BS'!A1:F1</f>
        <v>Glencoe, MN</v>
      </c>
      <c r="B1" s="441"/>
      <c r="C1" s="441"/>
      <c r="D1" s="441"/>
      <c r="E1" s="441"/>
      <c r="F1" s="441"/>
      <c r="G1" s="254"/>
    </row>
    <row r="2" spans="1:7" ht="15">
      <c r="A2" s="442" t="s">
        <v>408</v>
      </c>
      <c r="B2" s="442"/>
      <c r="C2" s="442"/>
      <c r="D2" s="442"/>
      <c r="E2" s="442"/>
      <c r="F2" s="442"/>
      <c r="G2" s="254"/>
    </row>
    <row r="3" spans="1:7" ht="15">
      <c r="A3" s="442" t="s">
        <v>492</v>
      </c>
      <c r="B3" s="442"/>
      <c r="C3" s="442"/>
      <c r="D3" s="442"/>
      <c r="E3" s="442"/>
      <c r="F3" s="442"/>
      <c r="G3" s="254"/>
    </row>
    <row r="4" spans="1:7" ht="15.75">
      <c r="A4" s="443">
        <f>+'412BS'!A4:F4</f>
        <v>43100</v>
      </c>
      <c r="B4" s="443"/>
      <c r="C4" s="443"/>
      <c r="D4" s="443"/>
      <c r="E4" s="443"/>
      <c r="F4" s="443"/>
      <c r="G4" s="253"/>
    </row>
    <row r="6" spans="1:7">
      <c r="A6" s="445" t="s">
        <v>491</v>
      </c>
      <c r="B6" s="445"/>
      <c r="C6" s="445"/>
      <c r="D6" s="445"/>
      <c r="E6" s="445"/>
      <c r="F6" s="445"/>
    </row>
    <row r="7" spans="1:7">
      <c r="A7" s="197" t="s">
        <v>4</v>
      </c>
      <c r="B7" s="185"/>
      <c r="C7" s="185" t="s">
        <v>490</v>
      </c>
      <c r="D7" s="185" t="s">
        <v>489</v>
      </c>
      <c r="E7" s="185" t="s">
        <v>488</v>
      </c>
      <c r="F7" s="185" t="s">
        <v>487</v>
      </c>
    </row>
    <row r="8" spans="1:7">
      <c r="A8" s="168" t="s">
        <v>403</v>
      </c>
      <c r="B8" s="163"/>
      <c r="C8" s="185" t="s">
        <v>486</v>
      </c>
      <c r="D8" s="163" t="s">
        <v>485</v>
      </c>
      <c r="E8" s="163" t="s">
        <v>484</v>
      </c>
      <c r="F8" s="163" t="s">
        <v>9</v>
      </c>
    </row>
    <row r="9" spans="1:7">
      <c r="A9" s="157">
        <v>1</v>
      </c>
      <c r="B9" s="149" t="s">
        <v>483</v>
      </c>
      <c r="C9" s="252"/>
      <c r="D9" s="236"/>
      <c r="E9" s="236"/>
      <c r="F9" s="236"/>
    </row>
    <row r="10" spans="1:7">
      <c r="A10" s="173"/>
      <c r="B10" s="249" t="s">
        <v>482</v>
      </c>
      <c r="C10" s="194">
        <v>0</v>
      </c>
      <c r="D10" s="251">
        <v>0</v>
      </c>
      <c r="E10" s="251">
        <v>0</v>
      </c>
      <c r="F10" s="250">
        <f>SUM(C10:E10)</f>
        <v>0</v>
      </c>
    </row>
    <row r="11" spans="1:7">
      <c r="A11" s="173">
        <v>2</v>
      </c>
      <c r="B11" s="249" t="s">
        <v>481</v>
      </c>
      <c r="C11" s="172">
        <v>0</v>
      </c>
      <c r="D11" s="204">
        <v>0</v>
      </c>
      <c r="E11" s="204">
        <v>0</v>
      </c>
      <c r="F11" s="246">
        <f>SUM(C11:E11)</f>
        <v>0</v>
      </c>
    </row>
    <row r="12" spans="1:7">
      <c r="A12" s="157">
        <v>3</v>
      </c>
      <c r="B12" s="149" t="s">
        <v>480</v>
      </c>
      <c r="C12" s="166"/>
      <c r="D12" s="203"/>
      <c r="E12" s="203"/>
      <c r="F12" s="244"/>
    </row>
    <row r="13" spans="1:7">
      <c r="A13" s="173"/>
      <c r="B13" s="235" t="s">
        <v>479</v>
      </c>
      <c r="C13" s="172">
        <v>0</v>
      </c>
      <c r="D13" s="204">
        <v>0</v>
      </c>
      <c r="E13" s="204">
        <v>0</v>
      </c>
      <c r="F13" s="246">
        <f>SUM(C13:E13)</f>
        <v>0</v>
      </c>
    </row>
    <row r="14" spans="1:7">
      <c r="A14" s="175">
        <v>4</v>
      </c>
      <c r="B14" s="248" t="s">
        <v>478</v>
      </c>
      <c r="C14" s="402"/>
      <c r="D14" s="413"/>
      <c r="E14" s="413"/>
      <c r="F14" s="423"/>
    </row>
    <row r="15" spans="1:7">
      <c r="A15" s="173"/>
      <c r="B15" s="247" t="s">
        <v>477</v>
      </c>
      <c r="C15" s="397">
        <v>88428</v>
      </c>
      <c r="D15" s="414">
        <v>0</v>
      </c>
      <c r="E15" s="414">
        <v>0</v>
      </c>
      <c r="F15" s="424">
        <f>SUM(C15:E15)</f>
        <v>88428</v>
      </c>
    </row>
    <row r="16" spans="1:7">
      <c r="A16" s="180">
        <v>5</v>
      </c>
      <c r="B16" s="245" t="s">
        <v>476</v>
      </c>
      <c r="C16" s="401">
        <v>4770710</v>
      </c>
      <c r="D16" s="425">
        <v>0</v>
      </c>
      <c r="E16" s="425">
        <v>0</v>
      </c>
      <c r="F16" s="426">
        <f>SUM(C16:E16)</f>
        <v>4770710</v>
      </c>
    </row>
    <row r="17" spans="1:7">
      <c r="A17" s="157">
        <v>6</v>
      </c>
      <c r="B17" s="149" t="s">
        <v>475</v>
      </c>
      <c r="C17" s="402"/>
      <c r="D17" s="413"/>
      <c r="E17" s="413"/>
      <c r="F17" s="423"/>
    </row>
    <row r="18" spans="1:7" ht="13.5" thickBot="1">
      <c r="A18" s="173"/>
      <c r="B18" s="235" t="s">
        <v>474</v>
      </c>
      <c r="C18" s="402">
        <v>0</v>
      </c>
      <c r="D18" s="413">
        <f>ProductionLabor</f>
        <v>393561</v>
      </c>
      <c r="E18" s="413">
        <f>85496+119531</f>
        <v>205027</v>
      </c>
      <c r="F18" s="423">
        <f>SUM(C18:E18)</f>
        <v>598588</v>
      </c>
    </row>
    <row r="19" spans="1:7" ht="13.5" thickBot="1">
      <c r="A19" s="179">
        <v>7</v>
      </c>
      <c r="B19" s="243" t="s">
        <v>473</v>
      </c>
      <c r="C19" s="427">
        <f>SUM(C10:C18)</f>
        <v>4859138</v>
      </c>
      <c r="D19" s="428">
        <f>SUM(D10:D18)</f>
        <v>393561</v>
      </c>
      <c r="E19" s="428">
        <f>SUM(E10:E18)</f>
        <v>205027</v>
      </c>
      <c r="F19" s="429">
        <f>SUM(C19:E19)</f>
        <v>5457726</v>
      </c>
    </row>
    <row r="20" spans="1:7">
      <c r="A20" s="157">
        <v>8</v>
      </c>
      <c r="B20" s="198" t="s">
        <v>472</v>
      </c>
      <c r="C20" s="430"/>
      <c r="D20" s="430"/>
      <c r="E20" s="430"/>
      <c r="F20" s="431"/>
    </row>
    <row r="21" spans="1:7" ht="15">
      <c r="A21" s="173"/>
      <c r="B21" s="242" t="s">
        <v>471</v>
      </c>
      <c r="C21" s="432" t="s">
        <v>462</v>
      </c>
      <c r="D21" s="432" t="s">
        <v>462</v>
      </c>
      <c r="E21" s="414">
        <f>TransmissionOM</f>
        <v>83003</v>
      </c>
      <c r="F21" s="433">
        <f>SUM(D21:E21)</f>
        <v>83003</v>
      </c>
      <c r="G21" s="148" t="s">
        <v>2</v>
      </c>
    </row>
    <row r="22" spans="1:7" ht="15">
      <c r="A22" s="157">
        <v>9</v>
      </c>
      <c r="B22" s="198" t="s">
        <v>470</v>
      </c>
      <c r="C22" s="434"/>
      <c r="D22" s="413"/>
      <c r="E22" s="413"/>
      <c r="F22" s="435"/>
    </row>
    <row r="23" spans="1:7" ht="15">
      <c r="A23" s="173"/>
      <c r="B23" s="242" t="s">
        <v>469</v>
      </c>
      <c r="C23" s="432" t="s">
        <v>462</v>
      </c>
      <c r="D23" s="414">
        <f>DistributionLabor</f>
        <v>336705</v>
      </c>
      <c r="E23" s="414">
        <f>11845+29480</f>
        <v>41325</v>
      </c>
      <c r="F23" s="433">
        <f>+D23+E23</f>
        <v>378030</v>
      </c>
    </row>
    <row r="24" spans="1:7" ht="15">
      <c r="A24" s="157">
        <v>10</v>
      </c>
      <c r="B24" s="198" t="s">
        <v>468</v>
      </c>
      <c r="C24" s="434"/>
      <c r="D24" s="413"/>
      <c r="E24" s="413"/>
      <c r="F24" s="435"/>
    </row>
    <row r="25" spans="1:7" ht="15">
      <c r="A25" s="173"/>
      <c r="B25" s="242" t="s">
        <v>467</v>
      </c>
      <c r="C25" s="432" t="s">
        <v>462</v>
      </c>
      <c r="D25" s="414">
        <v>185032</v>
      </c>
      <c r="E25" s="414">
        <v>0</v>
      </c>
      <c r="F25" s="433">
        <f>+D25+E25</f>
        <v>185032</v>
      </c>
    </row>
    <row r="26" spans="1:7" ht="15">
      <c r="A26" s="157">
        <v>11</v>
      </c>
      <c r="B26" s="198" t="s">
        <v>466</v>
      </c>
      <c r="C26" s="434"/>
      <c r="D26" s="413"/>
      <c r="E26" s="413"/>
      <c r="F26" s="435"/>
    </row>
    <row r="27" spans="1:7" ht="15">
      <c r="A27" s="173"/>
      <c r="B27" s="242" t="s">
        <v>465</v>
      </c>
      <c r="C27" s="432" t="s">
        <v>462</v>
      </c>
      <c r="D27" s="414">
        <v>0</v>
      </c>
      <c r="E27" s="414">
        <v>0</v>
      </c>
      <c r="F27" s="433">
        <f>+D27+E27</f>
        <v>0</v>
      </c>
    </row>
    <row r="28" spans="1:7" ht="15">
      <c r="A28" s="179">
        <v>12</v>
      </c>
      <c r="B28" s="209" t="s">
        <v>464</v>
      </c>
      <c r="C28" s="436" t="s">
        <v>462</v>
      </c>
      <c r="D28" s="425">
        <f>SalesExpenses*-1</f>
        <v>122087</v>
      </c>
      <c r="E28" s="425">
        <v>0</v>
      </c>
      <c r="F28" s="433">
        <f>+D28+E28</f>
        <v>122087</v>
      </c>
    </row>
    <row r="29" spans="1:7" ht="15">
      <c r="A29" s="179">
        <v>13</v>
      </c>
      <c r="B29" s="209" t="s">
        <v>463</v>
      </c>
      <c r="C29" s="241" t="s">
        <v>462</v>
      </c>
      <c r="D29" s="240">
        <f>AdminGeneralTotal</f>
        <v>774148</v>
      </c>
      <c r="E29" s="240">
        <v>0</v>
      </c>
      <c r="F29" s="239">
        <f>+D29+E29</f>
        <v>774148</v>
      </c>
    </row>
    <row r="30" spans="1:7" ht="13.5" thickBot="1">
      <c r="A30" s="157">
        <v>14</v>
      </c>
      <c r="B30" s="198" t="s">
        <v>461</v>
      </c>
      <c r="C30" s="238"/>
      <c r="D30" s="237"/>
      <c r="E30" s="237"/>
      <c r="F30" s="236"/>
    </row>
    <row r="31" spans="1:7" ht="13.5" thickBot="1">
      <c r="A31" s="173"/>
      <c r="B31" s="235" t="s">
        <v>460</v>
      </c>
      <c r="C31" s="218" t="s">
        <v>459</v>
      </c>
      <c r="D31" s="234">
        <f>SUM(D19:D29)</f>
        <v>1811533</v>
      </c>
      <c r="E31" s="234">
        <f>SUM(E19:E29)</f>
        <v>329355</v>
      </c>
      <c r="F31" s="233">
        <f>SUM(F19:F30)</f>
        <v>7000026</v>
      </c>
    </row>
    <row r="32" spans="1:7">
      <c r="C32" s="199"/>
      <c r="D32" s="199"/>
      <c r="E32" s="199"/>
      <c r="F32" s="199"/>
    </row>
    <row r="33" spans="2:6">
      <c r="B33" s="446" t="s">
        <v>458</v>
      </c>
      <c r="C33" s="447"/>
      <c r="D33" s="232">
        <v>14</v>
      </c>
      <c r="E33" s="199"/>
      <c r="F33" s="199"/>
    </row>
    <row r="34" spans="2:6">
      <c r="B34" s="231" t="s">
        <v>457</v>
      </c>
      <c r="C34" s="230"/>
      <c r="D34" s="229">
        <v>0</v>
      </c>
      <c r="E34" s="199"/>
      <c r="F34" s="199"/>
    </row>
    <row r="35" spans="2:6">
      <c r="C35" s="199"/>
      <c r="D35" s="199"/>
      <c r="E35" s="199"/>
      <c r="F35" s="199"/>
    </row>
  </sheetData>
  <mergeCells count="6">
    <mergeCell ref="A6:F6"/>
    <mergeCell ref="B33:C33"/>
    <mergeCell ref="A1:F1"/>
    <mergeCell ref="A2:F2"/>
    <mergeCell ref="A4:F4"/>
    <mergeCell ref="A3:F3"/>
  </mergeCells>
  <pageMargins left="0.75" right="0.75" top="1" bottom="1" header="0.5" footer="0.5"/>
  <pageSetup scale="56" orientation="portrait"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sheetViews>
  <sheetFormatPr defaultRowHeight="12.75"/>
  <cols>
    <col min="1" max="1" width="3.44140625" style="148" customWidth="1"/>
    <col min="2" max="16384" width="8.88671875" style="148"/>
  </cols>
  <sheetData>
    <row r="1" spans="1:11" ht="15.75">
      <c r="B1" s="441" t="str">
        <f>EntityName</f>
        <v>Glencoe, MN</v>
      </c>
      <c r="C1" s="441"/>
      <c r="D1" s="441"/>
      <c r="E1" s="441"/>
      <c r="F1" s="441"/>
      <c r="G1" s="441"/>
    </row>
    <row r="2" spans="1:11" ht="15">
      <c r="B2" s="442" t="s">
        <v>408</v>
      </c>
      <c r="C2" s="442"/>
      <c r="D2" s="442"/>
      <c r="E2" s="442"/>
      <c r="F2" s="442"/>
      <c r="G2" s="442"/>
    </row>
    <row r="3" spans="1:11" ht="15">
      <c r="B3" s="442" t="s">
        <v>496</v>
      </c>
      <c r="C3" s="442"/>
      <c r="D3" s="442"/>
      <c r="E3" s="442"/>
      <c r="F3" s="442"/>
      <c r="G3" s="442"/>
    </row>
    <row r="4" spans="1:11" ht="15.75">
      <c r="B4" s="443">
        <v>43100</v>
      </c>
      <c r="C4" s="443"/>
      <c r="D4" s="443"/>
      <c r="E4" s="443"/>
      <c r="F4" s="443"/>
      <c r="G4" s="443"/>
    </row>
    <row r="5" spans="1:11" ht="15.75">
      <c r="B5" s="256"/>
      <c r="C5" s="256"/>
      <c r="D5" s="256"/>
      <c r="E5" s="256"/>
      <c r="F5" s="256"/>
      <c r="G5" s="256"/>
    </row>
    <row r="6" spans="1:11" ht="18" customHeight="1">
      <c r="B6" s="294" t="s">
        <v>549</v>
      </c>
      <c r="D6" s="347"/>
      <c r="E6" s="347"/>
      <c r="F6" s="347"/>
      <c r="G6" s="347"/>
      <c r="H6" s="348" t="str">
        <f>EntityName</f>
        <v>Glencoe, MN</v>
      </c>
      <c r="I6" s="349"/>
      <c r="J6" s="255"/>
    </row>
    <row r="7" spans="1:11" ht="18" customHeight="1">
      <c r="A7" s="360">
        <v>1</v>
      </c>
      <c r="B7" s="292" t="s">
        <v>550</v>
      </c>
      <c r="C7" s="292"/>
      <c r="D7" s="292"/>
      <c r="E7" s="292"/>
      <c r="F7" s="292"/>
      <c r="G7" s="292"/>
      <c r="H7" s="292"/>
      <c r="I7" s="292"/>
      <c r="J7" s="292"/>
      <c r="K7" s="293"/>
    </row>
    <row r="8" spans="1:11" ht="18" customHeight="1">
      <c r="A8" s="360"/>
      <c r="B8" s="292" t="s">
        <v>551</v>
      </c>
      <c r="C8" s="292"/>
      <c r="D8" s="292"/>
      <c r="E8" s="292"/>
      <c r="F8" s="292"/>
      <c r="G8" s="292"/>
      <c r="H8" s="292"/>
      <c r="I8" s="292"/>
      <c r="J8" s="292"/>
      <c r="K8" s="293"/>
    </row>
    <row r="9" spans="1:11" ht="18" customHeight="1">
      <c r="A9" s="360"/>
      <c r="B9" s="292" t="s">
        <v>494</v>
      </c>
      <c r="C9" s="292"/>
      <c r="D9" s="292"/>
      <c r="E9" s="292"/>
      <c r="F9" s="292"/>
      <c r="G9" s="292"/>
      <c r="H9" s="292"/>
      <c r="I9" s="292"/>
      <c r="J9" s="292"/>
      <c r="K9" s="293"/>
    </row>
    <row r="10" spans="1:11" ht="18" customHeight="1">
      <c r="A10" s="360">
        <v>2</v>
      </c>
      <c r="B10" s="292" t="s">
        <v>552</v>
      </c>
      <c r="C10" s="292"/>
      <c r="D10" s="292"/>
      <c r="E10" s="292"/>
      <c r="F10" s="292"/>
      <c r="G10" s="292"/>
      <c r="H10" s="292"/>
      <c r="I10" s="292"/>
      <c r="J10" s="292"/>
      <c r="K10" s="293"/>
    </row>
    <row r="11" spans="1:11" ht="18" customHeight="1">
      <c r="A11" s="360"/>
      <c r="B11" s="292" t="s">
        <v>569</v>
      </c>
      <c r="C11" s="292"/>
      <c r="D11" s="292"/>
      <c r="E11" s="292"/>
      <c r="F11" s="292"/>
      <c r="G11" s="292"/>
      <c r="H11" s="292"/>
      <c r="I11" s="292"/>
      <c r="J11" s="292"/>
      <c r="K11" s="293"/>
    </row>
    <row r="12" spans="1:11" ht="18" customHeight="1">
      <c r="A12" s="360"/>
      <c r="B12" s="292" t="s">
        <v>553</v>
      </c>
      <c r="C12" s="292"/>
      <c r="D12" s="292"/>
      <c r="E12" s="292"/>
      <c r="F12" s="292"/>
      <c r="G12" s="292"/>
      <c r="H12" s="292"/>
      <c r="I12" s="292"/>
      <c r="J12" s="292"/>
      <c r="K12" s="293"/>
    </row>
    <row r="13" spans="1:11" ht="18" customHeight="1">
      <c r="A13" s="360"/>
      <c r="B13" s="292" t="s">
        <v>494</v>
      </c>
      <c r="C13" s="292"/>
      <c r="D13" s="292"/>
      <c r="E13" s="292"/>
      <c r="F13" s="292"/>
      <c r="G13" s="292"/>
      <c r="H13" s="292"/>
      <c r="I13" s="292"/>
      <c r="J13" s="292"/>
      <c r="K13" s="293"/>
    </row>
    <row r="14" spans="1:11" ht="18" customHeight="1">
      <c r="A14" s="360">
        <v>3</v>
      </c>
      <c r="B14" s="292" t="s">
        <v>571</v>
      </c>
      <c r="C14" s="292"/>
      <c r="D14" s="292"/>
      <c r="E14" s="292"/>
      <c r="F14" s="292"/>
      <c r="G14" s="292"/>
      <c r="H14" s="292"/>
      <c r="I14" s="292"/>
      <c r="J14" s="292"/>
      <c r="K14" s="293"/>
    </row>
    <row r="15" spans="1:11" ht="18" customHeight="1">
      <c r="A15" s="360"/>
      <c r="B15" s="292" t="s">
        <v>494</v>
      </c>
      <c r="C15" s="292"/>
      <c r="D15" s="292"/>
      <c r="E15" s="292"/>
      <c r="F15" s="292"/>
      <c r="G15" s="292"/>
      <c r="H15" s="292"/>
      <c r="I15" s="292"/>
      <c r="J15" s="292"/>
      <c r="K15" s="293"/>
    </row>
    <row r="16" spans="1:11" ht="18" customHeight="1">
      <c r="A16" s="360">
        <v>4</v>
      </c>
      <c r="B16" s="292" t="s">
        <v>570</v>
      </c>
      <c r="C16" s="292"/>
      <c r="D16" s="292"/>
      <c r="E16" s="292"/>
      <c r="F16" s="292"/>
      <c r="G16" s="292"/>
      <c r="H16" s="292"/>
      <c r="I16" s="292"/>
      <c r="J16" s="292"/>
      <c r="K16" s="293"/>
    </row>
    <row r="17" spans="1:11" ht="18" customHeight="1">
      <c r="A17" s="360"/>
      <c r="B17" s="292" t="s">
        <v>494</v>
      </c>
      <c r="C17" s="292"/>
      <c r="D17" s="292"/>
      <c r="E17" s="292"/>
      <c r="F17" s="292"/>
      <c r="G17" s="292"/>
      <c r="H17" s="292"/>
      <c r="I17" s="292"/>
      <c r="J17" s="292"/>
      <c r="K17" s="293"/>
    </row>
    <row r="18" spans="1:11" ht="18" customHeight="1">
      <c r="A18" s="360">
        <v>5</v>
      </c>
      <c r="B18" s="292" t="s">
        <v>554</v>
      </c>
      <c r="C18" s="292"/>
      <c r="D18" s="292"/>
      <c r="E18" s="292"/>
      <c r="F18" s="292"/>
      <c r="G18" s="292"/>
      <c r="H18" s="292"/>
      <c r="I18" s="292"/>
      <c r="J18" s="292"/>
      <c r="K18" s="293"/>
    </row>
    <row r="19" spans="1:11" ht="18" customHeight="1">
      <c r="A19" s="360"/>
      <c r="B19" s="292" t="s">
        <v>555</v>
      </c>
      <c r="C19" s="292"/>
      <c r="D19" s="292"/>
      <c r="E19" s="292"/>
      <c r="F19" s="292"/>
      <c r="G19" s="292"/>
      <c r="H19" s="292"/>
      <c r="I19" s="292"/>
      <c r="J19" s="292"/>
      <c r="K19" s="293"/>
    </row>
    <row r="20" spans="1:11" ht="18" customHeight="1">
      <c r="A20" s="360"/>
      <c r="B20" s="292" t="s">
        <v>556</v>
      </c>
      <c r="C20" s="292"/>
      <c r="D20" s="292"/>
      <c r="E20" s="292"/>
      <c r="F20" s="292"/>
      <c r="G20" s="292"/>
      <c r="H20" s="292"/>
      <c r="I20" s="292"/>
      <c r="J20" s="292"/>
      <c r="K20" s="293"/>
    </row>
    <row r="21" spans="1:11" ht="18" customHeight="1">
      <c r="A21" s="360"/>
      <c r="B21" s="292" t="s">
        <v>495</v>
      </c>
      <c r="C21" s="292"/>
      <c r="D21" s="292"/>
      <c r="E21" s="292"/>
      <c r="F21" s="292"/>
      <c r="G21" s="292"/>
      <c r="H21" s="292"/>
      <c r="I21" s="292"/>
      <c r="J21" s="292"/>
      <c r="K21" s="293"/>
    </row>
    <row r="22" spans="1:11" ht="18" customHeight="1"/>
    <row r="23"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showGridLines="0" workbookViewId="0"/>
  </sheetViews>
  <sheetFormatPr defaultRowHeight="15" customHeight="1"/>
  <cols>
    <col min="1" max="1" width="3.33203125" style="257" customWidth="1"/>
    <col min="2" max="2" width="17" style="257" customWidth="1"/>
    <col min="3" max="3" width="12.109375" style="257" bestFit="1" customWidth="1"/>
    <col min="4" max="4" width="11" style="257" bestFit="1" customWidth="1"/>
    <col min="5" max="5" width="9.77734375" style="257" customWidth="1"/>
    <col min="6" max="6" width="13.5546875" style="257" bestFit="1" customWidth="1"/>
    <col min="7" max="7" width="12.77734375" style="257" customWidth="1"/>
    <col min="8" max="8" width="11" style="257" bestFit="1" customWidth="1"/>
    <col min="9" max="9" width="10" style="257" customWidth="1"/>
    <col min="10" max="11" width="12.109375" style="257" bestFit="1" customWidth="1"/>
    <col min="12" max="12" width="11.5546875" style="257" bestFit="1" customWidth="1"/>
    <col min="13" max="13" width="10" style="257" bestFit="1" customWidth="1"/>
    <col min="14" max="14" width="9.44140625" style="257" customWidth="1"/>
    <col min="15" max="15" width="8.33203125" style="257" bestFit="1" customWidth="1"/>
    <col min="16" max="16" width="13.44140625" style="257" customWidth="1"/>
    <col min="17" max="17" width="1.109375" style="257" customWidth="1"/>
    <col min="18" max="18" width="12.21875" style="257" customWidth="1"/>
    <col min="19" max="19" width="8.33203125" style="257" bestFit="1" customWidth="1"/>
    <col min="20" max="20" width="16.5546875" style="257" customWidth="1"/>
    <col min="21" max="21" width="8.88671875" style="257"/>
    <col min="22" max="22" width="10.44140625" style="257" customWidth="1"/>
    <col min="23" max="23" width="9.77734375" style="257" customWidth="1"/>
    <col min="24" max="24" width="9.33203125" style="257" bestFit="1" customWidth="1"/>
    <col min="25" max="25" width="9.6640625" style="257" customWidth="1"/>
    <col min="26" max="26" width="55.33203125" style="257" customWidth="1"/>
    <col min="27" max="27" width="8.88671875" style="257"/>
    <col min="28" max="28" width="13.77734375" style="257" customWidth="1"/>
    <col min="29" max="29" width="19.44140625" style="257" customWidth="1"/>
    <col min="30" max="30" width="12.6640625" style="257" customWidth="1"/>
    <col min="31" max="31" width="12.109375" style="257" customWidth="1"/>
    <col min="32" max="32" width="14.6640625" style="257" customWidth="1"/>
    <col min="33" max="33" width="10.109375" style="257" customWidth="1"/>
    <col min="34" max="34" width="10.5546875" style="257" customWidth="1"/>
    <col min="35" max="35" width="11.88671875" style="257" customWidth="1"/>
    <col min="36" max="36" width="15.5546875" style="262" customWidth="1"/>
    <col min="37" max="37" width="8.88671875" style="257"/>
    <col min="38" max="38" width="16.33203125" style="257" customWidth="1"/>
    <col min="39" max="39" width="11.109375" style="257" customWidth="1"/>
    <col min="40" max="40" width="10.21875" style="257" customWidth="1"/>
    <col min="41" max="42" width="8.77734375" style="257" customWidth="1"/>
    <col min="43" max="16384" width="8.88671875" style="257"/>
  </cols>
  <sheetData>
    <row r="1" spans="2:36" ht="20.100000000000001" customHeight="1">
      <c r="B1" s="276" t="str">
        <f>EntityName</f>
        <v>Glencoe, MN</v>
      </c>
      <c r="C1" s="274"/>
      <c r="D1" s="274"/>
      <c r="E1" s="274"/>
      <c r="F1" s="274"/>
      <c r="G1" s="274"/>
      <c r="H1" s="274"/>
      <c r="I1" s="274"/>
      <c r="J1" s="274"/>
      <c r="K1" s="274"/>
      <c r="L1" s="274"/>
      <c r="M1" s="274"/>
      <c r="AJ1" s="257"/>
    </row>
    <row r="2" spans="2:36" ht="20.100000000000001" customHeight="1">
      <c r="B2" s="277" t="s">
        <v>515</v>
      </c>
      <c r="C2" s="275"/>
      <c r="D2" s="275"/>
      <c r="E2" s="275"/>
      <c r="F2" s="275"/>
      <c r="G2" s="275"/>
      <c r="H2" s="275"/>
      <c r="I2" s="275"/>
      <c r="J2" s="275"/>
      <c r="K2" s="275"/>
      <c r="L2" s="275"/>
      <c r="M2" s="275"/>
      <c r="AJ2" s="257"/>
    </row>
    <row r="3" spans="2:36" ht="20.100000000000001" customHeight="1">
      <c r="B3" s="278">
        <f>FilingDate</f>
        <v>43100</v>
      </c>
      <c r="C3" s="274"/>
      <c r="D3" s="274"/>
      <c r="E3" s="274"/>
      <c r="F3" s="274"/>
      <c r="G3" s="274"/>
      <c r="H3" s="274"/>
      <c r="I3" s="274"/>
      <c r="J3" s="274"/>
      <c r="K3" s="274"/>
      <c r="L3" s="274"/>
      <c r="M3" s="274"/>
      <c r="AJ3" s="257"/>
    </row>
    <row r="4" spans="2:36" ht="15" customHeight="1">
      <c r="AJ4" s="257"/>
    </row>
    <row r="5" spans="2:36" ht="18" customHeight="1">
      <c r="B5" s="299"/>
      <c r="C5" s="448" t="s">
        <v>518</v>
      </c>
      <c r="D5" s="449"/>
      <c r="E5" s="449"/>
      <c r="F5" s="450"/>
      <c r="G5" s="451" t="s">
        <v>522</v>
      </c>
      <c r="H5" s="452"/>
      <c r="I5" s="452"/>
      <c r="J5" s="453"/>
      <c r="K5" s="300"/>
      <c r="L5" s="299"/>
      <c r="M5" s="299"/>
      <c r="N5" s="299"/>
      <c r="AJ5" s="257"/>
    </row>
    <row r="6" spans="2:36" ht="18" customHeight="1">
      <c r="B6" s="301" t="s">
        <v>527</v>
      </c>
      <c r="C6" s="296" t="s">
        <v>519</v>
      </c>
      <c r="D6" s="296" t="s">
        <v>453</v>
      </c>
      <c r="E6" s="296" t="s">
        <v>520</v>
      </c>
      <c r="F6" s="296" t="s">
        <v>521</v>
      </c>
      <c r="G6" s="296" t="s">
        <v>519</v>
      </c>
      <c r="H6" s="296" t="s">
        <v>453</v>
      </c>
      <c r="I6" s="296" t="s">
        <v>520</v>
      </c>
      <c r="J6" s="296" t="s">
        <v>521</v>
      </c>
      <c r="K6" s="296" t="s">
        <v>508</v>
      </c>
      <c r="L6" s="299"/>
      <c r="M6" s="299"/>
      <c r="N6" s="299"/>
      <c r="AJ6" s="257"/>
    </row>
    <row r="7" spans="2:36" ht="18" customHeight="1">
      <c r="B7" s="302" t="s">
        <v>524</v>
      </c>
      <c r="C7" s="303">
        <v>15732349</v>
      </c>
      <c r="D7" s="303">
        <v>19801</v>
      </c>
      <c r="E7" s="303">
        <v>11324</v>
      </c>
      <c r="F7" s="303">
        <f>C7+D7-E7</f>
        <v>15740826</v>
      </c>
      <c r="G7" s="303">
        <v>11834552</v>
      </c>
      <c r="H7" s="303">
        <v>409314</v>
      </c>
      <c r="I7" s="303">
        <v>0</v>
      </c>
      <c r="J7" s="303">
        <f>G7+H7-I7</f>
        <v>12243866</v>
      </c>
      <c r="K7" s="303">
        <f>F7-J7</f>
        <v>3496960</v>
      </c>
      <c r="L7" s="299"/>
      <c r="M7" s="299"/>
      <c r="N7" s="299"/>
      <c r="AJ7" s="257"/>
    </row>
    <row r="8" spans="2:36" ht="18" customHeight="1">
      <c r="B8" s="302" t="s">
        <v>498</v>
      </c>
      <c r="C8" s="303">
        <v>9702416</v>
      </c>
      <c r="D8" s="303">
        <v>0</v>
      </c>
      <c r="E8" s="303">
        <v>0</v>
      </c>
      <c r="F8" s="303">
        <f>C8+D8-E8</f>
        <v>9702416</v>
      </c>
      <c r="G8" s="303">
        <v>2230312</v>
      </c>
      <c r="H8" s="303">
        <v>319865</v>
      </c>
      <c r="I8" s="303">
        <v>0</v>
      </c>
      <c r="J8" s="303">
        <f>G8+H8-I8</f>
        <v>2550177</v>
      </c>
      <c r="K8" s="303">
        <f>F8-J8</f>
        <v>7152239</v>
      </c>
      <c r="L8" s="299"/>
      <c r="M8" s="299"/>
      <c r="N8" s="299"/>
      <c r="AJ8" s="257"/>
    </row>
    <row r="9" spans="2:36" ht="18" customHeight="1">
      <c r="B9" s="302" t="s">
        <v>525</v>
      </c>
      <c r="C9" s="303">
        <v>10221717</v>
      </c>
      <c r="D9" s="303">
        <v>20887</v>
      </c>
      <c r="E9" s="303">
        <v>0</v>
      </c>
      <c r="F9" s="303">
        <f>C9+D9-E9</f>
        <v>10242604</v>
      </c>
      <c r="G9" s="303">
        <v>6034861</v>
      </c>
      <c r="H9" s="303">
        <v>256302</v>
      </c>
      <c r="I9" s="303">
        <v>0</v>
      </c>
      <c r="J9" s="303">
        <f>G9+H9-I9</f>
        <v>6291163</v>
      </c>
      <c r="K9" s="303">
        <f t="shared" ref="K9" si="0">F9-J9</f>
        <v>3951441</v>
      </c>
      <c r="L9" s="299"/>
      <c r="M9" s="299"/>
      <c r="N9" s="299"/>
      <c r="AJ9" s="257"/>
    </row>
    <row r="10" spans="2:36" ht="18" customHeight="1">
      <c r="B10" s="302" t="s">
        <v>526</v>
      </c>
      <c r="C10" s="303">
        <v>1986237</v>
      </c>
      <c r="D10" s="303">
        <v>55409</v>
      </c>
      <c r="E10" s="303">
        <v>82203</v>
      </c>
      <c r="F10" s="303">
        <f>C10+D10-E10</f>
        <v>1959443</v>
      </c>
      <c r="G10" s="303">
        <v>1060028</v>
      </c>
      <c r="H10" s="303">
        <v>100156</v>
      </c>
      <c r="I10" s="303">
        <v>80118</v>
      </c>
      <c r="J10" s="303">
        <f>G10+H10-I10</f>
        <v>1080066</v>
      </c>
      <c r="K10" s="303">
        <f>F10-J10</f>
        <v>879377</v>
      </c>
      <c r="L10" s="299"/>
      <c r="M10" s="299"/>
      <c r="N10" s="299"/>
      <c r="AJ10" s="257"/>
    </row>
    <row r="11" spans="2:36" ht="18" customHeight="1">
      <c r="B11" s="304" t="s">
        <v>544</v>
      </c>
      <c r="C11" s="338">
        <f>SUM(C7:C10)</f>
        <v>37642719</v>
      </c>
      <c r="D11" s="338">
        <f t="shared" ref="D11:K11" si="1">SUM(D7:D10)</f>
        <v>96097</v>
      </c>
      <c r="E11" s="338">
        <f t="shared" si="1"/>
        <v>93527</v>
      </c>
      <c r="F11" s="338">
        <f t="shared" si="1"/>
        <v>37645289</v>
      </c>
      <c r="G11" s="338">
        <f t="shared" si="1"/>
        <v>21159753</v>
      </c>
      <c r="H11" s="338">
        <f t="shared" si="1"/>
        <v>1085637</v>
      </c>
      <c r="I11" s="338">
        <f t="shared" si="1"/>
        <v>80118</v>
      </c>
      <c r="J11" s="338">
        <f t="shared" si="1"/>
        <v>22165272</v>
      </c>
      <c r="K11" s="338">
        <f t="shared" si="1"/>
        <v>15480017</v>
      </c>
      <c r="L11" s="299"/>
      <c r="M11" s="299"/>
      <c r="N11" s="299"/>
      <c r="AJ11" s="257"/>
    </row>
    <row r="12" spans="2:36" ht="18" customHeight="1">
      <c r="B12" s="302" t="s">
        <v>507</v>
      </c>
      <c r="C12" s="303">
        <v>261404</v>
      </c>
      <c r="D12" s="303">
        <v>174631</v>
      </c>
      <c r="E12" s="303">
        <v>0</v>
      </c>
      <c r="F12" s="303">
        <f>C12+D12-E12</f>
        <v>436035</v>
      </c>
      <c r="G12" s="303"/>
      <c r="H12" s="303"/>
      <c r="I12" s="303"/>
      <c r="J12" s="303"/>
      <c r="K12" s="303">
        <f>CWIP</f>
        <v>436035</v>
      </c>
      <c r="L12" s="299"/>
      <c r="M12" s="299"/>
      <c r="N12" s="299"/>
      <c r="AJ12" s="257"/>
    </row>
    <row r="13" spans="2:36" ht="18" customHeight="1">
      <c r="B13" s="304" t="s">
        <v>543</v>
      </c>
      <c r="C13" s="338">
        <f t="shared" ref="C13:K13" si="2">C11+C12</f>
        <v>37904123</v>
      </c>
      <c r="D13" s="338">
        <f t="shared" si="2"/>
        <v>270728</v>
      </c>
      <c r="E13" s="338">
        <f t="shared" si="2"/>
        <v>93527</v>
      </c>
      <c r="F13" s="338">
        <f t="shared" si="2"/>
        <v>38081324</v>
      </c>
      <c r="G13" s="338">
        <f t="shared" si="2"/>
        <v>21159753</v>
      </c>
      <c r="H13" s="338">
        <f t="shared" si="2"/>
        <v>1085637</v>
      </c>
      <c r="I13" s="338">
        <f t="shared" si="2"/>
        <v>80118</v>
      </c>
      <c r="J13" s="338">
        <f t="shared" si="2"/>
        <v>22165272</v>
      </c>
      <c r="K13" s="338">
        <f t="shared" si="2"/>
        <v>15916052</v>
      </c>
      <c r="M13" s="299"/>
      <c r="N13" s="299"/>
      <c r="AJ13" s="257"/>
    </row>
    <row r="14" spans="2:36" ht="18" customHeight="1">
      <c r="B14" s="299"/>
      <c r="C14" s="299"/>
      <c r="D14" s="299"/>
      <c r="E14" s="299"/>
      <c r="F14" s="313" t="s">
        <v>576</v>
      </c>
      <c r="G14" s="299"/>
      <c r="H14" s="299"/>
      <c r="I14" s="299"/>
      <c r="J14" s="313" t="s">
        <v>576</v>
      </c>
      <c r="K14" s="313" t="s">
        <v>576</v>
      </c>
      <c r="L14" s="299"/>
      <c r="M14" s="299"/>
      <c r="N14" s="299"/>
      <c r="AJ14" s="257"/>
    </row>
    <row r="15" spans="2:36" ht="18" customHeight="1">
      <c r="B15" s="299"/>
      <c r="C15" s="299"/>
      <c r="D15" s="299"/>
      <c r="E15" s="299"/>
      <c r="F15" s="299"/>
      <c r="G15" s="299" t="s">
        <v>620</v>
      </c>
      <c r="H15" s="299"/>
      <c r="I15" s="299"/>
      <c r="J15" s="299"/>
      <c r="K15" s="299"/>
      <c r="L15" s="299"/>
      <c r="M15" s="299"/>
      <c r="N15" s="299"/>
      <c r="AJ15" s="257"/>
    </row>
    <row r="16" spans="2:36" ht="18" customHeight="1">
      <c r="B16" s="299"/>
      <c r="C16" s="299"/>
      <c r="D16" s="299"/>
      <c r="E16" s="299"/>
      <c r="F16" s="299"/>
      <c r="G16" s="299" t="s">
        <v>652</v>
      </c>
      <c r="H16" s="299"/>
      <c r="I16" s="299"/>
      <c r="J16" s="299"/>
      <c r="K16" s="364"/>
      <c r="L16" s="299"/>
      <c r="M16" s="299"/>
      <c r="N16" s="299"/>
      <c r="AJ16" s="257"/>
    </row>
    <row r="17" spans="1:36" ht="18" customHeight="1">
      <c r="B17" s="301" t="s">
        <v>547</v>
      </c>
      <c r="C17" s="296" t="s">
        <v>7</v>
      </c>
      <c r="D17" s="299"/>
      <c r="E17" s="299"/>
      <c r="F17" s="373"/>
      <c r="G17" s="299"/>
      <c r="H17" s="299"/>
      <c r="I17" s="299"/>
      <c r="J17" s="364"/>
      <c r="K17" s="299"/>
      <c r="L17" s="299"/>
      <c r="M17" s="299"/>
      <c r="N17" s="299"/>
      <c r="AJ17" s="257"/>
    </row>
    <row r="18" spans="1:36" ht="18" customHeight="1">
      <c r="A18" s="365" t="s">
        <v>595</v>
      </c>
      <c r="B18" s="302" t="s">
        <v>524</v>
      </c>
      <c r="C18" s="303">
        <v>0</v>
      </c>
      <c r="D18" s="299"/>
      <c r="E18" s="299"/>
      <c r="F18" s="373"/>
      <c r="G18" s="364"/>
      <c r="H18" s="299"/>
      <c r="I18" s="299"/>
      <c r="J18" s="299"/>
      <c r="K18" s="299"/>
      <c r="L18" s="299"/>
      <c r="M18" s="299"/>
      <c r="N18" s="299"/>
      <c r="AJ18" s="257"/>
    </row>
    <row r="19" spans="1:36" ht="18" customHeight="1">
      <c r="B19" s="302" t="s">
        <v>498</v>
      </c>
      <c r="C19" s="303">
        <v>0</v>
      </c>
      <c r="D19" s="299"/>
      <c r="E19" s="299"/>
      <c r="F19" s="299"/>
      <c r="G19" s="299"/>
      <c r="H19" s="299"/>
      <c r="I19" s="299"/>
      <c r="J19" s="299"/>
      <c r="K19" s="299"/>
      <c r="L19" s="299"/>
      <c r="M19" s="299"/>
      <c r="N19" s="299"/>
      <c r="AJ19" s="257"/>
    </row>
    <row r="20" spans="1:36" ht="18" customHeight="1">
      <c r="B20" s="302" t="s">
        <v>525</v>
      </c>
      <c r="C20" s="303">
        <v>0</v>
      </c>
      <c r="D20" s="299"/>
      <c r="E20" s="299"/>
      <c r="F20" s="299"/>
      <c r="G20" s="299"/>
      <c r="H20" s="299"/>
      <c r="I20" s="299"/>
      <c r="J20" s="299"/>
      <c r="K20" s="299"/>
      <c r="L20" s="299"/>
      <c r="M20" s="299"/>
      <c r="N20" s="299"/>
      <c r="AJ20" s="257"/>
    </row>
    <row r="21" spans="1:36" ht="18" customHeight="1">
      <c r="B21" s="302" t="s">
        <v>526</v>
      </c>
      <c r="C21" s="303">
        <v>0</v>
      </c>
      <c r="D21" s="299"/>
      <c r="E21" s="299"/>
      <c r="F21" s="299"/>
      <c r="G21" s="299"/>
      <c r="H21" s="299"/>
      <c r="I21" s="299"/>
      <c r="J21" s="299"/>
      <c r="K21" s="299"/>
      <c r="L21" s="299"/>
      <c r="M21" s="299"/>
      <c r="N21" s="299"/>
      <c r="AJ21" s="257"/>
    </row>
    <row r="22" spans="1:36" ht="18" customHeight="1">
      <c r="B22" s="371"/>
      <c r="C22" s="372"/>
      <c r="D22" s="299"/>
      <c r="E22" s="299"/>
      <c r="F22" s="299"/>
      <c r="G22" s="299"/>
      <c r="H22" s="299"/>
      <c r="I22" s="299"/>
      <c r="J22" s="299"/>
      <c r="K22" s="299"/>
      <c r="L22" s="299"/>
      <c r="M22" s="299"/>
      <c r="N22" s="299"/>
      <c r="AJ22" s="257"/>
    </row>
    <row r="23" spans="1:36" ht="18" customHeight="1">
      <c r="AJ23" s="257"/>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workbookViewId="0"/>
  </sheetViews>
  <sheetFormatPr defaultRowHeight="15" customHeight="1"/>
  <cols>
    <col min="1" max="1" width="3.33203125" style="257" customWidth="1"/>
    <col min="2" max="2" width="20.21875" style="258" customWidth="1"/>
    <col min="3" max="3" width="14.21875" style="257" customWidth="1"/>
    <col min="4" max="4" width="15.109375" style="257" customWidth="1"/>
    <col min="5" max="5" width="13.77734375" style="257" customWidth="1"/>
    <col min="6" max="6" width="13.33203125" style="257" customWidth="1"/>
    <col min="7" max="7" width="12.44140625" style="257" bestFit="1" customWidth="1"/>
    <col min="8" max="8" width="12.109375" style="257" customWidth="1"/>
    <col min="9" max="10" width="8.88671875" style="257"/>
    <col min="11" max="11" width="10.21875" style="257" bestFit="1" customWidth="1"/>
    <col min="12" max="16384" width="8.88671875" style="257"/>
  </cols>
  <sheetData>
    <row r="1" spans="2:10" ht="20.100000000000001" customHeight="1">
      <c r="B1" s="276" t="str">
        <f>EntityName</f>
        <v>Glencoe, MN</v>
      </c>
      <c r="C1" s="280"/>
      <c r="D1" s="280"/>
    </row>
    <row r="2" spans="2:10" ht="20.100000000000001" customHeight="1">
      <c r="B2" s="277" t="s">
        <v>512</v>
      </c>
      <c r="C2" s="282"/>
      <c r="D2" s="282"/>
      <c r="E2" s="273"/>
      <c r="F2" s="273"/>
    </row>
    <row r="3" spans="2:10" ht="20.100000000000001" customHeight="1">
      <c r="B3" s="278">
        <f>FilingDate</f>
        <v>43100</v>
      </c>
      <c r="C3" s="280"/>
      <c r="D3" s="280"/>
    </row>
    <row r="4" spans="2:10" ht="20.100000000000001" customHeight="1">
      <c r="B4" s="281"/>
      <c r="C4" s="280"/>
      <c r="D4" s="280"/>
    </row>
    <row r="5" spans="2:10" ht="20.100000000000001" customHeight="1">
      <c r="B5" s="283">
        <f>+E11+F11</f>
        <v>110764</v>
      </c>
      <c r="C5" s="289" t="s">
        <v>567</v>
      </c>
      <c r="D5" s="280"/>
    </row>
    <row r="6" spans="2:10" ht="20.100000000000001" customHeight="1">
      <c r="B6" s="283">
        <f>E29</f>
        <v>4597292</v>
      </c>
      <c r="C6" s="289" t="s">
        <v>541</v>
      </c>
      <c r="D6" s="280"/>
    </row>
    <row r="7" spans="2:10" ht="15" customHeight="1">
      <c r="B7" s="261"/>
      <c r="C7" s="261"/>
    </row>
    <row r="8" spans="2:10" ht="18" customHeight="1">
      <c r="B8" s="261"/>
      <c r="C8" s="261"/>
      <c r="F8" s="305" t="s">
        <v>634</v>
      </c>
    </row>
    <row r="9" spans="2:10" ht="18" customHeight="1">
      <c r="B9" s="455" t="s">
        <v>500</v>
      </c>
      <c r="C9" s="455"/>
      <c r="D9" s="455"/>
      <c r="E9" s="455"/>
      <c r="F9" s="455"/>
      <c r="G9" s="299"/>
      <c r="H9" s="299"/>
      <c r="I9" s="299"/>
      <c r="J9" s="299"/>
    </row>
    <row r="10" spans="2:10" ht="18" customHeight="1">
      <c r="B10" s="296" t="s">
        <v>499</v>
      </c>
      <c r="C10" s="297" t="s">
        <v>580</v>
      </c>
      <c r="D10" s="297" t="s">
        <v>643</v>
      </c>
      <c r="E10" s="297" t="s">
        <v>645</v>
      </c>
      <c r="F10" s="297" t="s">
        <v>644</v>
      </c>
      <c r="G10" s="297" t="s">
        <v>9</v>
      </c>
      <c r="H10" s="299"/>
      <c r="I10" s="299"/>
      <c r="J10" s="299"/>
    </row>
    <row r="11" spans="2:10" ht="18" customHeight="1">
      <c r="B11" s="298">
        <v>2017</v>
      </c>
      <c r="C11" s="329">
        <v>106769</v>
      </c>
      <c r="D11" s="329">
        <v>3995</v>
      </c>
      <c r="E11" s="329">
        <f t="shared" ref="E11:E17" si="0">C11+D11</f>
        <v>110764</v>
      </c>
      <c r="F11" s="329">
        <v>0</v>
      </c>
      <c r="G11" s="329">
        <f>E11+F11</f>
        <v>110764</v>
      </c>
      <c r="H11" s="299"/>
      <c r="I11" s="299"/>
      <c r="J11" s="299"/>
    </row>
    <row r="12" spans="2:10" ht="18" customHeight="1">
      <c r="B12" s="298">
        <v>2018</v>
      </c>
      <c r="C12" s="329">
        <v>94569</v>
      </c>
      <c r="D12" s="329">
        <v>0</v>
      </c>
      <c r="E12" s="329">
        <f t="shared" si="0"/>
        <v>94569</v>
      </c>
      <c r="F12" s="329">
        <v>0</v>
      </c>
      <c r="G12" s="329">
        <v>0</v>
      </c>
      <c r="H12" s="299"/>
      <c r="I12" s="299"/>
      <c r="J12" s="299"/>
    </row>
    <row r="13" spans="2:10" ht="18" customHeight="1">
      <c r="B13" s="298">
        <v>2019</v>
      </c>
      <c r="C13" s="329">
        <v>81769</v>
      </c>
      <c r="D13" s="329">
        <v>0</v>
      </c>
      <c r="E13" s="329">
        <f t="shared" si="0"/>
        <v>81769</v>
      </c>
      <c r="F13" s="329">
        <v>0</v>
      </c>
      <c r="G13" s="329">
        <v>0</v>
      </c>
      <c r="H13" s="299"/>
      <c r="I13" s="299"/>
      <c r="J13" s="299"/>
    </row>
    <row r="14" spans="2:10" ht="18" customHeight="1">
      <c r="B14" s="298">
        <v>2020</v>
      </c>
      <c r="C14" s="329">
        <v>68668</v>
      </c>
      <c r="D14" s="329">
        <v>0</v>
      </c>
      <c r="E14" s="329">
        <f t="shared" si="0"/>
        <v>68668</v>
      </c>
      <c r="F14" s="329">
        <v>0</v>
      </c>
      <c r="G14" s="329">
        <v>0</v>
      </c>
      <c r="H14" s="299"/>
      <c r="I14" s="299"/>
      <c r="J14" s="299"/>
    </row>
    <row r="15" spans="2:10" ht="18" customHeight="1">
      <c r="B15" s="298">
        <v>2021</v>
      </c>
      <c r="C15" s="329">
        <v>55069</v>
      </c>
      <c r="D15" s="329">
        <v>0</v>
      </c>
      <c r="E15" s="329">
        <f t="shared" si="0"/>
        <v>55069</v>
      </c>
      <c r="F15" s="329">
        <v>0</v>
      </c>
      <c r="G15" s="329">
        <v>0</v>
      </c>
      <c r="H15" s="299"/>
      <c r="I15" s="299"/>
      <c r="J15" s="299"/>
    </row>
    <row r="16" spans="2:10" ht="18" customHeight="1">
      <c r="B16" s="298">
        <v>2022</v>
      </c>
      <c r="C16" s="329">
        <v>42668</v>
      </c>
      <c r="D16" s="329">
        <v>0</v>
      </c>
      <c r="E16" s="329">
        <f t="shared" si="0"/>
        <v>42668</v>
      </c>
      <c r="F16" s="329">
        <v>0</v>
      </c>
      <c r="G16" s="329">
        <v>0</v>
      </c>
      <c r="H16" s="299"/>
      <c r="I16" s="299"/>
      <c r="J16" s="299"/>
    </row>
    <row r="17" spans="2:10" ht="18" customHeight="1">
      <c r="B17" s="298" t="s">
        <v>635</v>
      </c>
      <c r="C17" s="329">
        <v>45625</v>
      </c>
      <c r="D17" s="329">
        <v>0</v>
      </c>
      <c r="E17" s="329">
        <f t="shared" si="0"/>
        <v>45625</v>
      </c>
      <c r="F17" s="329">
        <v>0</v>
      </c>
      <c r="G17" s="329">
        <v>0</v>
      </c>
      <c r="H17" s="299"/>
      <c r="I17" s="299"/>
      <c r="J17" s="299"/>
    </row>
    <row r="18" spans="2:10" ht="18" customHeight="1">
      <c r="B18" s="306"/>
      <c r="C18" s="307"/>
      <c r="D18" s="307"/>
      <c r="E18" s="307"/>
      <c r="F18" s="307"/>
      <c r="G18" s="299"/>
      <c r="H18" s="299"/>
      <c r="I18" s="299"/>
      <c r="J18" s="299"/>
    </row>
    <row r="19" spans="2:10" ht="18" customHeight="1">
      <c r="B19" s="308"/>
      <c r="C19" s="309"/>
      <c r="D19" s="309"/>
      <c r="E19" s="309"/>
      <c r="F19" s="309"/>
      <c r="G19" s="299"/>
      <c r="H19" s="299"/>
      <c r="I19" s="299"/>
      <c r="J19" s="299"/>
    </row>
    <row r="20" spans="2:10" ht="18" customHeight="1">
      <c r="B20" s="454" t="s">
        <v>629</v>
      </c>
      <c r="C20" s="454"/>
      <c r="D20" s="454"/>
      <c r="E20" s="454"/>
      <c r="F20" s="454"/>
      <c r="G20" s="299"/>
      <c r="H20" s="299"/>
      <c r="I20" s="299"/>
      <c r="J20" s="299"/>
    </row>
    <row r="21" spans="2:10" ht="18" customHeight="1">
      <c r="B21" s="296" t="s">
        <v>499</v>
      </c>
      <c r="C21" s="297" t="s">
        <v>580</v>
      </c>
      <c r="D21" s="297" t="s">
        <v>646</v>
      </c>
      <c r="E21" s="297" t="s">
        <v>645</v>
      </c>
      <c r="F21" s="310"/>
      <c r="G21" s="299"/>
      <c r="H21" s="299"/>
      <c r="I21" s="299"/>
      <c r="J21" s="299"/>
    </row>
    <row r="22" spans="2:10" ht="18" customHeight="1">
      <c r="B22" s="311">
        <v>2017</v>
      </c>
      <c r="C22" s="330">
        <v>625000</v>
      </c>
      <c r="D22" s="330">
        <v>10327</v>
      </c>
      <c r="E22" s="330">
        <f t="shared" ref="E22:E28" si="1">C22+D22</f>
        <v>635327</v>
      </c>
      <c r="F22" s="312"/>
      <c r="G22" s="389"/>
      <c r="H22" s="299"/>
      <c r="I22" s="299"/>
      <c r="J22" s="299"/>
    </row>
    <row r="23" spans="2:10" ht="18" customHeight="1">
      <c r="B23" s="311">
        <v>2018</v>
      </c>
      <c r="C23" s="330">
        <v>640000</v>
      </c>
      <c r="D23" s="385">
        <v>10327</v>
      </c>
      <c r="E23" s="330">
        <f t="shared" si="1"/>
        <v>650327</v>
      </c>
      <c r="F23" s="312"/>
      <c r="G23" s="389"/>
      <c r="H23" s="299"/>
      <c r="I23" s="299"/>
      <c r="J23" s="299"/>
    </row>
    <row r="24" spans="2:10" ht="18" customHeight="1">
      <c r="B24" s="311">
        <v>2019</v>
      </c>
      <c r="C24" s="330">
        <v>655000</v>
      </c>
      <c r="D24" s="385">
        <v>10327</v>
      </c>
      <c r="E24" s="330">
        <f t="shared" si="1"/>
        <v>665327</v>
      </c>
      <c r="F24" s="312"/>
      <c r="G24" s="299"/>
      <c r="H24" s="299"/>
      <c r="I24" s="299"/>
      <c r="J24" s="299"/>
    </row>
    <row r="25" spans="2:10" ht="18" customHeight="1">
      <c r="B25" s="311">
        <v>2020</v>
      </c>
      <c r="C25" s="330">
        <v>680000</v>
      </c>
      <c r="D25" s="385">
        <v>10327</v>
      </c>
      <c r="E25" s="330">
        <f t="shared" si="1"/>
        <v>690327</v>
      </c>
      <c r="F25" s="312"/>
      <c r="G25" s="373"/>
      <c r="H25" s="299"/>
      <c r="I25" s="299"/>
      <c r="J25" s="299"/>
    </row>
    <row r="26" spans="2:10" ht="18" customHeight="1">
      <c r="B26" s="311">
        <v>2021</v>
      </c>
      <c r="C26" s="385">
        <v>620000</v>
      </c>
      <c r="D26" s="385">
        <v>10327</v>
      </c>
      <c r="E26" s="385">
        <f t="shared" si="1"/>
        <v>630327</v>
      </c>
      <c r="F26" s="312"/>
      <c r="G26" s="373"/>
      <c r="H26" s="299"/>
      <c r="I26" s="299"/>
      <c r="J26" s="299"/>
    </row>
    <row r="27" spans="2:10" ht="18" customHeight="1">
      <c r="B27" s="311">
        <v>2022</v>
      </c>
      <c r="C27" s="385">
        <v>630000</v>
      </c>
      <c r="D27" s="385">
        <v>10327</v>
      </c>
      <c r="E27" s="385">
        <f t="shared" si="1"/>
        <v>640327</v>
      </c>
      <c r="F27" s="312"/>
      <c r="G27" s="373"/>
      <c r="H27" s="299"/>
      <c r="I27" s="299"/>
      <c r="J27" s="299"/>
    </row>
    <row r="28" spans="2:10" ht="18" customHeight="1">
      <c r="B28" s="311" t="s">
        <v>635</v>
      </c>
      <c r="C28" s="330">
        <v>1300000</v>
      </c>
      <c r="D28" s="330">
        <f>10327*2+3</f>
        <v>20657</v>
      </c>
      <c r="E28" s="330">
        <f t="shared" si="1"/>
        <v>1320657</v>
      </c>
      <c r="F28" s="312"/>
      <c r="G28" s="364"/>
      <c r="H28" s="299"/>
      <c r="I28" s="299"/>
      <c r="J28" s="299"/>
    </row>
    <row r="29" spans="2:10" ht="18" customHeight="1">
      <c r="B29" s="339" t="s">
        <v>536</v>
      </c>
      <c r="C29" s="340">
        <f>SUM(C23:C28)</f>
        <v>4525000</v>
      </c>
      <c r="D29" s="340">
        <f>SUM(D23:D28)</f>
        <v>72292</v>
      </c>
      <c r="E29" s="340">
        <f>SUM(E23:E28)</f>
        <v>4597292</v>
      </c>
      <c r="F29" s="299" t="s">
        <v>577</v>
      </c>
      <c r="G29" s="299"/>
      <c r="H29" s="299"/>
      <c r="I29" s="299"/>
      <c r="J29" s="299"/>
    </row>
    <row r="30" spans="2:10" ht="18" customHeight="1">
      <c r="B30" s="313"/>
      <c r="C30" s="299"/>
      <c r="D30" s="299"/>
      <c r="E30" s="299"/>
      <c r="F30" s="299"/>
      <c r="G30" s="299"/>
      <c r="H30" s="299"/>
      <c r="I30" s="299"/>
      <c r="J30" s="299"/>
    </row>
    <row r="31" spans="2:10" ht="18" customHeight="1">
      <c r="B31" s="313"/>
      <c r="C31" s="363"/>
      <c r="D31" s="305" t="s">
        <v>636</v>
      </c>
      <c r="E31" s="299"/>
      <c r="F31" s="299"/>
      <c r="G31" s="299"/>
      <c r="H31" s="299"/>
      <c r="I31" s="299"/>
      <c r="J31" s="299"/>
    </row>
    <row r="32" spans="2:10" ht="15" customHeight="1">
      <c r="B32" s="257"/>
    </row>
    <row r="33" spans="2:6" ht="15" customHeight="1">
      <c r="B33" s="257"/>
      <c r="E33" s="384"/>
      <c r="F33" s="365"/>
    </row>
    <row r="34" spans="2:6" ht="15" customHeight="1">
      <c r="B34" s="257"/>
      <c r="E34" s="384"/>
      <c r="F34" s="365"/>
    </row>
    <row r="35" spans="2:6" ht="15" customHeight="1">
      <c r="B35" s="257"/>
    </row>
    <row r="36" spans="2:6" ht="15" customHeight="1">
      <c r="B36" s="257"/>
    </row>
    <row r="37" spans="2:6" ht="15" customHeight="1">
      <c r="B37" s="257"/>
      <c r="E37" s="384"/>
    </row>
    <row r="38" spans="2:6" ht="15" customHeight="1">
      <c r="B38" s="257"/>
    </row>
    <row r="39" spans="2:6" ht="15" customHeight="1">
      <c r="B39" s="257"/>
      <c r="E39" s="384"/>
    </row>
    <row r="40" spans="2:6" ht="15" customHeight="1">
      <c r="B40" s="259"/>
    </row>
    <row r="41" spans="2:6" ht="15" customHeight="1">
      <c r="B41" s="259"/>
    </row>
  </sheetData>
  <mergeCells count="2">
    <mergeCell ref="B20:F20"/>
    <mergeCell ref="B9:F9"/>
  </mergeCells>
  <pageMargins left="0.75" right="0.75" top="1" bottom="1" header="0.5" footer="0.5"/>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showGridLines="0" workbookViewId="0">
      <selection activeCell="D7" sqref="D7"/>
    </sheetView>
  </sheetViews>
  <sheetFormatPr defaultRowHeight="15" customHeight="1"/>
  <cols>
    <col min="1" max="1" width="3.33203125" style="257" customWidth="1"/>
    <col min="2" max="2" width="14" style="257" customWidth="1"/>
    <col min="3" max="3" width="13.33203125" style="257" customWidth="1"/>
    <col min="4" max="4" width="14.44140625" style="257" customWidth="1"/>
    <col min="5" max="5" width="11" style="257" bestFit="1" customWidth="1"/>
    <col min="6" max="6" width="9.6640625" style="257" bestFit="1" customWidth="1"/>
    <col min="7" max="7" width="8.88671875" style="257"/>
    <col min="8" max="8" width="1.33203125" style="257" customWidth="1"/>
    <col min="9" max="16384" width="8.88671875" style="257"/>
  </cols>
  <sheetData>
    <row r="1" spans="2:9" ht="20.100000000000001" customHeight="1">
      <c r="B1" s="276" t="str">
        <f>EntityName</f>
        <v>Glencoe, MN</v>
      </c>
      <c r="C1" s="280"/>
      <c r="D1" s="280"/>
      <c r="E1" s="280"/>
      <c r="F1" s="280"/>
      <c r="G1" s="280"/>
      <c r="H1" s="280"/>
      <c r="I1" s="280"/>
    </row>
    <row r="2" spans="2:9" ht="20.100000000000001" customHeight="1">
      <c r="B2" s="277" t="s">
        <v>514</v>
      </c>
      <c r="C2" s="282"/>
      <c r="D2" s="282"/>
      <c r="E2" s="282"/>
      <c r="F2" s="282"/>
      <c r="G2" s="282"/>
      <c r="H2" s="282"/>
      <c r="I2" s="280"/>
    </row>
    <row r="3" spans="2:9" ht="20.100000000000001" customHeight="1">
      <c r="B3" s="278">
        <f>FilingDate</f>
        <v>43100</v>
      </c>
      <c r="C3" s="280"/>
      <c r="D3" s="280"/>
      <c r="E3" s="280"/>
      <c r="F3" s="280"/>
      <c r="G3" s="280"/>
      <c r="H3" s="280"/>
      <c r="I3" s="280"/>
    </row>
    <row r="4" spans="2:9" ht="15" customHeight="1">
      <c r="B4" s="281"/>
      <c r="C4" s="280"/>
      <c r="D4" s="280"/>
      <c r="E4" s="280"/>
      <c r="F4" s="280"/>
      <c r="G4" s="280"/>
      <c r="H4" s="280"/>
      <c r="I4" s="280"/>
    </row>
    <row r="5" spans="2:9" ht="18" customHeight="1">
      <c r="B5" s="296" t="s">
        <v>530</v>
      </c>
      <c r="C5" s="296" t="s">
        <v>529</v>
      </c>
      <c r="D5" s="296" t="s">
        <v>531</v>
      </c>
      <c r="E5" s="326" t="s">
        <v>2</v>
      </c>
      <c r="F5" s="295"/>
      <c r="G5" s="280"/>
      <c r="H5" s="280"/>
      <c r="I5" s="280"/>
    </row>
    <row r="6" spans="2:9" ht="18" customHeight="1">
      <c r="B6" s="302" t="s">
        <v>524</v>
      </c>
      <c r="C6" s="327">
        <f>+ProductionLabor/D12</f>
        <v>0.42661421624633344</v>
      </c>
      <c r="D6" s="328">
        <v>393561</v>
      </c>
      <c r="E6" s="295" t="s">
        <v>2</v>
      </c>
      <c r="F6" s="295"/>
      <c r="G6" s="280"/>
      <c r="H6" s="280"/>
      <c r="I6" s="280"/>
    </row>
    <row r="7" spans="2:9" ht="18" customHeight="1">
      <c r="B7" s="302" t="s">
        <v>498</v>
      </c>
      <c r="C7" s="327">
        <f>+TransmissionLabor/D12</f>
        <v>1.4505887122475128E-2</v>
      </c>
      <c r="D7" s="328">
        <f>1395+747+11240</f>
        <v>13382</v>
      </c>
      <c r="E7" s="326" t="s">
        <v>2</v>
      </c>
      <c r="F7" s="295"/>
      <c r="G7" s="280"/>
      <c r="H7" s="280"/>
      <c r="I7" s="280"/>
    </row>
    <row r="8" spans="2:9" ht="18" customHeight="1">
      <c r="B8" s="302" t="s">
        <v>525</v>
      </c>
      <c r="C8" s="327">
        <f>+DistributionLabor/D12</f>
        <v>0.36498316571312123</v>
      </c>
      <c r="D8" s="328">
        <f>-747+337452</f>
        <v>336705</v>
      </c>
      <c r="E8" s="295"/>
      <c r="F8" s="295"/>
      <c r="G8" s="280"/>
      <c r="H8" s="280"/>
      <c r="I8" s="280"/>
    </row>
    <row r="9" spans="2:9" ht="18" customHeight="1">
      <c r="B9" s="302" t="s">
        <v>497</v>
      </c>
      <c r="C9" s="327">
        <f>+OtherLabor/D12</f>
        <v>0.19389673091807025</v>
      </c>
      <c r="D9" s="328">
        <v>178874</v>
      </c>
      <c r="E9" s="295"/>
      <c r="F9" s="295"/>
      <c r="G9" s="280"/>
      <c r="H9" s="280"/>
      <c r="I9" s="280"/>
    </row>
    <row r="10" spans="2:9" ht="18" customHeight="1">
      <c r="B10" s="302" t="s">
        <v>528</v>
      </c>
      <c r="C10" s="327">
        <v>0</v>
      </c>
      <c r="D10" s="328">
        <f>115032-1395</f>
        <v>113637</v>
      </c>
      <c r="E10" s="295"/>
      <c r="F10" s="295"/>
      <c r="G10" s="280"/>
      <c r="H10" s="280"/>
      <c r="I10" s="280"/>
    </row>
    <row r="11" spans="2:9" ht="18" customHeight="1">
      <c r="B11" s="341" t="s">
        <v>523</v>
      </c>
      <c r="C11" s="342">
        <f>SUM(C6:C10)</f>
        <v>1</v>
      </c>
      <c r="D11" s="343">
        <f>SUM(D6:D10)</f>
        <v>1036159</v>
      </c>
      <c r="E11" s="295" t="s">
        <v>583</v>
      </c>
      <c r="F11" s="295"/>
      <c r="G11" s="280"/>
      <c r="H11" s="280"/>
      <c r="I11" s="280"/>
    </row>
    <row r="12" spans="2:9" ht="18" customHeight="1">
      <c r="B12" s="280"/>
      <c r="C12" s="280"/>
      <c r="D12" s="388">
        <f>+SUM(D6:D9)</f>
        <v>922522</v>
      </c>
      <c r="E12" s="280"/>
      <c r="F12" s="280"/>
      <c r="G12" s="280"/>
      <c r="H12" s="280"/>
      <c r="I12" s="280"/>
    </row>
    <row r="13" spans="2:9" ht="18" customHeight="1">
      <c r="B13" s="280"/>
      <c r="C13" s="280"/>
      <c r="D13" s="280"/>
      <c r="E13" s="280"/>
      <c r="F13" s="280"/>
      <c r="G13" s="280"/>
      <c r="H13" s="280"/>
      <c r="I13" s="280"/>
    </row>
    <row r="14" spans="2:9" ht="15" customHeight="1">
      <c r="B14" s="280"/>
      <c r="C14" s="280"/>
      <c r="D14" s="280"/>
      <c r="E14" s="280"/>
      <c r="F14" s="280"/>
      <c r="G14" s="280"/>
      <c r="H14" s="280"/>
      <c r="I14" s="280"/>
    </row>
    <row r="17" spans="2:4" ht="15" customHeight="1">
      <c r="B17" s="415"/>
      <c r="C17" s="415"/>
      <c r="D17" s="415"/>
    </row>
    <row r="18" spans="2:4" ht="15" customHeight="1">
      <c r="B18" s="415"/>
      <c r="C18" s="415"/>
      <c r="D18" s="415"/>
    </row>
    <row r="19" spans="2:4" ht="15" customHeight="1">
      <c r="B19" s="416"/>
      <c r="C19" s="416"/>
      <c r="D19" s="416"/>
    </row>
    <row r="20" spans="2:4" ht="15" customHeight="1">
      <c r="B20" s="417"/>
      <c r="C20" s="418"/>
      <c r="D20" s="419"/>
    </row>
    <row r="21" spans="2:4" ht="15" customHeight="1">
      <c r="B21" s="417"/>
      <c r="C21" s="418"/>
      <c r="D21" s="419"/>
    </row>
    <row r="22" spans="2:4" ht="15" customHeight="1">
      <c r="B22" s="417"/>
      <c r="C22" s="418"/>
      <c r="D22" s="419"/>
    </row>
    <row r="23" spans="2:4" ht="15" customHeight="1">
      <c r="B23" s="417"/>
      <c r="C23" s="418"/>
      <c r="D23" s="419"/>
    </row>
    <row r="24" spans="2:4" ht="15" customHeight="1">
      <c r="B24" s="417"/>
      <c r="C24" s="418"/>
      <c r="D24" s="419"/>
    </row>
    <row r="25" spans="2:4" ht="15" customHeight="1">
      <c r="B25" s="420"/>
      <c r="C25" s="421"/>
      <c r="D25" s="422"/>
    </row>
    <row r="26" spans="2:4" ht="15" customHeight="1">
      <c r="B26" s="415"/>
      <c r="C26" s="415"/>
      <c r="D26" s="415"/>
    </row>
    <row r="27" spans="2:4" ht="15" customHeight="1">
      <c r="B27" s="415"/>
      <c r="C27" s="415"/>
      <c r="D27" s="415"/>
    </row>
    <row r="28" spans="2:4" ht="15" customHeight="1">
      <c r="B28" s="415"/>
      <c r="C28" s="415"/>
      <c r="D28" s="415"/>
    </row>
    <row r="29" spans="2:4" ht="15" customHeight="1">
      <c r="B29" s="415"/>
      <c r="C29" s="415"/>
      <c r="D29" s="415"/>
    </row>
  </sheetData>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34</vt:i4>
      </vt:variant>
    </vt:vector>
  </HeadingPairs>
  <TitlesOfParts>
    <vt:vector size="50"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Sheet1</vt:lpstr>
      <vt:lpstr>AdminGeneralTotal</vt:lpstr>
      <vt:lpstr>AdminLabor</vt:lpstr>
      <vt:lpstr>AveragePeak</vt:lpstr>
      <vt:lpstr>CWIP</vt:lpstr>
      <vt:lpstr>Debt</vt:lpstr>
      <vt:lpstr>DistributionLabor</vt:lpstr>
      <vt:lpstr>DistributionPlant</vt:lpstr>
      <vt:lpstr>DistributionPlantAD</vt:lpstr>
      <vt:lpstr>EntityName</vt:lpstr>
      <vt:lpstr>Equity</vt:lpstr>
      <vt:lpstr>FacilitiyCredits</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2017-03-29T18:04:33Z</cp:lastPrinted>
  <dcterms:created xsi:type="dcterms:W3CDTF">2008-03-20T17:17:49Z</dcterms:created>
  <dcterms:modified xsi:type="dcterms:W3CDTF">2018-04-27T13:55:06Z</dcterms:modified>
</cp:coreProperties>
</file>